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5.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drawings/drawing6.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drawings/drawing7.xml" ContentType="application/vnd.openxmlformats-officedocument.drawing+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charts/chart35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Override PartName="/xl/charts/colors11.xml" ContentType="application/vnd.ms-office.chartcolorstyle+xml"/>
  <Override PartName="/xl/charts/style11.xml" ContentType="application/vnd.ms-office.chartstyle+xml"/>
  <Override PartName="/xl/charts/colors12.xml" ContentType="application/vnd.ms-office.chartcolorstyle+xml"/>
  <Override PartName="/xl/charts/style12.xml" ContentType="application/vnd.ms-office.chartstyle+xml"/>
  <Override PartName="/xl/charts/colors13.xml" ContentType="application/vnd.ms-office.chartcolorstyle+xml"/>
  <Override PartName="/xl/charts/style13.xml" ContentType="application/vnd.ms-office.chartstyle+xml"/>
  <Override PartName="/xl/charts/colors14.xml" ContentType="application/vnd.ms-office.chartcolorstyle+xml"/>
  <Override PartName="/xl/charts/style14.xml" ContentType="application/vnd.ms-office.chartstyle+xml"/>
  <Override PartName="/xl/charts/colors15.xml" ContentType="application/vnd.ms-office.chartcolorstyle+xml"/>
  <Override PartName="/xl/charts/style15.xml" ContentType="application/vnd.ms-office.chart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colors20.xml" ContentType="application/vnd.ms-office.chartcolorstyle+xml"/>
  <Override PartName="/xl/charts/style20.xml" ContentType="application/vnd.ms-office.chartstyle+xml"/>
  <Override PartName="/xl/charts/colors21.xml" ContentType="application/vnd.ms-office.chartcolorstyle+xml"/>
  <Override PartName="/xl/charts/style21.xml" ContentType="application/vnd.ms-office.chartstyle+xml"/>
  <Override PartName="/xl/charts/colors22.xml" ContentType="application/vnd.ms-office.chartcolorstyle+xml"/>
  <Override PartName="/xl/charts/style22.xml" ContentType="application/vnd.ms-office.chart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colors25.xml" ContentType="application/vnd.ms-office.chartcolorstyle+xml"/>
  <Override PartName="/xl/charts/style25.xml" ContentType="application/vnd.ms-office.chartstyle+xml"/>
  <Override PartName="/xl/charts/colors26.xml" ContentType="application/vnd.ms-office.chartcolorstyle+xml"/>
  <Override PartName="/xl/charts/style26.xml" ContentType="application/vnd.ms-office.chartstyle+xml"/>
  <Override PartName="/xl/charts/colors27.xml" ContentType="application/vnd.ms-office.chartcolorstyle+xml"/>
  <Override PartName="/xl/charts/style27.xml" ContentType="application/vnd.ms-office.chartstyle+xml"/>
  <Override PartName="/xl/charts/colors28.xml" ContentType="application/vnd.ms-office.chartcolorstyle+xml"/>
  <Override PartName="/xl/charts/style28.xml" ContentType="application/vnd.ms-office.chartstyle+xml"/>
  <Override PartName="/xl/charts/colors29.xml" ContentType="application/vnd.ms-office.chartcolorstyle+xml"/>
  <Override PartName="/xl/charts/style29.xml" ContentType="application/vnd.ms-office.chartstyle+xml"/>
  <Override PartName="/xl/charts/colors30.xml" ContentType="application/vnd.ms-office.chartcolorstyle+xml"/>
  <Override PartName="/xl/charts/style30.xml" ContentType="application/vnd.ms-office.chartstyle+xml"/>
  <Override PartName="/xl/charts/colors31.xml" ContentType="application/vnd.ms-office.chartcolorstyle+xml"/>
  <Override PartName="/xl/charts/style31.xml" ContentType="application/vnd.ms-office.chartstyle+xml"/>
  <Override PartName="/xl/charts/colors32.xml" ContentType="application/vnd.ms-office.chartcolorstyle+xml"/>
  <Override PartName="/xl/charts/style32.xml" ContentType="application/vnd.ms-office.chartstyle+xml"/>
  <Override PartName="/xl/charts/colors33.xml" ContentType="application/vnd.ms-office.chartcolorstyle+xml"/>
  <Override PartName="/xl/charts/style33.xml" ContentType="application/vnd.ms-office.chartstyle+xml"/>
  <Override PartName="/xl/charts/colors34.xml" ContentType="application/vnd.ms-office.chartcolorstyle+xml"/>
  <Override PartName="/xl/charts/style34.xml" ContentType="application/vnd.ms-office.chartstyle+xml"/>
  <Override PartName="/xl/charts/colors35.xml" ContentType="application/vnd.ms-office.chartcolorstyle+xml"/>
  <Override PartName="/xl/charts/style35.xml" ContentType="application/vnd.ms-office.chartstyle+xml"/>
  <Override PartName="/xl/charts/colors36.xml" ContentType="application/vnd.ms-office.chartcolorstyle+xml"/>
  <Override PartName="/xl/charts/style36.xml" ContentType="application/vnd.ms-office.chartstyle+xml"/>
  <Override PartName="/xl/charts/colors37.xml" ContentType="application/vnd.ms-office.chartcolorstyle+xml"/>
  <Override PartName="/xl/charts/style37.xml" ContentType="application/vnd.ms-office.chartstyle+xml"/>
  <Override PartName="/xl/charts/colors38.xml" ContentType="application/vnd.ms-office.chartcolorstyle+xml"/>
  <Override PartName="/xl/charts/style38.xml" ContentType="application/vnd.ms-office.chartstyle+xml"/>
  <Override PartName="/xl/charts/colors39.xml" ContentType="application/vnd.ms-office.chartcolorstyle+xml"/>
  <Override PartName="/xl/charts/style39.xml" ContentType="application/vnd.ms-office.chartstyle+xml"/>
  <Override PartName="/xl/charts/colors40.xml" ContentType="application/vnd.ms-office.chartcolorstyle+xml"/>
  <Override PartName="/xl/charts/style40.xml" ContentType="application/vnd.ms-office.chartstyle+xml"/>
  <Override PartName="/xl/charts/colors41.xml" ContentType="application/vnd.ms-office.chartcolorstyle+xml"/>
  <Override PartName="/xl/charts/style41.xml" ContentType="application/vnd.ms-office.chartstyle+xml"/>
  <Override PartName="/xl/charts/colors42.xml" ContentType="application/vnd.ms-office.chartcolorstyle+xml"/>
  <Override PartName="/xl/charts/style42.xml" ContentType="application/vnd.ms-office.chartstyle+xml"/>
  <Override PartName="/xl/charts/colors43.xml" ContentType="application/vnd.ms-office.chartcolorstyle+xml"/>
  <Override PartName="/xl/charts/style43.xml" ContentType="application/vnd.ms-office.chartstyle+xml"/>
  <Override PartName="/xl/charts/colors44.xml" ContentType="application/vnd.ms-office.chartcolorstyle+xml"/>
  <Override PartName="/xl/charts/style44.xml" ContentType="application/vnd.ms-office.chartstyle+xml"/>
  <Override PartName="/xl/charts/colors45.xml" ContentType="application/vnd.ms-office.chartcolorstyle+xml"/>
  <Override PartName="/xl/charts/style45.xml" ContentType="application/vnd.ms-office.chartstyle+xml"/>
  <Override PartName="/xl/charts/colors46.xml" ContentType="application/vnd.ms-office.chartcolorstyle+xml"/>
  <Override PartName="/xl/charts/style46.xml" ContentType="application/vnd.ms-office.chartstyle+xml"/>
  <Override PartName="/xl/charts/colors47.xml" ContentType="application/vnd.ms-office.chartcolorstyle+xml"/>
  <Override PartName="/xl/charts/style47.xml" ContentType="application/vnd.ms-office.chartstyle+xml"/>
  <Override PartName="/xl/charts/colors48.xml" ContentType="application/vnd.ms-office.chartcolorstyle+xml"/>
  <Override PartName="/xl/charts/style48.xml" ContentType="application/vnd.ms-office.chartstyle+xml"/>
  <Override PartName="/xl/charts/colors49.xml" ContentType="application/vnd.ms-office.chartcolorstyle+xml"/>
  <Override PartName="/xl/charts/style49.xml" ContentType="application/vnd.ms-office.chartstyle+xml"/>
  <Override PartName="/xl/charts/colors50.xml" ContentType="application/vnd.ms-office.chartcolorstyle+xml"/>
  <Override PartName="/xl/charts/style50.xml" ContentType="application/vnd.ms-office.chartstyle+xml"/>
  <Override PartName="/xl/charts/colors51.xml" ContentType="application/vnd.ms-office.chartcolorstyle+xml"/>
  <Override PartName="/xl/charts/style51.xml" ContentType="application/vnd.ms-office.chartstyle+xml"/>
  <Override PartName="/xl/charts/colors52.xml" ContentType="application/vnd.ms-office.chartcolorstyle+xml"/>
  <Override PartName="/xl/charts/style52.xml" ContentType="application/vnd.ms-office.chartstyle+xml"/>
  <Override PartName="/xl/charts/colors53.xml" ContentType="application/vnd.ms-office.chartcolorstyle+xml"/>
  <Override PartName="/xl/charts/style53.xml" ContentType="application/vnd.ms-office.chartstyle+xml"/>
  <Override PartName="/xl/charts/colors54.xml" ContentType="application/vnd.ms-office.chartcolorstyle+xml"/>
  <Override PartName="/xl/charts/style54.xml" ContentType="application/vnd.ms-office.chartstyle+xml"/>
  <Override PartName="/xl/charts/colors55.xml" ContentType="application/vnd.ms-office.chartcolorstyle+xml"/>
  <Override PartName="/xl/charts/style55.xml" ContentType="application/vnd.ms-office.chartstyle+xml"/>
  <Override PartName="/xl/charts/colors56.xml" ContentType="application/vnd.ms-office.chartcolorstyle+xml"/>
  <Override PartName="/xl/charts/style56.xml" ContentType="application/vnd.ms-office.chartstyle+xml"/>
  <Override PartName="/xl/charts/colors57.xml" ContentType="application/vnd.ms-office.chartcolorstyle+xml"/>
  <Override PartName="/xl/charts/style57.xml" ContentType="application/vnd.ms-office.chartstyle+xml"/>
  <Override PartName="/xl/charts/colors58.xml" ContentType="application/vnd.ms-office.chartcolorstyle+xml"/>
  <Override PartName="/xl/charts/style58.xml" ContentType="application/vnd.ms-office.chartstyle+xml"/>
  <Override PartName="/xl/charts/colors59.xml" ContentType="application/vnd.ms-office.chartcolorstyle+xml"/>
  <Override PartName="/xl/charts/style59.xml" ContentType="application/vnd.ms-office.chartstyle+xml"/>
  <Override PartName="/xl/charts/colors60.xml" ContentType="application/vnd.ms-office.chartcolorstyle+xml"/>
  <Override PartName="/xl/charts/style60.xml" ContentType="application/vnd.ms-office.chartstyle+xml"/>
  <Override PartName="/xl/charts/colors61.xml" ContentType="application/vnd.ms-office.chartcolorstyle+xml"/>
  <Override PartName="/xl/charts/style61.xml" ContentType="application/vnd.ms-office.chartstyle+xml"/>
  <Override PartName="/xl/charts/colors62.xml" ContentType="application/vnd.ms-office.chartcolorstyle+xml"/>
  <Override PartName="/xl/charts/style62.xml" ContentType="application/vnd.ms-office.chartstyle+xml"/>
  <Override PartName="/xl/charts/colors63.xml" ContentType="application/vnd.ms-office.chartcolorstyle+xml"/>
  <Override PartName="/xl/charts/style63.xml" ContentType="application/vnd.ms-office.chartstyle+xml"/>
  <Override PartName="/xl/charts/colors64.xml" ContentType="application/vnd.ms-office.chartcolorstyle+xml"/>
  <Override PartName="/xl/charts/style64.xml" ContentType="application/vnd.ms-office.chartstyle+xml"/>
  <Override PartName="/xl/charts/colors65.xml" ContentType="application/vnd.ms-office.chartcolorstyle+xml"/>
  <Override PartName="/xl/charts/style65.xml" ContentType="application/vnd.ms-office.chartstyle+xml"/>
  <Override PartName="/xl/charts/colors66.xml" ContentType="application/vnd.ms-office.chartcolorstyle+xml"/>
  <Override PartName="/xl/charts/style66.xml" ContentType="application/vnd.ms-office.chartstyle+xml"/>
  <Override PartName="/xl/charts/colors67.xml" ContentType="application/vnd.ms-office.chartcolorstyle+xml"/>
  <Override PartName="/xl/charts/style67.xml" ContentType="application/vnd.ms-office.chartstyle+xml"/>
  <Override PartName="/xl/charts/colors68.xml" ContentType="application/vnd.ms-office.chartcolorstyle+xml"/>
  <Override PartName="/xl/charts/style68.xml" ContentType="application/vnd.ms-office.chartstyle+xml"/>
  <Override PartName="/xl/charts/colors69.xml" ContentType="application/vnd.ms-office.chartcolorstyle+xml"/>
  <Override PartName="/xl/charts/style69.xml" ContentType="application/vnd.ms-office.chartstyle+xml"/>
  <Override PartName="/xl/charts/colors70.xml" ContentType="application/vnd.ms-office.chartcolorstyle+xml"/>
  <Override PartName="/xl/charts/style70.xml" ContentType="application/vnd.ms-office.chartstyle+xml"/>
  <Override PartName="/xl/charts/colors71.xml" ContentType="application/vnd.ms-office.chartcolorstyle+xml"/>
  <Override PartName="/xl/charts/style71.xml" ContentType="application/vnd.ms-office.chartstyle+xml"/>
  <Override PartName="/xl/charts/colors72.xml" ContentType="application/vnd.ms-office.chartcolorstyle+xml"/>
  <Override PartName="/xl/charts/style72.xml" ContentType="application/vnd.ms-office.chartstyle+xml"/>
  <Override PartName="/xl/charts/colors73.xml" ContentType="application/vnd.ms-office.chartcolorstyle+xml"/>
  <Override PartName="/xl/charts/style73.xml" ContentType="application/vnd.ms-office.chartstyle+xml"/>
  <Override PartName="/xl/charts/colors74.xml" ContentType="application/vnd.ms-office.chartcolorstyle+xml"/>
  <Override PartName="/xl/charts/style74.xml" ContentType="application/vnd.ms-office.chartstyle+xml"/>
  <Override PartName="/xl/charts/colors75.xml" ContentType="application/vnd.ms-office.chartcolorstyle+xml"/>
  <Override PartName="/xl/charts/style75.xml" ContentType="application/vnd.ms-office.chartstyle+xml"/>
  <Override PartName="/xl/charts/colors76.xml" ContentType="application/vnd.ms-office.chartcolorstyle+xml"/>
  <Override PartName="/xl/charts/style76.xml" ContentType="application/vnd.ms-office.chartstyle+xml"/>
  <Override PartName="/xl/charts/colors77.xml" ContentType="application/vnd.ms-office.chartcolorstyle+xml"/>
  <Override PartName="/xl/charts/style77.xml" ContentType="application/vnd.ms-office.chartstyle+xml"/>
  <Override PartName="/xl/charts/colors78.xml" ContentType="application/vnd.ms-office.chartcolorstyle+xml"/>
  <Override PartName="/xl/charts/style78.xml" ContentType="application/vnd.ms-office.chartstyle+xml"/>
  <Override PartName="/xl/charts/colors79.xml" ContentType="application/vnd.ms-office.chartcolorstyle+xml"/>
  <Override PartName="/xl/charts/style79.xml" ContentType="application/vnd.ms-office.chartstyle+xml"/>
  <Override PartName="/xl/charts/colors80.xml" ContentType="application/vnd.ms-office.chartcolorstyle+xml"/>
  <Override PartName="/xl/charts/style80.xml" ContentType="application/vnd.ms-office.chartstyle+xml"/>
  <Override PartName="/xl/charts/colors81.xml" ContentType="application/vnd.ms-office.chartcolorstyle+xml"/>
  <Override PartName="/xl/charts/style81.xml" ContentType="application/vnd.ms-office.chartstyle+xml"/>
  <Override PartName="/xl/charts/colors82.xml" ContentType="application/vnd.ms-office.chartcolorstyle+xml"/>
  <Override PartName="/xl/charts/style82.xml" ContentType="application/vnd.ms-office.chartstyle+xml"/>
  <Override PartName="/xl/charts/colors83.xml" ContentType="application/vnd.ms-office.chartcolorstyle+xml"/>
  <Override PartName="/xl/charts/style83.xml" ContentType="application/vnd.ms-office.chartstyle+xml"/>
  <Override PartName="/xl/charts/colors84.xml" ContentType="application/vnd.ms-office.chartcolorstyle+xml"/>
  <Override PartName="/xl/charts/style84.xml" ContentType="application/vnd.ms-office.chartstyle+xml"/>
  <Override PartName="/xl/charts/colors85.xml" ContentType="application/vnd.ms-office.chartcolorstyle+xml"/>
  <Override PartName="/xl/charts/style85.xml" ContentType="application/vnd.ms-office.chartstyle+xml"/>
  <Override PartName="/xl/charts/colors86.xml" ContentType="application/vnd.ms-office.chartcolorstyle+xml"/>
  <Override PartName="/xl/charts/style86.xml" ContentType="application/vnd.ms-office.chartstyle+xml"/>
  <Override PartName="/xl/charts/colors87.xml" ContentType="application/vnd.ms-office.chartcolorstyle+xml"/>
  <Override PartName="/xl/charts/style87.xml" ContentType="application/vnd.ms-office.chartstyle+xml"/>
  <Override PartName="/xl/charts/colors88.xml" ContentType="application/vnd.ms-office.chartcolorstyle+xml"/>
  <Override PartName="/xl/charts/style88.xml" ContentType="application/vnd.ms-office.chartstyle+xml"/>
  <Override PartName="/xl/charts/colors89.xml" ContentType="application/vnd.ms-office.chartcolorstyle+xml"/>
  <Override PartName="/xl/charts/style89.xml" ContentType="application/vnd.ms-office.chartstyle+xml"/>
  <Override PartName="/xl/charts/colors90.xml" ContentType="application/vnd.ms-office.chartcolorstyle+xml"/>
  <Override PartName="/xl/charts/style90.xml" ContentType="application/vnd.ms-office.chartstyle+xml"/>
  <Override PartName="/xl/charts/colors91.xml" ContentType="application/vnd.ms-office.chartcolorstyle+xml"/>
  <Override PartName="/xl/charts/style91.xml" ContentType="application/vnd.ms-office.chartstyle+xml"/>
  <Override PartName="/xl/charts/colors92.xml" ContentType="application/vnd.ms-office.chartcolorstyle+xml"/>
  <Override PartName="/xl/charts/style92.xml" ContentType="application/vnd.ms-office.chartstyle+xml"/>
  <Override PartName="/xl/charts/colors93.xml" ContentType="application/vnd.ms-office.chartcolorstyle+xml"/>
  <Override PartName="/xl/charts/style93.xml" ContentType="application/vnd.ms-office.chartstyle+xml"/>
  <Override PartName="/xl/charts/colors94.xml" ContentType="application/vnd.ms-office.chartcolorstyle+xml"/>
  <Override PartName="/xl/charts/style94.xml" ContentType="application/vnd.ms-office.chartstyle+xml"/>
  <Override PartName="/xl/charts/colors95.xml" ContentType="application/vnd.ms-office.chartcolorstyle+xml"/>
  <Override PartName="/xl/charts/style95.xml" ContentType="application/vnd.ms-office.chartstyle+xml"/>
  <Override PartName="/xl/charts/colors96.xml" ContentType="application/vnd.ms-office.chartcolorstyle+xml"/>
  <Override PartName="/xl/charts/style96.xml" ContentType="application/vnd.ms-office.chartstyle+xml"/>
  <Override PartName="/xl/charts/colors97.xml" ContentType="application/vnd.ms-office.chartcolorstyle+xml"/>
  <Override PartName="/xl/charts/style97.xml" ContentType="application/vnd.ms-office.chartstyle+xml"/>
  <Override PartName="/xl/charts/colors98.xml" ContentType="application/vnd.ms-office.chartcolorstyle+xml"/>
  <Override PartName="/xl/charts/style98.xml" ContentType="application/vnd.ms-office.chartstyle+xml"/>
  <Override PartName="/xl/charts/colors99.xml" ContentType="application/vnd.ms-office.chartcolorstyle+xml"/>
  <Override PartName="/xl/charts/style99.xml" ContentType="application/vnd.ms-office.chartstyle+xml"/>
  <Override PartName="/xl/charts/colors100.xml" ContentType="application/vnd.ms-office.chartcolorstyle+xml"/>
  <Override PartName="/xl/charts/style100.xml" ContentType="application/vnd.ms-office.chartstyle+xml"/>
  <Override PartName="/xl/charts/colors101.xml" ContentType="application/vnd.ms-office.chartcolorstyle+xml"/>
  <Override PartName="/xl/charts/style101.xml" ContentType="application/vnd.ms-office.chartstyle+xml"/>
  <Override PartName="/xl/charts/colors102.xml" ContentType="application/vnd.ms-office.chartcolorstyle+xml"/>
  <Override PartName="/xl/charts/style102.xml" ContentType="application/vnd.ms-office.chartstyle+xml"/>
  <Override PartName="/xl/charts/colors103.xml" ContentType="application/vnd.ms-office.chartcolorstyle+xml"/>
  <Override PartName="/xl/charts/style103.xml" ContentType="application/vnd.ms-office.chartstyle+xml"/>
  <Override PartName="/xl/charts/colors104.xml" ContentType="application/vnd.ms-office.chartcolorstyle+xml"/>
  <Override PartName="/xl/charts/style104.xml" ContentType="application/vnd.ms-office.chartstyle+xml"/>
  <Override PartName="/xl/charts/colors105.xml" ContentType="application/vnd.ms-office.chartcolorstyle+xml"/>
  <Override PartName="/xl/charts/style105.xml" ContentType="application/vnd.ms-office.chartstyle+xml"/>
  <Override PartName="/xl/charts/colors106.xml" ContentType="application/vnd.ms-office.chartcolorstyle+xml"/>
  <Override PartName="/xl/charts/style106.xml" ContentType="application/vnd.ms-office.chartstyle+xml"/>
  <Override PartName="/xl/charts/colors107.xml" ContentType="application/vnd.ms-office.chartcolorstyle+xml"/>
  <Override PartName="/xl/charts/style107.xml" ContentType="application/vnd.ms-office.chartstyle+xml"/>
  <Override PartName="/xl/charts/colors108.xml" ContentType="application/vnd.ms-office.chartcolorstyle+xml"/>
  <Override PartName="/xl/charts/style108.xml" ContentType="application/vnd.ms-office.chartstyle+xml"/>
  <Override PartName="/xl/charts/colors109.xml" ContentType="application/vnd.ms-office.chartcolorstyle+xml"/>
  <Override PartName="/xl/charts/style109.xml" ContentType="application/vnd.ms-office.chartstyle+xml"/>
  <Override PartName="/xl/charts/colors110.xml" ContentType="application/vnd.ms-office.chartcolorstyle+xml"/>
  <Override PartName="/xl/charts/style110.xml" ContentType="application/vnd.ms-office.chartstyle+xml"/>
  <Override PartName="/xl/charts/colors111.xml" ContentType="application/vnd.ms-office.chartcolorstyle+xml"/>
  <Override PartName="/xl/charts/style111.xml" ContentType="application/vnd.ms-office.chartstyle+xml"/>
  <Override PartName="/xl/charts/colors112.xml" ContentType="application/vnd.ms-office.chartcolorstyle+xml"/>
  <Override PartName="/xl/charts/style112.xml" ContentType="application/vnd.ms-office.chartstyle+xml"/>
  <Override PartName="/xl/charts/colors113.xml" ContentType="application/vnd.ms-office.chartcolorstyle+xml"/>
  <Override PartName="/xl/charts/style113.xml" ContentType="application/vnd.ms-office.chartstyle+xml"/>
  <Override PartName="/xl/charts/colors114.xml" ContentType="application/vnd.ms-office.chartcolorstyle+xml"/>
  <Override PartName="/xl/charts/style114.xml" ContentType="application/vnd.ms-office.chartstyle+xml"/>
  <Override PartName="/xl/charts/colors115.xml" ContentType="application/vnd.ms-office.chartcolorstyle+xml"/>
  <Override PartName="/xl/charts/style115.xml" ContentType="application/vnd.ms-office.chartstyle+xml"/>
  <Override PartName="/xl/charts/colors116.xml" ContentType="application/vnd.ms-office.chartcolorstyle+xml"/>
  <Override PartName="/xl/charts/style116.xml" ContentType="application/vnd.ms-office.chartstyle+xml"/>
  <Override PartName="/xl/charts/colors117.xml" ContentType="application/vnd.ms-office.chartcolorstyle+xml"/>
  <Override PartName="/xl/charts/style117.xml" ContentType="application/vnd.ms-office.chartstyle+xml"/>
  <Override PartName="/xl/charts/colors118.xml" ContentType="application/vnd.ms-office.chartcolorstyle+xml"/>
  <Override PartName="/xl/charts/style118.xml" ContentType="application/vnd.ms-office.chartstyle+xml"/>
  <Override PartName="/xl/charts/colors119.xml" ContentType="application/vnd.ms-office.chartcolorstyle+xml"/>
  <Override PartName="/xl/charts/style119.xml" ContentType="application/vnd.ms-office.chartstyle+xml"/>
  <Override PartName="/xl/charts/colors120.xml" ContentType="application/vnd.ms-office.chartcolorstyle+xml"/>
  <Override PartName="/xl/charts/style120.xml" ContentType="application/vnd.ms-office.chartstyle+xml"/>
  <Override PartName="/xl/charts/colors121.xml" ContentType="application/vnd.ms-office.chartcolorstyle+xml"/>
  <Override PartName="/xl/charts/style121.xml" ContentType="application/vnd.ms-office.chartstyle+xml"/>
  <Override PartName="/xl/charts/colors122.xml" ContentType="application/vnd.ms-office.chartcolorstyle+xml"/>
  <Override PartName="/xl/charts/style122.xml" ContentType="application/vnd.ms-office.chartstyle+xml"/>
  <Override PartName="/xl/charts/colors123.xml" ContentType="application/vnd.ms-office.chartcolorstyle+xml"/>
  <Override PartName="/xl/charts/style123.xml" ContentType="application/vnd.ms-office.chartstyle+xml"/>
  <Override PartName="/xl/charts/colors124.xml" ContentType="application/vnd.ms-office.chartcolorstyle+xml"/>
  <Override PartName="/xl/charts/style124.xml" ContentType="application/vnd.ms-office.chartstyle+xml"/>
  <Override PartName="/xl/charts/colors125.xml" ContentType="application/vnd.ms-office.chartcolorstyle+xml"/>
  <Override PartName="/xl/charts/style125.xml" ContentType="application/vnd.ms-office.chartstyle+xml"/>
  <Override PartName="/xl/charts/colors126.xml" ContentType="application/vnd.ms-office.chartcolorstyle+xml"/>
  <Override PartName="/xl/charts/style126.xml" ContentType="application/vnd.ms-office.chartstyle+xml"/>
  <Override PartName="/xl/charts/colors127.xml" ContentType="application/vnd.ms-office.chartcolorstyle+xml"/>
  <Override PartName="/xl/charts/style127.xml" ContentType="application/vnd.ms-office.chartstyle+xml"/>
  <Override PartName="/xl/charts/colors128.xml" ContentType="application/vnd.ms-office.chartcolorstyle+xml"/>
  <Override PartName="/xl/charts/style128.xml" ContentType="application/vnd.ms-office.chartstyle+xml"/>
  <Override PartName="/xl/charts/colors129.xml" ContentType="application/vnd.ms-office.chartcolorstyle+xml"/>
  <Override PartName="/xl/charts/style129.xml" ContentType="application/vnd.ms-office.chartstyle+xml"/>
  <Override PartName="/xl/charts/colors130.xml" ContentType="application/vnd.ms-office.chartcolorstyle+xml"/>
  <Override PartName="/xl/charts/style130.xml" ContentType="application/vnd.ms-office.chartstyle+xml"/>
  <Override PartName="/xl/charts/colors131.xml" ContentType="application/vnd.ms-office.chartcolorstyle+xml"/>
  <Override PartName="/xl/charts/style131.xml" ContentType="application/vnd.ms-office.chartstyle+xml"/>
  <Override PartName="/xl/charts/colors132.xml" ContentType="application/vnd.ms-office.chartcolorstyle+xml"/>
  <Override PartName="/xl/charts/style132.xml" ContentType="application/vnd.ms-office.chartstyle+xml"/>
  <Override PartName="/xl/charts/colors133.xml" ContentType="application/vnd.ms-office.chartcolorstyle+xml"/>
  <Override PartName="/xl/charts/style133.xml" ContentType="application/vnd.ms-office.chartstyle+xml"/>
  <Override PartName="/xl/charts/colors134.xml" ContentType="application/vnd.ms-office.chartcolorstyle+xml"/>
  <Override PartName="/xl/charts/style134.xml" ContentType="application/vnd.ms-office.chartstyle+xml"/>
  <Override PartName="/xl/charts/colors135.xml" ContentType="application/vnd.ms-office.chartcolorstyle+xml"/>
  <Override PartName="/xl/charts/style135.xml" ContentType="application/vnd.ms-office.chartstyle+xml"/>
  <Override PartName="/xl/charts/colors136.xml" ContentType="application/vnd.ms-office.chartcolorstyle+xml"/>
  <Override PartName="/xl/charts/style136.xml" ContentType="application/vnd.ms-office.chartstyle+xml"/>
  <Override PartName="/xl/charts/colors137.xml" ContentType="application/vnd.ms-office.chartcolorstyle+xml"/>
  <Override PartName="/xl/charts/style137.xml" ContentType="application/vnd.ms-office.chartstyle+xml"/>
  <Override PartName="/xl/charts/colors138.xml" ContentType="application/vnd.ms-office.chartcolorstyle+xml"/>
  <Override PartName="/xl/charts/style138.xml" ContentType="application/vnd.ms-office.chartstyle+xml"/>
  <Override PartName="/xl/charts/colors139.xml" ContentType="application/vnd.ms-office.chartcolorstyle+xml"/>
  <Override PartName="/xl/charts/style139.xml" ContentType="application/vnd.ms-office.chartstyle+xml"/>
  <Override PartName="/xl/charts/colors140.xml" ContentType="application/vnd.ms-office.chartcolorstyle+xml"/>
  <Override PartName="/xl/charts/style140.xml" ContentType="application/vnd.ms-office.chartstyle+xml"/>
  <Override PartName="/xl/charts/colors141.xml" ContentType="application/vnd.ms-office.chartcolorstyle+xml"/>
  <Override PartName="/xl/charts/style141.xml" ContentType="application/vnd.ms-office.chartstyle+xml"/>
  <Override PartName="/xl/charts/colors142.xml" ContentType="application/vnd.ms-office.chartcolorstyle+xml"/>
  <Override PartName="/xl/charts/style142.xml" ContentType="application/vnd.ms-office.chartstyle+xml"/>
  <Override PartName="/xl/charts/colors143.xml" ContentType="application/vnd.ms-office.chartcolorstyle+xml"/>
  <Override PartName="/xl/charts/style143.xml" ContentType="application/vnd.ms-office.chartstyle+xml"/>
  <Override PartName="/xl/charts/colors144.xml" ContentType="application/vnd.ms-office.chartcolorstyle+xml"/>
  <Override PartName="/xl/charts/style144.xml" ContentType="application/vnd.ms-office.chartstyle+xml"/>
  <Override PartName="/xl/charts/colors145.xml" ContentType="application/vnd.ms-office.chartcolorstyle+xml"/>
  <Override PartName="/xl/charts/style145.xml" ContentType="application/vnd.ms-office.chartstyle+xml"/>
  <Override PartName="/xl/charts/colors146.xml" ContentType="application/vnd.ms-office.chartcolorstyle+xml"/>
  <Override PartName="/xl/charts/style146.xml" ContentType="application/vnd.ms-office.chartstyle+xml"/>
  <Override PartName="/xl/charts/colors147.xml" ContentType="application/vnd.ms-office.chartcolorstyle+xml"/>
  <Override PartName="/xl/charts/style147.xml" ContentType="application/vnd.ms-office.chartstyle+xml"/>
  <Override PartName="/xl/charts/colors148.xml" ContentType="application/vnd.ms-office.chartcolorstyle+xml"/>
  <Override PartName="/xl/charts/style148.xml" ContentType="application/vnd.ms-office.chartstyle+xml"/>
  <Override PartName="/xl/charts/colors149.xml" ContentType="application/vnd.ms-office.chartcolorstyle+xml"/>
  <Override PartName="/xl/charts/style149.xml" ContentType="application/vnd.ms-office.chartstyle+xml"/>
  <Override PartName="/xl/charts/colors150.xml" ContentType="application/vnd.ms-office.chartcolorstyle+xml"/>
  <Override PartName="/xl/charts/style150.xml" ContentType="application/vnd.ms-office.chartstyle+xml"/>
  <Override PartName="/xl/charts/colors151.xml" ContentType="application/vnd.ms-office.chartcolorstyle+xml"/>
  <Override PartName="/xl/charts/style151.xml" ContentType="application/vnd.ms-office.chartstyle+xml"/>
  <Override PartName="/xl/charts/colors152.xml" ContentType="application/vnd.ms-office.chartcolorstyle+xml"/>
  <Override PartName="/xl/charts/style152.xml" ContentType="application/vnd.ms-office.chartstyle+xml"/>
  <Override PartName="/xl/charts/colors153.xml" ContentType="application/vnd.ms-office.chartcolorstyle+xml"/>
  <Override PartName="/xl/charts/style153.xml" ContentType="application/vnd.ms-office.chartstyle+xml"/>
  <Override PartName="/xl/charts/colors154.xml" ContentType="application/vnd.ms-office.chartcolorstyle+xml"/>
  <Override PartName="/xl/charts/style154.xml" ContentType="application/vnd.ms-office.chartstyle+xml"/>
  <Override PartName="/xl/charts/colors155.xml" ContentType="application/vnd.ms-office.chartcolorstyle+xml"/>
  <Override PartName="/xl/charts/style155.xml" ContentType="application/vnd.ms-office.chartstyle+xml"/>
  <Override PartName="/xl/charts/colors156.xml" ContentType="application/vnd.ms-office.chartcolorstyle+xml"/>
  <Override PartName="/xl/charts/style156.xml" ContentType="application/vnd.ms-office.chartstyle+xml"/>
  <Override PartName="/xl/charts/colors157.xml" ContentType="application/vnd.ms-office.chartcolorstyle+xml"/>
  <Override PartName="/xl/charts/style157.xml" ContentType="application/vnd.ms-office.chartstyle+xml"/>
  <Override PartName="/xl/charts/colors158.xml" ContentType="application/vnd.ms-office.chartcolorstyle+xml"/>
  <Override PartName="/xl/charts/style158.xml" ContentType="application/vnd.ms-office.chartstyle+xml"/>
  <Override PartName="/xl/charts/colors159.xml" ContentType="application/vnd.ms-office.chartcolorstyle+xml"/>
  <Override PartName="/xl/charts/style159.xml" ContentType="application/vnd.ms-office.chartstyle+xml"/>
  <Override PartName="/xl/charts/colors160.xml" ContentType="application/vnd.ms-office.chartcolorstyle+xml"/>
  <Override PartName="/xl/charts/style160.xml" ContentType="application/vnd.ms-office.chartstyle+xml"/>
  <Override PartName="/xl/charts/colors161.xml" ContentType="application/vnd.ms-office.chartcolorstyle+xml"/>
  <Override PartName="/xl/charts/style161.xml" ContentType="application/vnd.ms-office.chartstyle+xml"/>
  <Override PartName="/xl/charts/colors162.xml" ContentType="application/vnd.ms-office.chartcolorstyle+xml"/>
  <Override PartName="/xl/charts/style162.xml" ContentType="application/vnd.ms-office.chartstyle+xml"/>
  <Override PartName="/xl/charts/colors163.xml" ContentType="application/vnd.ms-office.chartcolorstyle+xml"/>
  <Override PartName="/xl/charts/style163.xml" ContentType="application/vnd.ms-office.chartstyle+xml"/>
  <Override PartName="/xl/charts/colors164.xml" ContentType="application/vnd.ms-office.chartcolorstyle+xml"/>
  <Override PartName="/xl/charts/style164.xml" ContentType="application/vnd.ms-office.chartstyle+xml"/>
  <Override PartName="/xl/charts/colors165.xml" ContentType="application/vnd.ms-office.chartcolorstyle+xml"/>
  <Override PartName="/xl/charts/style165.xml" ContentType="application/vnd.ms-office.chartstyle+xml"/>
  <Override PartName="/xl/charts/colors166.xml" ContentType="application/vnd.ms-office.chartcolorstyle+xml"/>
  <Override PartName="/xl/charts/style166.xml" ContentType="application/vnd.ms-office.chartstyle+xml"/>
  <Override PartName="/xl/charts/colors167.xml" ContentType="application/vnd.ms-office.chartcolorstyle+xml"/>
  <Override PartName="/xl/charts/style167.xml" ContentType="application/vnd.ms-office.chartstyle+xml"/>
  <Override PartName="/xl/charts/colors168.xml" ContentType="application/vnd.ms-office.chartcolorstyle+xml"/>
  <Override PartName="/xl/charts/style168.xml" ContentType="application/vnd.ms-office.chartstyle+xml"/>
  <Override PartName="/xl/charts/colors169.xml" ContentType="application/vnd.ms-office.chartcolorstyle+xml"/>
  <Override PartName="/xl/charts/style169.xml" ContentType="application/vnd.ms-office.chartstyle+xml"/>
  <Override PartName="/xl/charts/colors170.xml" ContentType="application/vnd.ms-office.chartcolorstyle+xml"/>
  <Override PartName="/xl/charts/style170.xml" ContentType="application/vnd.ms-office.chartstyle+xml"/>
  <Override PartName="/xl/charts/colors171.xml" ContentType="application/vnd.ms-office.chartcolorstyle+xml"/>
  <Override PartName="/xl/charts/style171.xml" ContentType="application/vnd.ms-office.chartstyle+xml"/>
  <Override PartName="/xl/charts/colors172.xml" ContentType="application/vnd.ms-office.chartcolorstyle+xml"/>
  <Override PartName="/xl/charts/style172.xml" ContentType="application/vnd.ms-office.chartstyle+xml"/>
  <Override PartName="/xl/charts/colors173.xml" ContentType="application/vnd.ms-office.chartcolorstyle+xml"/>
  <Override PartName="/xl/charts/style173.xml" ContentType="application/vnd.ms-office.chartstyle+xml"/>
  <Override PartName="/xl/charts/colors174.xml" ContentType="application/vnd.ms-office.chartcolorstyle+xml"/>
  <Override PartName="/xl/charts/style174.xml" ContentType="application/vnd.ms-office.chartstyle+xml"/>
  <Override PartName="/xl/charts/colors175.xml" ContentType="application/vnd.ms-office.chartcolorstyle+xml"/>
  <Override PartName="/xl/charts/style175.xml" ContentType="application/vnd.ms-office.chartstyle+xml"/>
  <Override PartName="/xl/charts/colors176.xml" ContentType="application/vnd.ms-office.chartcolorstyle+xml"/>
  <Override PartName="/xl/charts/style176.xml" ContentType="application/vnd.ms-office.chartstyle+xml"/>
  <Override PartName="/xl/charts/colors177.xml" ContentType="application/vnd.ms-office.chartcolorstyle+xml"/>
  <Override PartName="/xl/charts/style177.xml" ContentType="application/vnd.ms-office.chartstyle+xml"/>
  <Override PartName="/xl/charts/colors178.xml" ContentType="application/vnd.ms-office.chartcolorstyle+xml"/>
  <Override PartName="/xl/charts/style178.xml" ContentType="application/vnd.ms-office.chartstyle+xml"/>
  <Override PartName="/xl/charts/colors179.xml" ContentType="application/vnd.ms-office.chartcolorstyle+xml"/>
  <Override PartName="/xl/charts/style179.xml" ContentType="application/vnd.ms-office.chartstyle+xml"/>
  <Override PartName="/xl/charts/colors180.xml" ContentType="application/vnd.ms-office.chartcolorstyle+xml"/>
  <Override PartName="/xl/charts/style180.xml" ContentType="application/vnd.ms-office.chartstyle+xml"/>
  <Override PartName="/xl/charts/colors181.xml" ContentType="application/vnd.ms-office.chartcolorstyle+xml"/>
  <Override PartName="/xl/charts/style181.xml" ContentType="application/vnd.ms-office.chartstyle+xml"/>
  <Override PartName="/xl/charts/colors182.xml" ContentType="application/vnd.ms-office.chartcolorstyle+xml"/>
  <Override PartName="/xl/charts/style182.xml" ContentType="application/vnd.ms-office.chartstyle+xml"/>
  <Override PartName="/xl/charts/colors183.xml" ContentType="application/vnd.ms-office.chartcolorstyle+xml"/>
  <Override PartName="/xl/charts/style183.xml" ContentType="application/vnd.ms-office.chartstyle+xml"/>
  <Override PartName="/xl/charts/colors184.xml" ContentType="application/vnd.ms-office.chartcolorstyle+xml"/>
  <Override PartName="/xl/charts/style184.xml" ContentType="application/vnd.ms-office.chartstyle+xml"/>
  <Override PartName="/xl/charts/colors185.xml" ContentType="application/vnd.ms-office.chartcolorstyle+xml"/>
  <Override PartName="/xl/charts/style185.xml" ContentType="application/vnd.ms-office.chartstyle+xml"/>
  <Override PartName="/xl/charts/colors186.xml" ContentType="application/vnd.ms-office.chartcolorstyle+xml"/>
  <Override PartName="/xl/charts/style186.xml" ContentType="application/vnd.ms-office.chartstyle+xml"/>
  <Override PartName="/xl/charts/colors187.xml" ContentType="application/vnd.ms-office.chartcolorstyle+xml"/>
  <Override PartName="/xl/charts/style187.xml" ContentType="application/vnd.ms-office.chartstyle+xml"/>
  <Override PartName="/xl/charts/colors188.xml" ContentType="application/vnd.ms-office.chartcolorstyle+xml"/>
  <Override PartName="/xl/charts/style188.xml" ContentType="application/vnd.ms-office.chartstyle+xml"/>
  <Override PartName="/xl/charts/colors189.xml" ContentType="application/vnd.ms-office.chartcolorstyle+xml"/>
  <Override PartName="/xl/charts/style189.xml" ContentType="application/vnd.ms-office.chartstyle+xml"/>
  <Override PartName="/xl/charts/colors190.xml" ContentType="application/vnd.ms-office.chartcolorstyle+xml"/>
  <Override PartName="/xl/charts/style190.xml" ContentType="application/vnd.ms-office.chartstyle+xml"/>
  <Override PartName="/xl/charts/colors191.xml" ContentType="application/vnd.ms-office.chartcolorstyle+xml"/>
  <Override PartName="/xl/charts/style191.xml" ContentType="application/vnd.ms-office.chartstyle+xml"/>
  <Override PartName="/xl/charts/colors192.xml" ContentType="application/vnd.ms-office.chartcolorstyle+xml"/>
  <Override PartName="/xl/charts/style192.xml" ContentType="application/vnd.ms-office.chartstyle+xml"/>
  <Override PartName="/xl/charts/colors193.xml" ContentType="application/vnd.ms-office.chartcolorstyle+xml"/>
  <Override PartName="/xl/charts/style193.xml" ContentType="application/vnd.ms-office.chartstyle+xml"/>
  <Override PartName="/xl/charts/colors194.xml" ContentType="application/vnd.ms-office.chartcolorstyle+xml"/>
  <Override PartName="/xl/charts/style194.xml" ContentType="application/vnd.ms-office.chartstyle+xml"/>
  <Override PartName="/xl/charts/colors195.xml" ContentType="application/vnd.ms-office.chartcolorstyle+xml"/>
  <Override PartName="/xl/charts/style195.xml" ContentType="application/vnd.ms-office.chartstyle+xml"/>
  <Override PartName="/xl/charts/colors196.xml" ContentType="application/vnd.ms-office.chartcolorstyle+xml"/>
  <Override PartName="/xl/charts/style196.xml" ContentType="application/vnd.ms-office.chartstyle+xml"/>
  <Override PartName="/xl/charts/colors197.xml" ContentType="application/vnd.ms-office.chartcolorstyle+xml"/>
  <Override PartName="/xl/charts/style197.xml" ContentType="application/vnd.ms-office.chartstyle+xml"/>
  <Override PartName="/xl/charts/colors198.xml" ContentType="application/vnd.ms-office.chartcolorstyle+xml"/>
  <Override PartName="/xl/charts/style198.xml" ContentType="application/vnd.ms-office.chartstyle+xml"/>
  <Override PartName="/xl/charts/colors199.xml" ContentType="application/vnd.ms-office.chartcolorstyle+xml"/>
  <Override PartName="/xl/charts/style199.xml" ContentType="application/vnd.ms-office.chartstyle+xml"/>
  <Override PartName="/xl/charts/colors200.xml" ContentType="application/vnd.ms-office.chartcolorstyle+xml"/>
  <Override PartName="/xl/charts/style200.xml" ContentType="application/vnd.ms-office.chartstyle+xml"/>
  <Override PartName="/xl/charts/colors201.xml" ContentType="application/vnd.ms-office.chartcolorstyle+xml"/>
  <Override PartName="/xl/charts/style201.xml" ContentType="application/vnd.ms-office.chartstyle+xml"/>
  <Override PartName="/xl/charts/colors202.xml" ContentType="application/vnd.ms-office.chartcolorstyle+xml"/>
  <Override PartName="/xl/charts/style202.xml" ContentType="application/vnd.ms-office.chartstyle+xml"/>
  <Override PartName="/xl/charts/colors203.xml" ContentType="application/vnd.ms-office.chartcolorstyle+xml"/>
  <Override PartName="/xl/charts/style203.xml" ContentType="application/vnd.ms-office.chartstyle+xml"/>
  <Override PartName="/xl/charts/colors204.xml" ContentType="application/vnd.ms-office.chartcolorstyle+xml"/>
  <Override PartName="/xl/charts/style204.xml" ContentType="application/vnd.ms-office.chartstyle+xml"/>
  <Override PartName="/xl/charts/colors205.xml" ContentType="application/vnd.ms-office.chartcolorstyle+xml"/>
  <Override PartName="/xl/charts/style205.xml" ContentType="application/vnd.ms-office.chartstyle+xml"/>
  <Override PartName="/xl/charts/colors206.xml" ContentType="application/vnd.ms-office.chartcolorstyle+xml"/>
  <Override PartName="/xl/charts/style206.xml" ContentType="application/vnd.ms-office.chartstyle+xml"/>
  <Override PartName="/xl/charts/colors207.xml" ContentType="application/vnd.ms-office.chartcolorstyle+xml"/>
  <Override PartName="/xl/charts/style207.xml" ContentType="application/vnd.ms-office.chartstyle+xml"/>
  <Override PartName="/xl/charts/colors208.xml" ContentType="application/vnd.ms-office.chartcolorstyle+xml"/>
  <Override PartName="/xl/charts/style208.xml" ContentType="application/vnd.ms-office.chartstyle+xml"/>
  <Override PartName="/xl/charts/colors209.xml" ContentType="application/vnd.ms-office.chartcolorstyle+xml"/>
  <Override PartName="/xl/charts/style209.xml" ContentType="application/vnd.ms-office.chartstyle+xml"/>
  <Override PartName="/xl/charts/colors210.xml" ContentType="application/vnd.ms-office.chartcolorstyle+xml"/>
  <Override PartName="/xl/charts/style210.xml" ContentType="application/vnd.ms-office.chartstyle+xml"/>
  <Override PartName="/xl/charts/colors211.xml" ContentType="application/vnd.ms-office.chartcolorstyle+xml"/>
  <Override PartName="/xl/charts/style211.xml" ContentType="application/vnd.ms-office.chartstyle+xml"/>
  <Override PartName="/xl/charts/colors212.xml" ContentType="application/vnd.ms-office.chartcolorstyle+xml"/>
  <Override PartName="/xl/charts/style212.xml" ContentType="application/vnd.ms-office.chartstyle+xml"/>
  <Override PartName="/xl/charts/colors213.xml" ContentType="application/vnd.ms-office.chartcolorstyle+xml"/>
  <Override PartName="/xl/charts/style213.xml" ContentType="application/vnd.ms-office.chartstyle+xml"/>
  <Override PartName="/xl/charts/colors214.xml" ContentType="application/vnd.ms-office.chartcolorstyle+xml"/>
  <Override PartName="/xl/charts/style214.xml" ContentType="application/vnd.ms-office.chartstyle+xml"/>
  <Override PartName="/xl/charts/colors215.xml" ContentType="application/vnd.ms-office.chartcolorstyle+xml"/>
  <Override PartName="/xl/charts/style215.xml" ContentType="application/vnd.ms-office.chartstyle+xml"/>
  <Override PartName="/xl/charts/colors216.xml" ContentType="application/vnd.ms-office.chartcolorstyle+xml"/>
  <Override PartName="/xl/charts/style216.xml" ContentType="application/vnd.ms-office.chartstyle+xml"/>
  <Override PartName="/xl/charts/colors217.xml" ContentType="application/vnd.ms-office.chartcolorstyle+xml"/>
  <Override PartName="/xl/charts/style217.xml" ContentType="application/vnd.ms-office.chartstyle+xml"/>
  <Override PartName="/xl/charts/colors218.xml" ContentType="application/vnd.ms-office.chartcolorstyle+xml"/>
  <Override PartName="/xl/charts/style218.xml" ContentType="application/vnd.ms-office.chartstyle+xml"/>
  <Override PartName="/xl/charts/colors219.xml" ContentType="application/vnd.ms-office.chartcolorstyle+xml"/>
  <Override PartName="/xl/charts/style219.xml" ContentType="application/vnd.ms-office.chartstyle+xml"/>
  <Override PartName="/xl/charts/colors220.xml" ContentType="application/vnd.ms-office.chartcolorstyle+xml"/>
  <Override PartName="/xl/charts/style220.xml" ContentType="application/vnd.ms-office.chartstyle+xml"/>
  <Override PartName="/xl/charts/colors221.xml" ContentType="application/vnd.ms-office.chartcolorstyle+xml"/>
  <Override PartName="/xl/charts/style221.xml" ContentType="application/vnd.ms-office.chartstyle+xml"/>
  <Override PartName="/xl/charts/colors222.xml" ContentType="application/vnd.ms-office.chartcolorstyle+xml"/>
  <Override PartName="/xl/charts/style222.xml" ContentType="application/vnd.ms-office.chartstyle+xml"/>
  <Override PartName="/xl/charts/colors223.xml" ContentType="application/vnd.ms-office.chartcolorstyle+xml"/>
  <Override PartName="/xl/charts/style223.xml" ContentType="application/vnd.ms-office.chartstyle+xml"/>
  <Override PartName="/xl/charts/colors224.xml" ContentType="application/vnd.ms-office.chartcolorstyle+xml"/>
  <Override PartName="/xl/charts/style224.xml" ContentType="application/vnd.ms-office.chartstyle+xml"/>
  <Override PartName="/xl/charts/colors225.xml" ContentType="application/vnd.ms-office.chartcolorstyle+xml"/>
  <Override PartName="/xl/charts/style225.xml" ContentType="application/vnd.ms-office.chartstyle+xml"/>
  <Override PartName="/xl/charts/colors226.xml" ContentType="application/vnd.ms-office.chartcolorstyle+xml"/>
  <Override PartName="/xl/charts/style226.xml" ContentType="application/vnd.ms-office.chartstyle+xml"/>
  <Override PartName="/xl/charts/colors227.xml" ContentType="application/vnd.ms-office.chartcolorstyle+xml"/>
  <Override PartName="/xl/charts/style227.xml" ContentType="application/vnd.ms-office.chartstyle+xml"/>
  <Override PartName="/xl/charts/colors228.xml" ContentType="application/vnd.ms-office.chartcolorstyle+xml"/>
  <Override PartName="/xl/charts/style228.xml" ContentType="application/vnd.ms-office.chartstyle+xml"/>
  <Override PartName="/xl/charts/colors229.xml" ContentType="application/vnd.ms-office.chartcolorstyle+xml"/>
  <Override PartName="/xl/charts/style229.xml" ContentType="application/vnd.ms-office.chartstyle+xml"/>
  <Override PartName="/xl/charts/colors230.xml" ContentType="application/vnd.ms-office.chartcolorstyle+xml"/>
  <Override PartName="/xl/charts/style230.xml" ContentType="application/vnd.ms-office.chartstyle+xml"/>
  <Override PartName="/xl/charts/colors231.xml" ContentType="application/vnd.ms-office.chartcolorstyle+xml"/>
  <Override PartName="/xl/charts/style231.xml" ContentType="application/vnd.ms-office.chartstyle+xml"/>
  <Override PartName="/xl/charts/colors232.xml" ContentType="application/vnd.ms-office.chartcolorstyle+xml"/>
  <Override PartName="/xl/charts/style232.xml" ContentType="application/vnd.ms-office.chartstyle+xml"/>
  <Override PartName="/xl/charts/colors233.xml" ContentType="application/vnd.ms-office.chartcolorstyle+xml"/>
  <Override PartName="/xl/charts/style233.xml" ContentType="application/vnd.ms-office.chartstyle+xml"/>
  <Override PartName="/xl/charts/colors234.xml" ContentType="application/vnd.ms-office.chartcolorstyle+xml"/>
  <Override PartName="/xl/charts/style234.xml" ContentType="application/vnd.ms-office.chartstyle+xml"/>
  <Override PartName="/xl/charts/colors235.xml" ContentType="application/vnd.ms-office.chartcolorstyle+xml"/>
  <Override PartName="/xl/charts/style235.xml" ContentType="application/vnd.ms-office.chartstyle+xml"/>
  <Override PartName="/xl/charts/colors236.xml" ContentType="application/vnd.ms-office.chartcolorstyle+xml"/>
  <Override PartName="/xl/charts/style236.xml" ContentType="application/vnd.ms-office.chartstyle+xml"/>
  <Override PartName="/xl/charts/colors237.xml" ContentType="application/vnd.ms-office.chartcolorstyle+xml"/>
  <Override PartName="/xl/charts/style237.xml" ContentType="application/vnd.ms-office.chartstyle+xml"/>
  <Override PartName="/xl/charts/colors238.xml" ContentType="application/vnd.ms-office.chartcolorstyle+xml"/>
  <Override PartName="/xl/charts/style238.xml" ContentType="application/vnd.ms-office.chartstyle+xml"/>
  <Override PartName="/xl/charts/colors239.xml" ContentType="application/vnd.ms-office.chartcolorstyle+xml"/>
  <Override PartName="/xl/charts/style239.xml" ContentType="application/vnd.ms-office.chartstyle+xml"/>
  <Override PartName="/xl/charts/colors240.xml" ContentType="application/vnd.ms-office.chartcolorstyle+xml"/>
  <Override PartName="/xl/charts/style240.xml" ContentType="application/vnd.ms-office.chartstyle+xml"/>
  <Override PartName="/xl/charts/colors241.xml" ContentType="application/vnd.ms-office.chartcolorstyle+xml"/>
  <Override PartName="/xl/charts/style241.xml" ContentType="application/vnd.ms-office.chartstyle+xml"/>
  <Override PartName="/xl/charts/colors242.xml" ContentType="application/vnd.ms-office.chartcolorstyle+xml"/>
  <Override PartName="/xl/charts/style242.xml" ContentType="application/vnd.ms-office.chartstyle+xml"/>
  <Override PartName="/xl/charts/colors243.xml" ContentType="application/vnd.ms-office.chartcolorstyle+xml"/>
  <Override PartName="/xl/charts/style243.xml" ContentType="application/vnd.ms-office.chartstyle+xml"/>
  <Override PartName="/xl/charts/colors244.xml" ContentType="application/vnd.ms-office.chartcolorstyle+xml"/>
  <Override PartName="/xl/charts/style244.xml" ContentType="application/vnd.ms-office.chartstyle+xml"/>
  <Override PartName="/xl/charts/colors245.xml" ContentType="application/vnd.ms-office.chartcolorstyle+xml"/>
  <Override PartName="/xl/charts/style245.xml" ContentType="application/vnd.ms-office.chartstyle+xml"/>
  <Override PartName="/xl/charts/colors246.xml" ContentType="application/vnd.ms-office.chartcolorstyle+xml"/>
  <Override PartName="/xl/charts/style246.xml" ContentType="application/vnd.ms-office.chartstyle+xml"/>
  <Override PartName="/xl/charts/colors247.xml" ContentType="application/vnd.ms-office.chartcolorstyle+xml"/>
  <Override PartName="/xl/charts/style247.xml" ContentType="application/vnd.ms-office.chartstyle+xml"/>
  <Override PartName="/xl/charts/colors248.xml" ContentType="application/vnd.ms-office.chartcolorstyle+xml"/>
  <Override PartName="/xl/charts/style248.xml" ContentType="application/vnd.ms-office.chartstyle+xml"/>
  <Override PartName="/xl/charts/colors249.xml" ContentType="application/vnd.ms-office.chartcolorstyle+xml"/>
  <Override PartName="/xl/charts/style249.xml" ContentType="application/vnd.ms-office.chartstyle+xml"/>
  <Override PartName="/xl/charts/colors250.xml" ContentType="application/vnd.ms-office.chartcolorstyle+xml"/>
  <Override PartName="/xl/charts/style250.xml" ContentType="application/vnd.ms-office.chartstyle+xml"/>
  <Override PartName="/xl/charts/colors251.xml" ContentType="application/vnd.ms-office.chartcolorstyle+xml"/>
  <Override PartName="/xl/charts/style251.xml" ContentType="application/vnd.ms-office.chartstyle+xml"/>
  <Override PartName="/xl/charts/colors252.xml" ContentType="application/vnd.ms-office.chartcolorstyle+xml"/>
  <Override PartName="/xl/charts/style252.xml" ContentType="application/vnd.ms-office.chartstyle+xml"/>
  <Override PartName="/xl/charts/colors253.xml" ContentType="application/vnd.ms-office.chartcolorstyle+xml"/>
  <Override PartName="/xl/charts/style253.xml" ContentType="application/vnd.ms-office.chartstyle+xml"/>
  <Override PartName="/xl/charts/colors254.xml" ContentType="application/vnd.ms-office.chartcolorstyle+xml"/>
  <Override PartName="/xl/charts/style254.xml" ContentType="application/vnd.ms-office.chartstyle+xml"/>
  <Override PartName="/xl/charts/colors255.xml" ContentType="application/vnd.ms-office.chartcolorstyle+xml"/>
  <Override PartName="/xl/charts/style255.xml" ContentType="application/vnd.ms-office.chartstyle+xml"/>
  <Override PartName="/xl/charts/colors256.xml" ContentType="application/vnd.ms-office.chartcolorstyle+xml"/>
  <Override PartName="/xl/charts/style256.xml" ContentType="application/vnd.ms-office.chartstyle+xml"/>
  <Override PartName="/xl/charts/colors257.xml" ContentType="application/vnd.ms-office.chartcolorstyle+xml"/>
  <Override PartName="/xl/charts/style257.xml" ContentType="application/vnd.ms-office.chartstyle+xml"/>
  <Override PartName="/xl/charts/colors258.xml" ContentType="application/vnd.ms-office.chartcolorstyle+xml"/>
  <Override PartName="/xl/charts/style258.xml" ContentType="application/vnd.ms-office.chartstyle+xml"/>
  <Override PartName="/xl/charts/colors259.xml" ContentType="application/vnd.ms-office.chartcolorstyle+xml"/>
  <Override PartName="/xl/charts/style259.xml" ContentType="application/vnd.ms-office.chartstyle+xml"/>
  <Override PartName="/xl/charts/colors260.xml" ContentType="application/vnd.ms-office.chartcolorstyle+xml"/>
  <Override PartName="/xl/charts/style260.xml" ContentType="application/vnd.ms-office.chartstyle+xml"/>
  <Override PartName="/xl/charts/colors261.xml" ContentType="application/vnd.ms-office.chartcolorstyle+xml"/>
  <Override PartName="/xl/charts/style261.xml" ContentType="application/vnd.ms-office.chartstyle+xml"/>
  <Override PartName="/xl/charts/colors262.xml" ContentType="application/vnd.ms-office.chartcolorstyle+xml"/>
  <Override PartName="/xl/charts/style262.xml" ContentType="application/vnd.ms-office.chartstyle+xml"/>
  <Override PartName="/xl/charts/colors263.xml" ContentType="application/vnd.ms-office.chartcolorstyle+xml"/>
  <Override PartName="/xl/charts/style263.xml" ContentType="application/vnd.ms-office.chartstyle+xml"/>
  <Override PartName="/xl/charts/colors264.xml" ContentType="application/vnd.ms-office.chartcolorstyle+xml"/>
  <Override PartName="/xl/charts/style264.xml" ContentType="application/vnd.ms-office.chartstyle+xml"/>
  <Override PartName="/xl/charts/colors265.xml" ContentType="application/vnd.ms-office.chartcolorstyle+xml"/>
  <Override PartName="/xl/charts/style265.xml" ContentType="application/vnd.ms-office.chartstyle+xml"/>
  <Override PartName="/xl/charts/colors266.xml" ContentType="application/vnd.ms-office.chartcolorstyle+xml"/>
  <Override PartName="/xl/charts/style266.xml" ContentType="application/vnd.ms-office.chartstyle+xml"/>
  <Override PartName="/xl/charts/colors267.xml" ContentType="application/vnd.ms-office.chartcolorstyle+xml"/>
  <Override PartName="/xl/charts/style267.xml" ContentType="application/vnd.ms-office.chartstyle+xml"/>
  <Override PartName="/xl/charts/colors268.xml" ContentType="application/vnd.ms-office.chartcolorstyle+xml"/>
  <Override PartName="/xl/charts/style268.xml" ContentType="application/vnd.ms-office.chartstyle+xml"/>
  <Override PartName="/xl/charts/colors269.xml" ContentType="application/vnd.ms-office.chartcolorstyle+xml"/>
  <Override PartName="/xl/charts/style269.xml" ContentType="application/vnd.ms-office.chartstyle+xml"/>
  <Override PartName="/xl/charts/colors270.xml" ContentType="application/vnd.ms-office.chartcolorstyle+xml"/>
  <Override PartName="/xl/charts/style270.xml" ContentType="application/vnd.ms-office.chartstyle+xml"/>
  <Override PartName="/xl/charts/colors271.xml" ContentType="application/vnd.ms-office.chartcolorstyle+xml"/>
  <Override PartName="/xl/charts/style271.xml" ContentType="application/vnd.ms-office.chartstyle+xml"/>
  <Override PartName="/xl/charts/colors272.xml" ContentType="application/vnd.ms-office.chartcolorstyle+xml"/>
  <Override PartName="/xl/charts/style272.xml" ContentType="application/vnd.ms-office.chartstyle+xml"/>
  <Override PartName="/xl/charts/colors273.xml" ContentType="application/vnd.ms-office.chartcolorstyle+xml"/>
  <Override PartName="/xl/charts/style273.xml" ContentType="application/vnd.ms-office.chartstyle+xml"/>
  <Override PartName="/xl/charts/colors274.xml" ContentType="application/vnd.ms-office.chartcolorstyle+xml"/>
  <Override PartName="/xl/charts/style274.xml" ContentType="application/vnd.ms-office.chartstyle+xml"/>
  <Override PartName="/xl/charts/colors275.xml" ContentType="application/vnd.ms-office.chartcolorstyle+xml"/>
  <Override PartName="/xl/charts/style275.xml" ContentType="application/vnd.ms-office.chartstyle+xml"/>
  <Override PartName="/xl/charts/colors276.xml" ContentType="application/vnd.ms-office.chartcolorstyle+xml"/>
  <Override PartName="/xl/charts/style276.xml" ContentType="application/vnd.ms-office.chartstyle+xml"/>
  <Override PartName="/xl/charts/colors277.xml" ContentType="application/vnd.ms-office.chartcolorstyle+xml"/>
  <Override PartName="/xl/charts/style277.xml" ContentType="application/vnd.ms-office.chartstyle+xml"/>
  <Override PartName="/xl/charts/colors278.xml" ContentType="application/vnd.ms-office.chartcolorstyle+xml"/>
  <Override PartName="/xl/charts/style278.xml" ContentType="application/vnd.ms-office.chartstyle+xml"/>
  <Override PartName="/xl/charts/colors279.xml" ContentType="application/vnd.ms-office.chartcolorstyle+xml"/>
  <Override PartName="/xl/charts/style279.xml" ContentType="application/vnd.ms-office.chartstyle+xml"/>
  <Override PartName="/xl/charts/colors280.xml" ContentType="application/vnd.ms-office.chartcolorstyle+xml"/>
  <Override PartName="/xl/charts/style28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0" yWindow="0" windowWidth="19260" windowHeight="7056" tabRatio="839"/>
  </bookViews>
  <sheets>
    <sheet name="Intro" sheetId="335" r:id="rId1"/>
    <sheet name="Flow diagram" sheetId="331" r:id="rId2"/>
    <sheet name="Summary 1" sheetId="333" r:id="rId3"/>
    <sheet name="Summary 2" sheetId="330" r:id="rId4"/>
    <sheet name="S26 overview" sheetId="153" r:id="rId5"/>
    <sheet name="S30a overview" sheetId="152" r:id="rId6"/>
    <sheet name="S30b overview" sheetId="156" r:id="rId7"/>
    <sheet name="S30c overview" sheetId="157" r:id="rId8"/>
    <sheet name="S30d overview" sheetId="158" r:id="rId9"/>
    <sheet name="S26 likelihood" sheetId="94" r:id="rId10"/>
    <sheet name="S30a likelihood" sheetId="73" r:id="rId11"/>
    <sheet name="S30b likelihood" sheetId="95" r:id="rId12"/>
    <sheet name="S30c likelihood" sheetId="97" r:id="rId13"/>
    <sheet name="S30d likelihood" sheetId="98" r:id="rId14"/>
    <sheet name="S26 Survey Comments" sheetId="329" r:id="rId15"/>
    <sheet name="S30a Survey Comments" sheetId="277" r:id="rId16"/>
    <sheet name="S30b Survey Comments" sheetId="274" r:id="rId17"/>
    <sheet name="S30c Survey Comments" sheetId="275" r:id="rId18"/>
    <sheet name="S30d Survey Comments" sheetId="276" r:id="rId19"/>
    <sheet name="S26 Lit Review" sheetId="314" r:id="rId20"/>
    <sheet name="S30a Lit Review" sheetId="318" r:id="rId21"/>
    <sheet name="S30b Lit Review" sheetId="315" r:id="rId22"/>
    <sheet name="S30c Lit Review" sheetId="316" r:id="rId23"/>
    <sheet name="S30d Lit Review" sheetId="317" r:id="rId24"/>
    <sheet name="BACKGROUND DATA" sheetId="337" r:id="rId25"/>
    <sheet name="S26" sheetId="68" r:id="rId26"/>
    <sheet name="S30" sheetId="29" r:id="rId27"/>
    <sheet name="lookups" sheetId="9" r:id="rId28"/>
    <sheet name="Scenario titles" sheetId="82" r:id="rId29"/>
    <sheet name="Q Summary" sheetId="336" r:id="rId30"/>
  </sheets>
  <definedNames>
    <definedName name="_xlnm._FilterDatabase" localSheetId="29" hidden="1">'Q Summary'!$A$2:$AP$7</definedName>
    <definedName name="_xlnm._FilterDatabase" localSheetId="25" hidden="1">'S26'!$A$8:$AV$64</definedName>
    <definedName name="_xlnm._FilterDatabase" localSheetId="9" hidden="1">'S26 likelihood'!$A$7:$EL$7</definedName>
    <definedName name="_xlnm._FilterDatabase" localSheetId="26" hidden="1">'S30'!$A$8:$BZ$64</definedName>
    <definedName name="_xlnm._FilterDatabase" localSheetId="10" hidden="1">'S30a likelihood'!$A$7:$EL$7</definedName>
    <definedName name="_xlnm._FilterDatabase" localSheetId="11" hidden="1">'S30b likelihood'!$A$7:$EL$7</definedName>
    <definedName name="_xlnm._FilterDatabase" localSheetId="12" hidden="1">'S30c likelihood'!$A$7:$EL$7</definedName>
    <definedName name="_xlnm._FilterDatabase" localSheetId="13" hidden="1">'S30d likelihood'!$A$7:$EL$7</definedName>
    <definedName name="_xlnm._FilterDatabase" localSheetId="28" hidden="1">'Scenario titles'!$A$1:$C$5</definedName>
    <definedName name="Canada_text">lookups!$G$37</definedName>
    <definedName name="Confidence_score">lookups!$G$4:$G$6</definedName>
    <definedName name="Confident_threshold">lookups!$G$16</definedName>
    <definedName name="Likekihood_score">lookups!$F$27:$K$27</definedName>
    <definedName name="not_estimated">lookups!$G$39</definedName>
    <definedName name="not_ranked">lookups!$G$40</definedName>
    <definedName name="Rank_score">lookups!$F$9:$H$9</definedName>
    <definedName name="Response_26_CaseA">'S26'!$AV$9:$AV$102</definedName>
    <definedName name="Response_26_CaseB">'S26'!$AU$9:$AU$102</definedName>
    <definedName name="Response_26_CaseC">'S26'!$AT$9:$AT$102</definedName>
    <definedName name="Response_30a_CaseA">'S30'!$BZ$9:$BZ$101</definedName>
    <definedName name="Response_30a_CaseB">'S30'!$BY$9:$BY$101</definedName>
    <definedName name="Response_30a_CaseC">'S30'!$BX$9:$BX$101</definedName>
    <definedName name="Response_30b_CaseA">'S30'!$BW$9:$BW$101</definedName>
    <definedName name="Response_30b_CaseB">'S30'!$BV$9:$BV$101</definedName>
    <definedName name="Response_30b_CaseC">'S30'!$BU$9:$BU$101</definedName>
    <definedName name="Response_30c_CaseA">'S30'!$BT$9:$BT$101</definedName>
    <definedName name="Response_30c_CaseB">'S30'!$BS$9:$BS$101</definedName>
    <definedName name="Response_30c_CaseC">'S30'!$BR$9:$BR$101</definedName>
    <definedName name="Response_30d_CaseA">'S30'!$BQ$9:$BQ$101</definedName>
    <definedName name="Response_30d_CaseB">'S30'!$BP$9:$BP$101</definedName>
    <definedName name="Response_30d_CaseC">'S30'!$BO$9:$BO$101</definedName>
    <definedName name="Response_Q156_1">'S26'!$E$9:$E$102</definedName>
    <definedName name="Response_Q157_1">'S26'!$G$9:$G$102</definedName>
    <definedName name="Response_Q160_1">'S26'!$M$9:$M$102</definedName>
    <definedName name="Response_Q161_1">'S26'!$N$9:$N$102</definedName>
    <definedName name="Response_Q161_10">'S26'!$W$9:$W$102</definedName>
    <definedName name="Response_Q161_11">'S26'!$X$9:$X$102</definedName>
    <definedName name="Response_Q161_12">'S26'!$Y$9:$Y$102</definedName>
    <definedName name="Response_Q161_2">'S26'!$O$9:$O$102</definedName>
    <definedName name="Response_Q161_3">'S26'!$P$9:$P$102</definedName>
    <definedName name="Response_Q161_4">'S26'!$Q$9:$Q$102</definedName>
    <definedName name="Response_Q161_5">'S26'!$R$9:$R$102</definedName>
    <definedName name="Response_Q161_6">'S26'!$S$9:$S$102</definedName>
    <definedName name="Response_Q161_7">'S26'!$T$9:$T$102</definedName>
    <definedName name="Response_Q161_8">'S26'!$U$9:$U$102</definedName>
    <definedName name="Response_Q161_9">'S26'!$V$9:$V$102</definedName>
    <definedName name="Response_Q162_1">'S26'!$AA$9:$AA$102</definedName>
    <definedName name="Response_Q162_10">'S26'!$AJ$9:$AJ$102</definedName>
    <definedName name="Response_Q162_11">'S26'!$AK$9:$AK$102</definedName>
    <definedName name="Response_Q162_12">'S26'!$AL$9:$AL$102</definedName>
    <definedName name="Response_Q162_2">'S26'!$AB$9:$AB$102</definedName>
    <definedName name="Response_Q162_3">'S26'!$AC$9:$AC$102</definedName>
    <definedName name="Response_Q162_4">'S26'!$AD$9:$AD$102</definedName>
    <definedName name="Response_Q162_5">'S26'!$AE$9:$AE$102</definedName>
    <definedName name="Response_Q162_6">'S26'!$AF$9:$AF$102</definedName>
    <definedName name="Response_Q162_7">'S26'!$AG$9:$AG$102</definedName>
    <definedName name="Response_Q162_8">'S26'!$AH$9:$AH$102</definedName>
    <definedName name="Response_Q162_9">'S26'!$AI$9:$AI$102</definedName>
    <definedName name="Response_Q165_1">'S26'!$AO$9:$AO$102</definedName>
    <definedName name="Response_Q172_1">'S30'!$I$9:$I$101</definedName>
    <definedName name="Response_Q173_1">'S30'!$K$9:$K$101</definedName>
    <definedName name="Response_Q173_3">'S30'!$M$9:$M$101</definedName>
    <definedName name="Response_Q173_5">'S30'!$O$9:$O$101</definedName>
    <definedName name="Response_Q173_7">'S30'!$Q$9:$Q$101</definedName>
    <definedName name="Response_Q176_1">'S30'!$W$9:$W$101</definedName>
    <definedName name="Response_Q176_2">'S30'!$X$9:$X$101</definedName>
    <definedName name="Response_Q176_3">'S30'!$Y$9:$Y$101</definedName>
    <definedName name="Response_Q176_4">'S30'!$Z$9:$Z$101</definedName>
    <definedName name="Response_Q177_1">'S30'!$AA$9:$AA$101</definedName>
    <definedName name="Response_Q177_10">'S30'!$AJ$9:$AJ$101</definedName>
    <definedName name="Response_Q177_11">'S30'!$AK$9:$AK$101</definedName>
    <definedName name="Response_Q177_12">'S30'!$AL$9:$AL$101</definedName>
    <definedName name="Response_Q177_13">'S30'!$AM$9:$AM$101</definedName>
    <definedName name="Response_Q177_14">'S30'!$AN$9:$AN$101</definedName>
    <definedName name="Response_Q177_2">'S30'!$AB$9:$AB$101</definedName>
    <definedName name="Response_Q177_3">'S30'!$AC$9:$AC$101</definedName>
    <definedName name="Response_Q177_4">'S30'!$AD$9:$AD$101</definedName>
    <definedName name="Response_Q177_5">'S30'!$AE$9:$AE$101</definedName>
    <definedName name="Response_Q177_6">'S30'!$AF$9:$AF$101</definedName>
    <definedName name="Response_Q177_7">'S30'!$AG$9:$AG$101</definedName>
    <definedName name="Response_Q177_8">'S30'!$AH$9:$AH$101</definedName>
    <definedName name="Response_Q177_9">'S30'!$AI$9:$AI$101</definedName>
    <definedName name="Response_Q178_1">'S30'!$AP$9:$AP$101</definedName>
    <definedName name="Response_Q178_10">'S30'!$AY$9:$AY$101</definedName>
    <definedName name="Response_Q178_11">'S30'!$AZ$9:$AZ$101</definedName>
    <definedName name="Response_Q178_12">'S30'!$BA$9:$BA$101</definedName>
    <definedName name="Response_Q178_2">'S30'!$AQ$9:$AQ$101</definedName>
    <definedName name="Response_Q178_3">'S30'!$AR$9:$AR$101</definedName>
    <definedName name="Response_Q178_4">'S30'!$AS$9:$AS$101</definedName>
    <definedName name="Response_Q178_5">'S30'!$AT$9:$AT$101</definedName>
    <definedName name="Response_Q178_6">'S30'!$AU$9:$AU$101</definedName>
    <definedName name="Response_Q178_7">'S30'!$AV$9:$AV$101</definedName>
    <definedName name="Response_Q178_8">'S30'!$AW$9:$AW$101</definedName>
    <definedName name="Response_Q178_9">'S30'!$AX$9:$AX$101</definedName>
    <definedName name="Response_Q181_1">'S30'!$BE$9:$BE$101</definedName>
    <definedName name="Responses_list1_frequency">lookups!$C$15:$C$21</definedName>
    <definedName name="S26_country">'S26'!$C$9:$C$102</definedName>
    <definedName name="S26_stakeholder_category">'S26'!$B$9:$B$102</definedName>
    <definedName name="S30_country">'S30'!$C$9:$C$101</definedName>
    <definedName name="S30_stakeholder_category">'S30'!$B$9:$B$101</definedName>
    <definedName name="ScoresDPs">lookups!$C$60</definedName>
    <definedName name="ScoresToLikelihoods">lookups!$B$61:$D$66</definedName>
    <definedName name="Somewhat_confident_threshold">lookups!$G$17</definedName>
    <definedName name="Title_26">'Scenario titles'!$B$1</definedName>
    <definedName name="Title_30a">'Scenario titles'!$B$2</definedName>
    <definedName name="Title_30b">'Scenario titles'!$B$3</definedName>
    <definedName name="Title_30c">'Scenario titles'!$B$4</definedName>
    <definedName name="Title_30d">'Scenario titles'!$B$5</definedName>
    <definedName name="USA_text">lookups!$G$36</definedName>
    <definedName name="Very_confident_threshold">lookups!$G$15</definedName>
  </definedNames>
  <calcPr calcId="145621"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K52" i="73" l="1"/>
  <c r="CS52" i="73"/>
  <c r="CA52" i="73"/>
  <c r="BL52" i="73"/>
  <c r="AW52" i="73"/>
  <c r="AH52" i="73"/>
  <c r="S52" i="73"/>
  <c r="DK52" i="95"/>
  <c r="CS52" i="95"/>
  <c r="CA52" i="95"/>
  <c r="BL52" i="95"/>
  <c r="AW52" i="95"/>
  <c r="AH52" i="95"/>
  <c r="S52" i="95"/>
  <c r="DK52" i="97"/>
  <c r="CS52" i="97"/>
  <c r="CA52" i="97"/>
  <c r="BL52" i="97"/>
  <c r="AW52" i="97"/>
  <c r="AH52" i="97"/>
  <c r="S52" i="97"/>
  <c r="DK52" i="98"/>
  <c r="CS52" i="98"/>
  <c r="CA52" i="98"/>
  <c r="BL52" i="98"/>
  <c r="AW52" i="98"/>
  <c r="AH52" i="98"/>
  <c r="S52" i="98"/>
  <c r="DK52" i="94"/>
  <c r="CS52" i="94"/>
  <c r="CA52" i="94"/>
  <c r="BL52" i="94"/>
  <c r="AW52" i="94"/>
  <c r="AH52" i="94"/>
  <c r="S52" i="94"/>
  <c r="CX18" i="94" l="1"/>
  <c r="CF18" i="73" l="1"/>
  <c r="CF18" i="95"/>
  <c r="CF18" i="97"/>
  <c r="CF18" i="98"/>
  <c r="CF17" i="94"/>
  <c r="CF18" i="94"/>
  <c r="DF202" i="98" l="1"/>
  <c r="DE202" i="98"/>
  <c r="DD202" i="98"/>
  <c r="DC202" i="98"/>
  <c r="DB202" i="98"/>
  <c r="DA202" i="98"/>
  <c r="DF175" i="98"/>
  <c r="DE175" i="98"/>
  <c r="DD175" i="98"/>
  <c r="DC175" i="98"/>
  <c r="DB175" i="98"/>
  <c r="DA175" i="98"/>
  <c r="DF148" i="98"/>
  <c r="DE148" i="98"/>
  <c r="DD148" i="98"/>
  <c r="DC148" i="98"/>
  <c r="DB148" i="98"/>
  <c r="DA148" i="98"/>
  <c r="DF121" i="98"/>
  <c r="DE121" i="98"/>
  <c r="DD121" i="98"/>
  <c r="DC121" i="98"/>
  <c r="DB121" i="98"/>
  <c r="DA121" i="98"/>
  <c r="DF94" i="98"/>
  <c r="DE94" i="98"/>
  <c r="DD94" i="98"/>
  <c r="DC94" i="98"/>
  <c r="DB94" i="98"/>
  <c r="DA94" i="98"/>
  <c r="DF67" i="98"/>
  <c r="DE67" i="98"/>
  <c r="DD67" i="98"/>
  <c r="DC67" i="98"/>
  <c r="DB67" i="98"/>
  <c r="DA67" i="98"/>
  <c r="CN202" i="98"/>
  <c r="CM202" i="98"/>
  <c r="CL202" i="98"/>
  <c r="CK202" i="98"/>
  <c r="CJ202" i="98"/>
  <c r="CI202" i="98"/>
  <c r="CN175" i="98"/>
  <c r="CM175" i="98"/>
  <c r="CL175" i="98"/>
  <c r="CK175" i="98"/>
  <c r="CJ175" i="98"/>
  <c r="CI175" i="98"/>
  <c r="CN148" i="98"/>
  <c r="CM148" i="98"/>
  <c r="CL148" i="98"/>
  <c r="CK148" i="98"/>
  <c r="CJ148" i="98"/>
  <c r="CI148" i="98"/>
  <c r="CN121" i="98"/>
  <c r="CM121" i="98"/>
  <c r="CL121" i="98"/>
  <c r="CK121" i="98"/>
  <c r="CJ121" i="98"/>
  <c r="CI121" i="98"/>
  <c r="CN94" i="98"/>
  <c r="CM94" i="98"/>
  <c r="CL94" i="98"/>
  <c r="CK94" i="98"/>
  <c r="CJ94" i="98"/>
  <c r="CI94" i="98"/>
  <c r="CN67" i="98"/>
  <c r="CM67" i="98"/>
  <c r="CL67" i="98"/>
  <c r="CK67" i="98"/>
  <c r="CJ67" i="98"/>
  <c r="CI67" i="98"/>
  <c r="DF67" i="97"/>
  <c r="DE67" i="97"/>
  <c r="DD67" i="97"/>
  <c r="DC67" i="97"/>
  <c r="DB67" i="97"/>
  <c r="DA67" i="97"/>
  <c r="DF202" i="97"/>
  <c r="DE202" i="97"/>
  <c r="DD202" i="97"/>
  <c r="DC202" i="97"/>
  <c r="DB202" i="97"/>
  <c r="DA202" i="97"/>
  <c r="DF175" i="97"/>
  <c r="DE175" i="97"/>
  <c r="DD175" i="97"/>
  <c r="DC175" i="97"/>
  <c r="DB175" i="97"/>
  <c r="DA175" i="97"/>
  <c r="DF148" i="97"/>
  <c r="DE148" i="97"/>
  <c r="DD148" i="97"/>
  <c r="DC148" i="97"/>
  <c r="DB148" i="97"/>
  <c r="DA148" i="97"/>
  <c r="DF121" i="97"/>
  <c r="DE121" i="97"/>
  <c r="DD121" i="97"/>
  <c r="DC121" i="97"/>
  <c r="DB121" i="97"/>
  <c r="DA121" i="97"/>
  <c r="DF94" i="97"/>
  <c r="DE94" i="97"/>
  <c r="DD94" i="97"/>
  <c r="DC94" i="97"/>
  <c r="DB94" i="97"/>
  <c r="DA94" i="97"/>
  <c r="DG206" i="73"/>
  <c r="DG205" i="73"/>
  <c r="DG179" i="73"/>
  <c r="DG178" i="73"/>
  <c r="DG152" i="73"/>
  <c r="DG151" i="73"/>
  <c r="DG125" i="73"/>
  <c r="DG124" i="73"/>
  <c r="DG98" i="73"/>
  <c r="DG97" i="73"/>
  <c r="DG71" i="73"/>
  <c r="DG70" i="73"/>
  <c r="DG206" i="95"/>
  <c r="DG205" i="95"/>
  <c r="DG179" i="95"/>
  <c r="DG178" i="95"/>
  <c r="DG152" i="95"/>
  <c r="DG151" i="95"/>
  <c r="DG125" i="95"/>
  <c r="DG124" i="95"/>
  <c r="DG98" i="95"/>
  <c r="DG97" i="95"/>
  <c r="DG71" i="95"/>
  <c r="DG70" i="95"/>
  <c r="DG206" i="97"/>
  <c r="DG205" i="97"/>
  <c r="DG179" i="97"/>
  <c r="DG178" i="97"/>
  <c r="DG152" i="97"/>
  <c r="DG151" i="97"/>
  <c r="DG125" i="97"/>
  <c r="DG124" i="97"/>
  <c r="DG98" i="97"/>
  <c r="DG97" i="97"/>
  <c r="DG71" i="97"/>
  <c r="DG70" i="97"/>
  <c r="DG206" i="98"/>
  <c r="DG205" i="98"/>
  <c r="DG179" i="98"/>
  <c r="DG178" i="98"/>
  <c r="DG152" i="98"/>
  <c r="DG151" i="98"/>
  <c r="DG125" i="98"/>
  <c r="DG124" i="98"/>
  <c r="DG98" i="98"/>
  <c r="DG97" i="98"/>
  <c r="DG71" i="98"/>
  <c r="DG70" i="98"/>
  <c r="DG206" i="94"/>
  <c r="DG205" i="94"/>
  <c r="DG179" i="94"/>
  <c r="DG178" i="94"/>
  <c r="DG152" i="94"/>
  <c r="DG151" i="94"/>
  <c r="DG125" i="94"/>
  <c r="DG124" i="94"/>
  <c r="DG98" i="94"/>
  <c r="DG97" i="94"/>
  <c r="DG71" i="94"/>
  <c r="DG70" i="94"/>
  <c r="CO205" i="94"/>
  <c r="CO178" i="94"/>
  <c r="CO151" i="94"/>
  <c r="CO124" i="94"/>
  <c r="CO97" i="94"/>
  <c r="CO70" i="94"/>
  <c r="CN202" i="97"/>
  <c r="CM202" i="97"/>
  <c r="CL202" i="97"/>
  <c r="CK202" i="97"/>
  <c r="CJ202" i="97"/>
  <c r="CI202" i="97"/>
  <c r="CN175" i="97"/>
  <c r="CM175" i="97"/>
  <c r="CL175" i="97"/>
  <c r="CK175" i="97"/>
  <c r="CJ175" i="97"/>
  <c r="CI175" i="97"/>
  <c r="CN148" i="97"/>
  <c r="CM148" i="97"/>
  <c r="CL148" i="97"/>
  <c r="CK148" i="97"/>
  <c r="CJ148" i="97"/>
  <c r="CI148" i="97"/>
  <c r="CN121" i="97"/>
  <c r="CM121" i="97"/>
  <c r="CL121" i="97"/>
  <c r="CK121" i="97"/>
  <c r="CJ121" i="97"/>
  <c r="CI121" i="97"/>
  <c r="CN94" i="97"/>
  <c r="CM94" i="97"/>
  <c r="CL94" i="97"/>
  <c r="CK94" i="97"/>
  <c r="CJ94" i="97"/>
  <c r="CI94" i="97"/>
  <c r="CN67" i="97"/>
  <c r="CM67" i="97"/>
  <c r="CL67" i="97"/>
  <c r="CK67" i="97"/>
  <c r="CJ67" i="97"/>
  <c r="CI67" i="97"/>
  <c r="DF202" i="95"/>
  <c r="DE202" i="95"/>
  <c r="DD202" i="95"/>
  <c r="DC202" i="95"/>
  <c r="DB202" i="95"/>
  <c r="DA202" i="95"/>
  <c r="DF175" i="95"/>
  <c r="DE175" i="95"/>
  <c r="DD175" i="95"/>
  <c r="DC175" i="95"/>
  <c r="DB175" i="95"/>
  <c r="DA175" i="95"/>
  <c r="DF148" i="95"/>
  <c r="DE148" i="95"/>
  <c r="DD148" i="95"/>
  <c r="DC148" i="95"/>
  <c r="DB148" i="95"/>
  <c r="DA148" i="95"/>
  <c r="DF121" i="95"/>
  <c r="DE121" i="95"/>
  <c r="DD121" i="95"/>
  <c r="DC121" i="95"/>
  <c r="DB121" i="95"/>
  <c r="DA121" i="95"/>
  <c r="DF94" i="95"/>
  <c r="DE94" i="95"/>
  <c r="DD94" i="95"/>
  <c r="DC94" i="95"/>
  <c r="DB94" i="95"/>
  <c r="DA94" i="95"/>
  <c r="DF67" i="95"/>
  <c r="DE67" i="95"/>
  <c r="DD67" i="95"/>
  <c r="DC67" i="95"/>
  <c r="DB67" i="95"/>
  <c r="DA67" i="95"/>
  <c r="CN202" i="95"/>
  <c r="CM202" i="95"/>
  <c r="CL202" i="95"/>
  <c r="CK202" i="95"/>
  <c r="CJ202" i="95"/>
  <c r="CI202" i="95"/>
  <c r="CN175" i="95"/>
  <c r="CM175" i="95"/>
  <c r="CL175" i="95"/>
  <c r="CK175" i="95"/>
  <c r="CJ175" i="95"/>
  <c r="CI175" i="95"/>
  <c r="CN148" i="95"/>
  <c r="CM148" i="95"/>
  <c r="CL148" i="95"/>
  <c r="CK148" i="95"/>
  <c r="CJ148" i="95"/>
  <c r="CI148" i="95"/>
  <c r="CN121" i="95"/>
  <c r="CM121" i="95"/>
  <c r="CL121" i="95"/>
  <c r="CK121" i="95"/>
  <c r="CJ121" i="95"/>
  <c r="CI121" i="95"/>
  <c r="CN94" i="95"/>
  <c r="CM94" i="95"/>
  <c r="CL94" i="95"/>
  <c r="CK94" i="95"/>
  <c r="CJ94" i="95"/>
  <c r="CI94" i="95"/>
  <c r="CN67" i="95"/>
  <c r="CM67" i="95"/>
  <c r="CL67" i="95"/>
  <c r="CK67" i="95"/>
  <c r="CJ67" i="95"/>
  <c r="CI67" i="95"/>
  <c r="CN202" i="73"/>
  <c r="CM202" i="73"/>
  <c r="CL202" i="73"/>
  <c r="CK202" i="73"/>
  <c r="CJ202" i="73"/>
  <c r="CI202" i="73"/>
  <c r="CN175" i="73"/>
  <c r="CM175" i="73"/>
  <c r="CL175" i="73"/>
  <c r="CK175" i="73"/>
  <c r="CJ175" i="73"/>
  <c r="CI175" i="73"/>
  <c r="CN148" i="73"/>
  <c r="CM148" i="73"/>
  <c r="CL148" i="73"/>
  <c r="CK148" i="73"/>
  <c r="CJ148" i="73"/>
  <c r="CI148" i="73"/>
  <c r="CN121" i="73"/>
  <c r="CM121" i="73"/>
  <c r="CL121" i="73"/>
  <c r="CK121" i="73"/>
  <c r="CJ121" i="73"/>
  <c r="CI121" i="73"/>
  <c r="CN94" i="73"/>
  <c r="CM94" i="73"/>
  <c r="CL94" i="73"/>
  <c r="CK94" i="73"/>
  <c r="CJ94" i="73"/>
  <c r="CI94" i="73"/>
  <c r="CN67" i="73"/>
  <c r="CM67" i="73"/>
  <c r="CL67" i="73"/>
  <c r="CK67" i="73"/>
  <c r="CJ67" i="73"/>
  <c r="CI67" i="73"/>
  <c r="DF202" i="73"/>
  <c r="DE202" i="73"/>
  <c r="DD202" i="73"/>
  <c r="DC202" i="73"/>
  <c r="DB202" i="73"/>
  <c r="DA202" i="73"/>
  <c r="DF175" i="73"/>
  <c r="DE175" i="73"/>
  <c r="DD175" i="73"/>
  <c r="DC175" i="73"/>
  <c r="DB175" i="73"/>
  <c r="DA175" i="73"/>
  <c r="DF148" i="73"/>
  <c r="DE148" i="73"/>
  <c r="DD148" i="73"/>
  <c r="DC148" i="73"/>
  <c r="DB148" i="73"/>
  <c r="DA148" i="73"/>
  <c r="DF121" i="73"/>
  <c r="DE121" i="73"/>
  <c r="DD121" i="73"/>
  <c r="DC121" i="73"/>
  <c r="DB121" i="73"/>
  <c r="DA121" i="73"/>
  <c r="DF94" i="73"/>
  <c r="DE94" i="73"/>
  <c r="DD94" i="73"/>
  <c r="DC94" i="73"/>
  <c r="DB94" i="73"/>
  <c r="DA94" i="73"/>
  <c r="DF67" i="73"/>
  <c r="DE67" i="73"/>
  <c r="DD67" i="73"/>
  <c r="DC67" i="73"/>
  <c r="DB67" i="73"/>
  <c r="DA67" i="73"/>
  <c r="DB202" i="94"/>
  <c r="DC202" i="94"/>
  <c r="DD202" i="94"/>
  <c r="DE202" i="94"/>
  <c r="DF202" i="94"/>
  <c r="DA202" i="94"/>
  <c r="DB175" i="94"/>
  <c r="DC175" i="94"/>
  <c r="DD175" i="94"/>
  <c r="DE175" i="94"/>
  <c r="DF175" i="94"/>
  <c r="DA175" i="94"/>
  <c r="DB148" i="94"/>
  <c r="DC148" i="94"/>
  <c r="DD148" i="94"/>
  <c r="DE148" i="94"/>
  <c r="DF148" i="94"/>
  <c r="DA148" i="94"/>
  <c r="DB121" i="94"/>
  <c r="DC121" i="94"/>
  <c r="DD121" i="94"/>
  <c r="DE121" i="94"/>
  <c r="DF121" i="94"/>
  <c r="DA121" i="94"/>
  <c r="DB94" i="94"/>
  <c r="DC94" i="94"/>
  <c r="DD94" i="94"/>
  <c r="DE94" i="94"/>
  <c r="DF94" i="94"/>
  <c r="DA94" i="94"/>
  <c r="DB67" i="94"/>
  <c r="DC67" i="94"/>
  <c r="DD67" i="94"/>
  <c r="DE67" i="94"/>
  <c r="DF67" i="94"/>
  <c r="DA67" i="94"/>
  <c r="CJ202" i="94"/>
  <c r="CK202" i="94"/>
  <c r="CL202" i="94"/>
  <c r="CM202" i="94"/>
  <c r="CN202" i="94"/>
  <c r="CI202" i="94"/>
  <c r="CJ175" i="94"/>
  <c r="CK175" i="94"/>
  <c r="CL175" i="94"/>
  <c r="CM175" i="94"/>
  <c r="CN175" i="94"/>
  <c r="CI175" i="94"/>
  <c r="CJ148" i="94"/>
  <c r="CK148" i="94"/>
  <c r="CL148" i="94"/>
  <c r="CM148" i="94"/>
  <c r="CN148" i="94"/>
  <c r="CI148" i="94"/>
  <c r="CJ121" i="94"/>
  <c r="CK121" i="94"/>
  <c r="CL121" i="94"/>
  <c r="CM121" i="94"/>
  <c r="CN121" i="94"/>
  <c r="CI121" i="94"/>
  <c r="CJ94" i="94"/>
  <c r="CK94" i="94"/>
  <c r="CL94" i="94"/>
  <c r="CM94" i="94"/>
  <c r="CN94" i="94"/>
  <c r="CI94" i="94"/>
  <c r="CJ67" i="94"/>
  <c r="CK67" i="94"/>
  <c r="CL67" i="94"/>
  <c r="CM67" i="94"/>
  <c r="CN67" i="94"/>
  <c r="CI67" i="94"/>
  <c r="CE91" i="73"/>
  <c r="CE91" i="95"/>
  <c r="CE91" i="97"/>
  <c r="CE91" i="98"/>
  <c r="CE91" i="94"/>
  <c r="CE92" i="73"/>
  <c r="CE92" i="95"/>
  <c r="CE92" i="97"/>
  <c r="CE92" i="98"/>
  <c r="CE92" i="94"/>
  <c r="CD91" i="73"/>
  <c r="CD91" i="95"/>
  <c r="CD91" i="97"/>
  <c r="CD91" i="98"/>
  <c r="CD91" i="94"/>
  <c r="CC91" i="94"/>
  <c r="CE64" i="94"/>
  <c r="CD64" i="94"/>
  <c r="CC64" i="94"/>
  <c r="CB64" i="94"/>
  <c r="DA18" i="73"/>
  <c r="DA17" i="73"/>
  <c r="DA18" i="95"/>
  <c r="DA17" i="95"/>
  <c r="DA18" i="97"/>
  <c r="DA17" i="97"/>
  <c r="DA18" i="98"/>
  <c r="DA17" i="98"/>
  <c r="DA18" i="94"/>
  <c r="DA17" i="94"/>
  <c r="CI18" i="73"/>
  <c r="CI18" i="95"/>
  <c r="CI18" i="97"/>
  <c r="CI18" i="98"/>
  <c r="CI17" i="94"/>
  <c r="CI18" i="94"/>
  <c r="C66" i="9"/>
  <c r="C65" i="9"/>
  <c r="C64" i="9"/>
  <c r="C63" i="9"/>
  <c r="C62" i="9"/>
  <c r="CX17" i="73" l="1"/>
  <c r="CX18" i="73"/>
  <c r="CX17" i="95"/>
  <c r="CX18" i="95"/>
  <c r="CX17" i="97"/>
  <c r="CX18" i="97"/>
  <c r="CX17" i="98"/>
  <c r="CX18" i="98"/>
  <c r="CX17" i="94"/>
  <c r="CU17" i="73"/>
  <c r="CV17" i="73"/>
  <c r="CW17" i="73"/>
  <c r="CU18" i="73"/>
  <c r="CV18" i="73"/>
  <c r="CW18" i="73"/>
  <c r="CU17" i="95"/>
  <c r="CV17" i="95"/>
  <c r="CW17" i="95"/>
  <c r="CU18" i="95"/>
  <c r="CV18" i="95"/>
  <c r="CW18" i="95"/>
  <c r="CU17" i="97"/>
  <c r="CV17" i="97"/>
  <c r="CW17" i="97"/>
  <c r="CU18" i="97"/>
  <c r="CV18" i="97"/>
  <c r="CW18" i="97"/>
  <c r="CU17" i="98"/>
  <c r="CV17" i="98"/>
  <c r="CW17" i="98"/>
  <c r="CU18" i="98"/>
  <c r="CV18" i="98"/>
  <c r="CW18" i="98"/>
  <c r="CU17" i="94"/>
  <c r="CV17" i="94"/>
  <c r="CW17" i="94"/>
  <c r="CU18" i="94"/>
  <c r="CV18" i="94"/>
  <c r="CW18" i="94"/>
  <c r="CC17" i="94"/>
  <c r="CD17" i="94"/>
  <c r="CE17" i="94"/>
  <c r="CZ17" i="73"/>
  <c r="CZ18" i="73"/>
  <c r="CZ17" i="95"/>
  <c r="CZ18" i="95"/>
  <c r="CZ17" i="97"/>
  <c r="CZ18" i="97"/>
  <c r="CZ17" i="98"/>
  <c r="CZ18" i="98"/>
  <c r="CZ17" i="94"/>
  <c r="CZ18" i="94"/>
  <c r="CH17" i="94"/>
  <c r="C60" i="9" l="1"/>
  <c r="C61" i="9"/>
  <c r="A6" i="157" l="1"/>
  <c r="A6" i="152"/>
  <c r="B5" i="333"/>
  <c r="E11" i="153"/>
  <c r="B7" i="333"/>
  <c r="B4" i="333"/>
  <c r="B8" i="333"/>
  <c r="B6" i="333"/>
  <c r="A6" i="158" l="1"/>
  <c r="A6" i="156"/>
  <c r="A6" i="153"/>
  <c r="E42" i="152"/>
  <c r="E18" i="156"/>
  <c r="E42" i="157"/>
  <c r="C5" i="330"/>
  <c r="E37" i="156"/>
  <c r="E17" i="156"/>
  <c r="E8" i="330"/>
  <c r="E21" i="152"/>
  <c r="E17" i="152"/>
  <c r="E46" i="157"/>
  <c r="E18" i="152"/>
  <c r="E42" i="156"/>
  <c r="E27" i="153"/>
  <c r="E21" i="157"/>
  <c r="E27" i="157"/>
  <c r="D8" i="330"/>
  <c r="E48" i="158"/>
  <c r="B6" i="330"/>
  <c r="E27" i="156"/>
  <c r="C6" i="330"/>
  <c r="E46" i="158"/>
  <c r="E21" i="156"/>
  <c r="C7" i="330"/>
  <c r="E21" i="158"/>
  <c r="E5" i="330"/>
  <c r="E29" i="153"/>
  <c r="C8" i="330"/>
  <c r="E37" i="158"/>
  <c r="E25" i="156"/>
  <c r="E25" i="153"/>
  <c r="D6" i="330"/>
  <c r="E42" i="158"/>
  <c r="E48" i="153"/>
  <c r="E27" i="158"/>
  <c r="B7" i="330"/>
  <c r="E17" i="153"/>
  <c r="E7" i="330"/>
  <c r="E48" i="156"/>
  <c r="E25" i="152"/>
  <c r="E12" i="152"/>
  <c r="E25" i="157"/>
  <c r="F5" i="330"/>
  <c r="E37" i="157"/>
  <c r="E18" i="153"/>
  <c r="E46" i="153"/>
  <c r="E29" i="158"/>
  <c r="F8" i="330"/>
  <c r="F7" i="330"/>
  <c r="C9" i="330"/>
  <c r="E41" i="157"/>
  <c r="D7" i="330"/>
  <c r="E12" i="156"/>
  <c r="E46" i="156"/>
  <c r="E25" i="158"/>
  <c r="E6" i="330"/>
  <c r="B8" i="330"/>
  <c r="E12" i="158"/>
  <c r="E37" i="152"/>
  <c r="E12" i="153"/>
  <c r="E9" i="330"/>
  <c r="B9" i="330"/>
  <c r="E48" i="152"/>
  <c r="E17" i="157"/>
  <c r="D5" i="330"/>
  <c r="E42" i="153"/>
  <c r="E41" i="153"/>
  <c r="E21" i="153"/>
  <c r="E17" i="158"/>
  <c r="E27" i="152"/>
  <c r="F9" i="330"/>
  <c r="E46" i="152"/>
  <c r="E29" i="152"/>
  <c r="E48" i="157"/>
  <c r="F6" i="330"/>
  <c r="E29" i="156"/>
  <c r="E41" i="152"/>
  <c r="D9" i="330"/>
  <c r="E41" i="158"/>
  <c r="E41" i="156"/>
  <c r="E12" i="157"/>
  <c r="E18" i="157"/>
  <c r="E29" i="157"/>
  <c r="E18" i="158"/>
  <c r="E37" i="153"/>
  <c r="B5" i="330"/>
  <c r="H247" i="98" l="1"/>
  <c r="H279" i="98" s="1"/>
  <c r="G247" i="98"/>
  <c r="G279" i="98" s="1"/>
  <c r="F247" i="98"/>
  <c r="F279" i="98" s="1"/>
  <c r="E247" i="98"/>
  <c r="E279" i="98" s="1"/>
  <c r="D247" i="98"/>
  <c r="D279" i="98" s="1"/>
  <c r="C247" i="98"/>
  <c r="C279" i="98" s="1"/>
  <c r="DK216" i="98"/>
  <c r="CS216" i="98"/>
  <c r="CA216" i="98"/>
  <c r="BL216" i="98"/>
  <c r="AW216" i="98"/>
  <c r="AH216" i="98"/>
  <c r="S216" i="98"/>
  <c r="DK189" i="98"/>
  <c r="DQ247" i="98" s="1"/>
  <c r="DQ279" i="98" s="1"/>
  <c r="CS189" i="98"/>
  <c r="CA189" i="98"/>
  <c r="BL189" i="98"/>
  <c r="BR247" i="98" s="1"/>
  <c r="BR279" i="98" s="1"/>
  <c r="AW189" i="98"/>
  <c r="BC247" i="98" s="1"/>
  <c r="BC279" i="98" s="1"/>
  <c r="AH189" i="98"/>
  <c r="AN247" i="98" s="1"/>
  <c r="AN279" i="98" s="1"/>
  <c r="S189" i="98"/>
  <c r="Y247" i="98" s="1"/>
  <c r="Y279" i="98" s="1"/>
  <c r="DK162" i="98"/>
  <c r="DP247" i="98" s="1"/>
  <c r="DP279" i="98" s="1"/>
  <c r="CS162" i="98"/>
  <c r="CA162" i="98"/>
  <c r="BL162" i="98"/>
  <c r="BQ247" i="98" s="1"/>
  <c r="BQ279" i="98" s="1"/>
  <c r="AW162" i="98"/>
  <c r="BB247" i="98" s="1"/>
  <c r="BB279" i="98" s="1"/>
  <c r="AH162" i="98"/>
  <c r="AM247" i="98" s="1"/>
  <c r="AM279" i="98" s="1"/>
  <c r="S162" i="98"/>
  <c r="X247" i="98" s="1"/>
  <c r="X279" i="98" s="1"/>
  <c r="DK135" i="98"/>
  <c r="DO247" i="98" s="1"/>
  <c r="DO279" i="98" s="1"/>
  <c r="CS135" i="98"/>
  <c r="CA135" i="98"/>
  <c r="BL135" i="98"/>
  <c r="BP247" i="98" s="1"/>
  <c r="BP279" i="98" s="1"/>
  <c r="AW135" i="98"/>
  <c r="BA247" i="98" s="1"/>
  <c r="BA279" i="98" s="1"/>
  <c r="AH135" i="98"/>
  <c r="AL247" i="98" s="1"/>
  <c r="AL279" i="98" s="1"/>
  <c r="S135" i="98"/>
  <c r="W247" i="98" s="1"/>
  <c r="W279" i="98" s="1"/>
  <c r="DK108" i="98"/>
  <c r="DN247" i="98" s="1"/>
  <c r="DN279" i="98" s="1"/>
  <c r="CS108" i="98"/>
  <c r="CA108" i="98"/>
  <c r="BL108" i="98"/>
  <c r="BO247" i="98" s="1"/>
  <c r="BO279" i="98" s="1"/>
  <c r="AW108" i="98"/>
  <c r="AZ247" i="98" s="1"/>
  <c r="AZ279" i="98" s="1"/>
  <c r="AH108" i="98"/>
  <c r="AK247" i="98" s="1"/>
  <c r="AK279" i="98" s="1"/>
  <c r="S108" i="98"/>
  <c r="V247" i="98" s="1"/>
  <c r="V279" i="98" s="1"/>
  <c r="DK81" i="98"/>
  <c r="DM247" i="98" s="1"/>
  <c r="DM279" i="98" s="1"/>
  <c r="CS81" i="98"/>
  <c r="CA81" i="98"/>
  <c r="BL81" i="98"/>
  <c r="BN247" i="98" s="1"/>
  <c r="BN279" i="98" s="1"/>
  <c r="AW81" i="98"/>
  <c r="AY247" i="98" s="1"/>
  <c r="AY279" i="98" s="1"/>
  <c r="AH81" i="98"/>
  <c r="AJ247" i="98" s="1"/>
  <c r="AJ279" i="98" s="1"/>
  <c r="S81" i="98"/>
  <c r="U247" i="98" s="1"/>
  <c r="U279" i="98" s="1"/>
  <c r="DK54" i="98"/>
  <c r="DL247" i="98" s="1"/>
  <c r="DL279" i="98" s="1"/>
  <c r="CS54" i="98"/>
  <c r="CA54" i="98"/>
  <c r="BL54" i="98"/>
  <c r="BM247" i="98" s="1"/>
  <c r="BM279" i="98" s="1"/>
  <c r="AW54" i="98"/>
  <c r="AX247" i="98" s="1"/>
  <c r="AX279" i="98" s="1"/>
  <c r="AH54" i="98"/>
  <c r="AI247" i="98" s="1"/>
  <c r="AI279" i="98" s="1"/>
  <c r="S54" i="98"/>
  <c r="T247" i="98" s="1"/>
  <c r="T279" i="98" s="1"/>
  <c r="H247" i="97"/>
  <c r="H279" i="97" s="1"/>
  <c r="G247" i="97"/>
  <c r="G279" i="97" s="1"/>
  <c r="F247" i="97"/>
  <c r="F279" i="97" s="1"/>
  <c r="E247" i="97"/>
  <c r="E279" i="97" s="1"/>
  <c r="D247" i="97"/>
  <c r="D279" i="97" s="1"/>
  <c r="C247" i="97"/>
  <c r="C279" i="97" s="1"/>
  <c r="DK216" i="97"/>
  <c r="CS216" i="97"/>
  <c r="CA216" i="97"/>
  <c r="BL216" i="97"/>
  <c r="AW216" i="97"/>
  <c r="AH216" i="97"/>
  <c r="S216" i="97"/>
  <c r="DK189" i="97"/>
  <c r="DQ247" i="97" s="1"/>
  <c r="DQ279" i="97" s="1"/>
  <c r="CS189" i="97"/>
  <c r="CA189" i="97"/>
  <c r="BL189" i="97"/>
  <c r="BR247" i="97" s="1"/>
  <c r="BR279" i="97" s="1"/>
  <c r="AW189" i="97"/>
  <c r="BC247" i="97" s="1"/>
  <c r="BC279" i="97" s="1"/>
  <c r="AH189" i="97"/>
  <c r="AN247" i="97" s="1"/>
  <c r="AN279" i="97" s="1"/>
  <c r="S189" i="97"/>
  <c r="Y247" i="97" s="1"/>
  <c r="Y279" i="97" s="1"/>
  <c r="DK162" i="97"/>
  <c r="DP247" i="97" s="1"/>
  <c r="DP279" i="97" s="1"/>
  <c r="CS162" i="97"/>
  <c r="CA162" i="97"/>
  <c r="BL162" i="97"/>
  <c r="BQ247" i="97" s="1"/>
  <c r="BQ279" i="97" s="1"/>
  <c r="AW162" i="97"/>
  <c r="BB247" i="97" s="1"/>
  <c r="BB279" i="97" s="1"/>
  <c r="AH162" i="97"/>
  <c r="AM247" i="97" s="1"/>
  <c r="AM279" i="97" s="1"/>
  <c r="S162" i="97"/>
  <c r="X247" i="97" s="1"/>
  <c r="X279" i="97" s="1"/>
  <c r="DK135" i="97"/>
  <c r="DO247" i="97" s="1"/>
  <c r="DO279" i="97" s="1"/>
  <c r="CS135" i="97"/>
  <c r="CA135" i="97"/>
  <c r="BL135" i="97"/>
  <c r="BP247" i="97" s="1"/>
  <c r="BP279" i="97" s="1"/>
  <c r="AW135" i="97"/>
  <c r="BA247" i="97" s="1"/>
  <c r="BA279" i="97" s="1"/>
  <c r="AH135" i="97"/>
  <c r="AL247" i="97" s="1"/>
  <c r="AL279" i="97" s="1"/>
  <c r="S135" i="97"/>
  <c r="W247" i="97" s="1"/>
  <c r="W279" i="97" s="1"/>
  <c r="DK108" i="97"/>
  <c r="DN247" i="97" s="1"/>
  <c r="DN279" i="97" s="1"/>
  <c r="CS108" i="97"/>
  <c r="CA108" i="97"/>
  <c r="BL108" i="97"/>
  <c r="BO247" i="97" s="1"/>
  <c r="BO279" i="97" s="1"/>
  <c r="AW108" i="97"/>
  <c r="AZ247" i="97" s="1"/>
  <c r="AZ279" i="97" s="1"/>
  <c r="AH108" i="97"/>
  <c r="AK247" i="97" s="1"/>
  <c r="AK279" i="97" s="1"/>
  <c r="S108" i="97"/>
  <c r="V247" i="97" s="1"/>
  <c r="V279" i="97" s="1"/>
  <c r="DK81" i="97"/>
  <c r="DM247" i="97" s="1"/>
  <c r="DM279" i="97" s="1"/>
  <c r="CS81" i="97"/>
  <c r="CA81" i="97"/>
  <c r="BL81" i="97"/>
  <c r="BN247" i="97" s="1"/>
  <c r="BN279" i="97" s="1"/>
  <c r="AW81" i="97"/>
  <c r="AY247" i="97" s="1"/>
  <c r="AY279" i="97" s="1"/>
  <c r="AH81" i="97"/>
  <c r="AJ247" i="97" s="1"/>
  <c r="AJ279" i="97" s="1"/>
  <c r="S81" i="97"/>
  <c r="U247" i="97" s="1"/>
  <c r="U279" i="97" s="1"/>
  <c r="DK54" i="97"/>
  <c r="DL247" i="97" s="1"/>
  <c r="DL279" i="97" s="1"/>
  <c r="CS54" i="97"/>
  <c r="CA54" i="97"/>
  <c r="BL54" i="97"/>
  <c r="BM247" i="97" s="1"/>
  <c r="BM279" i="97" s="1"/>
  <c r="AW54" i="97"/>
  <c r="AX247" i="97" s="1"/>
  <c r="AX279" i="97" s="1"/>
  <c r="AH54" i="97"/>
  <c r="AI247" i="97" s="1"/>
  <c r="AI279" i="97" s="1"/>
  <c r="S54" i="97"/>
  <c r="T247" i="97" s="1"/>
  <c r="T279" i="97" s="1"/>
  <c r="H247" i="95" l="1"/>
  <c r="H279" i="95" s="1"/>
  <c r="G247" i="95"/>
  <c r="G279" i="95" s="1"/>
  <c r="F247" i="95"/>
  <c r="F279" i="95" s="1"/>
  <c r="E247" i="95"/>
  <c r="E279" i="95" s="1"/>
  <c r="D247" i="95"/>
  <c r="D279" i="95" s="1"/>
  <c r="C247" i="95"/>
  <c r="C279" i="95" s="1"/>
  <c r="DK216" i="95"/>
  <c r="CS216" i="95"/>
  <c r="CA216" i="95"/>
  <c r="BL216" i="95"/>
  <c r="AW216" i="95"/>
  <c r="AH216" i="95"/>
  <c r="S216" i="95"/>
  <c r="DK189" i="95"/>
  <c r="DQ247" i="95" s="1"/>
  <c r="DQ279" i="95" s="1"/>
  <c r="CS189" i="95"/>
  <c r="CA189" i="95"/>
  <c r="BL189" i="95"/>
  <c r="BR247" i="95" s="1"/>
  <c r="BR279" i="95" s="1"/>
  <c r="AW189" i="95"/>
  <c r="BC247" i="95" s="1"/>
  <c r="BC279" i="95" s="1"/>
  <c r="AH189" i="95"/>
  <c r="AN247" i="95" s="1"/>
  <c r="AN279" i="95" s="1"/>
  <c r="S189" i="95"/>
  <c r="Y247" i="95" s="1"/>
  <c r="Y279" i="95" s="1"/>
  <c r="DK162" i="95"/>
  <c r="DP247" i="95" s="1"/>
  <c r="DP279" i="95" s="1"/>
  <c r="CS162" i="95"/>
  <c r="CA162" i="95"/>
  <c r="BL162" i="95"/>
  <c r="BQ247" i="95" s="1"/>
  <c r="BQ279" i="95" s="1"/>
  <c r="AW162" i="95"/>
  <c r="BB247" i="95" s="1"/>
  <c r="BB279" i="95" s="1"/>
  <c r="AH162" i="95"/>
  <c r="AM247" i="95" s="1"/>
  <c r="AM279" i="95" s="1"/>
  <c r="S162" i="95"/>
  <c r="X247" i="95" s="1"/>
  <c r="X279" i="95" s="1"/>
  <c r="DK135" i="95"/>
  <c r="DO247" i="95" s="1"/>
  <c r="DO279" i="95" s="1"/>
  <c r="CS135" i="95"/>
  <c r="CA135" i="95"/>
  <c r="BL135" i="95"/>
  <c r="BP247" i="95" s="1"/>
  <c r="BP279" i="95" s="1"/>
  <c r="AW135" i="95"/>
  <c r="BA247" i="95" s="1"/>
  <c r="BA279" i="95" s="1"/>
  <c r="AH135" i="95"/>
  <c r="AL247" i="95" s="1"/>
  <c r="AL279" i="95" s="1"/>
  <c r="S135" i="95"/>
  <c r="W247" i="95" s="1"/>
  <c r="W279" i="95" s="1"/>
  <c r="DK108" i="95"/>
  <c r="DN247" i="95" s="1"/>
  <c r="DN279" i="95" s="1"/>
  <c r="CS108" i="95"/>
  <c r="CA108" i="95"/>
  <c r="BL108" i="95"/>
  <c r="BO247" i="95" s="1"/>
  <c r="BO279" i="95" s="1"/>
  <c r="AW108" i="95"/>
  <c r="AZ247" i="95" s="1"/>
  <c r="AZ279" i="95" s="1"/>
  <c r="AH108" i="95"/>
  <c r="AK247" i="95" s="1"/>
  <c r="AK279" i="95" s="1"/>
  <c r="S108" i="95"/>
  <c r="V247" i="95" s="1"/>
  <c r="V279" i="95" s="1"/>
  <c r="DK81" i="95"/>
  <c r="DM247" i="95" s="1"/>
  <c r="DM279" i="95" s="1"/>
  <c r="CS81" i="95"/>
  <c r="CA81" i="95"/>
  <c r="BL81" i="95"/>
  <c r="BN247" i="95" s="1"/>
  <c r="BN279" i="95" s="1"/>
  <c r="AW81" i="95"/>
  <c r="AY247" i="95" s="1"/>
  <c r="AY279" i="95" s="1"/>
  <c r="AH81" i="95"/>
  <c r="AJ247" i="95" s="1"/>
  <c r="AJ279" i="95" s="1"/>
  <c r="S81" i="95"/>
  <c r="U247" i="95" s="1"/>
  <c r="U279" i="95" s="1"/>
  <c r="DK54" i="95"/>
  <c r="DL247" i="95" s="1"/>
  <c r="DL279" i="95" s="1"/>
  <c r="CS54" i="95"/>
  <c r="CA54" i="95"/>
  <c r="BL54" i="95"/>
  <c r="BM247" i="95" s="1"/>
  <c r="BM279" i="95" s="1"/>
  <c r="AW54" i="95"/>
  <c r="AX247" i="95" s="1"/>
  <c r="AX279" i="95" s="1"/>
  <c r="AH54" i="95"/>
  <c r="AI247" i="95" s="1"/>
  <c r="AI279" i="95" s="1"/>
  <c r="S54" i="95"/>
  <c r="T247" i="95" s="1"/>
  <c r="T279" i="95" s="1"/>
  <c r="CC232" i="94"/>
  <c r="H247" i="94"/>
  <c r="H279" i="94" s="1"/>
  <c r="G247" i="94"/>
  <c r="G279" i="94" s="1"/>
  <c r="F247" i="94"/>
  <c r="F279" i="94" s="1"/>
  <c r="E247" i="94"/>
  <c r="E279" i="94" s="1"/>
  <c r="D247" i="94"/>
  <c r="D279" i="94" s="1"/>
  <c r="C247" i="94"/>
  <c r="C279" i="94" s="1"/>
  <c r="DK216" i="94"/>
  <c r="CS216" i="94"/>
  <c r="CA216" i="94"/>
  <c r="BL216" i="94"/>
  <c r="AW216" i="94"/>
  <c r="AH216" i="94"/>
  <c r="S216" i="94"/>
  <c r="DK189" i="94"/>
  <c r="DQ247" i="94" s="1"/>
  <c r="DQ279" i="94" s="1"/>
  <c r="CS189" i="94"/>
  <c r="CA189" i="94"/>
  <c r="BL189" i="94"/>
  <c r="BR247" i="94" s="1"/>
  <c r="BR279" i="94" s="1"/>
  <c r="AW189" i="94"/>
  <c r="BC247" i="94" s="1"/>
  <c r="BC279" i="94" s="1"/>
  <c r="AH189" i="94"/>
  <c r="AN247" i="94" s="1"/>
  <c r="AN279" i="94" s="1"/>
  <c r="S189" i="94"/>
  <c r="Y247" i="94" s="1"/>
  <c r="Y279" i="94" s="1"/>
  <c r="DK162" i="94"/>
  <c r="DP247" i="94" s="1"/>
  <c r="DP279" i="94" s="1"/>
  <c r="CS162" i="94"/>
  <c r="CA162" i="94"/>
  <c r="BL162" i="94"/>
  <c r="BQ247" i="94" s="1"/>
  <c r="BQ279" i="94" s="1"/>
  <c r="AW162" i="94"/>
  <c r="BB247" i="94" s="1"/>
  <c r="BB279" i="94" s="1"/>
  <c r="AH162" i="94"/>
  <c r="AM247" i="94" s="1"/>
  <c r="AM279" i="94" s="1"/>
  <c r="S162" i="94"/>
  <c r="X247" i="94" s="1"/>
  <c r="X279" i="94" s="1"/>
  <c r="DK135" i="94"/>
  <c r="DO247" i="94" s="1"/>
  <c r="DO279" i="94" s="1"/>
  <c r="CS135" i="94"/>
  <c r="CA135" i="94"/>
  <c r="BL135" i="94"/>
  <c r="BP247" i="94" s="1"/>
  <c r="BP279" i="94" s="1"/>
  <c r="AW135" i="94"/>
  <c r="BA247" i="94" s="1"/>
  <c r="BA279" i="94" s="1"/>
  <c r="AH135" i="94"/>
  <c r="AL247" i="94" s="1"/>
  <c r="AL279" i="94" s="1"/>
  <c r="S135" i="94"/>
  <c r="W247" i="94" s="1"/>
  <c r="W279" i="94" s="1"/>
  <c r="DK108" i="94"/>
  <c r="DN247" i="94" s="1"/>
  <c r="DN279" i="94" s="1"/>
  <c r="CS108" i="94"/>
  <c r="CA108" i="94"/>
  <c r="BL108" i="94"/>
  <c r="BO247" i="94" s="1"/>
  <c r="BO279" i="94" s="1"/>
  <c r="AW108" i="94"/>
  <c r="AZ247" i="94" s="1"/>
  <c r="AZ279" i="94" s="1"/>
  <c r="AH108" i="94"/>
  <c r="AK247" i="94" s="1"/>
  <c r="AK279" i="94" s="1"/>
  <c r="S108" i="94"/>
  <c r="V247" i="94" s="1"/>
  <c r="V279" i="94" s="1"/>
  <c r="DK81" i="94"/>
  <c r="DM247" i="94" s="1"/>
  <c r="DM279" i="94" s="1"/>
  <c r="CS81" i="94"/>
  <c r="CA81" i="94"/>
  <c r="BL81" i="94"/>
  <c r="BN247" i="94" s="1"/>
  <c r="BN279" i="94" s="1"/>
  <c r="AW81" i="94"/>
  <c r="AY247" i="94" s="1"/>
  <c r="AY279" i="94" s="1"/>
  <c r="AH81" i="94"/>
  <c r="AJ247" i="94" s="1"/>
  <c r="AJ279" i="94" s="1"/>
  <c r="S81" i="94"/>
  <c r="U247" i="94" s="1"/>
  <c r="U279" i="94" s="1"/>
  <c r="DK54" i="94"/>
  <c r="DL247" i="94" s="1"/>
  <c r="DL279" i="94" s="1"/>
  <c r="CS54" i="94"/>
  <c r="CA54" i="94"/>
  <c r="BL54" i="94"/>
  <c r="BM247" i="94" s="1"/>
  <c r="BM279" i="94" s="1"/>
  <c r="AW54" i="94"/>
  <c r="AX247" i="94" s="1"/>
  <c r="AX279" i="94" s="1"/>
  <c r="AH54" i="94"/>
  <c r="AI247" i="94" s="1"/>
  <c r="AI279" i="94" s="1"/>
  <c r="S54" i="94"/>
  <c r="T247" i="94" s="1"/>
  <c r="T279" i="94" s="1"/>
  <c r="CB232" i="94" l="1"/>
  <c r="CE232" i="94"/>
  <c r="CD232" i="94"/>
  <c r="H247" i="73" l="1"/>
  <c r="H279" i="73" s="1"/>
  <c r="G247" i="73"/>
  <c r="G279" i="73" s="1"/>
  <c r="F247" i="73"/>
  <c r="F279" i="73" s="1"/>
  <c r="E247" i="73"/>
  <c r="E279" i="73" s="1"/>
  <c r="D247" i="73"/>
  <c r="D279" i="73" s="1"/>
  <c r="C247" i="73"/>
  <c r="C279" i="73" s="1"/>
  <c r="DK216" i="73"/>
  <c r="CS216" i="73"/>
  <c r="CA216" i="73"/>
  <c r="BL216" i="73"/>
  <c r="AW216" i="73"/>
  <c r="AH216" i="73"/>
  <c r="S216" i="73"/>
  <c r="DK189" i="73"/>
  <c r="DQ247" i="73" s="1"/>
  <c r="DQ279" i="73" s="1"/>
  <c r="CS189" i="73"/>
  <c r="CA189" i="73"/>
  <c r="BL189" i="73"/>
  <c r="BR247" i="73" s="1"/>
  <c r="BR279" i="73" s="1"/>
  <c r="AW189" i="73"/>
  <c r="BC247" i="73" s="1"/>
  <c r="BC279" i="73" s="1"/>
  <c r="AH189" i="73"/>
  <c r="AN247" i="73" s="1"/>
  <c r="AN279" i="73" s="1"/>
  <c r="S189" i="73"/>
  <c r="Y247" i="73" s="1"/>
  <c r="Y279" i="73" s="1"/>
  <c r="DK162" i="73"/>
  <c r="DP247" i="73" s="1"/>
  <c r="DP279" i="73" s="1"/>
  <c r="CS162" i="73"/>
  <c r="CA162" i="73"/>
  <c r="BL162" i="73"/>
  <c r="BQ247" i="73" s="1"/>
  <c r="BQ279" i="73" s="1"/>
  <c r="AW162" i="73"/>
  <c r="BB247" i="73" s="1"/>
  <c r="BB279" i="73" s="1"/>
  <c r="AH162" i="73"/>
  <c r="AM247" i="73" s="1"/>
  <c r="AM279" i="73" s="1"/>
  <c r="S162" i="73"/>
  <c r="X247" i="73" s="1"/>
  <c r="X279" i="73" s="1"/>
  <c r="DK135" i="73"/>
  <c r="DO247" i="73" s="1"/>
  <c r="DO279" i="73" s="1"/>
  <c r="CS135" i="73"/>
  <c r="CA135" i="73"/>
  <c r="BL135" i="73"/>
  <c r="BP247" i="73" s="1"/>
  <c r="BP279" i="73" s="1"/>
  <c r="AW135" i="73"/>
  <c r="BA247" i="73" s="1"/>
  <c r="BA279" i="73" s="1"/>
  <c r="AH135" i="73"/>
  <c r="AL247" i="73" s="1"/>
  <c r="AL279" i="73" s="1"/>
  <c r="S135" i="73"/>
  <c r="W247" i="73" s="1"/>
  <c r="W279" i="73" s="1"/>
  <c r="DK108" i="73"/>
  <c r="DN247" i="73" s="1"/>
  <c r="DN279" i="73" s="1"/>
  <c r="CS108" i="73"/>
  <c r="CA108" i="73"/>
  <c r="BL108" i="73"/>
  <c r="BO247" i="73" s="1"/>
  <c r="BO279" i="73" s="1"/>
  <c r="AW108" i="73"/>
  <c r="AZ247" i="73" s="1"/>
  <c r="AZ279" i="73" s="1"/>
  <c r="AH108" i="73"/>
  <c r="AK247" i="73" s="1"/>
  <c r="AK279" i="73" s="1"/>
  <c r="S108" i="73"/>
  <c r="V247" i="73" s="1"/>
  <c r="V279" i="73" s="1"/>
  <c r="DK81" i="73"/>
  <c r="DM247" i="73" s="1"/>
  <c r="DM279" i="73" s="1"/>
  <c r="CS81" i="73"/>
  <c r="CA81" i="73"/>
  <c r="BL81" i="73"/>
  <c r="BN247" i="73" s="1"/>
  <c r="BN279" i="73" s="1"/>
  <c r="AW81" i="73"/>
  <c r="AY247" i="73" s="1"/>
  <c r="AY279" i="73" s="1"/>
  <c r="AH81" i="73"/>
  <c r="AJ247" i="73" s="1"/>
  <c r="AJ279" i="73" s="1"/>
  <c r="S81" i="73"/>
  <c r="U247" i="73" s="1"/>
  <c r="U279" i="73" s="1"/>
  <c r="DK54" i="73"/>
  <c r="DL247" i="73" s="1"/>
  <c r="DL279" i="73" s="1"/>
  <c r="CS54" i="73"/>
  <c r="CA54" i="73"/>
  <c r="BL54" i="73"/>
  <c r="BM247" i="73" s="1"/>
  <c r="BM279" i="73" s="1"/>
  <c r="AW54" i="73"/>
  <c r="AX247" i="73" s="1"/>
  <c r="AX279" i="73" s="1"/>
  <c r="AH54" i="73"/>
  <c r="AI247" i="73" s="1"/>
  <c r="AI279" i="73" s="1"/>
  <c r="S54" i="73"/>
  <c r="T247" i="73" s="1"/>
  <c r="T279" i="73" s="1"/>
  <c r="DQ208" i="73" l="1"/>
  <c r="DQ208" i="95"/>
  <c r="DQ208" i="97"/>
  <c r="DQ208" i="98"/>
  <c r="DQ73" i="73"/>
  <c r="DQ73" i="95"/>
  <c r="DL249" i="95" s="1"/>
  <c r="DQ73" i="97"/>
  <c r="DL249" i="97" s="1"/>
  <c r="DQ73" i="98"/>
  <c r="DL249" i="98" s="1"/>
  <c r="DQ211" i="73"/>
  <c r="DN193" i="73" s="1"/>
  <c r="DN27" i="73" s="1"/>
  <c r="DQ211" i="98"/>
  <c r="DN193" i="98" s="1"/>
  <c r="DQ76" i="95"/>
  <c r="DQ209" i="73"/>
  <c r="DQ250" i="73" s="1"/>
  <c r="DQ209" i="95"/>
  <c r="DQ209" i="97"/>
  <c r="DQ209" i="98"/>
  <c r="DQ74" i="73"/>
  <c r="DL250" i="73" s="1"/>
  <c r="DQ74" i="95"/>
  <c r="DQ74" i="97"/>
  <c r="DL250" i="97" s="1"/>
  <c r="DQ74" i="98"/>
  <c r="DL250" i="98" s="1"/>
  <c r="DQ210" i="73"/>
  <c r="DQ210" i="95"/>
  <c r="DQ210" i="97"/>
  <c r="DQ210" i="98"/>
  <c r="DQ75" i="73"/>
  <c r="DL251" i="73" s="1"/>
  <c r="DQ75" i="95"/>
  <c r="DQ75" i="97"/>
  <c r="DL251" i="97" s="1"/>
  <c r="DQ75" i="98"/>
  <c r="DL251" i="98" s="1"/>
  <c r="DQ211" i="95"/>
  <c r="DN193" i="95" s="1"/>
  <c r="DN27" i="95" s="1"/>
  <c r="DQ211" i="97"/>
  <c r="DN193" i="97" s="1"/>
  <c r="DQ76" i="73"/>
  <c r="DN58" i="73" s="1"/>
  <c r="DN22" i="73" s="1"/>
  <c r="DQ76" i="97"/>
  <c r="DQ76" i="98"/>
  <c r="DQ208" i="94"/>
  <c r="DQ73" i="94"/>
  <c r="DL249" i="94" s="1"/>
  <c r="DQ209" i="94"/>
  <c r="DQ74" i="94"/>
  <c r="DL250" i="94" s="1"/>
  <c r="DQ210" i="94"/>
  <c r="DQ75" i="94"/>
  <c r="DL251" i="94" s="1"/>
  <c r="DQ211" i="94"/>
  <c r="DN193" i="94" s="1"/>
  <c r="DN27" i="94" s="1"/>
  <c r="DQ76" i="94"/>
  <c r="Y214" i="94"/>
  <c r="H212" i="94"/>
  <c r="I212" i="94" s="1"/>
  <c r="H210" i="94"/>
  <c r="H208" i="94"/>
  <c r="H249" i="94" s="1"/>
  <c r="DF204" i="94"/>
  <c r="DB204" i="94"/>
  <c r="CU204" i="94"/>
  <c r="CL204" i="94"/>
  <c r="CE204" i="94"/>
  <c r="DF203" i="94"/>
  <c r="DB203" i="94"/>
  <c r="CU203" i="94"/>
  <c r="CL203" i="94"/>
  <c r="CE203" i="94"/>
  <c r="CU202" i="94"/>
  <c r="CE202" i="94"/>
  <c r="DF201" i="94"/>
  <c r="DB201" i="94"/>
  <c r="CU201" i="94"/>
  <c r="CL201" i="94"/>
  <c r="CE201" i="94"/>
  <c r="DF200" i="94"/>
  <c r="DB200" i="94"/>
  <c r="CU200" i="94"/>
  <c r="CL200" i="94"/>
  <c r="CE200" i="94"/>
  <c r="DF199" i="94"/>
  <c r="DB199" i="94"/>
  <c r="CU199" i="94"/>
  <c r="CL199" i="94"/>
  <c r="CE199" i="94"/>
  <c r="E193" i="94"/>
  <c r="E27" i="94" s="1"/>
  <c r="DQ185" i="94"/>
  <c r="Y184" i="94"/>
  <c r="H183" i="94"/>
  <c r="G251" i="94" s="1"/>
  <c r="DQ181" i="94"/>
  <c r="DP249" i="94" s="1"/>
  <c r="Y180" i="94"/>
  <c r="DD177" i="94"/>
  <c r="CW177" i="94"/>
  <c r="CN177" i="94"/>
  <c r="CJ177" i="94"/>
  <c r="CC177" i="94"/>
  <c r="DD176" i="94"/>
  <c r="CW176" i="94"/>
  <c r="CN176" i="94"/>
  <c r="CJ176" i="94"/>
  <c r="CC176" i="94"/>
  <c r="CW175" i="94"/>
  <c r="Y213" i="94"/>
  <c r="Y211" i="94"/>
  <c r="Y209" i="94"/>
  <c r="DQ207" i="94"/>
  <c r="DE204" i="94"/>
  <c r="DA204" i="94"/>
  <c r="CT204" i="94"/>
  <c r="CK204" i="94"/>
  <c r="CD204" i="94"/>
  <c r="DE203" i="94"/>
  <c r="DA203" i="94"/>
  <c r="CT203" i="94"/>
  <c r="CK203" i="94"/>
  <c r="CD203" i="94"/>
  <c r="CT202" i="94"/>
  <c r="CD202" i="94"/>
  <c r="DE201" i="94"/>
  <c r="DA201" i="94"/>
  <c r="CT201" i="94"/>
  <c r="CK201" i="94"/>
  <c r="CD201" i="94"/>
  <c r="DE200" i="94"/>
  <c r="DA200" i="94"/>
  <c r="CT200" i="94"/>
  <c r="CK200" i="94"/>
  <c r="CD200" i="94"/>
  <c r="DE199" i="94"/>
  <c r="DA199" i="94"/>
  <c r="CT199" i="94"/>
  <c r="CK199" i="94"/>
  <c r="CD199" i="94"/>
  <c r="DM193" i="94"/>
  <c r="D193" i="94"/>
  <c r="D27" i="94" s="1"/>
  <c r="Y185" i="94"/>
  <c r="H184" i="94"/>
  <c r="G252" i="94" s="1"/>
  <c r="DQ182" i="94"/>
  <c r="DP250" i="94" s="1"/>
  <c r="Y181" i="94"/>
  <c r="H180" i="94"/>
  <c r="G248" i="94" s="1"/>
  <c r="DC177" i="94"/>
  <c r="CV177" i="94"/>
  <c r="CM177" i="94"/>
  <c r="CI177" i="94"/>
  <c r="CB177" i="94"/>
  <c r="DC176" i="94"/>
  <c r="CV176" i="94"/>
  <c r="CM176" i="94"/>
  <c r="CI176" i="94"/>
  <c r="CB176" i="94"/>
  <c r="CV175" i="94"/>
  <c r="CB175" i="94"/>
  <c r="DC174" i="94"/>
  <c r="CV174" i="94"/>
  <c r="CM174" i="94"/>
  <c r="CI174" i="94"/>
  <c r="CB174" i="94"/>
  <c r="DC173" i="94"/>
  <c r="CV173" i="94"/>
  <c r="CM173" i="94"/>
  <c r="CI173" i="94"/>
  <c r="CB173" i="94"/>
  <c r="DC172" i="94"/>
  <c r="CV172" i="94"/>
  <c r="CM172" i="94"/>
  <c r="CI172" i="94"/>
  <c r="CB172" i="94"/>
  <c r="U166" i="94"/>
  <c r="U26" i="94" s="1"/>
  <c r="Y159" i="94"/>
  <c r="DQ157" i="94"/>
  <c r="Y156" i="94"/>
  <c r="H155" i="94"/>
  <c r="DQ153" i="94"/>
  <c r="DO248" i="94" s="1"/>
  <c r="DE150" i="94"/>
  <c r="DA150" i="94"/>
  <c r="CT150" i="94"/>
  <c r="CK150" i="94"/>
  <c r="CD150" i="94"/>
  <c r="DE149" i="94"/>
  <c r="DA149" i="94"/>
  <c r="Y212" i="94"/>
  <c r="Y210" i="94"/>
  <c r="Y208" i="94"/>
  <c r="H207" i="94"/>
  <c r="DC204" i="94"/>
  <c r="CV204" i="94"/>
  <c r="CM204" i="94"/>
  <c r="CI204" i="94"/>
  <c r="CB204" i="94"/>
  <c r="DC203" i="94"/>
  <c r="CV203" i="94"/>
  <c r="CM203" i="94"/>
  <c r="CI203" i="94"/>
  <c r="CB203" i="94"/>
  <c r="CV202" i="94"/>
  <c r="CB202" i="94"/>
  <c r="DC201" i="94"/>
  <c r="CV201" i="94"/>
  <c r="CM201" i="94"/>
  <c r="CI201" i="94"/>
  <c r="Y207" i="94"/>
  <c r="CJ204" i="94"/>
  <c r="CN203" i="94"/>
  <c r="CW202" i="94"/>
  <c r="DD201" i="94"/>
  <c r="CC201" i="94"/>
  <c r="CW200" i="94"/>
  <c r="CJ200" i="94"/>
  <c r="DD199" i="94"/>
  <c r="CN199" i="94"/>
  <c r="CC199" i="94"/>
  <c r="Y187" i="94"/>
  <c r="DQ183" i="94"/>
  <c r="DP251" i="94" s="1"/>
  <c r="H181" i="94"/>
  <c r="G249" i="94" s="1"/>
  <c r="DB177" i="94"/>
  <c r="CL177" i="94"/>
  <c r="DF176" i="94"/>
  <c r="CU176" i="94"/>
  <c r="CE176" i="94"/>
  <c r="CD175" i="94"/>
  <c r="DD174" i="94"/>
  <c r="CU174" i="94"/>
  <c r="CK174" i="94"/>
  <c r="CC174" i="94"/>
  <c r="DB173" i="94"/>
  <c r="CT173" i="94"/>
  <c r="CJ173" i="94"/>
  <c r="DF172" i="94"/>
  <c r="DA172" i="94"/>
  <c r="CN172" i="94"/>
  <c r="CE172" i="94"/>
  <c r="DM166" i="94"/>
  <c r="DM26" i="94" s="1"/>
  <c r="Y160" i="94"/>
  <c r="Y157" i="94"/>
  <c r="DQ155" i="94"/>
  <c r="H154" i="94"/>
  <c r="F249" i="94" s="1"/>
  <c r="DD150" i="94"/>
  <c r="CV150" i="94"/>
  <c r="CL150" i="94"/>
  <c r="CC150" i="94"/>
  <c r="DC149" i="94"/>
  <c r="CU149" i="94"/>
  <c r="CL149" i="94"/>
  <c r="CE149" i="94"/>
  <c r="CU148" i="94"/>
  <c r="DQ212" i="94"/>
  <c r="DD204" i="94"/>
  <c r="CC204" i="94"/>
  <c r="CJ203" i="94"/>
  <c r="CW201" i="94"/>
  <c r="CB201" i="94"/>
  <c r="CV200" i="94"/>
  <c r="CI200" i="94"/>
  <c r="DC199" i="94"/>
  <c r="CM199" i="94"/>
  <c r="CB199" i="94"/>
  <c r="Y186" i="94"/>
  <c r="Y183" i="94"/>
  <c r="DQ180" i="94"/>
  <c r="DP248" i="94" s="1"/>
  <c r="DA177" i="94"/>
  <c r="CK177" i="94"/>
  <c r="DE176" i="94"/>
  <c r="CT176" i="94"/>
  <c r="CD176" i="94"/>
  <c r="CC175" i="94"/>
  <c r="DB174" i="94"/>
  <c r="CT174" i="94"/>
  <c r="CJ174" i="94"/>
  <c r="DF173" i="94"/>
  <c r="DA173" i="94"/>
  <c r="CN173" i="94"/>
  <c r="CE173" i="94"/>
  <c r="DE172" i="94"/>
  <c r="CW172" i="94"/>
  <c r="CL172" i="94"/>
  <c r="CD172" i="94"/>
  <c r="V166" i="94"/>
  <c r="V26" i="94" s="1"/>
  <c r="DQ158" i="94"/>
  <c r="H157" i="94"/>
  <c r="F252" i="94" s="1"/>
  <c r="Y155" i="94"/>
  <c r="Y153" i="94"/>
  <c r="DC150" i="94"/>
  <c r="CU150" i="94"/>
  <c r="CJ150" i="94"/>
  <c r="CB150" i="94"/>
  <c r="DB149" i="94"/>
  <c r="CT149" i="94"/>
  <c r="CK149" i="94"/>
  <c r="CD149" i="94"/>
  <c r="CT148" i="94"/>
  <c r="CD148" i="94"/>
  <c r="DE147" i="94"/>
  <c r="DA147" i="94"/>
  <c r="CT147" i="94"/>
  <c r="CK147" i="94"/>
  <c r="CD147" i="94"/>
  <c r="DE146" i="94"/>
  <c r="DA146" i="94"/>
  <c r="CT146" i="94"/>
  <c r="CK146" i="94"/>
  <c r="CD146" i="94"/>
  <c r="DE145" i="94"/>
  <c r="DA145" i="94"/>
  <c r="CT145" i="94"/>
  <c r="CK145" i="94"/>
  <c r="CD145" i="94"/>
  <c r="DM139" i="94"/>
  <c r="D139" i="94"/>
  <c r="D25" i="94" s="1"/>
  <c r="Y131" i="94"/>
  <c r="H130" i="94"/>
  <c r="E252" i="94" s="1"/>
  <c r="DQ128" i="94"/>
  <c r="DN250" i="94" s="1"/>
  <c r="Y127" i="94"/>
  <c r="H126" i="94"/>
  <c r="DC123" i="94"/>
  <c r="CV123" i="94"/>
  <c r="CM123" i="94"/>
  <c r="CI123" i="94"/>
  <c r="CB123" i="94"/>
  <c r="DC122" i="94"/>
  <c r="CV122" i="94"/>
  <c r="CM122" i="94"/>
  <c r="CI122" i="94"/>
  <c r="CB122" i="94"/>
  <c r="CV121" i="94"/>
  <c r="CB121" i="94"/>
  <c r="DC120" i="94"/>
  <c r="CV120" i="94"/>
  <c r="CM120" i="94"/>
  <c r="CI120" i="94"/>
  <c r="CB120" i="94"/>
  <c r="DC119" i="94"/>
  <c r="CV119" i="94"/>
  <c r="CM119" i="94"/>
  <c r="CI119" i="94"/>
  <c r="CB119" i="94"/>
  <c r="DC118" i="94"/>
  <c r="CV118" i="94"/>
  <c r="CM118" i="94"/>
  <c r="CI118" i="94"/>
  <c r="CB118" i="94"/>
  <c r="U112" i="94"/>
  <c r="U24" i="94" s="1"/>
  <c r="Y105" i="94"/>
  <c r="DQ103" i="94"/>
  <c r="DN85" i="94" s="1"/>
  <c r="DN23" i="94" s="1"/>
  <c r="Y102" i="94"/>
  <c r="H101" i="94"/>
  <c r="D250" i="94" s="1"/>
  <c r="DQ99" i="94"/>
  <c r="DM248" i="94" s="1"/>
  <c r="DD96" i="94"/>
  <c r="CW96" i="94"/>
  <c r="CN96" i="94"/>
  <c r="CJ96" i="94"/>
  <c r="CC96" i="94"/>
  <c r="DD95" i="94"/>
  <c r="CW95" i="94"/>
  <c r="CN95" i="94"/>
  <c r="CJ95" i="94"/>
  <c r="CC95" i="94"/>
  <c r="CW94" i="94"/>
  <c r="CC94" i="94"/>
  <c r="DD93" i="94"/>
  <c r="CW93" i="94"/>
  <c r="CN93" i="94"/>
  <c r="CJ93" i="94"/>
  <c r="CC93" i="94"/>
  <c r="DD92" i="94"/>
  <c r="CW92" i="94"/>
  <c r="CN92" i="94"/>
  <c r="CJ92" i="94"/>
  <c r="CC92" i="94"/>
  <c r="DD91" i="94"/>
  <c r="CW91" i="94"/>
  <c r="CN91" i="94"/>
  <c r="CJ91" i="94"/>
  <c r="V85" i="94"/>
  <c r="V23" i="94" s="1"/>
  <c r="H99" i="94"/>
  <c r="D248" i="94" s="1"/>
  <c r="H73" i="94"/>
  <c r="DQ77" i="94"/>
  <c r="Y75" i="94"/>
  <c r="Y72" i="94"/>
  <c r="DC69" i="94"/>
  <c r="CV69" i="94"/>
  <c r="CM69" i="94"/>
  <c r="CI69" i="94"/>
  <c r="CB69" i="94"/>
  <c r="DC68" i="94"/>
  <c r="CV68" i="94"/>
  <c r="CM68" i="94"/>
  <c r="CI68" i="94"/>
  <c r="CB68" i="94"/>
  <c r="CV67" i="94"/>
  <c r="CB67" i="94"/>
  <c r="DC66" i="94"/>
  <c r="CV66" i="94"/>
  <c r="CM66" i="94"/>
  <c r="CI66" i="94"/>
  <c r="CB66" i="94"/>
  <c r="DC65" i="94"/>
  <c r="CV65" i="94"/>
  <c r="CM65" i="94"/>
  <c r="CI65" i="94"/>
  <c r="H211" i="94"/>
  <c r="CW204" i="94"/>
  <c r="DD203" i="94"/>
  <c r="CC203" i="94"/>
  <c r="CN201" i="94"/>
  <c r="DD200" i="94"/>
  <c r="CN200" i="94"/>
  <c r="CC200" i="94"/>
  <c r="CW199" i="94"/>
  <c r="CJ199" i="94"/>
  <c r="V193" i="94"/>
  <c r="V27" i="94" s="1"/>
  <c r="H185" i="94"/>
  <c r="Y182" i="94"/>
  <c r="DF177" i="94"/>
  <c r="CU177" i="94"/>
  <c r="CE177" i="94"/>
  <c r="DB176" i="94"/>
  <c r="CL176" i="94"/>
  <c r="CU175" i="94"/>
  <c r="DF174" i="94"/>
  <c r="DA174" i="94"/>
  <c r="CN174" i="94"/>
  <c r="CE174" i="94"/>
  <c r="DE173" i="94"/>
  <c r="CW173" i="94"/>
  <c r="CL173" i="94"/>
  <c r="CD173" i="94"/>
  <c r="DD172" i="94"/>
  <c r="CU172" i="94"/>
  <c r="CK172" i="94"/>
  <c r="CC172" i="94"/>
  <c r="E166" i="94"/>
  <c r="E26" i="94" s="1"/>
  <c r="Y158" i="94"/>
  <c r="DQ156" i="94"/>
  <c r="DO251" i="94" s="1"/>
  <c r="DQ154" i="94"/>
  <c r="DO249" i="94" s="1"/>
  <c r="H153" i="94"/>
  <c r="F248" i="94" s="1"/>
  <c r="DB150" i="94"/>
  <c r="CN150" i="94"/>
  <c r="CI150" i="94"/>
  <c r="DF149" i="94"/>
  <c r="CW149" i="94"/>
  <c r="CN149" i="94"/>
  <c r="CJ149" i="94"/>
  <c r="CC149" i="94"/>
  <c r="CW148" i="94"/>
  <c r="CC148" i="94"/>
  <c r="DD147" i="94"/>
  <c r="CW147" i="94"/>
  <c r="CN147" i="94"/>
  <c r="CJ147" i="94"/>
  <c r="CC147" i="94"/>
  <c r="DD146" i="94"/>
  <c r="CW146" i="94"/>
  <c r="CN146" i="94"/>
  <c r="CJ146" i="94"/>
  <c r="CC146" i="94"/>
  <c r="DD145" i="94"/>
  <c r="CW145" i="94"/>
  <c r="CN145" i="94"/>
  <c r="CJ145" i="94"/>
  <c r="CC145" i="94"/>
  <c r="V139" i="94"/>
  <c r="V25" i="94" s="1"/>
  <c r="Y133" i="94"/>
  <c r="H131" i="94"/>
  <c r="I131" i="94" s="1"/>
  <c r="DQ129" i="94"/>
  <c r="DN251" i="94" s="1"/>
  <c r="Y128" i="94"/>
  <c r="H127" i="94"/>
  <c r="E249" i="94" s="1"/>
  <c r="DF123" i="94"/>
  <c r="DB123" i="94"/>
  <c r="CU123" i="94"/>
  <c r="CL123" i="94"/>
  <c r="CE123" i="94"/>
  <c r="DF122" i="94"/>
  <c r="DB122" i="94"/>
  <c r="CU122" i="94"/>
  <c r="CL122" i="94"/>
  <c r="CE122" i="94"/>
  <c r="H209" i="94"/>
  <c r="CC202" i="94"/>
  <c r="CB200" i="94"/>
  <c r="DQ184" i="94"/>
  <c r="CD177" i="94"/>
  <c r="CT175" i="94"/>
  <c r="CL174" i="94"/>
  <c r="CK173" i="94"/>
  <c r="CJ172" i="94"/>
  <c r="H156" i="94"/>
  <c r="F251" i="94" s="1"/>
  <c r="CM150" i="94"/>
  <c r="CM149" i="94"/>
  <c r="CV148" i="94"/>
  <c r="CE148" i="94"/>
  <c r="DB147" i="94"/>
  <c r="CL147" i="94"/>
  <c r="DF146" i="94"/>
  <c r="CU146" i="94"/>
  <c r="CE146" i="94"/>
  <c r="DB145" i="94"/>
  <c r="CL145" i="94"/>
  <c r="DQ131" i="94"/>
  <c r="H129" i="94"/>
  <c r="Y126" i="94"/>
  <c r="CW123" i="94"/>
  <c r="CN204" i="94"/>
  <c r="CJ201" i="94"/>
  <c r="CV199" i="94"/>
  <c r="H182" i="94"/>
  <c r="G250" i="94" s="1"/>
  <c r="DA176" i="94"/>
  <c r="CE175" i="94"/>
  <c r="CD174" i="94"/>
  <c r="CC173" i="94"/>
  <c r="Y154" i="94"/>
  <c r="CE150" i="94"/>
  <c r="CI149" i="94"/>
  <c r="CB148" i="94"/>
  <c r="CV147" i="94"/>
  <c r="CI147" i="94"/>
  <c r="DC146" i="94"/>
  <c r="CM146" i="94"/>
  <c r="CB146" i="94"/>
  <c r="CV145" i="94"/>
  <c r="CI145" i="94"/>
  <c r="U139" i="94"/>
  <c r="U25" i="94" s="1"/>
  <c r="DQ130" i="94"/>
  <c r="H128" i="94"/>
  <c r="DE123" i="94"/>
  <c r="CT123" i="94"/>
  <c r="CD123" i="94"/>
  <c r="DA122" i="94"/>
  <c r="CK122" i="94"/>
  <c r="CU121" i="94"/>
  <c r="CC121" i="94"/>
  <c r="DB120" i="94"/>
  <c r="CT120" i="94"/>
  <c r="CJ120" i="94"/>
  <c r="DF119" i="94"/>
  <c r="DA119" i="94"/>
  <c r="CN119" i="94"/>
  <c r="CE119" i="94"/>
  <c r="DE118" i="94"/>
  <c r="CW118" i="94"/>
  <c r="CL118" i="94"/>
  <c r="CD118" i="94"/>
  <c r="V112" i="94"/>
  <c r="V24" i="94" s="1"/>
  <c r="DQ104" i="94"/>
  <c r="H103" i="94"/>
  <c r="D252" i="94" s="1"/>
  <c r="Y101" i="94"/>
  <c r="Y99" i="94"/>
  <c r="DB96" i="94"/>
  <c r="CT96" i="94"/>
  <c r="CI96" i="94"/>
  <c r="DF95" i="94"/>
  <c r="DA95" i="94"/>
  <c r="CM95" i="94"/>
  <c r="CE95" i="94"/>
  <c r="CV94" i="94"/>
  <c r="CD94" i="94"/>
  <c r="DC93" i="94"/>
  <c r="CU93" i="94"/>
  <c r="CK93" i="94"/>
  <c r="CB93" i="94"/>
  <c r="DB92" i="94"/>
  <c r="CT92" i="94"/>
  <c r="CI92" i="94"/>
  <c r="DF91" i="94"/>
  <c r="DA91" i="94"/>
  <c r="CM91" i="94"/>
  <c r="DM85" i="94"/>
  <c r="DM23" i="94" s="1"/>
  <c r="H76" i="94"/>
  <c r="Y79" i="94"/>
  <c r="Y76" i="94"/>
  <c r="DF69" i="94"/>
  <c r="DA69" i="94"/>
  <c r="CN69" i="94"/>
  <c r="CE69" i="94"/>
  <c r="DE68" i="94"/>
  <c r="CW68" i="94"/>
  <c r="CL68" i="94"/>
  <c r="CD68" i="94"/>
  <c r="CU67" i="94"/>
  <c r="CC67" i="94"/>
  <c r="DB66" i="94"/>
  <c r="CT66" i="94"/>
  <c r="CJ66" i="94"/>
  <c r="DF65" i="94"/>
  <c r="DA65" i="94"/>
  <c r="CN65" i="94"/>
  <c r="CE65" i="94"/>
  <c r="DF64" i="94"/>
  <c r="DB64" i="94"/>
  <c r="CU64" i="94"/>
  <c r="CL64" i="94"/>
  <c r="E58" i="94"/>
  <c r="E22" i="94" s="1"/>
  <c r="CE96" i="94"/>
  <c r="DE95" i="94"/>
  <c r="CL95" i="94"/>
  <c r="CU94" i="94"/>
  <c r="CB94" i="94"/>
  <c r="DB93" i="94"/>
  <c r="CT93" i="94"/>
  <c r="DF92" i="94"/>
  <c r="DA92" i="94"/>
  <c r="DE91" i="94"/>
  <c r="CL91" i="94"/>
  <c r="U85" i="94"/>
  <c r="U23" i="94" s="1"/>
  <c r="H75" i="94"/>
  <c r="C251" i="94" s="1"/>
  <c r="Y78" i="94"/>
  <c r="DE69" i="94"/>
  <c r="CL69" i="94"/>
  <c r="CD69" i="94"/>
  <c r="CU68" i="94"/>
  <c r="CK68" i="94"/>
  <c r="CT67" i="94"/>
  <c r="DF66" i="94"/>
  <c r="DA66" i="94"/>
  <c r="CE66" i="94"/>
  <c r="DE65" i="94"/>
  <c r="CL65" i="94"/>
  <c r="DE64" i="94"/>
  <c r="DA64" i="94"/>
  <c r="CK64" i="94"/>
  <c r="DM58" i="94"/>
  <c r="DM22" i="94" s="1"/>
  <c r="D58" i="94"/>
  <c r="D22" i="94" s="1"/>
  <c r="CM200" i="94"/>
  <c r="U193" i="94"/>
  <c r="U27" i="94" s="1"/>
  <c r="CT177" i="94"/>
  <c r="CW174" i="94"/>
  <c r="CU173" i="94"/>
  <c r="CT172" i="94"/>
  <c r="H158" i="94"/>
  <c r="I158" i="94" s="1"/>
  <c r="CW150" i="94"/>
  <c r="DC147" i="94"/>
  <c r="CM147" i="94"/>
  <c r="CV146" i="94"/>
  <c r="DC145" i="94"/>
  <c r="CM145" i="94"/>
  <c r="Y132" i="94"/>
  <c r="Y129" i="94"/>
  <c r="DA123" i="94"/>
  <c r="CK123" i="94"/>
  <c r="CT122" i="94"/>
  <c r="CD122" i="94"/>
  <c r="CE121" i="94"/>
  <c r="DE120" i="94"/>
  <c r="CL120" i="94"/>
  <c r="DD119" i="94"/>
  <c r="CK119" i="94"/>
  <c r="DB118" i="94"/>
  <c r="CT118" i="94"/>
  <c r="D112" i="94"/>
  <c r="D24" i="94" s="1"/>
  <c r="H102" i="94"/>
  <c r="D251" i="94" s="1"/>
  <c r="DE96" i="94"/>
  <c r="CV96" i="94"/>
  <c r="CW203" i="94"/>
  <c r="DC200" i="94"/>
  <c r="CI199" i="94"/>
  <c r="DE177" i="94"/>
  <c r="CK176" i="94"/>
  <c r="DE174" i="94"/>
  <c r="DD173" i="94"/>
  <c r="DB172" i="94"/>
  <c r="D166" i="94"/>
  <c r="D26" i="94" s="1"/>
  <c r="DF150" i="94"/>
  <c r="DD149" i="94"/>
  <c r="CB149" i="94"/>
  <c r="DF147" i="94"/>
  <c r="CU147" i="94"/>
  <c r="CE147" i="94"/>
  <c r="DB146" i="94"/>
  <c r="CL146" i="94"/>
  <c r="DF145" i="94"/>
  <c r="CU145" i="94"/>
  <c r="CE145" i="94"/>
  <c r="E139" i="94"/>
  <c r="E25" i="94" s="1"/>
  <c r="Y130" i="94"/>
  <c r="DQ127" i="94"/>
  <c r="DN249" i="94" s="1"/>
  <c r="DD123" i="94"/>
  <c r="CN123" i="94"/>
  <c r="CC123" i="94"/>
  <c r="CW122" i="94"/>
  <c r="CJ122" i="94"/>
  <c r="CT121" i="94"/>
  <c r="DF120" i="94"/>
  <c r="DA120" i="94"/>
  <c r="CN120" i="94"/>
  <c r="CE120" i="94"/>
  <c r="DE119" i="94"/>
  <c r="CW119" i="94"/>
  <c r="CL119" i="94"/>
  <c r="CD119" i="94"/>
  <c r="DD118" i="94"/>
  <c r="CU118" i="94"/>
  <c r="CK118" i="94"/>
  <c r="CC118" i="94"/>
  <c r="E112" i="94"/>
  <c r="E24" i="94" s="1"/>
  <c r="Y104" i="94"/>
  <c r="DQ102" i="94"/>
  <c r="DM251" i="94" s="1"/>
  <c r="DQ100" i="94"/>
  <c r="DM249" i="94" s="1"/>
  <c r="DF96" i="94"/>
  <c r="DA96" i="94"/>
  <c r="CM96" i="94"/>
  <c r="CV95" i="94"/>
  <c r="CD95" i="94"/>
  <c r="CI93" i="94"/>
  <c r="CM92" i="94"/>
  <c r="CV91" i="94"/>
  <c r="Y74" i="94"/>
  <c r="CW69" i="94"/>
  <c r="DD68" i="94"/>
  <c r="CC68" i="94"/>
  <c r="CN66" i="94"/>
  <c r="CW65" i="94"/>
  <c r="CD65" i="94"/>
  <c r="CT64" i="94"/>
  <c r="CV149" i="94"/>
  <c r="CB147" i="94"/>
  <c r="CI146" i="94"/>
  <c r="CB145" i="94"/>
  <c r="DQ126" i="94"/>
  <c r="DN248" i="94" s="1"/>
  <c r="DE122" i="94"/>
  <c r="CW120" i="94"/>
  <c r="CD120" i="94"/>
  <c r="CU119" i="94"/>
  <c r="CC119" i="94"/>
  <c r="CJ118" i="94"/>
  <c r="H104" i="94"/>
  <c r="Y100" i="94"/>
  <c r="CL96" i="94"/>
  <c r="CJ123" i="94"/>
  <c r="CW121" i="94"/>
  <c r="CU120" i="94"/>
  <c r="CT119" i="94"/>
  <c r="CN118" i="94"/>
  <c r="Y103" i="94"/>
  <c r="CU96" i="94"/>
  <c r="DC95" i="94"/>
  <c r="CK95" i="94"/>
  <c r="DA93" i="94"/>
  <c r="CE93" i="94"/>
  <c r="CV92" i="94"/>
  <c r="CD92" i="94"/>
  <c r="CU91" i="94"/>
  <c r="CB91" i="94"/>
  <c r="H74" i="94"/>
  <c r="C250" i="94" s="1"/>
  <c r="Y73" i="94"/>
  <c r="CU69" i="94"/>
  <c r="CC69" i="94"/>
  <c r="CT68" i="94"/>
  <c r="DE66" i="94"/>
  <c r="CL66" i="94"/>
  <c r="DD65" i="94"/>
  <c r="CK65" i="94"/>
  <c r="DD64" i="94"/>
  <c r="CN64" i="94"/>
  <c r="CJ68" i="94"/>
  <c r="CW66" i="94"/>
  <c r="CC65" i="94"/>
  <c r="V58" i="94"/>
  <c r="V22" i="94" s="1"/>
  <c r="DD122" i="94"/>
  <c r="CK120" i="94"/>
  <c r="CJ119" i="94"/>
  <c r="CE118" i="94"/>
  <c r="DQ101" i="94"/>
  <c r="DM250" i="94" s="1"/>
  <c r="CK96" i="94"/>
  <c r="DB95" i="94"/>
  <c r="CI95" i="94"/>
  <c r="CE94" i="94"/>
  <c r="CV93" i="94"/>
  <c r="CD93" i="94"/>
  <c r="CU92" i="94"/>
  <c r="CB92" i="94"/>
  <c r="CT91" i="94"/>
  <c r="H72" i="94"/>
  <c r="C248" i="94" s="1"/>
  <c r="DQ72" i="94"/>
  <c r="DL248" i="94" s="1"/>
  <c r="CT69" i="94"/>
  <c r="DF68" i="94"/>
  <c r="CN68" i="94"/>
  <c r="DD66" i="94"/>
  <c r="CK66" i="94"/>
  <c r="DB65" i="94"/>
  <c r="CJ65" i="94"/>
  <c r="DC64" i="94"/>
  <c r="CM64" i="94"/>
  <c r="CN122" i="94"/>
  <c r="CD121" i="94"/>
  <c r="CC120" i="94"/>
  <c r="DF118" i="94"/>
  <c r="DM112" i="94"/>
  <c r="DM24" i="94" s="1"/>
  <c r="H100" i="94"/>
  <c r="D249" i="94" s="1"/>
  <c r="CD96" i="94"/>
  <c r="CU95" i="94"/>
  <c r="CB95" i="94"/>
  <c r="CT94" i="94"/>
  <c r="DF93" i="94"/>
  <c r="CM93" i="94"/>
  <c r="DE92" i="94"/>
  <c r="CL92" i="94"/>
  <c r="DC91" i="94"/>
  <c r="CK91" i="94"/>
  <c r="E85" i="94"/>
  <c r="E23" i="94" s="1"/>
  <c r="Y77" i="94"/>
  <c r="DD69" i="94"/>
  <c r="CK69" i="94"/>
  <c r="DB68" i="94"/>
  <c r="CE67" i="94"/>
  <c r="CD66" i="94"/>
  <c r="CU65" i="94"/>
  <c r="CW64" i="94"/>
  <c r="CJ64" i="94"/>
  <c r="CC122" i="94"/>
  <c r="DD120" i="94"/>
  <c r="DB119" i="94"/>
  <c r="DA118" i="94"/>
  <c r="Y106" i="94"/>
  <c r="DC96" i="94"/>
  <c r="CB96" i="94"/>
  <c r="CT95" i="94"/>
  <c r="DE93" i="94"/>
  <c r="CL93" i="94"/>
  <c r="DC92" i="94"/>
  <c r="CK92" i="94"/>
  <c r="DB91" i="94"/>
  <c r="CI91" i="94"/>
  <c r="D85" i="94"/>
  <c r="D23" i="94" s="1"/>
  <c r="H77" i="94"/>
  <c r="I77" i="94" s="1"/>
  <c r="DB69" i="94"/>
  <c r="CJ69" i="94"/>
  <c r="DA68" i="94"/>
  <c r="CE68" i="94"/>
  <c r="CW67" i="94"/>
  <c r="CD67" i="94"/>
  <c r="CU66" i="94"/>
  <c r="CC66" i="94"/>
  <c r="CT65" i="94"/>
  <c r="CB65" i="94"/>
  <c r="CV64" i="94"/>
  <c r="CI64" i="94"/>
  <c r="U58" i="94"/>
  <c r="U22" i="94" s="1"/>
  <c r="F320" i="98"/>
  <c r="F322" i="98"/>
  <c r="F320" i="97"/>
  <c r="F321" i="98"/>
  <c r="F322" i="97"/>
  <c r="F321" i="97"/>
  <c r="Y214" i="73"/>
  <c r="H212" i="73"/>
  <c r="I212" i="73" s="1"/>
  <c r="Y209" i="73"/>
  <c r="Y250" i="73" s="1"/>
  <c r="H208" i="73"/>
  <c r="CN205" i="73"/>
  <c r="CJ205" i="73"/>
  <c r="CC205" i="73"/>
  <c r="DD204" i="73"/>
  <c r="CW204" i="73"/>
  <c r="CN204" i="73"/>
  <c r="CJ204" i="73"/>
  <c r="CC204" i="73"/>
  <c r="DD203" i="73"/>
  <c r="CW203" i="73"/>
  <c r="CN203" i="73"/>
  <c r="CJ203" i="73"/>
  <c r="CC203" i="73"/>
  <c r="CW202" i="73"/>
  <c r="CC202" i="73"/>
  <c r="DD201" i="73"/>
  <c r="CW201" i="73"/>
  <c r="CN201" i="73"/>
  <c r="CJ201" i="73"/>
  <c r="CC201" i="73"/>
  <c r="DD200" i="73"/>
  <c r="CW200" i="73"/>
  <c r="CN200" i="73"/>
  <c r="CJ200" i="73"/>
  <c r="CC200" i="73"/>
  <c r="DD199" i="73"/>
  <c r="CW199" i="73"/>
  <c r="CN199" i="73"/>
  <c r="CJ199" i="73"/>
  <c r="CC199" i="73"/>
  <c r="V193" i="73"/>
  <c r="V27" i="73" s="1"/>
  <c r="Y214" i="95"/>
  <c r="H212" i="95"/>
  <c r="I212" i="95" s="1"/>
  <c r="Y209" i="95"/>
  <c r="H208" i="95"/>
  <c r="H249" i="95" s="1"/>
  <c r="CN205" i="95"/>
  <c r="CJ205" i="95"/>
  <c r="CC205" i="95"/>
  <c r="DD204" i="95"/>
  <c r="CW204" i="95"/>
  <c r="CN204" i="95"/>
  <c r="CJ204" i="95"/>
  <c r="CC204" i="95"/>
  <c r="DD203" i="95"/>
  <c r="CW203" i="95"/>
  <c r="CN203" i="95"/>
  <c r="CJ203" i="95"/>
  <c r="CC203" i="95"/>
  <c r="CW202" i="95"/>
  <c r="CC202" i="95"/>
  <c r="DD201" i="95"/>
  <c r="CW201" i="95"/>
  <c r="CN201" i="95"/>
  <c r="CJ201" i="95"/>
  <c r="CC201" i="95"/>
  <c r="DD200" i="95"/>
  <c r="CW200" i="95"/>
  <c r="CN200" i="95"/>
  <c r="CJ200" i="95"/>
  <c r="CC200" i="95"/>
  <c r="DD199" i="95"/>
  <c r="CW199" i="95"/>
  <c r="CN199" i="95"/>
  <c r="CJ199" i="95"/>
  <c r="CC199" i="95"/>
  <c r="V193" i="95"/>
  <c r="V27" i="95" s="1"/>
  <c r="Y214" i="97"/>
  <c r="H212" i="97"/>
  <c r="I212" i="97" s="1"/>
  <c r="DQ212" i="73"/>
  <c r="DR212" i="73" s="1"/>
  <c r="H211" i="73"/>
  <c r="H209" i="73"/>
  <c r="H250" i="73" s="1"/>
  <c r="Y207" i="73"/>
  <c r="Y248" i="73" s="1"/>
  <c r="CI205" i="73"/>
  <c r="DF204" i="73"/>
  <c r="DA204" i="73"/>
  <c r="CM204" i="73"/>
  <c r="CE204" i="73"/>
  <c r="DE203" i="73"/>
  <c r="CV203" i="73"/>
  <c r="CL203" i="73"/>
  <c r="CD203" i="73"/>
  <c r="CU202" i="73"/>
  <c r="CB202" i="73"/>
  <c r="DB201" i="73"/>
  <c r="CT201" i="73"/>
  <c r="CI201" i="73"/>
  <c r="DF200" i="73"/>
  <c r="DA200" i="73"/>
  <c r="CM200" i="73"/>
  <c r="CE200" i="73"/>
  <c r="DE199" i="73"/>
  <c r="CV199" i="73"/>
  <c r="CL199" i="73"/>
  <c r="CD199" i="73"/>
  <c r="U193" i="73"/>
  <c r="U27" i="73" s="1"/>
  <c r="DQ212" i="95"/>
  <c r="H211" i="95"/>
  <c r="H209" i="95"/>
  <c r="Y207" i="95"/>
  <c r="CI205" i="95"/>
  <c r="DF204" i="95"/>
  <c r="DA204" i="95"/>
  <c r="CM204" i="95"/>
  <c r="CE204" i="95"/>
  <c r="DE203" i="95"/>
  <c r="CV203" i="95"/>
  <c r="CL203" i="95"/>
  <c r="CD203" i="95"/>
  <c r="CU202" i="95"/>
  <c r="CB202" i="95"/>
  <c r="DB201" i="95"/>
  <c r="CT201" i="95"/>
  <c r="CI201" i="95"/>
  <c r="DF200" i="95"/>
  <c r="DA200" i="95"/>
  <c r="CM200" i="95"/>
  <c r="CE200" i="95"/>
  <c r="DE199" i="95"/>
  <c r="CV199" i="95"/>
  <c r="CL199" i="95"/>
  <c r="CD199" i="95"/>
  <c r="U193" i="95"/>
  <c r="U27" i="95" s="1"/>
  <c r="DQ212" i="97"/>
  <c r="H211" i="97"/>
  <c r="I211" i="97" s="1"/>
  <c r="Y208" i="97"/>
  <c r="H207" i="97"/>
  <c r="CK205" i="97"/>
  <c r="CD205" i="97"/>
  <c r="DE204" i="97"/>
  <c r="DA204" i="97"/>
  <c r="CT204" i="97"/>
  <c r="CK204" i="97"/>
  <c r="CD204" i="97"/>
  <c r="DE203" i="97"/>
  <c r="DA203" i="97"/>
  <c r="CT203" i="97"/>
  <c r="CK203" i="97"/>
  <c r="CD203" i="97"/>
  <c r="CT202" i="97"/>
  <c r="CD202" i="97"/>
  <c r="Y212" i="73"/>
  <c r="Y253" i="73" s="1"/>
  <c r="H210" i="73"/>
  <c r="H251" i="73" s="1"/>
  <c r="DQ207" i="73"/>
  <c r="DQ248" i="73" s="1"/>
  <c r="CM205" i="73"/>
  <c r="CD205" i="73"/>
  <c r="DB204" i="73"/>
  <c r="CL204" i="73"/>
  <c r="CB204" i="73"/>
  <c r="DA203" i="73"/>
  <c r="CK203" i="73"/>
  <c r="CV202" i="73"/>
  <c r="DE201" i="73"/>
  <c r="CU201" i="73"/>
  <c r="CE201" i="73"/>
  <c r="DC200" i="73"/>
  <c r="CT200" i="73"/>
  <c r="CD200" i="73"/>
  <c r="DB199" i="73"/>
  <c r="CM199" i="73"/>
  <c r="CB199" i="73"/>
  <c r="D193" i="73"/>
  <c r="D27" i="73" s="1"/>
  <c r="Y211" i="95"/>
  <c r="CK205" i="95"/>
  <c r="DE204" i="95"/>
  <c r="CU204" i="95"/>
  <c r="CI204" i="95"/>
  <c r="DC203" i="95"/>
  <c r="CT203" i="95"/>
  <c r="CE203" i="95"/>
  <c r="CD202" i="95"/>
  <c r="DA201" i="95"/>
  <c r="CL201" i="95"/>
  <c r="CB201" i="95"/>
  <c r="CV200" i="95"/>
  <c r="CK200" i="95"/>
  <c r="DF199" i="95"/>
  <c r="CU199" i="95"/>
  <c r="CI199" i="95"/>
  <c r="DM193" i="95"/>
  <c r="DM27" i="95" s="1"/>
  <c r="Y212" i="97"/>
  <c r="Y210" i="97"/>
  <c r="CM205" i="97"/>
  <c r="CE205" i="97"/>
  <c r="DD204" i="97"/>
  <c r="CV204" i="97"/>
  <c r="CL204" i="97"/>
  <c r="CC204" i="97"/>
  <c r="DC203" i="97"/>
  <c r="CU203" i="97"/>
  <c r="CJ203" i="97"/>
  <c r="CB203" i="97"/>
  <c r="DF201" i="97"/>
  <c r="DB201" i="97"/>
  <c r="CU201" i="97"/>
  <c r="CL201" i="97"/>
  <c r="CE201" i="97"/>
  <c r="DF200" i="97"/>
  <c r="DB200" i="97"/>
  <c r="CU200" i="97"/>
  <c r="CL200" i="97"/>
  <c r="CE200" i="97"/>
  <c r="DF199" i="97"/>
  <c r="DB199" i="97"/>
  <c r="CU199" i="97"/>
  <c r="CL199" i="97"/>
  <c r="CE199" i="97"/>
  <c r="DN27" i="97"/>
  <c r="E193" i="97"/>
  <c r="E27" i="97" s="1"/>
  <c r="DQ212" i="98"/>
  <c r="Y211" i="98"/>
  <c r="H210" i="98"/>
  <c r="Y207" i="98"/>
  <c r="CL205" i="98"/>
  <c r="CE205" i="98"/>
  <c r="DF204" i="98"/>
  <c r="DB204" i="98"/>
  <c r="CU204" i="98"/>
  <c r="CL204" i="98"/>
  <c r="CE204" i="98"/>
  <c r="DF203" i="98"/>
  <c r="DB203" i="98"/>
  <c r="CU203" i="98"/>
  <c r="CL203" i="98"/>
  <c r="CE203" i="98"/>
  <c r="CU202" i="98"/>
  <c r="CE202" i="98"/>
  <c r="DF201" i="98"/>
  <c r="DB201" i="98"/>
  <c r="CU201" i="98"/>
  <c r="CL201" i="98"/>
  <c r="CE201" i="98"/>
  <c r="DF200" i="98"/>
  <c r="DB200" i="98"/>
  <c r="CU200" i="98"/>
  <c r="CL200" i="98"/>
  <c r="CE200" i="98"/>
  <c r="DF199" i="98"/>
  <c r="DB199" i="98"/>
  <c r="CU199" i="98"/>
  <c r="CL199" i="98"/>
  <c r="CE199" i="98"/>
  <c r="DN27" i="98"/>
  <c r="E193" i="98"/>
  <c r="E27" i="98" s="1"/>
  <c r="Y187" i="73"/>
  <c r="H185" i="73"/>
  <c r="I185" i="73" s="1"/>
  <c r="DQ183" i="73"/>
  <c r="DP251" i="73" s="1"/>
  <c r="Y182" i="73"/>
  <c r="X250" i="73" s="1"/>
  <c r="H181" i="73"/>
  <c r="G249" i="73" s="1"/>
  <c r="CN178" i="73"/>
  <c r="CJ178" i="73"/>
  <c r="CC178" i="73"/>
  <c r="DD177" i="73"/>
  <c r="CW177" i="73"/>
  <c r="CN177" i="73"/>
  <c r="CJ177" i="73"/>
  <c r="CC177" i="73"/>
  <c r="DD176" i="73"/>
  <c r="CW176" i="73"/>
  <c r="CN176" i="73"/>
  <c r="CJ176" i="73"/>
  <c r="CC176" i="73"/>
  <c r="CW175" i="73"/>
  <c r="CC175" i="73"/>
  <c r="DD174" i="73"/>
  <c r="CW174" i="73"/>
  <c r="CN174" i="73"/>
  <c r="CJ174" i="73"/>
  <c r="CC174" i="73"/>
  <c r="DD173" i="73"/>
  <c r="CW173" i="73"/>
  <c r="CN173" i="73"/>
  <c r="CJ173" i="73"/>
  <c r="CC173" i="73"/>
  <c r="DD172" i="73"/>
  <c r="CW172" i="73"/>
  <c r="CN172" i="73"/>
  <c r="CJ172" i="73"/>
  <c r="CC172" i="73"/>
  <c r="V166" i="73"/>
  <c r="V26" i="73" s="1"/>
  <c r="Y187" i="95"/>
  <c r="H185" i="95"/>
  <c r="I185" i="95" s="1"/>
  <c r="DQ183" i="95"/>
  <c r="DP251" i="95" s="1"/>
  <c r="Y182" i="95"/>
  <c r="H181" i="95"/>
  <c r="G249" i="95" s="1"/>
  <c r="CN178" i="95"/>
  <c r="CJ178" i="95"/>
  <c r="CC178" i="95"/>
  <c r="Y211" i="73"/>
  <c r="Y252" i="73" s="1"/>
  <c r="CK205" i="73"/>
  <c r="DE204" i="73"/>
  <c r="CU204" i="73"/>
  <c r="CI204" i="73"/>
  <c r="DC203" i="73"/>
  <c r="CT203" i="73"/>
  <c r="CE203" i="73"/>
  <c r="CD202" i="73"/>
  <c r="DA201" i="73"/>
  <c r="CL201" i="73"/>
  <c r="CB201" i="73"/>
  <c r="CV200" i="73"/>
  <c r="CK200" i="73"/>
  <c r="DF199" i="73"/>
  <c r="CU199" i="73"/>
  <c r="CI199" i="73"/>
  <c r="DM193" i="73"/>
  <c r="DM27" i="73" s="1"/>
  <c r="Y212" i="95"/>
  <c r="H210" i="95"/>
  <c r="DQ207" i="95"/>
  <c r="CM205" i="95"/>
  <c r="CD205" i="95"/>
  <c r="DB204" i="95"/>
  <c r="CL204" i="95"/>
  <c r="CB204" i="95"/>
  <c r="DA203" i="95"/>
  <c r="CK203" i="95"/>
  <c r="CV202" i="95"/>
  <c r="DE201" i="95"/>
  <c r="CU201" i="95"/>
  <c r="CE201" i="95"/>
  <c r="DC200" i="95"/>
  <c r="CT200" i="95"/>
  <c r="CD200" i="95"/>
  <c r="DB199" i="95"/>
  <c r="CM199" i="95"/>
  <c r="CB199" i="95"/>
  <c r="D193" i="95"/>
  <c r="D27" i="95" s="1"/>
  <c r="Y211" i="97"/>
  <c r="Y209" i="97"/>
  <c r="DQ207" i="97"/>
  <c r="CJ205" i="97"/>
  <c r="CB205" i="97"/>
  <c r="DB204" i="97"/>
  <c r="CN204" i="97"/>
  <c r="CI204" i="97"/>
  <c r="DF203" i="97"/>
  <c r="CW203" i="97"/>
  <c r="CM203" i="97"/>
  <c r="CE203" i="97"/>
  <c r="CV202" i="97"/>
  <c r="CC202" i="97"/>
  <c r="DD201" i="97"/>
  <c r="CW201" i="97"/>
  <c r="CN201" i="97"/>
  <c r="CJ201" i="97"/>
  <c r="CC201" i="97"/>
  <c r="DD200" i="97"/>
  <c r="CW200" i="97"/>
  <c r="CN200" i="97"/>
  <c r="CJ200" i="97"/>
  <c r="CC200" i="97"/>
  <c r="DD199" i="97"/>
  <c r="CW199" i="97"/>
  <c r="CN199" i="97"/>
  <c r="CJ199" i="97"/>
  <c r="CC199" i="97"/>
  <c r="V193" i="97"/>
  <c r="V27" i="97" s="1"/>
  <c r="Y214" i="98"/>
  <c r="H212" i="98"/>
  <c r="I212" i="98" s="1"/>
  <c r="Y209" i="98"/>
  <c r="H208" i="98"/>
  <c r="CN205" i="98"/>
  <c r="CJ205" i="98"/>
  <c r="CC205" i="98"/>
  <c r="DD204" i="98"/>
  <c r="CW204" i="98"/>
  <c r="CN204" i="98"/>
  <c r="CJ204" i="98"/>
  <c r="CC204" i="98"/>
  <c r="DD203" i="98"/>
  <c r="CW203" i="98"/>
  <c r="CN203" i="98"/>
  <c r="CJ203" i="98"/>
  <c r="CC203" i="98"/>
  <c r="CW202" i="98"/>
  <c r="CC202" i="98"/>
  <c r="DD201" i="98"/>
  <c r="CW201" i="98"/>
  <c r="CN201" i="98"/>
  <c r="CJ201" i="98"/>
  <c r="CC201" i="98"/>
  <c r="DD200" i="98"/>
  <c r="CW200" i="98"/>
  <c r="CN200" i="98"/>
  <c r="CJ200" i="98"/>
  <c r="CC200" i="98"/>
  <c r="H207" i="73"/>
  <c r="CB205" i="73"/>
  <c r="CK204" i="73"/>
  <c r="CU203" i="73"/>
  <c r="CE202" i="73"/>
  <c r="CM201" i="73"/>
  <c r="DB200" i="73"/>
  <c r="CB200" i="73"/>
  <c r="CK199" i="73"/>
  <c r="Y213" i="95"/>
  <c r="Y208" i="95"/>
  <c r="CE205" i="95"/>
  <c r="CT204" i="95"/>
  <c r="DB203" i="95"/>
  <c r="CB203" i="95"/>
  <c r="CV201" i="95"/>
  <c r="DE200" i="95"/>
  <c r="CI200" i="95"/>
  <c r="CT199" i="95"/>
  <c r="E193" i="95"/>
  <c r="E27" i="95" s="1"/>
  <c r="H210" i="97"/>
  <c r="CC205" i="97"/>
  <c r="CU204" i="97"/>
  <c r="CB204" i="97"/>
  <c r="CN203" i="97"/>
  <c r="DE201" i="97"/>
  <c r="CT201" i="97"/>
  <c r="CD201" i="97"/>
  <c r="DA200" i="97"/>
  <c r="CK200" i="97"/>
  <c r="DE199" i="97"/>
  <c r="CT199" i="97"/>
  <c r="CD199" i="97"/>
  <c r="D193" i="97"/>
  <c r="D27" i="97" s="1"/>
  <c r="H211" i="98"/>
  <c r="Y208" i="98"/>
  <c r="CD205" i="98"/>
  <c r="DA204" i="98"/>
  <c r="CK204" i="98"/>
  <c r="DE203" i="98"/>
  <c r="CT203" i="98"/>
  <c r="CD203" i="98"/>
  <c r="DE201" i="98"/>
  <c r="CT201" i="98"/>
  <c r="CD201" i="98"/>
  <c r="DA200" i="98"/>
  <c r="CK200" i="98"/>
  <c r="DE199" i="98"/>
  <c r="CW199" i="98"/>
  <c r="CM199" i="98"/>
  <c r="CD199" i="98"/>
  <c r="V193" i="98"/>
  <c r="V27" i="98" s="1"/>
  <c r="DQ184" i="73"/>
  <c r="H183" i="73"/>
  <c r="Y181" i="73"/>
  <c r="X249" i="73" s="1"/>
  <c r="CL178" i="73"/>
  <c r="CD178" i="73"/>
  <c r="DC177" i="73"/>
  <c r="CU177" i="73"/>
  <c r="CK177" i="73"/>
  <c r="CB177" i="73"/>
  <c r="DB176" i="73"/>
  <c r="CT176" i="73"/>
  <c r="CI176" i="73"/>
  <c r="CE175" i="73"/>
  <c r="DE174" i="73"/>
  <c r="CV174" i="73"/>
  <c r="CL174" i="73"/>
  <c r="CD174" i="73"/>
  <c r="DC173" i="73"/>
  <c r="CU173" i="73"/>
  <c r="CK173" i="73"/>
  <c r="CB173" i="73"/>
  <c r="DB172" i="73"/>
  <c r="CT172" i="73"/>
  <c r="CI172" i="73"/>
  <c r="D166" i="73"/>
  <c r="D26" i="73" s="1"/>
  <c r="DQ184" i="95"/>
  <c r="H183" i="95"/>
  <c r="G251" i="95" s="1"/>
  <c r="Y181" i="95"/>
  <c r="CL178" i="95"/>
  <c r="CD178" i="95"/>
  <c r="DD177" i="95"/>
  <c r="CW177" i="95"/>
  <c r="CN177" i="95"/>
  <c r="CJ177" i="95"/>
  <c r="CC177" i="95"/>
  <c r="DD176" i="95"/>
  <c r="CW176" i="95"/>
  <c r="CN176" i="95"/>
  <c r="CJ176" i="95"/>
  <c r="CC176" i="95"/>
  <c r="CW175" i="95"/>
  <c r="CC175" i="95"/>
  <c r="DD174" i="95"/>
  <c r="CW174" i="95"/>
  <c r="CN174" i="95"/>
  <c r="CJ174" i="95"/>
  <c r="CC174" i="95"/>
  <c r="DD173" i="95"/>
  <c r="CW173" i="95"/>
  <c r="CN173" i="95"/>
  <c r="CJ173" i="95"/>
  <c r="CC173" i="95"/>
  <c r="DD172" i="95"/>
  <c r="CW172" i="95"/>
  <c r="CN172" i="95"/>
  <c r="CJ172" i="95"/>
  <c r="CC172" i="95"/>
  <c r="V166" i="95"/>
  <c r="V26" i="95" s="1"/>
  <c r="Y187" i="97"/>
  <c r="H185" i="97"/>
  <c r="DQ183" i="97"/>
  <c r="DP251" i="97" s="1"/>
  <c r="Y182" i="97"/>
  <c r="H181" i="97"/>
  <c r="CN178" i="97"/>
  <c r="CJ178" i="97"/>
  <c r="CC178" i="97"/>
  <c r="DD177" i="97"/>
  <c r="CW177" i="97"/>
  <c r="CN177" i="97"/>
  <c r="CJ177" i="97"/>
  <c r="CC177" i="97"/>
  <c r="DD176" i="97"/>
  <c r="CW176" i="97"/>
  <c r="CN176" i="97"/>
  <c r="CJ176" i="97"/>
  <c r="CC176" i="97"/>
  <c r="CW175" i="97"/>
  <c r="CC175" i="97"/>
  <c r="DD174" i="97"/>
  <c r="CW174" i="97"/>
  <c r="CN174" i="97"/>
  <c r="CJ174" i="97"/>
  <c r="CC174" i="97"/>
  <c r="DD173" i="97"/>
  <c r="CW173" i="97"/>
  <c r="CN173" i="97"/>
  <c r="CJ173" i="97"/>
  <c r="CC173" i="97"/>
  <c r="DD172" i="97"/>
  <c r="CW172" i="97"/>
  <c r="CN172" i="97"/>
  <c r="CJ172" i="97"/>
  <c r="CC172" i="97"/>
  <c r="V166" i="97"/>
  <c r="V26" i="97" s="1"/>
  <c r="Y187" i="98"/>
  <c r="H185" i="98"/>
  <c r="I185" i="98" s="1"/>
  <c r="DQ183" i="98"/>
  <c r="DP251" i="98" s="1"/>
  <c r="Y182" i="98"/>
  <c r="H181" i="98"/>
  <c r="CN178" i="98"/>
  <c r="CJ178" i="98"/>
  <c r="CC178" i="98"/>
  <c r="DD177" i="98"/>
  <c r="CW177" i="98"/>
  <c r="CN177" i="98"/>
  <c r="CJ177" i="98"/>
  <c r="CC177" i="98"/>
  <c r="DD176" i="98"/>
  <c r="CW176" i="98"/>
  <c r="CN176" i="98"/>
  <c r="CJ176" i="98"/>
  <c r="CC176" i="98"/>
  <c r="CW175" i="98"/>
  <c r="CC175" i="98"/>
  <c r="DD174" i="98"/>
  <c r="CW174" i="98"/>
  <c r="CN174" i="98"/>
  <c r="CJ174" i="98"/>
  <c r="CC174" i="98"/>
  <c r="DD173" i="98"/>
  <c r="CW173" i="98"/>
  <c r="CN173" i="98"/>
  <c r="CJ173" i="98"/>
  <c r="CC173" i="98"/>
  <c r="DD172" i="98"/>
  <c r="CW172" i="98"/>
  <c r="CN172" i="98"/>
  <c r="CJ172" i="98"/>
  <c r="CC172" i="98"/>
  <c r="V166" i="98"/>
  <c r="V26" i="98" s="1"/>
  <c r="Y160" i="73"/>
  <c r="Z160" i="73" s="1"/>
  <c r="H158" i="73"/>
  <c r="I158" i="73" s="1"/>
  <c r="DQ156" i="73"/>
  <c r="DO251" i="73" s="1"/>
  <c r="Y155" i="73"/>
  <c r="W250" i="73" s="1"/>
  <c r="H154" i="73"/>
  <c r="F249" i="73" s="1"/>
  <c r="CN151" i="73"/>
  <c r="CJ151" i="73"/>
  <c r="CC151" i="73"/>
  <c r="DD150" i="73"/>
  <c r="CW150" i="73"/>
  <c r="CN150" i="73"/>
  <c r="CJ150" i="73"/>
  <c r="CC150" i="73"/>
  <c r="DD149" i="73"/>
  <c r="CW149" i="73"/>
  <c r="CN149" i="73"/>
  <c r="CJ149" i="73"/>
  <c r="CC149" i="73"/>
  <c r="CW148" i="73"/>
  <c r="CC148" i="73"/>
  <c r="DD147" i="73"/>
  <c r="CW147" i="73"/>
  <c r="CN147" i="73"/>
  <c r="CJ147" i="73"/>
  <c r="CC147" i="73"/>
  <c r="DD146" i="73"/>
  <c r="CW146" i="73"/>
  <c r="CN146" i="73"/>
  <c r="CJ146" i="73"/>
  <c r="CC146" i="73"/>
  <c r="DD145" i="73"/>
  <c r="CW145" i="73"/>
  <c r="CN145" i="73"/>
  <c r="CJ145" i="73"/>
  <c r="CC145" i="73"/>
  <c r="V139" i="73"/>
  <c r="V25" i="73" s="1"/>
  <c r="Y160" i="95"/>
  <c r="H158" i="95"/>
  <c r="I158" i="95" s="1"/>
  <c r="DQ156" i="95"/>
  <c r="DO251" i="95" s="1"/>
  <c r="Y155" i="95"/>
  <c r="H154" i="95"/>
  <c r="F249" i="95" s="1"/>
  <c r="CN151" i="95"/>
  <c r="CJ151" i="95"/>
  <c r="CC151" i="95"/>
  <c r="DD150" i="95"/>
  <c r="CW150" i="95"/>
  <c r="CN150" i="95"/>
  <c r="CJ150" i="95"/>
  <c r="CC150" i="95"/>
  <c r="DD149" i="95"/>
  <c r="CW149" i="95"/>
  <c r="CN149" i="95"/>
  <c r="CJ149" i="95"/>
  <c r="CC149" i="95"/>
  <c r="CW148" i="95"/>
  <c r="CC148" i="95"/>
  <c r="DD147" i="95"/>
  <c r="CW147" i="95"/>
  <c r="CN147" i="95"/>
  <c r="CJ147" i="95"/>
  <c r="CC147" i="95"/>
  <c r="DD146" i="95"/>
  <c r="CW146" i="95"/>
  <c r="CN146" i="95"/>
  <c r="CJ146" i="95"/>
  <c r="CC146" i="95"/>
  <c r="DD145" i="95"/>
  <c r="CW145" i="95"/>
  <c r="CN145" i="95"/>
  <c r="CJ145" i="95"/>
  <c r="CC145" i="95"/>
  <c r="V139" i="95"/>
  <c r="V25" i="95" s="1"/>
  <c r="Y160" i="97"/>
  <c r="H158" i="97"/>
  <c r="I158" i="97" s="1"/>
  <c r="DQ156" i="97"/>
  <c r="DO251" i="97" s="1"/>
  <c r="Y155" i="97"/>
  <c r="H154" i="97"/>
  <c r="CN151" i="97"/>
  <c r="CJ151" i="97"/>
  <c r="CC151" i="97"/>
  <c r="DD150" i="97"/>
  <c r="CW150" i="97"/>
  <c r="CN150" i="97"/>
  <c r="CJ150" i="97"/>
  <c r="CC150" i="97"/>
  <c r="DD149" i="97"/>
  <c r="CW149" i="97"/>
  <c r="CN149" i="97"/>
  <c r="CJ149" i="97"/>
  <c r="CC149" i="97"/>
  <c r="CW148" i="97"/>
  <c r="CL205" i="73"/>
  <c r="CV204" i="73"/>
  <c r="DF203" i="73"/>
  <c r="CI203" i="73"/>
  <c r="CT202" i="73"/>
  <c r="DC201" i="73"/>
  <c r="CD201" i="73"/>
  <c r="CL200" i="73"/>
  <c r="DA199" i="73"/>
  <c r="Y210" i="95"/>
  <c r="DC204" i="95"/>
  <c r="CD204" i="95"/>
  <c r="CM203" i="95"/>
  <c r="DF201" i="95"/>
  <c r="CK201" i="95"/>
  <c r="CU200" i="95"/>
  <c r="DC199" i="95"/>
  <c r="CE199" i="95"/>
  <c r="H208" i="97"/>
  <c r="CL205" i="97"/>
  <c r="DC204" i="97"/>
  <c r="CJ204" i="97"/>
  <c r="DB203" i="97"/>
  <c r="CI203" i="97"/>
  <c r="CW202" i="97"/>
  <c r="CE202" i="97"/>
  <c r="DA201" i="97"/>
  <c r="CK201" i="97"/>
  <c r="DE200" i="97"/>
  <c r="CT200" i="97"/>
  <c r="CD200" i="97"/>
  <c r="DA199" i="97"/>
  <c r="CK199" i="97"/>
  <c r="DM193" i="97"/>
  <c r="DM27" i="97" s="1"/>
  <c r="Y212" i="98"/>
  <c r="H207" i="98"/>
  <c r="CK205" i="98"/>
  <c r="DE204" i="98"/>
  <c r="CT204" i="98"/>
  <c r="CD204" i="98"/>
  <c r="DA203" i="98"/>
  <c r="CK203" i="98"/>
  <c r="CT202" i="98"/>
  <c r="CD202" i="98"/>
  <c r="DA201" i="98"/>
  <c r="CK201" i="98"/>
  <c r="DE200" i="98"/>
  <c r="CT200" i="98"/>
  <c r="CD200" i="98"/>
  <c r="DC199" i="98"/>
  <c r="CT199" i="98"/>
  <c r="CJ199" i="98"/>
  <c r="CB199" i="98"/>
  <c r="D193" i="98"/>
  <c r="D27" i="98" s="1"/>
  <c r="DQ185" i="73"/>
  <c r="H184" i="73"/>
  <c r="H182" i="73"/>
  <c r="G250" i="73" s="1"/>
  <c r="Y180" i="73"/>
  <c r="X248" i="73" s="1"/>
  <c r="CI178" i="73"/>
  <c r="DF177" i="73"/>
  <c r="DA177" i="73"/>
  <c r="CM177" i="73"/>
  <c r="CE177" i="73"/>
  <c r="DE176" i="73"/>
  <c r="CV176" i="73"/>
  <c r="CL176" i="73"/>
  <c r="CD176" i="73"/>
  <c r="CU175" i="73"/>
  <c r="CB175" i="73"/>
  <c r="DB174" i="73"/>
  <c r="CT174" i="73"/>
  <c r="CI174" i="73"/>
  <c r="DF173" i="73"/>
  <c r="DA173" i="73"/>
  <c r="CM173" i="73"/>
  <c r="CE173" i="73"/>
  <c r="DE172" i="73"/>
  <c r="CV172" i="73"/>
  <c r="CL172" i="73"/>
  <c r="CD172" i="73"/>
  <c r="U166" i="73"/>
  <c r="U26" i="73" s="1"/>
  <c r="DQ185" i="95"/>
  <c r="H184" i="95"/>
  <c r="G252" i="95" s="1"/>
  <c r="H182" i="95"/>
  <c r="G250" i="95" s="1"/>
  <c r="Y180" i="95"/>
  <c r="CI178" i="95"/>
  <c r="DF177" i="95"/>
  <c r="DB177" i="95"/>
  <c r="CU177" i="95"/>
  <c r="CL177" i="95"/>
  <c r="CE177" i="95"/>
  <c r="DF176" i="95"/>
  <c r="DB176" i="95"/>
  <c r="CU176" i="95"/>
  <c r="CL176" i="95"/>
  <c r="CE176" i="95"/>
  <c r="CU175" i="95"/>
  <c r="CE175" i="95"/>
  <c r="DF174" i="95"/>
  <c r="DB174" i="95"/>
  <c r="CU174" i="95"/>
  <c r="CL174" i="95"/>
  <c r="CE174" i="95"/>
  <c r="DF173" i="95"/>
  <c r="DB173" i="95"/>
  <c r="CU173" i="95"/>
  <c r="CL173" i="95"/>
  <c r="CE173" i="95"/>
  <c r="DF172" i="95"/>
  <c r="DB172" i="95"/>
  <c r="CU172" i="95"/>
  <c r="CL172" i="95"/>
  <c r="CE172" i="95"/>
  <c r="E166" i="95"/>
  <c r="E26" i="95" s="1"/>
  <c r="DQ185" i="97"/>
  <c r="Y184" i="97"/>
  <c r="H183" i="97"/>
  <c r="DQ181" i="97"/>
  <c r="DP249" i="97" s="1"/>
  <c r="Y180" i="97"/>
  <c r="CL178" i="97"/>
  <c r="CE178" i="97"/>
  <c r="DF177" i="97"/>
  <c r="DB177" i="97"/>
  <c r="CU177" i="97"/>
  <c r="CL177" i="97"/>
  <c r="CE177" i="97"/>
  <c r="DF176" i="97"/>
  <c r="DB176" i="97"/>
  <c r="CU176" i="97"/>
  <c r="CL176" i="97"/>
  <c r="CE176" i="97"/>
  <c r="CU175" i="97"/>
  <c r="CE175" i="97"/>
  <c r="DF174" i="97"/>
  <c r="DB174" i="97"/>
  <c r="CU174" i="97"/>
  <c r="CL174" i="97"/>
  <c r="CE174" i="97"/>
  <c r="DF173" i="97"/>
  <c r="DB173" i="97"/>
  <c r="CU173" i="97"/>
  <c r="CL173" i="97"/>
  <c r="CE173" i="97"/>
  <c r="DF172" i="97"/>
  <c r="DB172" i="97"/>
  <c r="CU172" i="97"/>
  <c r="CL172" i="97"/>
  <c r="CE172" i="97"/>
  <c r="E166" i="97"/>
  <c r="E26" i="97" s="1"/>
  <c r="CD204" i="73"/>
  <c r="CK201" i="73"/>
  <c r="DC199" i="73"/>
  <c r="CB205" i="95"/>
  <c r="CU203" i="95"/>
  <c r="CE202" i="95"/>
  <c r="DB200" i="95"/>
  <c r="CK199" i="95"/>
  <c r="H209" i="97"/>
  <c r="DF204" i="97"/>
  <c r="DD203" i="97"/>
  <c r="DC201" i="97"/>
  <c r="CB201" i="97"/>
  <c r="CI200" i="97"/>
  <c r="CM199" i="97"/>
  <c r="Y213" i="98"/>
  <c r="DQ207" i="98"/>
  <c r="CB205" i="98"/>
  <c r="CI204" i="98"/>
  <c r="CM203" i="98"/>
  <c r="CV202" i="98"/>
  <c r="DC201" i="98"/>
  <c r="CB201" i="98"/>
  <c r="CI200" i="98"/>
  <c r="CV199" i="98"/>
  <c r="CC199" i="98"/>
  <c r="Y183" i="73"/>
  <c r="X251" i="73" s="1"/>
  <c r="H180" i="73"/>
  <c r="G248" i="73" s="1"/>
  <c r="CE178" i="73"/>
  <c r="CV177" i="73"/>
  <c r="CD177" i="73"/>
  <c r="CU176" i="73"/>
  <c r="CB176" i="73"/>
  <c r="CT175" i="73"/>
  <c r="DF174" i="73"/>
  <c r="CM174" i="73"/>
  <c r="DE173" i="73"/>
  <c r="CL173" i="73"/>
  <c r="DC172" i="73"/>
  <c r="CK172" i="73"/>
  <c r="E166" i="73"/>
  <c r="E26" i="73" s="1"/>
  <c r="Y183" i="95"/>
  <c r="H180" i="95"/>
  <c r="CE178" i="95"/>
  <c r="DA177" i="95"/>
  <c r="CK177" i="95"/>
  <c r="DE176" i="95"/>
  <c r="CT176" i="95"/>
  <c r="CD176" i="95"/>
  <c r="DE174" i="95"/>
  <c r="CT174" i="95"/>
  <c r="CD174" i="95"/>
  <c r="DA173" i="95"/>
  <c r="CK173" i="95"/>
  <c r="DE172" i="95"/>
  <c r="CT172" i="95"/>
  <c r="CD172" i="95"/>
  <c r="D166" i="95"/>
  <c r="D26" i="95" s="1"/>
  <c r="H184" i="97"/>
  <c r="Y181" i="97"/>
  <c r="CD178" i="97"/>
  <c r="DA177" i="97"/>
  <c r="CK177" i="97"/>
  <c r="DE176" i="97"/>
  <c r="CT176" i="97"/>
  <c r="CD176" i="97"/>
  <c r="DE174" i="97"/>
  <c r="CT174" i="97"/>
  <c r="CD174" i="97"/>
  <c r="DA173" i="97"/>
  <c r="CK173" i="97"/>
  <c r="DE172" i="97"/>
  <c r="CT172" i="97"/>
  <c r="CD172" i="97"/>
  <c r="D166" i="97"/>
  <c r="D26" i="97" s="1"/>
  <c r="DQ184" i="98"/>
  <c r="H183" i="98"/>
  <c r="Y181" i="98"/>
  <c r="CL178" i="98"/>
  <c r="CD178" i="98"/>
  <c r="DC177" i="98"/>
  <c r="CU177" i="98"/>
  <c r="CK177" i="98"/>
  <c r="CB177" i="98"/>
  <c r="DB176" i="98"/>
  <c r="CT176" i="98"/>
  <c r="CI176" i="98"/>
  <c r="CE175" i="98"/>
  <c r="DE174" i="98"/>
  <c r="CV174" i="98"/>
  <c r="CL174" i="98"/>
  <c r="CD174" i="98"/>
  <c r="DC173" i="98"/>
  <c r="CU173" i="98"/>
  <c r="CK173" i="98"/>
  <c r="CB173" i="98"/>
  <c r="DB172" i="98"/>
  <c r="CT172" i="98"/>
  <c r="CI172" i="98"/>
  <c r="D166" i="98"/>
  <c r="D26" i="98" s="1"/>
  <c r="DQ157" i="73"/>
  <c r="H156" i="73"/>
  <c r="Y154" i="73"/>
  <c r="W249" i="73" s="1"/>
  <c r="CL151" i="73"/>
  <c r="CD151" i="73"/>
  <c r="DC150" i="73"/>
  <c r="CU150" i="73"/>
  <c r="CK150" i="73"/>
  <c r="CB150" i="73"/>
  <c r="DB149" i="73"/>
  <c r="CT149" i="73"/>
  <c r="CI149" i="73"/>
  <c r="CE148" i="73"/>
  <c r="DE147" i="73"/>
  <c r="CV147" i="73"/>
  <c r="CL147" i="73"/>
  <c r="CD147" i="73"/>
  <c r="DC146" i="73"/>
  <c r="CU146" i="73"/>
  <c r="CK146" i="73"/>
  <c r="CB146" i="73"/>
  <c r="DB145" i="73"/>
  <c r="CT145" i="73"/>
  <c r="CI145" i="73"/>
  <c r="D139" i="73"/>
  <c r="D25" i="73" s="1"/>
  <c r="DQ157" i="95"/>
  <c r="H156" i="95"/>
  <c r="Y154" i="95"/>
  <c r="CL151" i="95"/>
  <c r="CD151" i="95"/>
  <c r="DC150" i="95"/>
  <c r="CU150" i="95"/>
  <c r="CK150" i="95"/>
  <c r="CB150" i="95"/>
  <c r="DB149" i="95"/>
  <c r="CT149" i="95"/>
  <c r="CI149" i="95"/>
  <c r="CE148" i="95"/>
  <c r="DE147" i="95"/>
  <c r="CV147" i="95"/>
  <c r="CL147" i="95"/>
  <c r="CD147" i="95"/>
  <c r="DC146" i="95"/>
  <c r="CU146" i="95"/>
  <c r="CK146" i="95"/>
  <c r="CB146" i="95"/>
  <c r="DB145" i="95"/>
  <c r="CT145" i="95"/>
  <c r="CI145" i="95"/>
  <c r="D139" i="95"/>
  <c r="D25" i="95" s="1"/>
  <c r="DQ157" i="97"/>
  <c r="H156" i="97"/>
  <c r="Y154" i="97"/>
  <c r="CL151" i="97"/>
  <c r="CD151" i="97"/>
  <c r="DC150" i="97"/>
  <c r="CU150" i="97"/>
  <c r="CK150" i="97"/>
  <c r="CB150" i="97"/>
  <c r="DB149" i="97"/>
  <c r="CT149" i="97"/>
  <c r="CI149" i="97"/>
  <c r="CE148" i="97"/>
  <c r="DF147" i="97"/>
  <c r="DB147" i="97"/>
  <c r="CU147" i="97"/>
  <c r="CL147" i="97"/>
  <c r="CE147" i="97"/>
  <c r="DF146" i="97"/>
  <c r="DB146" i="97"/>
  <c r="CU146" i="97"/>
  <c r="CL146" i="97"/>
  <c r="CE146" i="97"/>
  <c r="DF145" i="97"/>
  <c r="DB145" i="97"/>
  <c r="CU145" i="97"/>
  <c r="CL145" i="97"/>
  <c r="CE145" i="97"/>
  <c r="E139" i="97"/>
  <c r="E25" i="97" s="1"/>
  <c r="DQ158" i="98"/>
  <c r="Y157" i="98"/>
  <c r="H156" i="98"/>
  <c r="DQ154" i="98"/>
  <c r="DO249" i="98" s="1"/>
  <c r="Y153" i="98"/>
  <c r="CL151" i="98"/>
  <c r="CE151" i="98"/>
  <c r="DF150" i="98"/>
  <c r="DB150" i="98"/>
  <c r="CU150" i="98"/>
  <c r="CL150" i="98"/>
  <c r="CE150" i="98"/>
  <c r="DF149" i="98"/>
  <c r="DB149" i="98"/>
  <c r="CU149" i="98"/>
  <c r="CL149" i="98"/>
  <c r="CE149" i="98"/>
  <c r="CU148" i="98"/>
  <c r="CE148" i="98"/>
  <c r="DF147" i="98"/>
  <c r="DB147" i="98"/>
  <c r="CU147" i="98"/>
  <c r="CL147" i="98"/>
  <c r="CE147" i="98"/>
  <c r="DF146" i="98"/>
  <c r="DB146" i="98"/>
  <c r="CU146" i="98"/>
  <c r="CL146" i="98"/>
  <c r="CE146" i="98"/>
  <c r="DF145" i="98"/>
  <c r="DB145" i="98"/>
  <c r="CU145" i="98"/>
  <c r="CL145" i="98"/>
  <c r="CE145" i="98"/>
  <c r="E139" i="98"/>
  <c r="E25" i="98" s="1"/>
  <c r="Y133" i="73"/>
  <c r="H131" i="73"/>
  <c r="I131" i="73" s="1"/>
  <c r="DQ129" i="73"/>
  <c r="DN251" i="73" s="1"/>
  <c r="Y128" i="73"/>
  <c r="V250" i="73" s="1"/>
  <c r="H127" i="73"/>
  <c r="CN124" i="73"/>
  <c r="CJ124" i="73"/>
  <c r="CC124" i="73"/>
  <c r="DD123" i="73"/>
  <c r="CW123" i="73"/>
  <c r="CN123" i="73"/>
  <c r="CJ123" i="73"/>
  <c r="CC123" i="73"/>
  <c r="DD122" i="73"/>
  <c r="CW122" i="73"/>
  <c r="CN122" i="73"/>
  <c r="CJ122" i="73"/>
  <c r="CC122" i="73"/>
  <c r="CW121" i="73"/>
  <c r="CC121" i="73"/>
  <c r="DD120" i="73"/>
  <c r="CW120" i="73"/>
  <c r="CN120" i="73"/>
  <c r="CJ120" i="73"/>
  <c r="CC120" i="73"/>
  <c r="DD119" i="73"/>
  <c r="CW119" i="73"/>
  <c r="CN119" i="73"/>
  <c r="CJ119" i="73"/>
  <c r="CC119" i="73"/>
  <c r="DD118" i="73"/>
  <c r="CW118" i="73"/>
  <c r="CN118" i="73"/>
  <c r="CJ118" i="73"/>
  <c r="CC118" i="73"/>
  <c r="V112" i="73"/>
  <c r="V24" i="73" s="1"/>
  <c r="Y133" i="95"/>
  <c r="H131" i="95"/>
  <c r="I131" i="95" s="1"/>
  <c r="DQ129" i="95"/>
  <c r="DN251" i="95" s="1"/>
  <c r="Y128" i="95"/>
  <c r="H127" i="95"/>
  <c r="CN124" i="95"/>
  <c r="CJ124" i="95"/>
  <c r="CC124" i="95"/>
  <c r="DD123" i="95"/>
  <c r="CW123" i="95"/>
  <c r="CN123" i="95"/>
  <c r="CJ123" i="95"/>
  <c r="CC123" i="95"/>
  <c r="DD122" i="95"/>
  <c r="CW122" i="95"/>
  <c r="CN122" i="95"/>
  <c r="CJ122" i="95"/>
  <c r="CC122" i="95"/>
  <c r="CW121" i="95"/>
  <c r="CC121" i="95"/>
  <c r="DD120" i="95"/>
  <c r="CW120" i="95"/>
  <c r="CN120" i="95"/>
  <c r="CJ120" i="95"/>
  <c r="CC120" i="95"/>
  <c r="DD119" i="95"/>
  <c r="CW119" i="95"/>
  <c r="CN119" i="95"/>
  <c r="CJ119" i="95"/>
  <c r="CC119" i="95"/>
  <c r="DD118" i="95"/>
  <c r="CW118" i="95"/>
  <c r="CN118" i="95"/>
  <c r="CJ118" i="95"/>
  <c r="CC118" i="95"/>
  <c r="V112" i="95"/>
  <c r="V24" i="95" s="1"/>
  <c r="Y133" i="97"/>
  <c r="H131" i="97"/>
  <c r="I131" i="97" s="1"/>
  <c r="DQ129" i="97"/>
  <c r="DN251" i="97" s="1"/>
  <c r="Y128" i="97"/>
  <c r="H127" i="97"/>
  <c r="CN124" i="97"/>
  <c r="CJ124" i="97"/>
  <c r="CC124" i="97"/>
  <c r="DD123" i="97"/>
  <c r="CW123" i="97"/>
  <c r="CN123" i="97"/>
  <c r="Y210" i="73"/>
  <c r="Y251" i="73" s="1"/>
  <c r="DC204" i="73"/>
  <c r="CM203" i="73"/>
  <c r="DF201" i="73"/>
  <c r="CU200" i="73"/>
  <c r="CE199" i="73"/>
  <c r="H207" i="95"/>
  <c r="CK204" i="95"/>
  <c r="CM201" i="95"/>
  <c r="CB200" i="95"/>
  <c r="Y213" i="97"/>
  <c r="CN205" i="97"/>
  <c r="CM204" i="97"/>
  <c r="CL203" i="97"/>
  <c r="CM201" i="97"/>
  <c r="CV200" i="97"/>
  <c r="DC199" i="97"/>
  <c r="CB199" i="97"/>
  <c r="Y210" i="98"/>
  <c r="CM205" i="98"/>
  <c r="CV204" i="98"/>
  <c r="DC203" i="98"/>
  <c r="CB203" i="98"/>
  <c r="CM201" i="98"/>
  <c r="CV200" i="98"/>
  <c r="DD199" i="98"/>
  <c r="CK199" i="98"/>
  <c r="U193" i="98"/>
  <c r="U27" i="98" s="1"/>
  <c r="Y185" i="73"/>
  <c r="X253" i="73" s="1"/>
  <c r="DQ181" i="73"/>
  <c r="DP249" i="73" s="1"/>
  <c r="CM178" i="73"/>
  <c r="DE177" i="73"/>
  <c r="CL177" i="73"/>
  <c r="DC176" i="73"/>
  <c r="CK176" i="73"/>
  <c r="DA174" i="73"/>
  <c r="CE174" i="73"/>
  <c r="CV173" i="73"/>
  <c r="CD173" i="73"/>
  <c r="CU172" i="73"/>
  <c r="CB172" i="73"/>
  <c r="Y185" i="95"/>
  <c r="DQ181" i="95"/>
  <c r="DP249" i="95" s="1"/>
  <c r="CM178" i="95"/>
  <c r="DE177" i="95"/>
  <c r="CT177" i="95"/>
  <c r="CD177" i="95"/>
  <c r="DA176" i="95"/>
  <c r="CK176" i="95"/>
  <c r="CT175" i="95"/>
  <c r="CD175" i="95"/>
  <c r="DA174" i="95"/>
  <c r="CK174" i="95"/>
  <c r="DE173" i="95"/>
  <c r="CT173" i="95"/>
  <c r="CD173" i="95"/>
  <c r="DA172" i="95"/>
  <c r="CK172" i="95"/>
  <c r="DM166" i="95"/>
  <c r="DM26" i="95" s="1"/>
  <c r="Y185" i="97"/>
  <c r="DQ182" i="97"/>
  <c r="DP250" i="97" s="1"/>
  <c r="H180" i="97"/>
  <c r="CK178" i="97"/>
  <c r="DE177" i="97"/>
  <c r="CT177" i="97"/>
  <c r="CD177" i="97"/>
  <c r="DA176" i="97"/>
  <c r="CK176" i="97"/>
  <c r="CT175" i="97"/>
  <c r="CD175" i="97"/>
  <c r="DA174" i="97"/>
  <c r="CK174" i="97"/>
  <c r="DE173" i="97"/>
  <c r="CT173" i="97"/>
  <c r="CD173" i="97"/>
  <c r="DA172" i="97"/>
  <c r="CK172" i="97"/>
  <c r="DM166" i="97"/>
  <c r="DM26" i="97" s="1"/>
  <c r="DQ185" i="98"/>
  <c r="H184" i="98"/>
  <c r="H182" i="98"/>
  <c r="Y180" i="98"/>
  <c r="CI178" i="98"/>
  <c r="DF177" i="98"/>
  <c r="DA177" i="98"/>
  <c r="CM177" i="98"/>
  <c r="CE177" i="98"/>
  <c r="DE176" i="98"/>
  <c r="CV176" i="98"/>
  <c r="CL176" i="98"/>
  <c r="CD176" i="98"/>
  <c r="CU175" i="98"/>
  <c r="CB175" i="98"/>
  <c r="DB174" i="98"/>
  <c r="CT174" i="98"/>
  <c r="CI174" i="98"/>
  <c r="DF173" i="98"/>
  <c r="DA173" i="98"/>
  <c r="CM173" i="98"/>
  <c r="CE173" i="98"/>
  <c r="DE172" i="98"/>
  <c r="CV172" i="98"/>
  <c r="CL172" i="98"/>
  <c r="CD172" i="98"/>
  <c r="U166" i="98"/>
  <c r="U26" i="98" s="1"/>
  <c r="DQ158" i="73"/>
  <c r="DR158" i="73" s="1"/>
  <c r="H157" i="73"/>
  <c r="H155" i="73"/>
  <c r="F250" i="73" s="1"/>
  <c r="Y153" i="73"/>
  <c r="W248" i="73" s="1"/>
  <c r="CI151" i="73"/>
  <c r="DF150" i="73"/>
  <c r="DA150" i="73"/>
  <c r="CM150" i="73"/>
  <c r="CE150" i="73"/>
  <c r="DE149" i="73"/>
  <c r="CV149" i="73"/>
  <c r="CL149" i="73"/>
  <c r="CD149" i="73"/>
  <c r="CU148" i="73"/>
  <c r="CB148" i="73"/>
  <c r="DB147" i="73"/>
  <c r="CT147" i="73"/>
  <c r="CI147" i="73"/>
  <c r="DF146" i="73"/>
  <c r="DA146" i="73"/>
  <c r="CM146" i="73"/>
  <c r="CE146" i="73"/>
  <c r="DE145" i="73"/>
  <c r="CV145" i="73"/>
  <c r="CL145" i="73"/>
  <c r="CD145" i="73"/>
  <c r="U139" i="73"/>
  <c r="U25" i="73" s="1"/>
  <c r="DQ158" i="95"/>
  <c r="H157" i="95"/>
  <c r="F252" i="95" s="1"/>
  <c r="H155" i="95"/>
  <c r="Y153" i="95"/>
  <c r="CI151" i="95"/>
  <c r="DF150" i="95"/>
  <c r="DA150" i="95"/>
  <c r="CM150" i="95"/>
  <c r="CE150" i="95"/>
  <c r="DE149" i="95"/>
  <c r="CV149" i="95"/>
  <c r="CL149" i="95"/>
  <c r="CD149" i="95"/>
  <c r="CU148" i="95"/>
  <c r="CB148" i="95"/>
  <c r="DB147" i="95"/>
  <c r="CT147" i="95"/>
  <c r="CI147" i="95"/>
  <c r="DF146" i="95"/>
  <c r="DA146" i="95"/>
  <c r="CM146" i="95"/>
  <c r="CE146" i="95"/>
  <c r="DE145" i="95"/>
  <c r="CV145" i="95"/>
  <c r="CL145" i="95"/>
  <c r="CD145" i="95"/>
  <c r="U139" i="95"/>
  <c r="U25" i="95" s="1"/>
  <c r="DQ158" i="97"/>
  <c r="DL141" i="97" s="1"/>
  <c r="H157" i="97"/>
  <c r="H155" i="97"/>
  <c r="Y153" i="97"/>
  <c r="CI151" i="97"/>
  <c r="DF150" i="97"/>
  <c r="DA150" i="97"/>
  <c r="CM150" i="97"/>
  <c r="Y213" i="73"/>
  <c r="Y254" i="73" s="1"/>
  <c r="DB203" i="73"/>
  <c r="DE200" i="73"/>
  <c r="CI203" i="95"/>
  <c r="CL200" i="95"/>
  <c r="Y207" i="97"/>
  <c r="CV203" i="97"/>
  <c r="CV201" i="97"/>
  <c r="CB200" i="97"/>
  <c r="DC204" i="98"/>
  <c r="CI203" i="98"/>
  <c r="CV201" i="98"/>
  <c r="CB200" i="98"/>
  <c r="DM193" i="98"/>
  <c r="DM27" i="98" s="1"/>
  <c r="Y184" i="73"/>
  <c r="CK178" i="73"/>
  <c r="CI177" i="73"/>
  <c r="CE176" i="73"/>
  <c r="CD175" i="73"/>
  <c r="CB174" i="73"/>
  <c r="DF172" i="73"/>
  <c r="DM166" i="73"/>
  <c r="DM26" i="73" s="1"/>
  <c r="DQ180" i="95"/>
  <c r="DP248" i="95" s="1"/>
  <c r="DC177" i="95"/>
  <c r="CB177" i="95"/>
  <c r="CI176" i="95"/>
  <c r="CV174" i="95"/>
  <c r="DC173" i="95"/>
  <c r="CB173" i="95"/>
  <c r="CI172" i="95"/>
  <c r="DQ184" i="97"/>
  <c r="DC177" i="97"/>
  <c r="CB177" i="97"/>
  <c r="CI176" i="97"/>
  <c r="CV174" i="97"/>
  <c r="DC173" i="97"/>
  <c r="CB173" i="97"/>
  <c r="CI172" i="97"/>
  <c r="Y185" i="98"/>
  <c r="DQ181" i="98"/>
  <c r="DP249" i="98" s="1"/>
  <c r="CM178" i="98"/>
  <c r="DE177" i="98"/>
  <c r="CL177" i="98"/>
  <c r="DC176" i="98"/>
  <c r="CK176" i="98"/>
  <c r="DA174" i="98"/>
  <c r="CE174" i="98"/>
  <c r="CV173" i="98"/>
  <c r="CD173" i="98"/>
  <c r="CU172" i="98"/>
  <c r="CB172" i="98"/>
  <c r="Y158" i="73"/>
  <c r="DQ154" i="73"/>
  <c r="CM151" i="73"/>
  <c r="DE150" i="73"/>
  <c r="CL150" i="73"/>
  <c r="DC149" i="73"/>
  <c r="CK149" i="73"/>
  <c r="DA147" i="73"/>
  <c r="CE147" i="73"/>
  <c r="CV146" i="73"/>
  <c r="CD146" i="73"/>
  <c r="CU145" i="73"/>
  <c r="CB145" i="73"/>
  <c r="Y158" i="95"/>
  <c r="DQ154" i="95"/>
  <c r="DO249" i="95" s="1"/>
  <c r="CM151" i="95"/>
  <c r="DE150" i="95"/>
  <c r="CL150" i="95"/>
  <c r="DC149" i="95"/>
  <c r="CK149" i="95"/>
  <c r="DA147" i="95"/>
  <c r="CE147" i="95"/>
  <c r="CV146" i="95"/>
  <c r="CD146" i="95"/>
  <c r="CU145" i="95"/>
  <c r="CB145" i="95"/>
  <c r="Y158" i="97"/>
  <c r="DQ154" i="97"/>
  <c r="DO249" i="97" s="1"/>
  <c r="CM151" i="97"/>
  <c r="DE150" i="97"/>
  <c r="CL150" i="97"/>
  <c r="DF149" i="97"/>
  <c r="CV149" i="97"/>
  <c r="CK149" i="97"/>
  <c r="CU148" i="97"/>
  <c r="DE147" i="97"/>
  <c r="CW147" i="97"/>
  <c r="CM147" i="97"/>
  <c r="CD147" i="97"/>
  <c r="DD146" i="97"/>
  <c r="CV146" i="97"/>
  <c r="CK146" i="97"/>
  <c r="CC146" i="97"/>
  <c r="DC145" i="97"/>
  <c r="CT145" i="97"/>
  <c r="CJ145" i="97"/>
  <c r="CB145" i="97"/>
  <c r="D139" i="97"/>
  <c r="D25" i="97" s="1"/>
  <c r="H158" i="98"/>
  <c r="I158" i="98" s="1"/>
  <c r="Y156" i="98"/>
  <c r="Y154" i="98"/>
  <c r="CM151" i="98"/>
  <c r="CD151" i="98"/>
  <c r="DD150" i="98"/>
  <c r="CV150" i="98"/>
  <c r="CK150" i="98"/>
  <c r="CC150" i="98"/>
  <c r="DC149" i="98"/>
  <c r="CT149" i="98"/>
  <c r="CJ149" i="98"/>
  <c r="CB149" i="98"/>
  <c r="DE147" i="98"/>
  <c r="CW147" i="98"/>
  <c r="CM147" i="98"/>
  <c r="CD147" i="98"/>
  <c r="DD146" i="98"/>
  <c r="CV146" i="98"/>
  <c r="CK146" i="98"/>
  <c r="CC146" i="98"/>
  <c r="DC145" i="98"/>
  <c r="CT145" i="98"/>
  <c r="CJ145" i="98"/>
  <c r="CB145" i="98"/>
  <c r="D139" i="98"/>
  <c r="D25" i="98" s="1"/>
  <c r="DQ131" i="73"/>
  <c r="DR131" i="73" s="1"/>
  <c r="H130" i="73"/>
  <c r="H128" i="73"/>
  <c r="I128" i="73" s="1"/>
  <c r="Y126" i="73"/>
  <c r="V248" i="73" s="1"/>
  <c r="CI124" i="73"/>
  <c r="DF123" i="73"/>
  <c r="DA123" i="73"/>
  <c r="CM123" i="73"/>
  <c r="CE123" i="73"/>
  <c r="DE122" i="73"/>
  <c r="CV122" i="73"/>
  <c r="CL122" i="73"/>
  <c r="CD122" i="73"/>
  <c r="CU121" i="73"/>
  <c r="CB121" i="73"/>
  <c r="DB120" i="73"/>
  <c r="CT120" i="73"/>
  <c r="CI120" i="73"/>
  <c r="DF119" i="73"/>
  <c r="DA119" i="73"/>
  <c r="CM119" i="73"/>
  <c r="CE119" i="73"/>
  <c r="DE118" i="73"/>
  <c r="CV118" i="73"/>
  <c r="CL118" i="73"/>
  <c r="CD118" i="73"/>
  <c r="U112" i="73"/>
  <c r="U24" i="73" s="1"/>
  <c r="DQ131" i="95"/>
  <c r="H130" i="95"/>
  <c r="E252" i="95" s="1"/>
  <c r="H128" i="95"/>
  <c r="E250" i="95" s="1"/>
  <c r="Y126" i="95"/>
  <c r="CI124" i="95"/>
  <c r="DF123" i="95"/>
  <c r="DA123" i="95"/>
  <c r="CM123" i="95"/>
  <c r="CE123" i="95"/>
  <c r="DE122" i="95"/>
  <c r="CV122" i="95"/>
  <c r="CL122" i="95"/>
  <c r="CD122" i="95"/>
  <c r="CU121" i="95"/>
  <c r="CB121" i="95"/>
  <c r="DB120" i="95"/>
  <c r="CT120" i="95"/>
  <c r="CI120" i="95"/>
  <c r="DF119" i="95"/>
  <c r="DA119" i="95"/>
  <c r="CM119" i="95"/>
  <c r="CE119" i="95"/>
  <c r="DE118" i="95"/>
  <c r="CV118" i="95"/>
  <c r="CL118" i="95"/>
  <c r="CD118" i="95"/>
  <c r="U112" i="95"/>
  <c r="U24" i="95" s="1"/>
  <c r="DQ131" i="97"/>
  <c r="H130" i="97"/>
  <c r="H128" i="97"/>
  <c r="Y126" i="97"/>
  <c r="CI124" i="97"/>
  <c r="DF123" i="97"/>
  <c r="DA123" i="97"/>
  <c r="CM123" i="97"/>
  <c r="CI123" i="97"/>
  <c r="CB123" i="97"/>
  <c r="DC122" i="97"/>
  <c r="CV122" i="97"/>
  <c r="CM122" i="97"/>
  <c r="CI122" i="97"/>
  <c r="CB122" i="97"/>
  <c r="CV121" i="97"/>
  <c r="CB121" i="97"/>
  <c r="DC120" i="97"/>
  <c r="CV120" i="97"/>
  <c r="CM120" i="97"/>
  <c r="CI120" i="97"/>
  <c r="CB120" i="97"/>
  <c r="DC119" i="97"/>
  <c r="CV119" i="97"/>
  <c r="CM119" i="97"/>
  <c r="CI119" i="97"/>
  <c r="CB119" i="97"/>
  <c r="DC118" i="97"/>
  <c r="CV118" i="97"/>
  <c r="CM118" i="97"/>
  <c r="CI118" i="97"/>
  <c r="CB118" i="97"/>
  <c r="U112" i="97"/>
  <c r="U24" i="97" s="1"/>
  <c r="Y132" i="98"/>
  <c r="DQ130" i="98"/>
  <c r="Y129" i="98"/>
  <c r="H128" i="98"/>
  <c r="DQ126" i="98"/>
  <c r="DN248" i="98" s="1"/>
  <c r="CM124" i="98"/>
  <c r="CI124" i="98"/>
  <c r="CB124" i="98"/>
  <c r="DC123" i="98"/>
  <c r="CV123" i="98"/>
  <c r="CM123" i="98"/>
  <c r="CI123" i="98"/>
  <c r="CB123" i="98"/>
  <c r="DC122" i="98"/>
  <c r="CV122" i="98"/>
  <c r="CM122" i="98"/>
  <c r="CI122" i="98"/>
  <c r="CB122" i="98"/>
  <c r="CV121" i="98"/>
  <c r="CB121" i="98"/>
  <c r="DC120" i="98"/>
  <c r="CV120" i="98"/>
  <c r="CM120" i="98"/>
  <c r="CI120" i="98"/>
  <c r="CB120" i="98"/>
  <c r="DC119" i="98"/>
  <c r="CV119" i="98"/>
  <c r="CM119" i="98"/>
  <c r="CI119" i="98"/>
  <c r="CB119" i="98"/>
  <c r="DC118" i="98"/>
  <c r="CV118" i="98"/>
  <c r="CM118" i="98"/>
  <c r="CI118" i="98"/>
  <c r="CB118" i="98"/>
  <c r="U112" i="98"/>
  <c r="U24" i="98" s="1"/>
  <c r="Y105" i="73"/>
  <c r="U254" i="73" s="1"/>
  <c r="DQ103" i="73"/>
  <c r="Y102" i="73"/>
  <c r="U251" i="73" s="1"/>
  <c r="H101" i="73"/>
  <c r="DQ99" i="73"/>
  <c r="DM248" i="73" s="1"/>
  <c r="CL97" i="73"/>
  <c r="CE97" i="73"/>
  <c r="DF96" i="73"/>
  <c r="DB96" i="73"/>
  <c r="CU96" i="73"/>
  <c r="CL96" i="73"/>
  <c r="CE96" i="73"/>
  <c r="DF95" i="73"/>
  <c r="DB95" i="73"/>
  <c r="CU95" i="73"/>
  <c r="CL95" i="73"/>
  <c r="CE95" i="73"/>
  <c r="CU94" i="73"/>
  <c r="CE94" i="73"/>
  <c r="DF93" i="73"/>
  <c r="DB93" i="73"/>
  <c r="CU93" i="73"/>
  <c r="CL93" i="73"/>
  <c r="CE93" i="73"/>
  <c r="DF92" i="73"/>
  <c r="DB92" i="73"/>
  <c r="CU92" i="73"/>
  <c r="CL92" i="73"/>
  <c r="DF91" i="73"/>
  <c r="DB91" i="73"/>
  <c r="CU91" i="73"/>
  <c r="CL91" i="73"/>
  <c r="E85" i="73"/>
  <c r="E23" i="73" s="1"/>
  <c r="DQ104" i="95"/>
  <c r="Y103" i="95"/>
  <c r="H102" i="95"/>
  <c r="D251" i="95" s="1"/>
  <c r="DQ100" i="95"/>
  <c r="DM249" i="95" s="1"/>
  <c r="Y99" i="95"/>
  <c r="CK97" i="95"/>
  <c r="CD97" i="95"/>
  <c r="DE96" i="95"/>
  <c r="DA96" i="95"/>
  <c r="CT96" i="95"/>
  <c r="CK96" i="95"/>
  <c r="CD96" i="95"/>
  <c r="DE95" i="95"/>
  <c r="DA95" i="95"/>
  <c r="CT95" i="95"/>
  <c r="CK95" i="95"/>
  <c r="CD95" i="95"/>
  <c r="CT94" i="95"/>
  <c r="CD94" i="95"/>
  <c r="DE93" i="95"/>
  <c r="DA93" i="95"/>
  <c r="CT93" i="95"/>
  <c r="CK93" i="95"/>
  <c r="CD93" i="95"/>
  <c r="DE92" i="95"/>
  <c r="DA92" i="95"/>
  <c r="CT92" i="95"/>
  <c r="CK92" i="95"/>
  <c r="CD92" i="95"/>
  <c r="DE91" i="95"/>
  <c r="DA91" i="95"/>
  <c r="CT91" i="95"/>
  <c r="CK91" i="95"/>
  <c r="DM85" i="95"/>
  <c r="DM23" i="95" s="1"/>
  <c r="D85" i="95"/>
  <c r="D23" i="95" s="1"/>
  <c r="Y104" i="97"/>
  <c r="H103" i="97"/>
  <c r="DQ101" i="97"/>
  <c r="DM250" i="97" s="1"/>
  <c r="Y100" i="97"/>
  <c r="CN97" i="97"/>
  <c r="CJ97" i="97"/>
  <c r="CC97" i="97"/>
  <c r="DD96" i="97"/>
  <c r="CW96" i="97"/>
  <c r="CN96" i="97"/>
  <c r="CJ96" i="97"/>
  <c r="CC96" i="97"/>
  <c r="DD95" i="97"/>
  <c r="CW95" i="97"/>
  <c r="CN95" i="97"/>
  <c r="CJ95" i="97"/>
  <c r="CC95" i="97"/>
  <c r="CW94" i="97"/>
  <c r="CC94" i="97"/>
  <c r="DD93" i="97"/>
  <c r="CW93" i="97"/>
  <c r="CN93" i="97"/>
  <c r="CJ93" i="97"/>
  <c r="CC93" i="97"/>
  <c r="DD92" i="97"/>
  <c r="CW92" i="97"/>
  <c r="CN92" i="97"/>
  <c r="CJ92" i="97"/>
  <c r="CC92" i="97"/>
  <c r="DD91" i="97"/>
  <c r="CW91" i="97"/>
  <c r="CN91" i="97"/>
  <c r="CJ91" i="97"/>
  <c r="CC91" i="97"/>
  <c r="V85" i="97"/>
  <c r="V23" i="97" s="1"/>
  <c r="Y106" i="98"/>
  <c r="H104" i="98"/>
  <c r="DQ102" i="98"/>
  <c r="DM251" i="98" s="1"/>
  <c r="Y101" i="98"/>
  <c r="H100" i="98"/>
  <c r="CM97" i="98"/>
  <c r="CI97" i="98"/>
  <c r="CB97" i="98"/>
  <c r="DC96" i="98"/>
  <c r="CV96" i="98"/>
  <c r="CM96" i="98"/>
  <c r="CI96" i="98"/>
  <c r="CB96" i="98"/>
  <c r="DC95" i="98"/>
  <c r="CV95" i="98"/>
  <c r="CM95" i="98"/>
  <c r="CI95" i="98"/>
  <c r="CB95" i="98"/>
  <c r="CV94" i="98"/>
  <c r="CB94" i="98"/>
  <c r="DC93" i="98"/>
  <c r="CV93" i="98"/>
  <c r="CM93" i="98"/>
  <c r="CI93" i="98"/>
  <c r="CB93" i="98"/>
  <c r="DC92" i="98"/>
  <c r="CV92" i="98"/>
  <c r="CM92" i="98"/>
  <c r="CI92" i="98"/>
  <c r="CB92" i="98"/>
  <c r="DC91" i="98"/>
  <c r="CV91" i="98"/>
  <c r="CM91" i="98"/>
  <c r="CI91" i="98"/>
  <c r="CB91" i="98"/>
  <c r="U85" i="98"/>
  <c r="U23" i="98" s="1"/>
  <c r="H99" i="95"/>
  <c r="D248" i="95" s="1"/>
  <c r="H75" i="73"/>
  <c r="H76" i="95"/>
  <c r="C252" i="95" s="1"/>
  <c r="H72" i="95"/>
  <c r="C248" i="95" s="1"/>
  <c r="H73" i="97"/>
  <c r="H74" i="98"/>
  <c r="Y77" i="73"/>
  <c r="T253" i="73" s="1"/>
  <c r="CN70" i="73"/>
  <c r="CJ70" i="73"/>
  <c r="CC70" i="73"/>
  <c r="DD69" i="73"/>
  <c r="CW69" i="73"/>
  <c r="CN69" i="73"/>
  <c r="CJ69" i="73"/>
  <c r="CC69" i="73"/>
  <c r="DD68" i="73"/>
  <c r="CW68" i="73"/>
  <c r="CN68" i="73"/>
  <c r="CJ68" i="73"/>
  <c r="CC68" i="73"/>
  <c r="CW67" i="73"/>
  <c r="CC67" i="73"/>
  <c r="DD66" i="73"/>
  <c r="CW66" i="73"/>
  <c r="CN66" i="73"/>
  <c r="CJ66" i="73"/>
  <c r="CC66" i="73"/>
  <c r="DD65" i="73"/>
  <c r="CW65" i="73"/>
  <c r="CN65" i="73"/>
  <c r="CJ65" i="73"/>
  <c r="CC65" i="73"/>
  <c r="DD64" i="73"/>
  <c r="CW64" i="73"/>
  <c r="CN64" i="73"/>
  <c r="CJ64" i="73"/>
  <c r="CC64" i="73"/>
  <c r="V58" i="73"/>
  <c r="V22" i="73" s="1"/>
  <c r="Y79" i="95"/>
  <c r="H77" i="95"/>
  <c r="I77" i="95" s="1"/>
  <c r="Y75" i="95"/>
  <c r="Y73" i="95"/>
  <c r="CM70" i="95"/>
  <c r="CI70" i="95"/>
  <c r="CB70" i="95"/>
  <c r="DC69" i="95"/>
  <c r="CV69" i="95"/>
  <c r="CM69" i="95"/>
  <c r="CI69" i="95"/>
  <c r="CB69" i="95"/>
  <c r="DC68" i="95"/>
  <c r="CV68" i="95"/>
  <c r="CM68" i="95"/>
  <c r="CI68" i="95"/>
  <c r="CB68" i="95"/>
  <c r="CV67" i="95"/>
  <c r="CB67" i="95"/>
  <c r="DC66" i="95"/>
  <c r="CV66" i="95"/>
  <c r="CM66" i="95"/>
  <c r="CI66" i="95"/>
  <c r="CB66" i="95"/>
  <c r="DC65" i="95"/>
  <c r="CV65" i="95"/>
  <c r="CM65" i="95"/>
  <c r="CI65" i="95"/>
  <c r="CB65" i="95"/>
  <c r="DC64" i="95"/>
  <c r="CV64" i="95"/>
  <c r="CM64" i="95"/>
  <c r="CI64" i="95"/>
  <c r="CB64" i="95"/>
  <c r="U58" i="95"/>
  <c r="U22" i="95" s="1"/>
  <c r="Y78" i="97"/>
  <c r="DQ72" i="97"/>
  <c r="CL70" i="97"/>
  <c r="CE70" i="97"/>
  <c r="DF69" i="97"/>
  <c r="DB69" i="97"/>
  <c r="CU69" i="97"/>
  <c r="CL69" i="97"/>
  <c r="CE69" i="97"/>
  <c r="DF68" i="97"/>
  <c r="DB68" i="97"/>
  <c r="CU68" i="97"/>
  <c r="CL68" i="97"/>
  <c r="CE68" i="97"/>
  <c r="CU67" i="97"/>
  <c r="CE67" i="97"/>
  <c r="DF66" i="97"/>
  <c r="DB66" i="97"/>
  <c r="CU66" i="97"/>
  <c r="CL66" i="97"/>
  <c r="CE66" i="97"/>
  <c r="DF65" i="97"/>
  <c r="DB65" i="97"/>
  <c r="CU65" i="97"/>
  <c r="CL65" i="97"/>
  <c r="CE65" i="97"/>
  <c r="DF64" i="97"/>
  <c r="DB64" i="97"/>
  <c r="CU64" i="97"/>
  <c r="CL64" i="97"/>
  <c r="CE64" i="97"/>
  <c r="E58" i="97"/>
  <c r="E22" i="97" s="1"/>
  <c r="DQ77" i="98"/>
  <c r="Y76" i="98"/>
  <c r="Y74" i="98"/>
  <c r="Y72" i="98"/>
  <c r="CK70" i="98"/>
  <c r="CD70" i="98"/>
  <c r="DE69" i="98"/>
  <c r="DA69" i="98"/>
  <c r="CT69" i="98"/>
  <c r="CK69" i="98"/>
  <c r="CD69" i="98"/>
  <c r="DE68" i="98"/>
  <c r="DA68" i="98"/>
  <c r="CT68" i="98"/>
  <c r="CK68" i="98"/>
  <c r="CD68" i="98"/>
  <c r="CT67" i="98"/>
  <c r="CD67" i="98"/>
  <c r="DE66" i="98"/>
  <c r="DA66" i="98"/>
  <c r="CT66" i="98"/>
  <c r="CK66" i="98"/>
  <c r="CD66" i="98"/>
  <c r="DE65" i="98"/>
  <c r="DA65" i="98"/>
  <c r="CT65" i="98"/>
  <c r="CK65" i="98"/>
  <c r="CD65" i="98"/>
  <c r="DE64" i="98"/>
  <c r="DA64" i="98"/>
  <c r="CT64" i="98"/>
  <c r="CK64" i="98"/>
  <c r="CD64" i="98"/>
  <c r="DM58" i="98"/>
  <c r="DM22" i="98" s="1"/>
  <c r="D58" i="98"/>
  <c r="D22" i="98" s="1"/>
  <c r="CE205" i="73"/>
  <c r="CT199" i="73"/>
  <c r="CV204" i="95"/>
  <c r="DC201" i="95"/>
  <c r="CW204" i="97"/>
  <c r="CU202" i="97"/>
  <c r="DC200" i="97"/>
  <c r="CI199" i="97"/>
  <c r="CB204" i="98"/>
  <c r="DC200" i="98"/>
  <c r="CN199" i="98"/>
  <c r="DQ180" i="73"/>
  <c r="DP248" i="73" s="1"/>
  <c r="DB177" i="73"/>
  <c r="DA176" i="73"/>
  <c r="CV175" i="73"/>
  <c r="CU174" i="73"/>
  <c r="CT173" i="73"/>
  <c r="CM172" i="73"/>
  <c r="Y184" i="95"/>
  <c r="CK178" i="95"/>
  <c r="CM177" i="95"/>
  <c r="CV176" i="95"/>
  <c r="CB175" i="95"/>
  <c r="CI174" i="95"/>
  <c r="CM173" i="95"/>
  <c r="CV172" i="95"/>
  <c r="U166" i="95"/>
  <c r="U26" i="95" s="1"/>
  <c r="H182" i="97"/>
  <c r="CI178" i="97"/>
  <c r="CM177" i="97"/>
  <c r="CV176" i="97"/>
  <c r="CB175" i="97"/>
  <c r="CI174" i="97"/>
  <c r="CM173" i="97"/>
  <c r="CV172" i="97"/>
  <c r="U166" i="97"/>
  <c r="U26" i="97" s="1"/>
  <c r="Y183" i="98"/>
  <c r="H180" i="98"/>
  <c r="CE178" i="98"/>
  <c r="CV177" i="98"/>
  <c r="CD177" i="98"/>
  <c r="CU176" i="98"/>
  <c r="CB176" i="98"/>
  <c r="CT175" i="98"/>
  <c r="DF174" i="98"/>
  <c r="CM174" i="98"/>
  <c r="DE173" i="98"/>
  <c r="CL173" i="98"/>
  <c r="DC172" i="98"/>
  <c r="CK172" i="98"/>
  <c r="E166" i="98"/>
  <c r="E26" i="98" s="1"/>
  <c r="Y156" i="73"/>
  <c r="W251" i="73" s="1"/>
  <c r="H153" i="73"/>
  <c r="CE151" i="73"/>
  <c r="CV150" i="73"/>
  <c r="CD150" i="73"/>
  <c r="CU149" i="73"/>
  <c r="CB149" i="73"/>
  <c r="CT148" i="73"/>
  <c r="DF147" i="73"/>
  <c r="CM147" i="73"/>
  <c r="DE146" i="73"/>
  <c r="CL146" i="73"/>
  <c r="DC145" i="73"/>
  <c r="CK145" i="73"/>
  <c r="E139" i="73"/>
  <c r="E25" i="73" s="1"/>
  <c r="Y156" i="95"/>
  <c r="H153" i="95"/>
  <c r="CE151" i="95"/>
  <c r="CV150" i="95"/>
  <c r="CD150" i="95"/>
  <c r="CU149" i="95"/>
  <c r="CB149" i="95"/>
  <c r="CT148" i="95"/>
  <c r="DF147" i="95"/>
  <c r="CM147" i="95"/>
  <c r="DE146" i="95"/>
  <c r="CL146" i="95"/>
  <c r="DC145" i="95"/>
  <c r="CK145" i="95"/>
  <c r="E139" i="95"/>
  <c r="E25" i="95" s="1"/>
  <c r="Y156" i="97"/>
  <c r="H153" i="97"/>
  <c r="CE151" i="97"/>
  <c r="CV150" i="97"/>
  <c r="CE150" i="97"/>
  <c r="DC149" i="97"/>
  <c r="CM149" i="97"/>
  <c r="CD149" i="97"/>
  <c r="CC148" i="97"/>
  <c r="DC147" i="97"/>
  <c r="CT147" i="97"/>
  <c r="CJ147" i="97"/>
  <c r="CB147" i="97"/>
  <c r="DA146" i="97"/>
  <c r="CN146" i="97"/>
  <c r="CI146" i="97"/>
  <c r="DE145" i="97"/>
  <c r="CW145" i="97"/>
  <c r="CM145" i="97"/>
  <c r="CD145" i="97"/>
  <c r="V139" i="97"/>
  <c r="V25" i="97" s="1"/>
  <c r="Y159" i="98"/>
  <c r="H157" i="98"/>
  <c r="Y155" i="98"/>
  <c r="DQ153" i="98"/>
  <c r="DO248" i="98" s="1"/>
  <c r="CJ151" i="98"/>
  <c r="CB151" i="98"/>
  <c r="DA150" i="98"/>
  <c r="CN150" i="98"/>
  <c r="CI150" i="98"/>
  <c r="DE149" i="98"/>
  <c r="CW149" i="98"/>
  <c r="CM149" i="98"/>
  <c r="CD149" i="98"/>
  <c r="CV148" i="98"/>
  <c r="CC148" i="98"/>
  <c r="DC147" i="98"/>
  <c r="CT147" i="98"/>
  <c r="CJ147" i="98"/>
  <c r="CB147" i="98"/>
  <c r="DA146" i="98"/>
  <c r="CN146" i="98"/>
  <c r="CI146" i="98"/>
  <c r="DE145" i="98"/>
  <c r="CW145" i="98"/>
  <c r="CM145" i="98"/>
  <c r="CD145" i="98"/>
  <c r="V139" i="98"/>
  <c r="V25" i="98" s="1"/>
  <c r="DQ130" i="73"/>
  <c r="DN112" i="73" s="1"/>
  <c r="DN24" i="73" s="1"/>
  <c r="H129" i="73"/>
  <c r="Y127" i="73"/>
  <c r="V249" i="73" s="1"/>
  <c r="CL124" i="73"/>
  <c r="CD124" i="73"/>
  <c r="DC123" i="73"/>
  <c r="CU123" i="73"/>
  <c r="CK123" i="73"/>
  <c r="CB123" i="73"/>
  <c r="DB122" i="73"/>
  <c r="CT122" i="73"/>
  <c r="CI122" i="73"/>
  <c r="CE121" i="73"/>
  <c r="DE120" i="73"/>
  <c r="CV120" i="73"/>
  <c r="CL120" i="73"/>
  <c r="CD120" i="73"/>
  <c r="DC119" i="73"/>
  <c r="CU119" i="73"/>
  <c r="CK119" i="73"/>
  <c r="CB119" i="73"/>
  <c r="DB118" i="73"/>
  <c r="CT118" i="73"/>
  <c r="CI118" i="73"/>
  <c r="D112" i="73"/>
  <c r="D24" i="73" s="1"/>
  <c r="DQ130" i="95"/>
  <c r="H129" i="95"/>
  <c r="E251" i="95" s="1"/>
  <c r="Y127" i="95"/>
  <c r="CL124" i="95"/>
  <c r="CD124" i="95"/>
  <c r="DC123" i="95"/>
  <c r="CU123" i="95"/>
  <c r="CK123" i="95"/>
  <c r="CB123" i="95"/>
  <c r="DB122" i="95"/>
  <c r="CT122" i="95"/>
  <c r="CI122" i="95"/>
  <c r="CE121" i="95"/>
  <c r="DE120" i="95"/>
  <c r="CV120" i="95"/>
  <c r="CL120" i="95"/>
  <c r="CD120" i="95"/>
  <c r="DC119" i="95"/>
  <c r="CU119" i="95"/>
  <c r="CK119" i="95"/>
  <c r="CB119" i="95"/>
  <c r="DB118" i="95"/>
  <c r="CT118" i="95"/>
  <c r="CI118" i="95"/>
  <c r="D112" i="95"/>
  <c r="D24" i="95" s="1"/>
  <c r="DQ130" i="97"/>
  <c r="H129" i="97"/>
  <c r="Y127" i="97"/>
  <c r="CL124" i="97"/>
  <c r="CD124" i="97"/>
  <c r="DC123" i="97"/>
  <c r="CU123" i="97"/>
  <c r="CK123" i="97"/>
  <c r="CD123" i="97"/>
  <c r="DE122" i="97"/>
  <c r="DA122" i="97"/>
  <c r="CT122" i="97"/>
  <c r="CK122" i="97"/>
  <c r="CD122" i="97"/>
  <c r="CT121" i="97"/>
  <c r="CD121" i="97"/>
  <c r="DE120" i="97"/>
  <c r="DA120" i="97"/>
  <c r="CT120" i="97"/>
  <c r="CK120" i="97"/>
  <c r="CD120" i="97"/>
  <c r="DE119" i="97"/>
  <c r="DA119" i="97"/>
  <c r="CT119" i="97"/>
  <c r="CK119" i="97"/>
  <c r="CD119" i="97"/>
  <c r="DE118" i="97"/>
  <c r="DA118" i="97"/>
  <c r="CT118" i="97"/>
  <c r="CK118" i="97"/>
  <c r="CD118" i="97"/>
  <c r="DM112" i="97"/>
  <c r="DM24" i="97" s="1"/>
  <c r="D112" i="97"/>
  <c r="D24" i="97" s="1"/>
  <c r="Y131" i="98"/>
  <c r="H130" i="98"/>
  <c r="DQ128" i="98"/>
  <c r="DN250" i="98" s="1"/>
  <c r="Y127" i="98"/>
  <c r="H126" i="98"/>
  <c r="CK124" i="98"/>
  <c r="CD124" i="98"/>
  <c r="DE123" i="98"/>
  <c r="DA123" i="98"/>
  <c r="CT123" i="98"/>
  <c r="CK123" i="98"/>
  <c r="CD123" i="98"/>
  <c r="DE122" i="98"/>
  <c r="DA122" i="98"/>
  <c r="CT122" i="98"/>
  <c r="CK122" i="98"/>
  <c r="CD122" i="98"/>
  <c r="CT121" i="98"/>
  <c r="CD121" i="98"/>
  <c r="DE120" i="98"/>
  <c r="DA120" i="98"/>
  <c r="CT120" i="98"/>
  <c r="CK120" i="98"/>
  <c r="CD120" i="98"/>
  <c r="DE119" i="98"/>
  <c r="DA119" i="98"/>
  <c r="CT119" i="98"/>
  <c r="CK119" i="98"/>
  <c r="CD119" i="98"/>
  <c r="DE118" i="98"/>
  <c r="DA118" i="98"/>
  <c r="CT118" i="98"/>
  <c r="CK118" i="98"/>
  <c r="CD118" i="98"/>
  <c r="DM112" i="98"/>
  <c r="DM24" i="98" s="1"/>
  <c r="D112" i="98"/>
  <c r="D24" i="98" s="1"/>
  <c r="Y104" i="73"/>
  <c r="U253" i="73" s="1"/>
  <c r="H103" i="73"/>
  <c r="DQ101" i="73"/>
  <c r="DM250" i="73" s="1"/>
  <c r="Y100" i="73"/>
  <c r="U249" i="73" s="1"/>
  <c r="CN97" i="73"/>
  <c r="CJ97" i="73"/>
  <c r="CC97" i="73"/>
  <c r="DD96" i="73"/>
  <c r="CW96" i="73"/>
  <c r="CN96" i="73"/>
  <c r="CJ96" i="73"/>
  <c r="CC96" i="73"/>
  <c r="DD95" i="73"/>
  <c r="CW95" i="73"/>
  <c r="CN95" i="73"/>
  <c r="CJ95" i="73"/>
  <c r="CC95" i="73"/>
  <c r="CW94" i="73"/>
  <c r="CC94" i="73"/>
  <c r="DD93" i="73"/>
  <c r="CW93" i="73"/>
  <c r="CN93" i="73"/>
  <c r="CJ93" i="73"/>
  <c r="CC93" i="73"/>
  <c r="DD92" i="73"/>
  <c r="CW92" i="73"/>
  <c r="CN92" i="73"/>
  <c r="CJ92" i="73"/>
  <c r="CC92" i="73"/>
  <c r="DD91" i="73"/>
  <c r="CW91" i="73"/>
  <c r="CN91" i="73"/>
  <c r="CJ91" i="73"/>
  <c r="CC91" i="73"/>
  <c r="V85" i="73"/>
  <c r="V23" i="73" s="1"/>
  <c r="Y106" i="95"/>
  <c r="H104" i="95"/>
  <c r="DQ102" i="95"/>
  <c r="DM251" i="95" s="1"/>
  <c r="Y101" i="95"/>
  <c r="H100" i="95"/>
  <c r="D249" i="95" s="1"/>
  <c r="CM97" i="95"/>
  <c r="CI97" i="95"/>
  <c r="CB97" i="95"/>
  <c r="DC96" i="95"/>
  <c r="CV96" i="95"/>
  <c r="CM96" i="95"/>
  <c r="CI96" i="95"/>
  <c r="CB96" i="95"/>
  <c r="DC95" i="95"/>
  <c r="CV95" i="95"/>
  <c r="CM95" i="95"/>
  <c r="CI95" i="95"/>
  <c r="CB95" i="95"/>
  <c r="CV94" i="95"/>
  <c r="CB94" i="95"/>
  <c r="DC93" i="95"/>
  <c r="Y208" i="73"/>
  <c r="Y249" i="73" s="1"/>
  <c r="CI200" i="73"/>
  <c r="CT202" i="95"/>
  <c r="CI205" i="97"/>
  <c r="CI201" i="97"/>
  <c r="H209" i="98"/>
  <c r="DA199" i="98"/>
  <c r="Y186" i="73"/>
  <c r="X254" i="73" s="1"/>
  <c r="CT177" i="73"/>
  <c r="CI173" i="73"/>
  <c r="DQ182" i="95"/>
  <c r="DP250" i="95" s="1"/>
  <c r="CI177" i="95"/>
  <c r="CV175" i="95"/>
  <c r="CB174" i="95"/>
  <c r="CM172" i="95"/>
  <c r="DQ180" i="97"/>
  <c r="DP248" i="97" s="1"/>
  <c r="CI177" i="97"/>
  <c r="CV175" i="97"/>
  <c r="CB174" i="97"/>
  <c r="CM172" i="97"/>
  <c r="DQ182" i="98"/>
  <c r="DP250" i="98" s="1"/>
  <c r="CB178" i="98"/>
  <c r="DF176" i="98"/>
  <c r="DC174" i="98"/>
  <c r="DB173" i="98"/>
  <c r="DA172" i="98"/>
  <c r="Y159" i="73"/>
  <c r="W254" i="73" s="1"/>
  <c r="CT150" i="73"/>
  <c r="CM149" i="73"/>
  <c r="CK147" i="73"/>
  <c r="CI146" i="73"/>
  <c r="CE145" i="73"/>
  <c r="DQ155" i="95"/>
  <c r="DO250" i="95" s="1"/>
  <c r="CB151" i="95"/>
  <c r="DF149" i="95"/>
  <c r="DC147" i="95"/>
  <c r="DB146" i="95"/>
  <c r="DA145" i="95"/>
  <c r="Y159" i="97"/>
  <c r="CT150" i="97"/>
  <c r="DA149" i="97"/>
  <c r="CB149" i="97"/>
  <c r="DA147" i="97"/>
  <c r="CI147" i="97"/>
  <c r="CW146" i="97"/>
  <c r="CD146" i="97"/>
  <c r="CV145" i="97"/>
  <c r="CC145" i="97"/>
  <c r="Y158" i="98"/>
  <c r="H155" i="98"/>
  <c r="CN151" i="98"/>
  <c r="DE150" i="98"/>
  <c r="CM150" i="98"/>
  <c r="DD149" i="98"/>
  <c r="CK149" i="98"/>
  <c r="DA147" i="98"/>
  <c r="CI147" i="98"/>
  <c r="CW146" i="98"/>
  <c r="CD146" i="98"/>
  <c r="CV145" i="98"/>
  <c r="CC145" i="98"/>
  <c r="Y129" i="73"/>
  <c r="V251" i="73" s="1"/>
  <c r="H126" i="73"/>
  <c r="CE124" i="73"/>
  <c r="CV123" i="73"/>
  <c r="CD123" i="73"/>
  <c r="CU122" i="73"/>
  <c r="CB122" i="73"/>
  <c r="CT121" i="73"/>
  <c r="DF120" i="73"/>
  <c r="CM120" i="73"/>
  <c r="DE119" i="73"/>
  <c r="CL119" i="73"/>
  <c r="DC118" i="73"/>
  <c r="CK118" i="73"/>
  <c r="E112" i="73"/>
  <c r="E24" i="73" s="1"/>
  <c r="Y129" i="95"/>
  <c r="H126" i="95"/>
  <c r="CE124" i="95"/>
  <c r="CV123" i="95"/>
  <c r="CD123" i="95"/>
  <c r="CU122" i="95"/>
  <c r="CB122" i="95"/>
  <c r="CT121" i="95"/>
  <c r="DF120" i="95"/>
  <c r="CM120" i="95"/>
  <c r="DE119" i="95"/>
  <c r="CL119" i="95"/>
  <c r="DC118" i="95"/>
  <c r="CK118" i="95"/>
  <c r="E112" i="95"/>
  <c r="E24" i="95" s="1"/>
  <c r="Y129" i="97"/>
  <c r="H126" i="97"/>
  <c r="CE124" i="97"/>
  <c r="CV123" i="97"/>
  <c r="CE123" i="97"/>
  <c r="DB122" i="97"/>
  <c r="CL122" i="97"/>
  <c r="CU121" i="97"/>
  <c r="CE121" i="97"/>
  <c r="DB120" i="97"/>
  <c r="CL120" i="97"/>
  <c r="DF119" i="97"/>
  <c r="CU119" i="97"/>
  <c r="CE119" i="97"/>
  <c r="DB118" i="97"/>
  <c r="CL118" i="97"/>
  <c r="DQ131" i="98"/>
  <c r="H129" i="98"/>
  <c r="Y126" i="98"/>
  <c r="CL124" i="98"/>
  <c r="DF123" i="98"/>
  <c r="CU123" i="98"/>
  <c r="CE123" i="98"/>
  <c r="DB122" i="98"/>
  <c r="CL122" i="98"/>
  <c r="CU121" i="98"/>
  <c r="CE121" i="98"/>
  <c r="DB120" i="98"/>
  <c r="CL120" i="98"/>
  <c r="DF119" i="98"/>
  <c r="CU119" i="98"/>
  <c r="CE119" i="98"/>
  <c r="DB118" i="98"/>
  <c r="CL118" i="98"/>
  <c r="DQ104" i="73"/>
  <c r="DR104" i="73" s="1"/>
  <c r="H102" i="73"/>
  <c r="D251" i="73" s="1"/>
  <c r="Y99" i="73"/>
  <c r="U248" i="73" s="1"/>
  <c r="CK97" i="73"/>
  <c r="DE96" i="73"/>
  <c r="CT96" i="73"/>
  <c r="CD96" i="73"/>
  <c r="DA95" i="73"/>
  <c r="CK95" i="73"/>
  <c r="CT94" i="73"/>
  <c r="CD94" i="73"/>
  <c r="DA93" i="73"/>
  <c r="CK93" i="73"/>
  <c r="DE92" i="73"/>
  <c r="CT92" i="73"/>
  <c r="CD92" i="73"/>
  <c r="DA91" i="73"/>
  <c r="CK91" i="73"/>
  <c r="DM85" i="73"/>
  <c r="DM23" i="73" s="1"/>
  <c r="Y104" i="95"/>
  <c r="DQ101" i="95"/>
  <c r="DM250" i="95" s="1"/>
  <c r="CJ97" i="95"/>
  <c r="DD96" i="95"/>
  <c r="CN96" i="95"/>
  <c r="CC96" i="95"/>
  <c r="CW95" i="95"/>
  <c r="CJ95" i="95"/>
  <c r="CC94" i="95"/>
  <c r="CW93" i="95"/>
  <c r="CM93" i="95"/>
  <c r="CE93" i="95"/>
  <c r="DD92" i="95"/>
  <c r="CV92" i="95"/>
  <c r="CL92" i="95"/>
  <c r="CC92" i="95"/>
  <c r="DC91" i="95"/>
  <c r="CU91" i="95"/>
  <c r="CJ91" i="95"/>
  <c r="CB91" i="95"/>
  <c r="E85" i="95"/>
  <c r="E23" i="95" s="1"/>
  <c r="H104" i="97"/>
  <c r="Y102" i="97"/>
  <c r="DQ100" i="97"/>
  <c r="DM249" i="97" s="1"/>
  <c r="CL97" i="97"/>
  <c r="CD97" i="97"/>
  <c r="DC96" i="97"/>
  <c r="CU96" i="97"/>
  <c r="CK96" i="97"/>
  <c r="CB96" i="97"/>
  <c r="DB95" i="97"/>
  <c r="CT95" i="97"/>
  <c r="CI95" i="97"/>
  <c r="CE94" i="97"/>
  <c r="DE93" i="97"/>
  <c r="CV93" i="97"/>
  <c r="CL93" i="97"/>
  <c r="CD93" i="97"/>
  <c r="DC92" i="97"/>
  <c r="CU92" i="97"/>
  <c r="CK92" i="97"/>
  <c r="CB92" i="97"/>
  <c r="DB91" i="97"/>
  <c r="CT91" i="97"/>
  <c r="CI91" i="97"/>
  <c r="D85" i="97"/>
  <c r="D23" i="97" s="1"/>
  <c r="DQ103" i="98"/>
  <c r="H102" i="98"/>
  <c r="Y100" i="98"/>
  <c r="CK97" i="98"/>
  <c r="CC97" i="98"/>
  <c r="DB96" i="98"/>
  <c r="CT96" i="98"/>
  <c r="CJ96" i="98"/>
  <c r="DF95" i="98"/>
  <c r="DA95" i="98"/>
  <c r="CN95" i="98"/>
  <c r="CE95" i="98"/>
  <c r="CW94" i="98"/>
  <c r="CD94" i="98"/>
  <c r="DD93" i="98"/>
  <c r="CU93" i="98"/>
  <c r="CK93" i="98"/>
  <c r="CC93" i="98"/>
  <c r="DB92" i="98"/>
  <c r="CT92" i="98"/>
  <c r="CJ92" i="98"/>
  <c r="DF91" i="98"/>
  <c r="DA91" i="98"/>
  <c r="CN91" i="98"/>
  <c r="DM85" i="98"/>
  <c r="DM23" i="98" s="1"/>
  <c r="H99" i="73"/>
  <c r="H74" i="73"/>
  <c r="C250" i="73" s="1"/>
  <c r="H74" i="95"/>
  <c r="H74" i="97"/>
  <c r="H73" i="98"/>
  <c r="Y79" i="73"/>
  <c r="Y74" i="73"/>
  <c r="T250" i="73" s="1"/>
  <c r="CL70" i="73"/>
  <c r="CD70" i="73"/>
  <c r="DC69" i="73"/>
  <c r="CU69" i="73"/>
  <c r="CK69" i="73"/>
  <c r="CB69" i="73"/>
  <c r="DB68" i="73"/>
  <c r="CT68" i="73"/>
  <c r="CI68" i="73"/>
  <c r="CE67" i="73"/>
  <c r="DE66" i="73"/>
  <c r="CV66" i="73"/>
  <c r="CL66" i="73"/>
  <c r="CD66" i="73"/>
  <c r="DC65" i="73"/>
  <c r="CU65" i="73"/>
  <c r="CK65" i="73"/>
  <c r="CB65" i="73"/>
  <c r="DB64" i="73"/>
  <c r="CT64" i="73"/>
  <c r="CI64" i="73"/>
  <c r="D58" i="73"/>
  <c r="D22" i="73" s="1"/>
  <c r="Y74" i="95"/>
  <c r="CL70" i="95"/>
  <c r="CD70" i="95"/>
  <c r="DD69" i="95"/>
  <c r="CU69" i="95"/>
  <c r="CK69" i="95"/>
  <c r="CC69" i="95"/>
  <c r="DB68" i="95"/>
  <c r="CT68" i="95"/>
  <c r="CJ68" i="95"/>
  <c r="CE67" i="95"/>
  <c r="DE66" i="95"/>
  <c r="CW66" i="95"/>
  <c r="CL66" i="95"/>
  <c r="CD66" i="95"/>
  <c r="DD65" i="95"/>
  <c r="CU65" i="95"/>
  <c r="CK65" i="95"/>
  <c r="CC65" i="95"/>
  <c r="DB64" i="95"/>
  <c r="CT64" i="95"/>
  <c r="CJ64" i="95"/>
  <c r="D58" i="95"/>
  <c r="D22" i="95" s="1"/>
  <c r="H77" i="97"/>
  <c r="I77" i="97" s="1"/>
  <c r="Y74" i="97"/>
  <c r="CM70" i="97"/>
  <c r="CD70" i="97"/>
  <c r="DD69" i="97"/>
  <c r="CV69" i="97"/>
  <c r="CK69" i="97"/>
  <c r="CC69" i="97"/>
  <c r="DC68" i="97"/>
  <c r="CT68" i="97"/>
  <c r="CJ68" i="97"/>
  <c r="CB68" i="97"/>
  <c r="DE66" i="97"/>
  <c r="CW66" i="97"/>
  <c r="CM66" i="97"/>
  <c r="CD66" i="97"/>
  <c r="DD65" i="97"/>
  <c r="CV65" i="97"/>
  <c r="CK65" i="97"/>
  <c r="CC65" i="97"/>
  <c r="DC64" i="97"/>
  <c r="CT64" i="97"/>
  <c r="CJ64" i="97"/>
  <c r="CB64" i="97"/>
  <c r="D58" i="97"/>
  <c r="D22" i="97" s="1"/>
  <c r="H77" i="98"/>
  <c r="I77" i="98" s="1"/>
  <c r="CM70" i="98"/>
  <c r="CE70" i="98"/>
  <c r="DD69" i="98"/>
  <c r="CV69" i="98"/>
  <c r="CL69" i="98"/>
  <c r="CC69" i="98"/>
  <c r="DC68" i="98"/>
  <c r="CU68" i="98"/>
  <c r="CJ68" i="98"/>
  <c r="CB68" i="98"/>
  <c r="DF66" i="98"/>
  <c r="CW66" i="98"/>
  <c r="CM66" i="98"/>
  <c r="CE66" i="98"/>
  <c r="DD65" i="98"/>
  <c r="CV65" i="98"/>
  <c r="CL65" i="98"/>
  <c r="CC65" i="98"/>
  <c r="DC64" i="98"/>
  <c r="CU64" i="98"/>
  <c r="CJ64" i="98"/>
  <c r="CB64" i="98"/>
  <c r="E58" i="98"/>
  <c r="E22" i="98" s="1"/>
  <c r="CT204" i="73"/>
  <c r="E193" i="73"/>
  <c r="E27" i="73" s="1"/>
  <c r="CD201" i="95"/>
  <c r="CE204" i="97"/>
  <c r="CM200" i="97"/>
  <c r="CI205" i="98"/>
  <c r="CB202" i="98"/>
  <c r="CI199" i="98"/>
  <c r="DQ182" i="73"/>
  <c r="DF176" i="73"/>
  <c r="DC174" i="73"/>
  <c r="DA172" i="73"/>
  <c r="DC176" i="95"/>
  <c r="CV173" i="95"/>
  <c r="CB172" i="95"/>
  <c r="CM178" i="97"/>
  <c r="DC176" i="97"/>
  <c r="CV173" i="97"/>
  <c r="CB172" i="97"/>
  <c r="DQ180" i="98"/>
  <c r="DP248" i="98" s="1"/>
  <c r="DB177" i="98"/>
  <c r="DA176" i="98"/>
  <c r="CV175" i="98"/>
  <c r="CU174" i="98"/>
  <c r="CT173" i="98"/>
  <c r="CM172" i="98"/>
  <c r="Y157" i="73"/>
  <c r="W252" i="73" s="1"/>
  <c r="CK151" i="73"/>
  <c r="CI150" i="73"/>
  <c r="CE149" i="73"/>
  <c r="CD148" i="73"/>
  <c r="CB147" i="73"/>
  <c r="DF145" i="73"/>
  <c r="DM139" i="73"/>
  <c r="DM25" i="73" s="1"/>
  <c r="DQ153" i="95"/>
  <c r="DO248" i="95" s="1"/>
  <c r="DB150" i="95"/>
  <c r="DA149" i="95"/>
  <c r="CV148" i="95"/>
  <c r="CU147" i="95"/>
  <c r="CT146" i="95"/>
  <c r="CM145" i="95"/>
  <c r="Y157" i="97"/>
  <c r="CK151" i="97"/>
  <c r="CI150" i="97"/>
  <c r="CU149" i="97"/>
  <c r="CD148" i="97"/>
  <c r="CV147" i="97"/>
  <c r="CC147" i="97"/>
  <c r="CT146" i="97"/>
  <c r="CB146" i="97"/>
  <c r="CN145" i="97"/>
  <c r="DM139" i="97"/>
  <c r="DM25" i="97" s="1"/>
  <c r="DQ157" i="98"/>
  <c r="H154" i="98"/>
  <c r="CK151" i="98"/>
  <c r="DC150" i="98"/>
  <c r="CJ150" i="98"/>
  <c r="DA149" i="98"/>
  <c r="CI149" i="98"/>
  <c r="CW148" i="98"/>
  <c r="CD148" i="98"/>
  <c r="CV147" i="98"/>
  <c r="CC147" i="98"/>
  <c r="CT146" i="98"/>
  <c r="CB146" i="98"/>
  <c r="CN145" i="98"/>
  <c r="DM139" i="98"/>
  <c r="DM25" i="98" s="1"/>
  <c r="Y132" i="73"/>
  <c r="V254" i="73" s="1"/>
  <c r="DQ128" i="73"/>
  <c r="DN250" i="73" s="1"/>
  <c r="CB124" i="73"/>
  <c r="CT123" i="73"/>
  <c r="DF122" i="73"/>
  <c r="CM122" i="73"/>
  <c r="DC120" i="73"/>
  <c r="CK120" i="73"/>
  <c r="DB119" i="73"/>
  <c r="CI119" i="73"/>
  <c r="DA118" i="73"/>
  <c r="CE118" i="73"/>
  <c r="Y132" i="95"/>
  <c r="DQ128" i="95"/>
  <c r="DN250" i="95" s="1"/>
  <c r="CB124" i="95"/>
  <c r="CT123" i="95"/>
  <c r="DF122" i="95"/>
  <c r="CM122" i="95"/>
  <c r="DC120" i="95"/>
  <c r="CK120" i="95"/>
  <c r="DB119" i="95"/>
  <c r="CI119" i="95"/>
  <c r="DA118" i="95"/>
  <c r="CE118" i="95"/>
  <c r="Y132" i="97"/>
  <c r="DQ128" i="97"/>
  <c r="DN250" i="97" s="1"/>
  <c r="CB124" i="97"/>
  <c r="CT123" i="97"/>
  <c r="CC123" i="97"/>
  <c r="CW122" i="97"/>
  <c r="CJ122" i="97"/>
  <c r="CC121" i="97"/>
  <c r="CW120" i="97"/>
  <c r="CJ120" i="97"/>
  <c r="DD119" i="97"/>
  <c r="CN119" i="97"/>
  <c r="CC119" i="97"/>
  <c r="CW118" i="97"/>
  <c r="CJ118" i="97"/>
  <c r="V112" i="97"/>
  <c r="V24" i="97" s="1"/>
  <c r="H131" i="98"/>
  <c r="I131" i="98" s="1"/>
  <c r="Y128" i="98"/>
  <c r="CJ124" i="98"/>
  <c r="DD123" i="98"/>
  <c r="CN123" i="98"/>
  <c r="CC123" i="98"/>
  <c r="CW122" i="98"/>
  <c r="CJ122" i="98"/>
  <c r="CC121" i="98"/>
  <c r="CW120" i="98"/>
  <c r="CJ120" i="98"/>
  <c r="DD119" i="98"/>
  <c r="CN119" i="98"/>
  <c r="CC119" i="98"/>
  <c r="CW118" i="98"/>
  <c r="CJ118" i="98"/>
  <c r="V112" i="98"/>
  <c r="V24" i="98" s="1"/>
  <c r="H104" i="73"/>
  <c r="I104" i="73" s="1"/>
  <c r="Y101" i="73"/>
  <c r="U250" i="73" s="1"/>
  <c r="CI97" i="73"/>
  <c r="DC96" i="73"/>
  <c r="CM96" i="73"/>
  <c r="CB96" i="73"/>
  <c r="CV95" i="73"/>
  <c r="CI95" i="73"/>
  <c r="CB94" i="73"/>
  <c r="CV93" i="73"/>
  <c r="CI93" i="73"/>
  <c r="DC92" i="73"/>
  <c r="CM92" i="73"/>
  <c r="CB92" i="73"/>
  <c r="CV91" i="73"/>
  <c r="CI91" i="73"/>
  <c r="U85" i="73"/>
  <c r="U23" i="73" s="1"/>
  <c r="DQ103" i="95"/>
  <c r="H101" i="95"/>
  <c r="CE97" i="95"/>
  <c r="DB96" i="95"/>
  <c r="CL96" i="95"/>
  <c r="DF95" i="95"/>
  <c r="CU95" i="95"/>
  <c r="CE95" i="95"/>
  <c r="DF93" i="95"/>
  <c r="CV93" i="95"/>
  <c r="CL93" i="95"/>
  <c r="CC93" i="95"/>
  <c r="DC92" i="95"/>
  <c r="CU92" i="95"/>
  <c r="CJ92" i="95"/>
  <c r="CB92" i="95"/>
  <c r="DB91" i="95"/>
  <c r="CN91" i="95"/>
  <c r="CI91" i="95"/>
  <c r="Y106" i="97"/>
  <c r="DQ103" i="97"/>
  <c r="H102" i="97"/>
  <c r="H100" i="97"/>
  <c r="CK97" i="97"/>
  <c r="CB97" i="97"/>
  <c r="DB96" i="97"/>
  <c r="CT96" i="97"/>
  <c r="CI96" i="97"/>
  <c r="DF95" i="97"/>
  <c r="DA95" i="97"/>
  <c r="CM95" i="97"/>
  <c r="CE95" i="97"/>
  <c r="CV94" i="97"/>
  <c r="CD94" i="97"/>
  <c r="DC93" i="97"/>
  <c r="CU93" i="97"/>
  <c r="CK93" i="97"/>
  <c r="CB93" i="97"/>
  <c r="DB92" i="97"/>
  <c r="CT92" i="97"/>
  <c r="CI92" i="97"/>
  <c r="DF91" i="97"/>
  <c r="DA91" i="97"/>
  <c r="CM91" i="97"/>
  <c r="DM85" i="97"/>
  <c r="DM23" i="97" s="1"/>
  <c r="Y105" i="98"/>
  <c r="Y103" i="98"/>
  <c r="DQ101" i="98"/>
  <c r="DM250" i="98" s="1"/>
  <c r="DQ99" i="98"/>
  <c r="DM248" i="98" s="1"/>
  <c r="CJ97" i="98"/>
  <c r="DF96" i="98"/>
  <c r="DA96" i="98"/>
  <c r="CN96" i="98"/>
  <c r="CE96" i="98"/>
  <c r="DE95" i="98"/>
  <c r="CW95" i="98"/>
  <c r="CL95" i="98"/>
  <c r="CD95" i="98"/>
  <c r="CU94" i="98"/>
  <c r="CC94" i="98"/>
  <c r="DB93" i="98"/>
  <c r="CT93" i="98"/>
  <c r="CJ93" i="98"/>
  <c r="DF92" i="98"/>
  <c r="DA92" i="98"/>
  <c r="CN92" i="98"/>
  <c r="DE91" i="98"/>
  <c r="CW91" i="98"/>
  <c r="CL91" i="98"/>
  <c r="V85" i="98"/>
  <c r="V23" i="98" s="1"/>
  <c r="H99" i="97"/>
  <c r="H73" i="73"/>
  <c r="C249" i="73" s="1"/>
  <c r="H73" i="95"/>
  <c r="H72" i="97"/>
  <c r="H72" i="98"/>
  <c r="Y78" i="73"/>
  <c r="T254" i="73" s="1"/>
  <c r="Y76" i="73"/>
  <c r="T252" i="73" s="1"/>
  <c r="Y73" i="73"/>
  <c r="CK70" i="73"/>
  <c r="CB70" i="73"/>
  <c r="DB69" i="73"/>
  <c r="CT69" i="73"/>
  <c r="CI69" i="73"/>
  <c r="DF68" i="73"/>
  <c r="DA68" i="73"/>
  <c r="CM68" i="73"/>
  <c r="CE68" i="73"/>
  <c r="CV67" i="73"/>
  <c r="CD67" i="73"/>
  <c r="DC66" i="73"/>
  <c r="CU66" i="73"/>
  <c r="CK66" i="73"/>
  <c r="CB66" i="73"/>
  <c r="DB65" i="73"/>
  <c r="CT65" i="73"/>
  <c r="CI65" i="73"/>
  <c r="DF64" i="73"/>
  <c r="DA64" i="73"/>
  <c r="CM64" i="73"/>
  <c r="CE64" i="73"/>
  <c r="DM58" i="73"/>
  <c r="DM22" i="73" s="1"/>
  <c r="Y78" i="95"/>
  <c r="Y76" i="95"/>
  <c r="CK70" i="95"/>
  <c r="CC70" i="95"/>
  <c r="DB69" i="95"/>
  <c r="CT69" i="95"/>
  <c r="CJ69" i="95"/>
  <c r="DF68" i="95"/>
  <c r="DA68" i="95"/>
  <c r="CN68" i="95"/>
  <c r="CE68" i="95"/>
  <c r="CW67" i="95"/>
  <c r="CD67" i="95"/>
  <c r="DD66" i="95"/>
  <c r="CU66" i="95"/>
  <c r="CK66" i="95"/>
  <c r="CC66" i="95"/>
  <c r="DB65" i="95"/>
  <c r="CT65" i="95"/>
  <c r="CJ65" i="95"/>
  <c r="DF64" i="95"/>
  <c r="DA64" i="95"/>
  <c r="CN64" i="95"/>
  <c r="CE64" i="95"/>
  <c r="DM58" i="95"/>
  <c r="DM22" i="95" s="1"/>
  <c r="Y79" i="97"/>
  <c r="Y76" i="97"/>
  <c r="CK70" i="97"/>
  <c r="CC70" i="97"/>
  <c r="DC69" i="97"/>
  <c r="CT69" i="97"/>
  <c r="CJ69" i="97"/>
  <c r="CB69" i="97"/>
  <c r="DA68" i="97"/>
  <c r="CN68" i="97"/>
  <c r="CB203" i="73"/>
  <c r="CL205" i="95"/>
  <c r="DA199" i="95"/>
  <c r="CC203" i="97"/>
  <c r="CV199" i="97"/>
  <c r="CM204" i="98"/>
  <c r="CI201" i="98"/>
  <c r="CM176" i="73"/>
  <c r="CK174" i="73"/>
  <c r="CE172" i="73"/>
  <c r="CB178" i="95"/>
  <c r="CM176" i="95"/>
  <c r="DC174" i="95"/>
  <c r="CI173" i="95"/>
  <c r="Y186" i="97"/>
  <c r="CB178" i="97"/>
  <c r="CM176" i="97"/>
  <c r="DC174" i="97"/>
  <c r="CI173" i="97"/>
  <c r="Y186" i="98"/>
  <c r="CT177" i="98"/>
  <c r="CM176" i="98"/>
  <c r="CK174" i="98"/>
  <c r="CI173" i="98"/>
  <c r="CE172" i="98"/>
  <c r="DQ155" i="73"/>
  <c r="DO250" i="73" s="1"/>
  <c r="CB151" i="73"/>
  <c r="DF149" i="73"/>
  <c r="DC147" i="73"/>
  <c r="DB146" i="73"/>
  <c r="DA145" i="73"/>
  <c r="Y159" i="95"/>
  <c r="CT150" i="95"/>
  <c r="CM149" i="95"/>
  <c r="CK147" i="95"/>
  <c r="CI146" i="95"/>
  <c r="CE145" i="95"/>
  <c r="DQ155" i="97"/>
  <c r="DO250" i="97" s="1"/>
  <c r="CB151" i="97"/>
  <c r="CD150" i="97"/>
  <c r="CL149" i="97"/>
  <c r="CV148" i="97"/>
  <c r="CB148" i="97"/>
  <c r="CN147" i="97"/>
  <c r="DE146" i="97"/>
  <c r="CM146" i="97"/>
  <c r="DD145" i="97"/>
  <c r="CK145" i="97"/>
  <c r="U139" i="97"/>
  <c r="U25" i="97" s="1"/>
  <c r="DQ156" i="98"/>
  <c r="DO251" i="98" s="1"/>
  <c r="H153" i="98"/>
  <c r="CI151" i="98"/>
  <c r="CW150" i="98"/>
  <c r="CD150" i="98"/>
  <c r="CV149" i="98"/>
  <c r="CC149" i="98"/>
  <c r="CT148" i="98"/>
  <c r="CB148" i="98"/>
  <c r="CN147" i="98"/>
  <c r="DE146" i="98"/>
  <c r="CM146" i="98"/>
  <c r="DD145" i="98"/>
  <c r="CK145" i="98"/>
  <c r="U139" i="98"/>
  <c r="U25" i="98" s="1"/>
  <c r="Y131" i="73"/>
  <c r="V253" i="73" s="1"/>
  <c r="DQ127" i="73"/>
  <c r="CM124" i="73"/>
  <c r="DE123" i="73"/>
  <c r="CL123" i="73"/>
  <c r="DC122" i="73"/>
  <c r="CK122" i="73"/>
  <c r="DA120" i="73"/>
  <c r="CE120" i="73"/>
  <c r="CV119" i="73"/>
  <c r="CD119" i="73"/>
  <c r="CU118" i="73"/>
  <c r="CB118" i="73"/>
  <c r="Y131" i="95"/>
  <c r="DQ127" i="95"/>
  <c r="DN249" i="95" s="1"/>
  <c r="CM124" i="95"/>
  <c r="DE123" i="95"/>
  <c r="CL123" i="95"/>
  <c r="DC122" i="95"/>
  <c r="CK122" i="95"/>
  <c r="DA120" i="95"/>
  <c r="CE120" i="95"/>
  <c r="CV119" i="95"/>
  <c r="CD119" i="95"/>
  <c r="CU118" i="95"/>
  <c r="CB118" i="95"/>
  <c r="Y131" i="97"/>
  <c r="DQ127" i="97"/>
  <c r="DN249" i="97" s="1"/>
  <c r="CM124" i="97"/>
  <c r="DE123" i="97"/>
  <c r="CL123" i="97"/>
  <c r="DF122" i="97"/>
  <c r="CU122" i="97"/>
  <c r="CE122" i="97"/>
  <c r="DF120" i="97"/>
  <c r="CU120" i="97"/>
  <c r="CE120" i="97"/>
  <c r="DB119" i="97"/>
  <c r="CL119" i="97"/>
  <c r="DF118" i="97"/>
  <c r="CU118" i="97"/>
  <c r="CE118" i="97"/>
  <c r="E112" i="97"/>
  <c r="E24" i="97" s="1"/>
  <c r="Y130" i="98"/>
  <c r="DQ127" i="98"/>
  <c r="DN249" i="98" s="1"/>
  <c r="CE124" i="98"/>
  <c r="DB123" i="98"/>
  <c r="CL123" i="98"/>
  <c r="DF122" i="98"/>
  <c r="CU122" i="98"/>
  <c r="CE122" i="98"/>
  <c r="DF120" i="98"/>
  <c r="CU120" i="98"/>
  <c r="CE120" i="98"/>
  <c r="DB119" i="98"/>
  <c r="CL119" i="98"/>
  <c r="DF118" i="98"/>
  <c r="CU118" i="98"/>
  <c r="CE118" i="98"/>
  <c r="E112" i="98"/>
  <c r="E24" i="98" s="1"/>
  <c r="Y103" i="73"/>
  <c r="U252" i="73" s="1"/>
  <c r="DQ100" i="73"/>
  <c r="DM249" i="73" s="1"/>
  <c r="CD97" i="73"/>
  <c r="DA96" i="73"/>
  <c r="CK96" i="73"/>
  <c r="DE95" i="73"/>
  <c r="CT95" i="73"/>
  <c r="CD95" i="73"/>
  <c r="DE93" i="73"/>
  <c r="CT93" i="73"/>
  <c r="CD93" i="73"/>
  <c r="DA92" i="73"/>
  <c r="CK92" i="73"/>
  <c r="DE91" i="73"/>
  <c r="CT91" i="73"/>
  <c r="D85" i="73"/>
  <c r="D23" i="73" s="1"/>
  <c r="H103" i="95"/>
  <c r="Y100" i="95"/>
  <c r="CN97" i="95"/>
  <c r="CC97" i="95"/>
  <c r="CW96" i="95"/>
  <c r="CJ96" i="95"/>
  <c r="DD95" i="95"/>
  <c r="CN95" i="95"/>
  <c r="CC95" i="95"/>
  <c r="CW94" i="95"/>
  <c r="DD93" i="95"/>
  <c r="CU93" i="95"/>
  <c r="CJ93" i="95"/>
  <c r="CB93" i="95"/>
  <c r="DB92" i="95"/>
  <c r="CN92" i="95"/>
  <c r="CI92" i="95"/>
  <c r="DF91" i="95"/>
  <c r="CW91" i="95"/>
  <c r="CM91" i="95"/>
  <c r="V85" i="95"/>
  <c r="V23" i="95" s="1"/>
  <c r="Y105" i="97"/>
  <c r="Y103" i="97"/>
  <c r="Y101" i="97"/>
  <c r="DQ99" i="97"/>
  <c r="DM248" i="97" s="1"/>
  <c r="CI97" i="97"/>
  <c r="DF96" i="97"/>
  <c r="DA96" i="97"/>
  <c r="CM96" i="97"/>
  <c r="CE96" i="97"/>
  <c r="DE95" i="97"/>
  <c r="CV95" i="97"/>
  <c r="CL95" i="97"/>
  <c r="CD95" i="97"/>
  <c r="CU94" i="97"/>
  <c r="CB94" i="97"/>
  <c r="DB93" i="97"/>
  <c r="CT93" i="97"/>
  <c r="CI93" i="97"/>
  <c r="DF92" i="97"/>
  <c r="DA92" i="97"/>
  <c r="CM92" i="97"/>
  <c r="DE91" i="97"/>
  <c r="CV91" i="97"/>
  <c r="CL91" i="97"/>
  <c r="U85" i="97"/>
  <c r="U23" i="97" s="1"/>
  <c r="DQ104" i="98"/>
  <c r="H103" i="98"/>
  <c r="H101" i="98"/>
  <c r="Y99" i="98"/>
  <c r="CN97" i="98"/>
  <c r="CE97" i="98"/>
  <c r="DE96" i="98"/>
  <c r="CW96" i="98"/>
  <c r="CL96" i="98"/>
  <c r="CD96" i="98"/>
  <c r="DD95" i="98"/>
  <c r="CU95" i="98"/>
  <c r="CK95" i="98"/>
  <c r="CC95" i="98"/>
  <c r="CT94" i="98"/>
  <c r="DF93" i="98"/>
  <c r="DA93" i="98"/>
  <c r="CN93" i="98"/>
  <c r="CE93" i="98"/>
  <c r="DE92" i="98"/>
  <c r="CW92" i="98"/>
  <c r="CL92" i="98"/>
  <c r="CD92" i="98"/>
  <c r="DD91" i="98"/>
  <c r="CU91" i="98"/>
  <c r="CK91" i="98"/>
  <c r="CC91" i="98"/>
  <c r="E85" i="98"/>
  <c r="E23" i="98" s="1"/>
  <c r="H99" i="98"/>
  <c r="H72" i="73"/>
  <c r="C248" i="73" s="1"/>
  <c r="H76" i="97"/>
  <c r="H76" i="98"/>
  <c r="DQ77" i="73"/>
  <c r="Y75" i="73"/>
  <c r="T251" i="73" s="1"/>
  <c r="DQ72" i="73"/>
  <c r="DL248" i="73" s="1"/>
  <c r="CI70" i="73"/>
  <c r="DF69" i="73"/>
  <c r="DA69" i="73"/>
  <c r="CM69" i="73"/>
  <c r="CE69" i="73"/>
  <c r="DE68" i="73"/>
  <c r="CV68" i="73"/>
  <c r="CL68" i="73"/>
  <c r="CD68" i="73"/>
  <c r="CU67" i="73"/>
  <c r="CB67" i="73"/>
  <c r="DB66" i="73"/>
  <c r="CT66" i="73"/>
  <c r="CI66" i="73"/>
  <c r="DF65" i="73"/>
  <c r="DA65" i="73"/>
  <c r="CM65" i="73"/>
  <c r="CE65" i="73"/>
  <c r="DE64" i="73"/>
  <c r="CV64" i="73"/>
  <c r="CL64" i="73"/>
  <c r="CD64" i="73"/>
  <c r="U58" i="73"/>
  <c r="U22" i="73" s="1"/>
  <c r="DQ77" i="95"/>
  <c r="DQ72" i="95"/>
  <c r="CJ70" i="95"/>
  <c r="DF69" i="95"/>
  <c r="DA69" i="95"/>
  <c r="CN69" i="95"/>
  <c r="CE69" i="95"/>
  <c r="DE68" i="95"/>
  <c r="CW68" i="95"/>
  <c r="CL68" i="95"/>
  <c r="CD68" i="95"/>
  <c r="CU67" i="95"/>
  <c r="CC67" i="95"/>
  <c r="DB66" i="95"/>
  <c r="CT66" i="95"/>
  <c r="CJ66" i="95"/>
  <c r="DF65" i="95"/>
  <c r="DA65" i="95"/>
  <c r="CN65" i="95"/>
  <c r="CE65" i="95"/>
  <c r="DE64" i="95"/>
  <c r="CW64" i="95"/>
  <c r="CL64" i="95"/>
  <c r="CD64" i="95"/>
  <c r="V58" i="95"/>
  <c r="V22" i="95" s="1"/>
  <c r="DQ77" i="97"/>
  <c r="Y73" i="97"/>
  <c r="CJ70" i="97"/>
  <c r="CB70" i="97"/>
  <c r="DA69" i="97"/>
  <c r="CN69" i="97"/>
  <c r="CI69" i="97"/>
  <c r="DE68" i="97"/>
  <c r="CW68" i="97"/>
  <c r="CM68" i="97"/>
  <c r="CD68" i="97"/>
  <c r="CV67" i="97"/>
  <c r="CC67" i="97"/>
  <c r="DC66" i="97"/>
  <c r="CT66" i="97"/>
  <c r="CJ66" i="97"/>
  <c r="CB66" i="97"/>
  <c r="DA65" i="97"/>
  <c r="CN65" i="97"/>
  <c r="CI65" i="97"/>
  <c r="DE64" i="97"/>
  <c r="CW64" i="97"/>
  <c r="CM64" i="97"/>
  <c r="CD64" i="97"/>
  <c r="V58" i="97"/>
  <c r="V22" i="97" s="1"/>
  <c r="Y78" i="98"/>
  <c r="Y73" i="98"/>
  <c r="CJ70" i="98"/>
  <c r="CB70" i="98"/>
  <c r="DB69" i="98"/>
  <c r="CN69" i="98"/>
  <c r="CI69" i="98"/>
  <c r="DF68" i="98"/>
  <c r="CW68" i="98"/>
  <c r="CM68" i="98"/>
  <c r="CE68" i="98"/>
  <c r="CV67" i="98"/>
  <c r="CC67" i="98"/>
  <c r="DC66" i="98"/>
  <c r="CU66" i="98"/>
  <c r="CJ66" i="98"/>
  <c r="CB66" i="98"/>
  <c r="DB65" i="98"/>
  <c r="CN65" i="98"/>
  <c r="CI65" i="98"/>
  <c r="DF64" i="98"/>
  <c r="CW64" i="98"/>
  <c r="CM64" i="98"/>
  <c r="CE64" i="98"/>
  <c r="V58" i="98"/>
  <c r="V22" i="98" s="1"/>
  <c r="CV201" i="73"/>
  <c r="U193" i="97"/>
  <c r="U27" i="97" s="1"/>
  <c r="Y186" i="95"/>
  <c r="DC172" i="95"/>
  <c r="CM174" i="97"/>
  <c r="CI177" i="98"/>
  <c r="DF172" i="98"/>
  <c r="DA149" i="73"/>
  <c r="CM145" i="73"/>
  <c r="CE149" i="95"/>
  <c r="DM139" i="95"/>
  <c r="DM25" i="95" s="1"/>
  <c r="CE149" i="97"/>
  <c r="DC146" i="97"/>
  <c r="Y160" i="98"/>
  <c r="CT150" i="98"/>
  <c r="CJ146" i="98"/>
  <c r="DB123" i="73"/>
  <c r="CV121" i="73"/>
  <c r="CT119" i="73"/>
  <c r="Y130" i="95"/>
  <c r="CI123" i="95"/>
  <c r="CD121" i="95"/>
  <c r="DF118" i="95"/>
  <c r="DQ126" i="97"/>
  <c r="DN248" i="97" s="1"/>
  <c r="DD122" i="97"/>
  <c r="CW119" i="97"/>
  <c r="CC118" i="97"/>
  <c r="CN124" i="98"/>
  <c r="DD122" i="98"/>
  <c r="CW119" i="98"/>
  <c r="CC118" i="98"/>
  <c r="CM97" i="73"/>
  <c r="DC95" i="73"/>
  <c r="CV92" i="73"/>
  <c r="CB91" i="73"/>
  <c r="CL97" i="95"/>
  <c r="DB95" i="95"/>
  <c r="CE94" i="95"/>
  <c r="DF92" i="95"/>
  <c r="DD91" i="95"/>
  <c r="U85" i="95"/>
  <c r="U23" i="95" s="1"/>
  <c r="Y99" i="97"/>
  <c r="CV96" i="97"/>
  <c r="CU95" i="97"/>
  <c r="CT94" i="97"/>
  <c r="CM93" i="97"/>
  <c r="CL92" i="97"/>
  <c r="CK91" i="97"/>
  <c r="Y102" i="98"/>
  <c r="CD97" i="98"/>
  <c r="CC96" i="98"/>
  <c r="DE93" i="98"/>
  <c r="DD92" i="98"/>
  <c r="DB91" i="98"/>
  <c r="D85" i="98"/>
  <c r="D23" i="98" s="1"/>
  <c r="H75" i="98"/>
  <c r="DE69" i="73"/>
  <c r="DC68" i="73"/>
  <c r="DA66" i="73"/>
  <c r="CV65" i="73"/>
  <c r="CU64" i="73"/>
  <c r="Y77" i="95"/>
  <c r="CE70" i="95"/>
  <c r="CD69" i="95"/>
  <c r="CC68" i="95"/>
  <c r="DF66" i="95"/>
  <c r="DE65" i="95"/>
  <c r="DD64" i="95"/>
  <c r="E58" i="95"/>
  <c r="E22" i="95" s="1"/>
  <c r="CN70" i="97"/>
  <c r="CM69" i="97"/>
  <c r="CK68" i="97"/>
  <c r="DA66" i="97"/>
  <c r="CI66" i="97"/>
  <c r="CW65" i="97"/>
  <c r="CD65" i="97"/>
  <c r="CV64" i="97"/>
  <c r="CC64" i="97"/>
  <c r="Y77" i="98"/>
  <c r="DQ72" i="98"/>
  <c r="CI70" i="98"/>
  <c r="CW69" i="98"/>
  <c r="CE69" i="98"/>
  <c r="CV68" i="98"/>
  <c r="CC68" i="98"/>
  <c r="CU67" i="98"/>
  <c r="CB67" i="98"/>
  <c r="CN66" i="98"/>
  <c r="DF65" i="98"/>
  <c r="CM65" i="98"/>
  <c r="DD64" i="98"/>
  <c r="CL64" i="98"/>
  <c r="U58" i="98"/>
  <c r="U22" i="98" s="1"/>
  <c r="DF203" i="95"/>
  <c r="CV203" i="98"/>
  <c r="CB178" i="73"/>
  <c r="CV177" i="95"/>
  <c r="Y183" i="97"/>
  <c r="DC172" i="97"/>
  <c r="CE176" i="98"/>
  <c r="DM166" i="98"/>
  <c r="DM26" i="98" s="1"/>
  <c r="CV148" i="73"/>
  <c r="Y157" i="95"/>
  <c r="CD148" i="95"/>
  <c r="DQ153" i="97"/>
  <c r="DO248" i="97" s="1"/>
  <c r="CT148" i="97"/>
  <c r="CJ146" i="97"/>
  <c r="DQ155" i="98"/>
  <c r="DO250" i="98" s="1"/>
  <c r="CB150" i="98"/>
  <c r="DD147" i="98"/>
  <c r="DA145" i="98"/>
  <c r="Y130" i="73"/>
  <c r="V252" i="73" s="1"/>
  <c r="CI123" i="73"/>
  <c r="CD121" i="73"/>
  <c r="DF118" i="73"/>
  <c r="DQ126" i="95"/>
  <c r="DN248" i="95" s="1"/>
  <c r="DA122" i="95"/>
  <c r="CU120" i="95"/>
  <c r="CM118" i="95"/>
  <c r="CK124" i="97"/>
  <c r="CN122" i="97"/>
  <c r="DD120" i="97"/>
  <c r="CJ119" i="97"/>
  <c r="Y133" i="98"/>
  <c r="CC124" i="98"/>
  <c r="CN122" i="98"/>
  <c r="DD120" i="98"/>
  <c r="CJ119" i="98"/>
  <c r="Y106" i="73"/>
  <c r="CB97" i="73"/>
  <c r="CM95" i="73"/>
  <c r="DC93" i="73"/>
  <c r="CI92" i="73"/>
  <c r="Y105" i="95"/>
  <c r="DF96" i="95"/>
  <c r="CL95" i="95"/>
  <c r="DB93" i="95"/>
  <c r="CW92" i="95"/>
  <c r="CV91" i="95"/>
  <c r="DQ104" i="97"/>
  <c r="CM97" i="97"/>
  <c r="CL96" i="97"/>
  <c r="CK95" i="97"/>
  <c r="CE93" i="97"/>
  <c r="CD92" i="97"/>
  <c r="CB91" i="97"/>
  <c r="DQ100" i="98"/>
  <c r="DM249" i="98" s="1"/>
  <c r="DD96" i="98"/>
  <c r="DB95" i="98"/>
  <c r="CW93" i="98"/>
  <c r="CU92" i="98"/>
  <c r="CT91" i="98"/>
  <c r="H76" i="73"/>
  <c r="C252" i="73" s="1"/>
  <c r="Y72" i="73"/>
  <c r="CV69" i="73"/>
  <c r="CU68" i="73"/>
  <c r="CT67" i="73"/>
  <c r="CM66" i="73"/>
  <c r="CL65" i="73"/>
  <c r="CK64" i="73"/>
  <c r="DE69" i="95"/>
  <c r="DD68" i="95"/>
  <c r="DA66" i="95"/>
  <c r="CW65" i="95"/>
  <c r="CU64" i="95"/>
  <c r="Y77" i="97"/>
  <c r="CI70" i="97"/>
  <c r="CD69" i="97"/>
  <c r="CI68" i="97"/>
  <c r="CW67" i="97"/>
  <c r="CD67" i="97"/>
  <c r="CV66" i="97"/>
  <c r="CC66" i="97"/>
  <c r="CT65" i="97"/>
  <c r="CB65" i="97"/>
  <c r="CN64" i="97"/>
  <c r="DM58" i="97"/>
  <c r="DM22" i="97" s="1"/>
  <c r="CC70" i="98"/>
  <c r="CU69" i="98"/>
  <c r="CB69" i="98"/>
  <c r="CN68" i="98"/>
  <c r="DD66" i="98"/>
  <c r="CL66" i="98"/>
  <c r="DC65" i="98"/>
  <c r="CJ65" i="98"/>
  <c r="DB64" i="98"/>
  <c r="CI64" i="98"/>
  <c r="DF69" i="98"/>
  <c r="DD68" i="98"/>
  <c r="DB66" i="98"/>
  <c r="CI66" i="98"/>
  <c r="CV64" i="98"/>
  <c r="CC64" i="98"/>
  <c r="CB202" i="97"/>
  <c r="CM174" i="95"/>
  <c r="CB176" i="97"/>
  <c r="CB174" i="98"/>
  <c r="DB150" i="73"/>
  <c r="CT146" i="73"/>
  <c r="CI150" i="95"/>
  <c r="DF145" i="95"/>
  <c r="DE149" i="97"/>
  <c r="CK147" i="97"/>
  <c r="CI145" i="97"/>
  <c r="CC151" i="98"/>
  <c r="DC146" i="98"/>
  <c r="CK124" i="73"/>
  <c r="CE122" i="73"/>
  <c r="CB120" i="73"/>
  <c r="DM112" i="73"/>
  <c r="DM24" i="73" s="1"/>
  <c r="DB123" i="95"/>
  <c r="CV121" i="95"/>
  <c r="CT119" i="95"/>
  <c r="Y130" i="97"/>
  <c r="CJ123" i="97"/>
  <c r="CW121" i="97"/>
  <c r="CC120" i="97"/>
  <c r="CN118" i="97"/>
  <c r="H127" i="98"/>
  <c r="CJ123" i="98"/>
  <c r="CW121" i="98"/>
  <c r="CC120" i="98"/>
  <c r="CN118" i="98"/>
  <c r="H100" i="73"/>
  <c r="CI96" i="73"/>
  <c r="CV94" i="73"/>
  <c r="CB93" i="73"/>
  <c r="CM91" i="73"/>
  <c r="DQ99" i="95"/>
  <c r="DM248" i="95" s="1"/>
  <c r="CE96" i="95"/>
  <c r="CU94" i="95"/>
  <c r="CI93" i="95"/>
  <c r="CC91" i="95"/>
  <c r="H101" i="97"/>
  <c r="DE96" i="97"/>
  <c r="DC95" i="97"/>
  <c r="DA93" i="97"/>
  <c r="CV92" i="97"/>
  <c r="Y104" i="98"/>
  <c r="CL97" i="98"/>
  <c r="CK96" i="98"/>
  <c r="CJ95" i="98"/>
  <c r="CE94" i="98"/>
  <c r="CD93" i="98"/>
  <c r="CC92" i="98"/>
  <c r="H75" i="97"/>
  <c r="H77" i="73"/>
  <c r="I77" i="73" s="1"/>
  <c r="CE70" i="73"/>
  <c r="CD69" i="73"/>
  <c r="CB68" i="73"/>
  <c r="DF66" i="73"/>
  <c r="DE65" i="73"/>
  <c r="E58" i="73"/>
  <c r="E22" i="73" s="1"/>
  <c r="CN70" i="95"/>
  <c r="CL69" i="95"/>
  <c r="CD65" i="95"/>
  <c r="Y72" i="97"/>
  <c r="CV68" i="97"/>
  <c r="DD66" i="97"/>
  <c r="DC65" i="97"/>
  <c r="DA64" i="97"/>
  <c r="Y79" i="98"/>
  <c r="DC69" i="98"/>
  <c r="DB68" i="98"/>
  <c r="CW67" i="98"/>
  <c r="CV66" i="98"/>
  <c r="CU65" i="98"/>
  <c r="CN64" i="98"/>
  <c r="CM200" i="98"/>
  <c r="CB176" i="95"/>
  <c r="CV177" i="97"/>
  <c r="Y184" i="98"/>
  <c r="CD175" i="98"/>
  <c r="DQ153" i="73"/>
  <c r="DO248" i="73" s="1"/>
  <c r="CU147" i="73"/>
  <c r="CK151" i="95"/>
  <c r="CB147" i="95"/>
  <c r="DB150" i="97"/>
  <c r="DD147" i="97"/>
  <c r="DA145" i="97"/>
  <c r="CN149" i="98"/>
  <c r="CK147" i="98"/>
  <c r="CI145" i="98"/>
  <c r="DQ126" i="73"/>
  <c r="DN248" i="73" s="1"/>
  <c r="DA122" i="73"/>
  <c r="CU120" i="73"/>
  <c r="CM118" i="73"/>
  <c r="CK124" i="95"/>
  <c r="CE122" i="95"/>
  <c r="CB120" i="95"/>
  <c r="DM112" i="95"/>
  <c r="DM24" i="95" s="1"/>
  <c r="DB123" i="97"/>
  <c r="CC122" i="97"/>
  <c r="CN120" i="97"/>
  <c r="DD118" i="97"/>
  <c r="DQ129" i="98"/>
  <c r="DN251" i="98" s="1"/>
  <c r="CW123" i="98"/>
  <c r="CC122" i="98"/>
  <c r="CN120" i="98"/>
  <c r="DD118" i="98"/>
  <c r="DQ102" i="73"/>
  <c r="DM251" i="73" s="1"/>
  <c r="CV96" i="73"/>
  <c r="CB95" i="73"/>
  <c r="CM93" i="73"/>
  <c r="DC91" i="73"/>
  <c r="Y102" i="95"/>
  <c r="CU96" i="95"/>
  <c r="CN93" i="95"/>
  <c r="CM92" i="95"/>
  <c r="CL91" i="95"/>
  <c r="DQ102" i="97"/>
  <c r="DM251" i="97" s="1"/>
  <c r="CE97" i="97"/>
  <c r="CD96" i="97"/>
  <c r="CB95" i="97"/>
  <c r="DF93" i="97"/>
  <c r="DE92" i="97"/>
  <c r="DC91" i="97"/>
  <c r="E85" i="97"/>
  <c r="E23" i="97" s="1"/>
  <c r="CU96" i="98"/>
  <c r="CT95" i="98"/>
  <c r="CL93" i="98"/>
  <c r="CK92" i="98"/>
  <c r="CJ91" i="98"/>
  <c r="H75" i="95"/>
  <c r="CM70" i="73"/>
  <c r="CL69" i="73"/>
  <c r="CK68" i="73"/>
  <c r="CE66" i="73"/>
  <c r="CD65" i="73"/>
  <c r="CB64" i="73"/>
  <c r="Y72" i="95"/>
  <c r="CW69" i="95"/>
  <c r="CU68" i="95"/>
  <c r="CT67" i="95"/>
  <c r="CN66" i="95"/>
  <c r="CL65" i="95"/>
  <c r="CK64" i="95"/>
  <c r="Y75" i="97"/>
  <c r="DE69" i="97"/>
  <c r="DD68" i="97"/>
  <c r="CC68" i="97"/>
  <c r="CT67" i="97"/>
  <c r="CB67" i="97"/>
  <c r="CN66" i="97"/>
  <c r="DE65" i="97"/>
  <c r="CM65" i="97"/>
  <c r="DD64" i="97"/>
  <c r="CK64" i="97"/>
  <c r="U58" i="97"/>
  <c r="U22" i="97" s="1"/>
  <c r="Y75" i="98"/>
  <c r="CN70" i="98"/>
  <c r="CM69" i="98"/>
  <c r="CL68" i="98"/>
  <c r="CW65" i="98"/>
  <c r="CE65" i="98"/>
  <c r="DB173" i="73"/>
  <c r="CK178" i="98"/>
  <c r="CU91" i="97"/>
  <c r="DC64" i="73"/>
  <c r="CK68" i="95"/>
  <c r="CE66" i="95"/>
  <c r="CC64" i="95"/>
  <c r="CW69" i="97"/>
  <c r="CK66" i="97"/>
  <c r="CJ65" i="97"/>
  <c r="CI64" i="97"/>
  <c r="CL70" i="98"/>
  <c r="CJ69" i="98"/>
  <c r="CI68" i="98"/>
  <c r="CE67" i="98"/>
  <c r="CC66" i="98"/>
  <c r="CB65" i="98"/>
  <c r="F321" i="95"/>
  <c r="F322" i="95"/>
  <c r="F320" i="95"/>
  <c r="DL249" i="73"/>
  <c r="F320" i="94"/>
  <c r="F322" i="94"/>
  <c r="F321" i="94"/>
  <c r="DM252" i="94"/>
  <c r="E250" i="94"/>
  <c r="DM25" i="94"/>
  <c r="DO250" i="94"/>
  <c r="DM27" i="94"/>
  <c r="F320" i="73"/>
  <c r="F321" i="73"/>
  <c r="DQ249" i="73"/>
  <c r="DL251" i="95"/>
  <c r="DL250" i="95"/>
  <c r="DQ252" i="73"/>
  <c r="F322" i="73"/>
  <c r="BR77" i="98"/>
  <c r="AN131" i="97"/>
  <c r="AN131" i="98"/>
  <c r="BC78" i="98"/>
  <c r="BC74" i="97"/>
  <c r="AN131" i="73"/>
  <c r="BR76" i="95"/>
  <c r="I155" i="95" l="1"/>
  <c r="I153" i="73"/>
  <c r="DL252" i="73"/>
  <c r="I126" i="97"/>
  <c r="I208" i="97"/>
  <c r="D4" i="73"/>
  <c r="D4" i="94"/>
  <c r="I156" i="73"/>
  <c r="DL252" i="98"/>
  <c r="DN58" i="98"/>
  <c r="DN22" i="98" s="1"/>
  <c r="DO252" i="98"/>
  <c r="DO253" i="98" s="1"/>
  <c r="DN139" i="98"/>
  <c r="DN25" i="98" s="1"/>
  <c r="DP252" i="97"/>
  <c r="DP253" i="97" s="1"/>
  <c r="DN166" i="97"/>
  <c r="DN26" i="97" s="1"/>
  <c r="DO252" i="97"/>
  <c r="DO253" i="97" s="1"/>
  <c r="DN139" i="97"/>
  <c r="DN25" i="97" s="1"/>
  <c r="DP252" i="73"/>
  <c r="DN166" i="73"/>
  <c r="DN26" i="73" s="1"/>
  <c r="DO252" i="94"/>
  <c r="DO253" i="94" s="1"/>
  <c r="DN139" i="94"/>
  <c r="DN25" i="94" s="1"/>
  <c r="DL252" i="94"/>
  <c r="DN58" i="94"/>
  <c r="DN22" i="94" s="1"/>
  <c r="DM252" i="95"/>
  <c r="DM253" i="95" s="1"/>
  <c r="DM281" i="95" s="1"/>
  <c r="DN85" i="95"/>
  <c r="DN23" i="95" s="1"/>
  <c r="DN252" i="95"/>
  <c r="DN253" i="95" s="1"/>
  <c r="DN112" i="95"/>
  <c r="DN24" i="95" s="1"/>
  <c r="DO252" i="95"/>
  <c r="DO253" i="95" s="1"/>
  <c r="DN139" i="95"/>
  <c r="DN25" i="95" s="1"/>
  <c r="DL252" i="97"/>
  <c r="DN58" i="97"/>
  <c r="DN22" i="97" s="1"/>
  <c r="DL252" i="95"/>
  <c r="DN58" i="95"/>
  <c r="DN22" i="95" s="1"/>
  <c r="F251" i="73"/>
  <c r="DM252" i="97"/>
  <c r="DM253" i="97" s="1"/>
  <c r="DN85" i="97"/>
  <c r="DN23" i="97" s="1"/>
  <c r="DM252" i="98"/>
  <c r="DM253" i="98" s="1"/>
  <c r="DN85" i="98"/>
  <c r="DN23" i="98" s="1"/>
  <c r="DN252" i="98"/>
  <c r="DN253" i="98" s="1"/>
  <c r="DN112" i="98"/>
  <c r="DN24" i="98" s="1"/>
  <c r="DO252" i="73"/>
  <c r="DN139" i="73"/>
  <c r="DN25" i="73" s="1"/>
  <c r="DN252" i="97"/>
  <c r="DN253" i="97" s="1"/>
  <c r="DN112" i="97"/>
  <c r="DN24" i="97" s="1"/>
  <c r="DM252" i="73"/>
  <c r="DM253" i="73" s="1"/>
  <c r="DN85" i="73"/>
  <c r="DN23" i="73" s="1"/>
  <c r="DP252" i="98"/>
  <c r="DP253" i="98" s="1"/>
  <c r="DP284" i="98" s="1"/>
  <c r="DN166" i="98"/>
  <c r="DN26" i="98" s="1"/>
  <c r="DP252" i="95"/>
  <c r="DP253" i="95" s="1"/>
  <c r="DN166" i="95"/>
  <c r="DN26" i="95" s="1"/>
  <c r="DN252" i="94"/>
  <c r="DN253" i="94" s="1"/>
  <c r="DN112" i="94"/>
  <c r="DN24" i="94" s="1"/>
  <c r="DP252" i="94"/>
  <c r="DP253" i="94" s="1"/>
  <c r="DN166" i="94"/>
  <c r="DN26" i="94" s="1"/>
  <c r="I76" i="94"/>
  <c r="Z77" i="73"/>
  <c r="F250" i="95"/>
  <c r="C252" i="94"/>
  <c r="I153" i="95"/>
  <c r="I209" i="97"/>
  <c r="I126" i="73"/>
  <c r="I129" i="73"/>
  <c r="I207" i="97"/>
  <c r="I211" i="73"/>
  <c r="I209" i="98"/>
  <c r="I210" i="97"/>
  <c r="I210" i="73"/>
  <c r="I129" i="94"/>
  <c r="I127" i="94"/>
  <c r="I211" i="94"/>
  <c r="I130" i="94"/>
  <c r="BR75" i="94"/>
  <c r="BC75" i="94"/>
  <c r="BR126" i="94"/>
  <c r="I74" i="94"/>
  <c r="I155" i="94"/>
  <c r="AN131" i="94"/>
  <c r="BR77" i="94"/>
  <c r="BC78" i="94"/>
  <c r="I73" i="94"/>
  <c r="BC75" i="73"/>
  <c r="BR75" i="73"/>
  <c r="BR180" i="95"/>
  <c r="BR180" i="98"/>
  <c r="BR75" i="97"/>
  <c r="AN131" i="95"/>
  <c r="BC73" i="98"/>
  <c r="BR75" i="95"/>
  <c r="BR76" i="98"/>
  <c r="BC75" i="95"/>
  <c r="I75" i="95"/>
  <c r="BR180" i="73"/>
  <c r="BR76" i="97"/>
  <c r="BC77" i="94"/>
  <c r="BC77" i="97"/>
  <c r="BC74" i="73"/>
  <c r="BR75" i="98"/>
  <c r="BC74" i="94"/>
  <c r="BR78" i="94"/>
  <c r="BC73" i="94"/>
  <c r="BC78" i="97"/>
  <c r="BR78" i="95"/>
  <c r="BC73" i="97"/>
  <c r="BR77" i="95"/>
  <c r="BC74" i="98"/>
  <c r="BC76" i="73"/>
  <c r="BR76" i="73"/>
  <c r="BR78" i="97"/>
  <c r="BC77" i="95"/>
  <c r="BR78" i="98"/>
  <c r="BC74" i="95"/>
  <c r="BR77" i="97"/>
  <c r="BC75" i="97"/>
  <c r="BC76" i="94"/>
  <c r="BR76" i="94"/>
  <c r="BC76" i="95"/>
  <c r="BR78" i="73"/>
  <c r="BC77" i="73"/>
  <c r="BR77" i="73"/>
  <c r="BC76" i="97"/>
  <c r="BC76" i="98"/>
  <c r="BC75" i="98"/>
  <c r="BC77" i="98"/>
  <c r="BC73" i="95"/>
  <c r="BC78" i="73"/>
  <c r="BC73" i="73"/>
  <c r="BC78" i="95"/>
  <c r="E251" i="94"/>
  <c r="C249" i="94"/>
  <c r="I249" i="94" s="1"/>
  <c r="F250" i="94"/>
  <c r="F253" i="94" s="1"/>
  <c r="I100" i="94"/>
  <c r="DL114" i="94"/>
  <c r="I99" i="94"/>
  <c r="I126" i="94"/>
  <c r="T141" i="94"/>
  <c r="T139" i="94"/>
  <c r="T140" i="94"/>
  <c r="DL168" i="94"/>
  <c r="T195" i="94"/>
  <c r="T194" i="94"/>
  <c r="I72" i="94"/>
  <c r="DL87" i="94"/>
  <c r="DL86" i="94"/>
  <c r="T113" i="94"/>
  <c r="T114" i="94"/>
  <c r="I185" i="94"/>
  <c r="C168" i="94"/>
  <c r="T167" i="94"/>
  <c r="T168" i="94"/>
  <c r="F248" i="95"/>
  <c r="F248" i="73"/>
  <c r="DL60" i="97"/>
  <c r="I207" i="73"/>
  <c r="I102" i="94"/>
  <c r="I75" i="94"/>
  <c r="I128" i="94"/>
  <c r="I182" i="94"/>
  <c r="I156" i="94"/>
  <c r="I153" i="94"/>
  <c r="I101" i="94"/>
  <c r="I157" i="94"/>
  <c r="DL195" i="94"/>
  <c r="DL194" i="94"/>
  <c r="I154" i="94"/>
  <c r="I181" i="94"/>
  <c r="I184" i="94"/>
  <c r="I208" i="94"/>
  <c r="H235" i="94"/>
  <c r="T87" i="94"/>
  <c r="T86" i="94"/>
  <c r="I104" i="94"/>
  <c r="C87" i="94"/>
  <c r="I103" i="94"/>
  <c r="I209" i="94"/>
  <c r="DL60" i="94"/>
  <c r="DL141" i="94"/>
  <c r="I207" i="94"/>
  <c r="I180" i="94"/>
  <c r="I183" i="94"/>
  <c r="I210" i="94"/>
  <c r="E251" i="73"/>
  <c r="H248" i="73"/>
  <c r="C251" i="95"/>
  <c r="E248" i="73"/>
  <c r="E250" i="73"/>
  <c r="I209" i="73"/>
  <c r="I101" i="95"/>
  <c r="I207" i="95"/>
  <c r="I207" i="98"/>
  <c r="I211" i="98"/>
  <c r="I210" i="95"/>
  <c r="I72" i="98"/>
  <c r="I129" i="95"/>
  <c r="I128" i="95"/>
  <c r="I72" i="97"/>
  <c r="I130" i="95"/>
  <c r="I180" i="73"/>
  <c r="I182" i="73"/>
  <c r="I181" i="73"/>
  <c r="I209" i="95"/>
  <c r="I157" i="95"/>
  <c r="I211" i="95"/>
  <c r="D250" i="95"/>
  <c r="I182" i="95"/>
  <c r="I155" i="73"/>
  <c r="I184" i="95"/>
  <c r="I183" i="95"/>
  <c r="I154" i="95"/>
  <c r="I208" i="98"/>
  <c r="I127" i="95"/>
  <c r="I208" i="73"/>
  <c r="I181" i="95"/>
  <c r="I208" i="95"/>
  <c r="D250" i="97"/>
  <c r="I101" i="97"/>
  <c r="E249" i="98"/>
  <c r="I127" i="98"/>
  <c r="I76" i="73"/>
  <c r="I72" i="73"/>
  <c r="F248" i="98"/>
  <c r="I153" i="98"/>
  <c r="I73" i="73"/>
  <c r="D249" i="97"/>
  <c r="I100" i="97"/>
  <c r="C250" i="97"/>
  <c r="I74" i="97"/>
  <c r="C87" i="97"/>
  <c r="I104" i="97"/>
  <c r="I100" i="95"/>
  <c r="E252" i="98"/>
  <c r="I130" i="98"/>
  <c r="E251" i="97"/>
  <c r="I129" i="97"/>
  <c r="C249" i="97"/>
  <c r="I73" i="97"/>
  <c r="I99" i="95"/>
  <c r="D252" i="97"/>
  <c r="I103" i="97"/>
  <c r="I101" i="73"/>
  <c r="E250" i="97"/>
  <c r="I128" i="97"/>
  <c r="F250" i="97"/>
  <c r="I155" i="97"/>
  <c r="G252" i="98"/>
  <c r="I184" i="98"/>
  <c r="F251" i="98"/>
  <c r="I156" i="98"/>
  <c r="G251" i="97"/>
  <c r="I183" i="97"/>
  <c r="G249" i="98"/>
  <c r="I181" i="98"/>
  <c r="I210" i="98"/>
  <c r="D248" i="98"/>
  <c r="I99" i="98"/>
  <c r="D250" i="98"/>
  <c r="I101" i="98"/>
  <c r="D248" i="97"/>
  <c r="I99" i="97"/>
  <c r="D251" i="97"/>
  <c r="I102" i="97"/>
  <c r="C250" i="95"/>
  <c r="I74" i="95"/>
  <c r="F250" i="98"/>
  <c r="I155" i="98"/>
  <c r="I103" i="73"/>
  <c r="I126" i="98"/>
  <c r="I72" i="95"/>
  <c r="E252" i="97"/>
  <c r="I130" i="97"/>
  <c r="F252" i="97"/>
  <c r="I157" i="97"/>
  <c r="E249" i="97"/>
  <c r="I127" i="97"/>
  <c r="G251" i="98"/>
  <c r="I183" i="98"/>
  <c r="G252" i="97"/>
  <c r="I184" i="97"/>
  <c r="I154" i="73"/>
  <c r="C251" i="97"/>
  <c r="I75" i="97"/>
  <c r="C251" i="98"/>
  <c r="I75" i="98"/>
  <c r="C252" i="98"/>
  <c r="I76" i="98"/>
  <c r="D252" i="98"/>
  <c r="I103" i="98"/>
  <c r="I74" i="73"/>
  <c r="D251" i="98"/>
  <c r="I102" i="98"/>
  <c r="I102" i="73"/>
  <c r="E251" i="98"/>
  <c r="I129" i="98"/>
  <c r="F248" i="97"/>
  <c r="I153" i="97"/>
  <c r="G250" i="97"/>
  <c r="I182" i="97"/>
  <c r="I76" i="95"/>
  <c r="C87" i="98"/>
  <c r="I104" i="98"/>
  <c r="I102" i="95"/>
  <c r="F251" i="97"/>
  <c r="I156" i="97"/>
  <c r="C168" i="97"/>
  <c r="I185" i="97"/>
  <c r="D249" i="73"/>
  <c r="I100" i="73"/>
  <c r="C252" i="97"/>
  <c r="I76" i="97"/>
  <c r="D252" i="95"/>
  <c r="I103" i="95"/>
  <c r="C249" i="95"/>
  <c r="I73" i="95"/>
  <c r="F249" i="98"/>
  <c r="I154" i="98"/>
  <c r="C249" i="98"/>
  <c r="I73" i="98"/>
  <c r="D248" i="73"/>
  <c r="I99" i="73"/>
  <c r="E248" i="95"/>
  <c r="I126" i="95"/>
  <c r="C87" i="95"/>
  <c r="I104" i="95"/>
  <c r="F252" i="98"/>
  <c r="I157" i="98"/>
  <c r="G248" i="98"/>
  <c r="I180" i="98"/>
  <c r="C250" i="98"/>
  <c r="I74" i="98"/>
  <c r="I75" i="73"/>
  <c r="D249" i="98"/>
  <c r="I100" i="98"/>
  <c r="E250" i="98"/>
  <c r="I128" i="98"/>
  <c r="E252" i="73"/>
  <c r="I130" i="73"/>
  <c r="F252" i="73"/>
  <c r="I157" i="73"/>
  <c r="G250" i="98"/>
  <c r="I182" i="98"/>
  <c r="G248" i="97"/>
  <c r="I180" i="97"/>
  <c r="I127" i="73"/>
  <c r="F251" i="95"/>
  <c r="I156" i="95"/>
  <c r="G248" i="95"/>
  <c r="G253" i="95" s="1"/>
  <c r="G283" i="95" s="1"/>
  <c r="I180" i="95"/>
  <c r="G252" i="73"/>
  <c r="I184" i="73"/>
  <c r="F249" i="97"/>
  <c r="I154" i="97"/>
  <c r="G249" i="97"/>
  <c r="I181" i="97"/>
  <c r="G251" i="73"/>
  <c r="I183" i="73"/>
  <c r="H249" i="97"/>
  <c r="H235" i="97"/>
  <c r="H235" i="95"/>
  <c r="H249" i="98"/>
  <c r="H235" i="98"/>
  <c r="H249" i="73"/>
  <c r="H235" i="73"/>
  <c r="Z72" i="73"/>
  <c r="D4" i="97"/>
  <c r="DL60" i="95"/>
  <c r="DL195" i="73"/>
  <c r="DL60" i="73"/>
  <c r="CT112" i="98"/>
  <c r="CT24" i="98" s="1"/>
  <c r="T60" i="98"/>
  <c r="T59" i="98"/>
  <c r="DL248" i="95"/>
  <c r="T59" i="97"/>
  <c r="T60" i="97"/>
  <c r="C87" i="73"/>
  <c r="D28" i="97"/>
  <c r="T86" i="95"/>
  <c r="T87" i="95"/>
  <c r="DL87" i="95"/>
  <c r="DL86" i="95"/>
  <c r="DL114" i="73"/>
  <c r="DL141" i="73"/>
  <c r="CV231" i="98"/>
  <c r="T113" i="95"/>
  <c r="T114" i="95"/>
  <c r="DL168" i="73"/>
  <c r="DL167" i="73"/>
  <c r="T168" i="98"/>
  <c r="C168" i="95"/>
  <c r="T168" i="73"/>
  <c r="T195" i="95"/>
  <c r="T194" i="95"/>
  <c r="T139" i="98"/>
  <c r="T140" i="98"/>
  <c r="T141" i="98"/>
  <c r="DL168" i="98"/>
  <c r="T114" i="97"/>
  <c r="T113" i="97"/>
  <c r="T140" i="73"/>
  <c r="T141" i="73"/>
  <c r="T139" i="73"/>
  <c r="CW228" i="97"/>
  <c r="CT85" i="97"/>
  <c r="T87" i="73"/>
  <c r="T60" i="73"/>
  <c r="CU229" i="97"/>
  <c r="D28" i="98"/>
  <c r="DL248" i="97"/>
  <c r="DL113" i="97"/>
  <c r="DL114" i="97"/>
  <c r="DL141" i="98"/>
  <c r="DL168" i="97"/>
  <c r="DL167" i="97"/>
  <c r="T141" i="95"/>
  <c r="T139" i="95"/>
  <c r="T140" i="95"/>
  <c r="T195" i="98"/>
  <c r="T194" i="98"/>
  <c r="DL195" i="98"/>
  <c r="DL194" i="98"/>
  <c r="DL195" i="97"/>
  <c r="DL194" i="97"/>
  <c r="T194" i="97"/>
  <c r="T195" i="97"/>
  <c r="T195" i="73"/>
  <c r="T194" i="73"/>
  <c r="D4" i="98"/>
  <c r="DL86" i="97"/>
  <c r="DL87" i="97"/>
  <c r="T114" i="98"/>
  <c r="DL248" i="98"/>
  <c r="DL86" i="98"/>
  <c r="DL87" i="98"/>
  <c r="T86" i="97"/>
  <c r="T87" i="97"/>
  <c r="C60" i="98"/>
  <c r="DL87" i="73"/>
  <c r="DL114" i="98"/>
  <c r="DL60" i="98"/>
  <c r="T59" i="95"/>
  <c r="T60" i="95"/>
  <c r="T87" i="98"/>
  <c r="T86" i="98"/>
  <c r="DL113" i="95"/>
  <c r="DL114" i="95"/>
  <c r="DL141" i="95"/>
  <c r="T113" i="73"/>
  <c r="T114" i="73"/>
  <c r="DL168" i="95"/>
  <c r="DL167" i="95"/>
  <c r="T140" i="97"/>
  <c r="T139" i="97"/>
  <c r="T141" i="97"/>
  <c r="C168" i="98"/>
  <c r="T168" i="97"/>
  <c r="T167" i="97"/>
  <c r="C168" i="73"/>
  <c r="DL195" i="95"/>
  <c r="DL194" i="95"/>
  <c r="U28" i="97"/>
  <c r="U37" i="97"/>
  <c r="U40" i="97" s="1"/>
  <c r="Z130" i="97"/>
  <c r="V252" i="97"/>
  <c r="DR101" i="97"/>
  <c r="DL85" i="97"/>
  <c r="DR104" i="97"/>
  <c r="DR100" i="97"/>
  <c r="DR103" i="97"/>
  <c r="DR99" i="97"/>
  <c r="DR102" i="97"/>
  <c r="Z133" i="98"/>
  <c r="T112" i="98"/>
  <c r="T113" i="98" s="1"/>
  <c r="U251" i="98"/>
  <c r="Z102" i="98"/>
  <c r="CB112" i="97"/>
  <c r="CB232" i="98"/>
  <c r="T249" i="97"/>
  <c r="Z73" i="97"/>
  <c r="CT85" i="98"/>
  <c r="U254" i="97"/>
  <c r="Z105" i="97"/>
  <c r="C113" i="98"/>
  <c r="C112" i="98"/>
  <c r="C114" i="98"/>
  <c r="W252" i="97"/>
  <c r="Z157" i="97"/>
  <c r="CT58" i="98"/>
  <c r="T248" i="97"/>
  <c r="Z72" i="97"/>
  <c r="U253" i="98"/>
  <c r="Z104" i="98"/>
  <c r="CB227" i="97"/>
  <c r="CV230" i="98"/>
  <c r="CB229" i="98"/>
  <c r="T253" i="98"/>
  <c r="Z77" i="98"/>
  <c r="V28" i="98"/>
  <c r="CB228" i="98"/>
  <c r="T254" i="98"/>
  <c r="Z78" i="98"/>
  <c r="CB232" i="97"/>
  <c r="CC227" i="98"/>
  <c r="CW228" i="98"/>
  <c r="CC231" i="98"/>
  <c r="C193" i="98"/>
  <c r="C194" i="98"/>
  <c r="C195" i="98"/>
  <c r="CC227" i="97"/>
  <c r="CV229" i="97"/>
  <c r="CW230" i="97"/>
  <c r="DQ248" i="97"/>
  <c r="DQ234" i="97"/>
  <c r="CE227" i="98"/>
  <c r="CU229" i="98"/>
  <c r="CE231" i="98"/>
  <c r="Z207" i="98"/>
  <c r="Y234" i="98"/>
  <c r="Y248" i="98"/>
  <c r="DR207" i="98"/>
  <c r="DR211" i="98"/>
  <c r="DL193" i="98"/>
  <c r="DR209" i="98"/>
  <c r="DQ239" i="98"/>
  <c r="DR208" i="98"/>
  <c r="DR212" i="98"/>
  <c r="DR210" i="98"/>
  <c r="CE227" i="97"/>
  <c r="DQ249" i="97"/>
  <c r="DR249" i="97" s="1"/>
  <c r="DQ235" i="97"/>
  <c r="CT230" i="97"/>
  <c r="CD232" i="97"/>
  <c r="Y235" i="97"/>
  <c r="Y249" i="97"/>
  <c r="Z208" i="97"/>
  <c r="BR180" i="97"/>
  <c r="CB229" i="97"/>
  <c r="X252" i="98"/>
  <c r="Z184" i="98"/>
  <c r="CB58" i="98"/>
  <c r="CB22" i="98" s="1"/>
  <c r="CB231" i="98"/>
  <c r="T253" i="97"/>
  <c r="Z77" i="97"/>
  <c r="X251" i="97"/>
  <c r="Z183" i="97"/>
  <c r="CB58" i="97"/>
  <c r="CB22" i="97" s="1"/>
  <c r="V28" i="97"/>
  <c r="CB228" i="97"/>
  <c r="DR77" i="97"/>
  <c r="DR75" i="97"/>
  <c r="DR74" i="97"/>
  <c r="DL58" i="97"/>
  <c r="DL59" i="97" s="1"/>
  <c r="DR72" i="97"/>
  <c r="DR73" i="97"/>
  <c r="DR76" i="97"/>
  <c r="CB85" i="98"/>
  <c r="DR101" i="98"/>
  <c r="DR104" i="98"/>
  <c r="DR99" i="98"/>
  <c r="DR102" i="98"/>
  <c r="DR100" i="98"/>
  <c r="DR103" i="98"/>
  <c r="DL85" i="98"/>
  <c r="U250" i="97"/>
  <c r="Z101" i="97"/>
  <c r="CT112" i="97"/>
  <c r="V253" i="97"/>
  <c r="Z131" i="97"/>
  <c r="X254" i="98"/>
  <c r="Z186" i="98"/>
  <c r="CV226" i="97"/>
  <c r="Z79" i="97"/>
  <c r="T58" i="97"/>
  <c r="C248" i="97"/>
  <c r="U252" i="98"/>
  <c r="Z103" i="98"/>
  <c r="CB226" i="98"/>
  <c r="CB230" i="97"/>
  <c r="C60" i="97"/>
  <c r="C59" i="97"/>
  <c r="C58" i="97"/>
  <c r="E248" i="97"/>
  <c r="CB139" i="98"/>
  <c r="W251" i="97"/>
  <c r="Z156" i="97"/>
  <c r="T250" i="98"/>
  <c r="Z74" i="98"/>
  <c r="T85" i="98"/>
  <c r="Z106" i="98"/>
  <c r="U249" i="97"/>
  <c r="Z100" i="97"/>
  <c r="DR131" i="97"/>
  <c r="DR127" i="97"/>
  <c r="DR129" i="97"/>
  <c r="DR130" i="97"/>
  <c r="DR128" i="97"/>
  <c r="DL112" i="97"/>
  <c r="DR126" i="97"/>
  <c r="W249" i="98"/>
  <c r="Z154" i="98"/>
  <c r="DQ238" i="98"/>
  <c r="DN220" i="98" s="1"/>
  <c r="DQ252" i="98"/>
  <c r="Y248" i="97"/>
  <c r="Z207" i="97"/>
  <c r="Y234" i="97"/>
  <c r="W248" i="97"/>
  <c r="Z153" i="97"/>
  <c r="Z181" i="98"/>
  <c r="X249" i="98"/>
  <c r="CD227" i="98"/>
  <c r="Y253" i="98"/>
  <c r="Z212" i="98"/>
  <c r="Y239" i="98"/>
  <c r="CD227" i="97"/>
  <c r="CB166" i="98"/>
  <c r="CB166" i="97"/>
  <c r="CD226" i="97"/>
  <c r="CU231" i="97"/>
  <c r="CB227" i="98"/>
  <c r="T251" i="98"/>
  <c r="Z75" i="98"/>
  <c r="Z75" i="97"/>
  <c r="T251" i="97"/>
  <c r="DQ251" i="97"/>
  <c r="DR251" i="97" s="1"/>
  <c r="DQ237" i="97"/>
  <c r="T58" i="98"/>
  <c r="Z79" i="98"/>
  <c r="DM28" i="97"/>
  <c r="U28" i="98"/>
  <c r="U37" i="98"/>
  <c r="U39" i="98" s="1"/>
  <c r="Z99" i="97"/>
  <c r="U248" i="97"/>
  <c r="CB112" i="98"/>
  <c r="Z160" i="98"/>
  <c r="T249" i="98"/>
  <c r="Z73" i="98"/>
  <c r="U248" i="98"/>
  <c r="Z99" i="98"/>
  <c r="U252" i="97"/>
  <c r="Z103" i="97"/>
  <c r="V252" i="98"/>
  <c r="Z130" i="98"/>
  <c r="Z186" i="97"/>
  <c r="X254" i="97"/>
  <c r="CC230" i="97"/>
  <c r="U254" i="98"/>
  <c r="Z105" i="98"/>
  <c r="V250" i="98"/>
  <c r="Z128" i="98"/>
  <c r="Z132" i="97"/>
  <c r="V254" i="97"/>
  <c r="CB226" i="97"/>
  <c r="V248" i="98"/>
  <c r="Z126" i="98"/>
  <c r="V251" i="97"/>
  <c r="Z129" i="97"/>
  <c r="H250" i="98"/>
  <c r="H236" i="98"/>
  <c r="V249" i="97"/>
  <c r="Z127" i="97"/>
  <c r="Z159" i="98"/>
  <c r="W254" i="98"/>
  <c r="X251" i="98"/>
  <c r="Z183" i="98"/>
  <c r="CW231" i="97"/>
  <c r="DM28" i="98"/>
  <c r="T252" i="98"/>
  <c r="Z76" i="98"/>
  <c r="T254" i="97"/>
  <c r="Z78" i="97"/>
  <c r="U250" i="98"/>
  <c r="Z101" i="98"/>
  <c r="V251" i="98"/>
  <c r="Z129" i="98"/>
  <c r="Z126" i="97"/>
  <c r="V248" i="97"/>
  <c r="Z156" i="98"/>
  <c r="W251" i="98"/>
  <c r="CV228" i="98"/>
  <c r="DR181" i="98"/>
  <c r="DR183" i="98"/>
  <c r="DL166" i="98"/>
  <c r="DL167" i="98" s="1"/>
  <c r="DR182" i="98"/>
  <c r="DR185" i="98"/>
  <c r="DR180" i="98"/>
  <c r="DR184" i="98"/>
  <c r="X253" i="97"/>
  <c r="Z185" i="97"/>
  <c r="CV227" i="97"/>
  <c r="C113" i="97"/>
  <c r="C112" i="97"/>
  <c r="C114" i="97"/>
  <c r="W252" i="98"/>
  <c r="Z157" i="98"/>
  <c r="Z181" i="97"/>
  <c r="X249" i="97"/>
  <c r="CC226" i="98"/>
  <c r="CB193" i="98"/>
  <c r="X252" i="97"/>
  <c r="Z184" i="97"/>
  <c r="CT227" i="98"/>
  <c r="CD229" i="98"/>
  <c r="CT227" i="97"/>
  <c r="CE229" i="97"/>
  <c r="DQ238" i="97"/>
  <c r="DN220" i="97" s="1"/>
  <c r="DQ252" i="97"/>
  <c r="C140" i="97"/>
  <c r="C139" i="97"/>
  <c r="C141" i="97"/>
  <c r="C166" i="98"/>
  <c r="C167" i="98" s="1"/>
  <c r="C166" i="97"/>
  <c r="C167" i="97"/>
  <c r="CW226" i="98"/>
  <c r="CD228" i="98"/>
  <c r="Y235" i="98"/>
  <c r="Y249" i="98"/>
  <c r="Z208" i="98"/>
  <c r="CT226" i="97"/>
  <c r="CD228" i="97"/>
  <c r="CC232" i="97"/>
  <c r="CC228" i="98"/>
  <c r="CW229" i="98"/>
  <c r="CC232" i="98"/>
  <c r="Z214" i="98"/>
  <c r="T193" i="98"/>
  <c r="Y241" i="98"/>
  <c r="CC228" i="97"/>
  <c r="Y250" i="97"/>
  <c r="Z209" i="97"/>
  <c r="Y236" i="97"/>
  <c r="CT193" i="98"/>
  <c r="CU226" i="98"/>
  <c r="CE228" i="98"/>
  <c r="CU230" i="98"/>
  <c r="CE232" i="98"/>
  <c r="DQ249" i="98"/>
  <c r="DR249" i="98" s="1"/>
  <c r="DQ235" i="98"/>
  <c r="CU226" i="97"/>
  <c r="CT193" i="97"/>
  <c r="CE228" i="97"/>
  <c r="CC231" i="97"/>
  <c r="CE232" i="97"/>
  <c r="Y251" i="97"/>
  <c r="Y237" i="97"/>
  <c r="Z210" i="97"/>
  <c r="CD229" i="97"/>
  <c r="CT231" i="97"/>
  <c r="DQ236" i="97"/>
  <c r="DQ250" i="97"/>
  <c r="DR250" i="97" s="1"/>
  <c r="C194" i="97"/>
  <c r="C193" i="97"/>
  <c r="C195" i="97"/>
  <c r="Z102" i="97"/>
  <c r="U251" i="97"/>
  <c r="Z158" i="98"/>
  <c r="W253" i="98"/>
  <c r="Z159" i="97"/>
  <c r="W254" i="97"/>
  <c r="E248" i="98"/>
  <c r="V253" i="98"/>
  <c r="Z131" i="98"/>
  <c r="DL58" i="98"/>
  <c r="DL59" i="98" s="1"/>
  <c r="DR77" i="98"/>
  <c r="DR73" i="98"/>
  <c r="DR76" i="98"/>
  <c r="DR72" i="98"/>
  <c r="DR75" i="98"/>
  <c r="DR74" i="98"/>
  <c r="CB85" i="97"/>
  <c r="C140" i="98"/>
  <c r="C141" i="98"/>
  <c r="C139" i="98"/>
  <c r="Z158" i="97"/>
  <c r="W253" i="97"/>
  <c r="CT166" i="98"/>
  <c r="CV228" i="97"/>
  <c r="X248" i="98"/>
  <c r="Z180" i="98"/>
  <c r="Z210" i="98"/>
  <c r="Y251" i="98"/>
  <c r="Y237" i="98"/>
  <c r="Z133" i="97"/>
  <c r="T112" i="97"/>
  <c r="W248" i="98"/>
  <c r="Z153" i="98"/>
  <c r="DR156" i="98"/>
  <c r="DR155" i="98"/>
  <c r="DL140" i="98"/>
  <c r="DR158" i="98"/>
  <c r="DR154" i="98"/>
  <c r="DL139" i="98"/>
  <c r="DR157" i="98"/>
  <c r="DR153" i="98"/>
  <c r="W249" i="97"/>
  <c r="Z154" i="97"/>
  <c r="CV226" i="98"/>
  <c r="CV229" i="98"/>
  <c r="DQ234" i="98"/>
  <c r="DQ248" i="98"/>
  <c r="Z180" i="97"/>
  <c r="X248" i="97"/>
  <c r="DL166" i="97"/>
  <c r="DR185" i="97"/>
  <c r="DR180" i="97"/>
  <c r="DR183" i="97"/>
  <c r="DR181" i="97"/>
  <c r="DR184" i="97"/>
  <c r="DR182" i="97"/>
  <c r="CT226" i="98"/>
  <c r="CT229" i="98"/>
  <c r="CD231" i="98"/>
  <c r="H234" i="98"/>
  <c r="H248" i="98"/>
  <c r="CW229" i="97"/>
  <c r="Z160" i="97"/>
  <c r="T166" i="98"/>
  <c r="T167" i="98" s="1"/>
  <c r="T166" i="97"/>
  <c r="CT228" i="98"/>
  <c r="CD230" i="98"/>
  <c r="H252" i="98"/>
  <c r="H238" i="98"/>
  <c r="CT228" i="97"/>
  <c r="CC229" i="98"/>
  <c r="CW230" i="98"/>
  <c r="Y250" i="98"/>
  <c r="Z209" i="98"/>
  <c r="Y236" i="98"/>
  <c r="CW226" i="97"/>
  <c r="CC229" i="97"/>
  <c r="CE230" i="97"/>
  <c r="Y238" i="97"/>
  <c r="Y252" i="97"/>
  <c r="Z211" i="97"/>
  <c r="CU227" i="98"/>
  <c r="CE229" i="98"/>
  <c r="CU231" i="98"/>
  <c r="H251" i="98"/>
  <c r="H237" i="98"/>
  <c r="CU227" i="97"/>
  <c r="Z212" i="97"/>
  <c r="Y253" i="97"/>
  <c r="Y239" i="97"/>
  <c r="CD230" i="97"/>
  <c r="H252" i="97"/>
  <c r="H238" i="97"/>
  <c r="Z214" i="97"/>
  <c r="T193" i="97"/>
  <c r="Y241" i="97"/>
  <c r="CB231" i="97"/>
  <c r="T252" i="97"/>
  <c r="Z76" i="97"/>
  <c r="C248" i="98"/>
  <c r="Z106" i="97"/>
  <c r="T85" i="97"/>
  <c r="CE231" i="97"/>
  <c r="E28" i="98"/>
  <c r="CB230" i="98"/>
  <c r="C58" i="98"/>
  <c r="Z74" i="97"/>
  <c r="T250" i="97"/>
  <c r="U249" i="98"/>
  <c r="Z100" i="98"/>
  <c r="C85" i="97"/>
  <c r="C86" i="97"/>
  <c r="DR128" i="98"/>
  <c r="DR127" i="98"/>
  <c r="DR131" i="98"/>
  <c r="DR130" i="98"/>
  <c r="DL112" i="98"/>
  <c r="DL113" i="98" s="1"/>
  <c r="DR129" i="98"/>
  <c r="DR126" i="98"/>
  <c r="CB139" i="97"/>
  <c r="V249" i="98"/>
  <c r="Z127" i="98"/>
  <c r="W250" i="98"/>
  <c r="Z155" i="98"/>
  <c r="Z72" i="98"/>
  <c r="T248" i="98"/>
  <c r="E28" i="97"/>
  <c r="CT58" i="97"/>
  <c r="C86" i="98"/>
  <c r="C85" i="98"/>
  <c r="Z104" i="97"/>
  <c r="U253" i="97"/>
  <c r="V254" i="98"/>
  <c r="Z132" i="98"/>
  <c r="X253" i="98"/>
  <c r="Z185" i="98"/>
  <c r="CV230" i="97"/>
  <c r="DR154" i="97"/>
  <c r="DL139" i="97"/>
  <c r="DL140" i="97"/>
  <c r="DR158" i="97"/>
  <c r="DR157" i="97"/>
  <c r="DR153" i="97"/>
  <c r="DR156" i="97"/>
  <c r="DR155" i="97"/>
  <c r="CV227" i="98"/>
  <c r="Z213" i="97"/>
  <c r="Y254" i="97"/>
  <c r="Y240" i="97"/>
  <c r="V250" i="97"/>
  <c r="Z128" i="97"/>
  <c r="CT139" i="98"/>
  <c r="CT139" i="97"/>
  <c r="Z213" i="98"/>
  <c r="Y254" i="98"/>
  <c r="Y240" i="98"/>
  <c r="H250" i="97"/>
  <c r="H236" i="97"/>
  <c r="CT166" i="97"/>
  <c r="CT231" i="98"/>
  <c r="DQ250" i="98"/>
  <c r="DR250" i="98" s="1"/>
  <c r="DQ236" i="98"/>
  <c r="Z155" i="97"/>
  <c r="W250" i="97"/>
  <c r="X250" i="98"/>
  <c r="Z182" i="98"/>
  <c r="X250" i="97"/>
  <c r="Z182" i="97"/>
  <c r="CD226" i="98"/>
  <c r="CT230" i="98"/>
  <c r="CD232" i="98"/>
  <c r="H251" i="97"/>
  <c r="H237" i="97"/>
  <c r="CW227" i="98"/>
  <c r="CC230" i="98"/>
  <c r="CW231" i="98"/>
  <c r="DQ237" i="98"/>
  <c r="DQ251" i="98"/>
  <c r="DR251" i="98" s="1"/>
  <c r="CC226" i="97"/>
  <c r="CB193" i="97"/>
  <c r="CW227" i="97"/>
  <c r="CE226" i="98"/>
  <c r="CU228" i="98"/>
  <c r="CE230" i="98"/>
  <c r="Z211" i="98"/>
  <c r="Y252" i="98"/>
  <c r="Y238" i="98"/>
  <c r="CE226" i="97"/>
  <c r="CU228" i="97"/>
  <c r="CU230" i="97"/>
  <c r="CV231" i="97"/>
  <c r="CT229" i="97"/>
  <c r="CD231" i="97"/>
  <c r="H248" i="97"/>
  <c r="H234" i="97"/>
  <c r="DR212" i="97"/>
  <c r="DR208" i="97"/>
  <c r="DR211" i="97"/>
  <c r="DR207" i="97"/>
  <c r="DR210" i="97"/>
  <c r="DQ239" i="97"/>
  <c r="DR209" i="97"/>
  <c r="DL193" i="97"/>
  <c r="AN73" i="95"/>
  <c r="AJ58" i="95"/>
  <c r="AJ22" i="95" s="1"/>
  <c r="AN76" i="95"/>
  <c r="AN72" i="95"/>
  <c r="AN75" i="95"/>
  <c r="AN74" i="95"/>
  <c r="AN78" i="95"/>
  <c r="AN77" i="95"/>
  <c r="AN79" i="95"/>
  <c r="AK58" i="95"/>
  <c r="AK22" i="95" s="1"/>
  <c r="BC104" i="73"/>
  <c r="BC102" i="73"/>
  <c r="BC100" i="73"/>
  <c r="BC106" i="73"/>
  <c r="BC103" i="73"/>
  <c r="AZ85" i="73"/>
  <c r="AZ23" i="73" s="1"/>
  <c r="BC99" i="73"/>
  <c r="AY85" i="73"/>
  <c r="AY23" i="73" s="1"/>
  <c r="BC105" i="73"/>
  <c r="BC101" i="73"/>
  <c r="BR72" i="97"/>
  <c r="BO58" i="97"/>
  <c r="BO22" i="97" s="1"/>
  <c r="BR79" i="97"/>
  <c r="BN58" i="97"/>
  <c r="BN22" i="97" s="1"/>
  <c r="BR74" i="97"/>
  <c r="BR73" i="97"/>
  <c r="AN130" i="95"/>
  <c r="AN128" i="95"/>
  <c r="AN133" i="95"/>
  <c r="AN127" i="95"/>
  <c r="AK112" i="95"/>
  <c r="AK24" i="95" s="1"/>
  <c r="AN126" i="95"/>
  <c r="AK248" i="95" s="1"/>
  <c r="AN129" i="95"/>
  <c r="AN132" i="95"/>
  <c r="AJ112" i="95"/>
  <c r="AJ24" i="95" s="1"/>
  <c r="BR133" i="73"/>
  <c r="BR130" i="73"/>
  <c r="BR131" i="73"/>
  <c r="BR126" i="73"/>
  <c r="BO112" i="73"/>
  <c r="BO24" i="73" s="1"/>
  <c r="BR132" i="73"/>
  <c r="BR129" i="73"/>
  <c r="BN112" i="73"/>
  <c r="BN24" i="73" s="1"/>
  <c r="BR128" i="73"/>
  <c r="BR127" i="73"/>
  <c r="BC212" i="73"/>
  <c r="BC210" i="73"/>
  <c r="BC208" i="73"/>
  <c r="AY193" i="73"/>
  <c r="AY27" i="73" s="1"/>
  <c r="BC209" i="73"/>
  <c r="BC213" i="73"/>
  <c r="BC211" i="73"/>
  <c r="AZ193" i="73"/>
  <c r="AZ27" i="73" s="1"/>
  <c r="BC214" i="73"/>
  <c r="BC207" i="73"/>
  <c r="BC248" i="73" s="1"/>
  <c r="BC104" i="98"/>
  <c r="BC102" i="98"/>
  <c r="BC100" i="98"/>
  <c r="AZ85" i="98"/>
  <c r="AZ23" i="98" s="1"/>
  <c r="BC99" i="98"/>
  <c r="AY85" i="98"/>
  <c r="AY23" i="98" s="1"/>
  <c r="BC105" i="98"/>
  <c r="BC101" i="98"/>
  <c r="BC106" i="98"/>
  <c r="BC103" i="98"/>
  <c r="AY193" i="97"/>
  <c r="AY27" i="97" s="1"/>
  <c r="BC212" i="97"/>
  <c r="BC211" i="97"/>
  <c r="BC208" i="97"/>
  <c r="BC207" i="97"/>
  <c r="BC210" i="97"/>
  <c r="BC209" i="97"/>
  <c r="AZ193" i="97"/>
  <c r="AZ27" i="97" s="1"/>
  <c r="BC214" i="97"/>
  <c r="BC213" i="97"/>
  <c r="AN153" i="73"/>
  <c r="AL248" i="73" s="1"/>
  <c r="AN160" i="73"/>
  <c r="AN159" i="73"/>
  <c r="AN157" i="73"/>
  <c r="AN154" i="73"/>
  <c r="AJ139" i="73"/>
  <c r="AJ25" i="73" s="1"/>
  <c r="AN158" i="73"/>
  <c r="AN155" i="73"/>
  <c r="AK139" i="73"/>
  <c r="AK25" i="73" s="1"/>
  <c r="AN156" i="73"/>
  <c r="BR187" i="73"/>
  <c r="BR186" i="73"/>
  <c r="BO166" i="73"/>
  <c r="BO26" i="73" s="1"/>
  <c r="BR184" i="73"/>
  <c r="BR181" i="73"/>
  <c r="BR185" i="73"/>
  <c r="BN166" i="73"/>
  <c r="BN26" i="73" s="1"/>
  <c r="BR182" i="73"/>
  <c r="BR183" i="73"/>
  <c r="BC160" i="94"/>
  <c r="BC159" i="94"/>
  <c r="BA254" i="94" s="1"/>
  <c r="AY139" i="94"/>
  <c r="AY25" i="94" s="1"/>
  <c r="AZ139" i="94"/>
  <c r="AZ25" i="94" s="1"/>
  <c r="BC158" i="94"/>
  <c r="BC157" i="94"/>
  <c r="BC156" i="94"/>
  <c r="BC155" i="94"/>
  <c r="BC154" i="94"/>
  <c r="BC153" i="94"/>
  <c r="BR79" i="94"/>
  <c r="BR74" i="94"/>
  <c r="BO58" i="94"/>
  <c r="BO22" i="94" s="1"/>
  <c r="BR73" i="94"/>
  <c r="BR72" i="94"/>
  <c r="BN58" i="94"/>
  <c r="BN22" i="94" s="1"/>
  <c r="AJ112" i="97"/>
  <c r="AJ24" i="97" s="1"/>
  <c r="AN132" i="97"/>
  <c r="AN129" i="97"/>
  <c r="AN126" i="97"/>
  <c r="AN133" i="97"/>
  <c r="AN128" i="97"/>
  <c r="AN127" i="97"/>
  <c r="AN130" i="97"/>
  <c r="AK112" i="97"/>
  <c r="AK24" i="97" s="1"/>
  <c r="BC214" i="98"/>
  <c r="BC213" i="98"/>
  <c r="BC212" i="98"/>
  <c r="BC209" i="98"/>
  <c r="BC208" i="98"/>
  <c r="BC211" i="98"/>
  <c r="BC210" i="98"/>
  <c r="BC207" i="98"/>
  <c r="AZ193" i="98"/>
  <c r="AZ27" i="98" s="1"/>
  <c r="AY193" i="98"/>
  <c r="AY27" i="98" s="1"/>
  <c r="BO85" i="97"/>
  <c r="BO23" i="97" s="1"/>
  <c r="BR105" i="97"/>
  <c r="BR104" i="97"/>
  <c r="BR101" i="97"/>
  <c r="BR106" i="97"/>
  <c r="BR103" i="97"/>
  <c r="BR100" i="97"/>
  <c r="BN85" i="97"/>
  <c r="BN23" i="97" s="1"/>
  <c r="BR99" i="97"/>
  <c r="BR102" i="97"/>
  <c r="BC131" i="98"/>
  <c r="BC130" i="98"/>
  <c r="BC127" i="98"/>
  <c r="BC126" i="98"/>
  <c r="AZ112" i="98"/>
  <c r="AZ24" i="98" s="1"/>
  <c r="BC132" i="98"/>
  <c r="BC129" i="98"/>
  <c r="BC128" i="98"/>
  <c r="AY112" i="98"/>
  <c r="AY24" i="98" s="1"/>
  <c r="BC133" i="98"/>
  <c r="AN133" i="73"/>
  <c r="AN132" i="73"/>
  <c r="AN126" i="73"/>
  <c r="AK248" i="73" s="1"/>
  <c r="AN127" i="73"/>
  <c r="AN130" i="73"/>
  <c r="AN129" i="73"/>
  <c r="AK112" i="73"/>
  <c r="AK24" i="73" s="1"/>
  <c r="AJ112" i="73"/>
  <c r="AJ24" i="73" s="1"/>
  <c r="AN128" i="73"/>
  <c r="BO85" i="98"/>
  <c r="BO23" i="98" s="1"/>
  <c r="BR102" i="98"/>
  <c r="BR99" i="98"/>
  <c r="BR105" i="98"/>
  <c r="BR104" i="98"/>
  <c r="BR101" i="98"/>
  <c r="BR106" i="98"/>
  <c r="BR103" i="98"/>
  <c r="BN85" i="98"/>
  <c r="BN23" i="98" s="1"/>
  <c r="BR100" i="98"/>
  <c r="BR210" i="73"/>
  <c r="BR207" i="73"/>
  <c r="BR214" i="73"/>
  <c r="BR211" i="73"/>
  <c r="BN193" i="73"/>
  <c r="BN27" i="73" s="1"/>
  <c r="BR212" i="73"/>
  <c r="BR209" i="73"/>
  <c r="BO193" i="73"/>
  <c r="BO27" i="73" s="1"/>
  <c r="BR213" i="73"/>
  <c r="BR208" i="73"/>
  <c r="BC156" i="98"/>
  <c r="BC155" i="98"/>
  <c r="BC158" i="98"/>
  <c r="BC157" i="98"/>
  <c r="BC154" i="98"/>
  <c r="BC153" i="98"/>
  <c r="AZ139" i="98"/>
  <c r="AZ25" i="98" s="1"/>
  <c r="BC159" i="98"/>
  <c r="BC160" i="98"/>
  <c r="AY139" i="98"/>
  <c r="AY25" i="98" s="1"/>
  <c r="BC72" i="97"/>
  <c r="BC79" i="97"/>
  <c r="AZ58" i="97"/>
  <c r="AZ22" i="97" s="1"/>
  <c r="AY58" i="97"/>
  <c r="AY22" i="97" s="1"/>
  <c r="AN99" i="98"/>
  <c r="AN106" i="98"/>
  <c r="AN105" i="98"/>
  <c r="AK85" i="98"/>
  <c r="AK23" i="98" s="1"/>
  <c r="AN103" i="98"/>
  <c r="AN100" i="98"/>
  <c r="AN102" i="98"/>
  <c r="AN104" i="98"/>
  <c r="AJ85" i="98"/>
  <c r="AJ23" i="98" s="1"/>
  <c r="AN101" i="98"/>
  <c r="AN187" i="98"/>
  <c r="AN186" i="98"/>
  <c r="AN183" i="98"/>
  <c r="AJ166" i="98"/>
  <c r="AJ26" i="98" s="1"/>
  <c r="AN182" i="98"/>
  <c r="AN180" i="98"/>
  <c r="AN185" i="98"/>
  <c r="AN184" i="98"/>
  <c r="AN181" i="98"/>
  <c r="AK166" i="98"/>
  <c r="AK26" i="98" s="1"/>
  <c r="AN126" i="98"/>
  <c r="AN129" i="98"/>
  <c r="AN127" i="98"/>
  <c r="AK112" i="98"/>
  <c r="AK24" i="98" s="1"/>
  <c r="AN133" i="98"/>
  <c r="AN132" i="98"/>
  <c r="AN128" i="98"/>
  <c r="AJ112" i="98"/>
  <c r="AJ24" i="98" s="1"/>
  <c r="AN130" i="98"/>
  <c r="AN106" i="97"/>
  <c r="AN105" i="97"/>
  <c r="AK85" i="97"/>
  <c r="AK23" i="97" s="1"/>
  <c r="AN102" i="97"/>
  <c r="AN104" i="97"/>
  <c r="AJ85" i="97"/>
  <c r="AJ23" i="97" s="1"/>
  <c r="AN99" i="97"/>
  <c r="AN101" i="97"/>
  <c r="AN100" i="97"/>
  <c r="AN103" i="97"/>
  <c r="AN211" i="95"/>
  <c r="AN209" i="95"/>
  <c r="AN207" i="95"/>
  <c r="AJ193" i="95"/>
  <c r="AJ27" i="95" s="1"/>
  <c r="AN210" i="95"/>
  <c r="AN213" i="95"/>
  <c r="AN212" i="95"/>
  <c r="AN208" i="95"/>
  <c r="AN214" i="95"/>
  <c r="AI195" i="95" s="1"/>
  <c r="AK193" i="95"/>
  <c r="AK27" i="95" s="1"/>
  <c r="AN77" i="97"/>
  <c r="AN74" i="97"/>
  <c r="AK58" i="97"/>
  <c r="AK22" i="97" s="1"/>
  <c r="AN73" i="97"/>
  <c r="AJ58" i="97"/>
  <c r="AJ22" i="97" s="1"/>
  <c r="AN78" i="97"/>
  <c r="AN76" i="97"/>
  <c r="AN75" i="97"/>
  <c r="AN79" i="97"/>
  <c r="AN72" i="97"/>
  <c r="AN187" i="95"/>
  <c r="AN186" i="95"/>
  <c r="AN184" i="95"/>
  <c r="AN181" i="95"/>
  <c r="AK166" i="95"/>
  <c r="AK26" i="95" s="1"/>
  <c r="AN182" i="95"/>
  <c r="AN183" i="95"/>
  <c r="AN180" i="95"/>
  <c r="AJ166" i="95"/>
  <c r="AJ26" i="95" s="1"/>
  <c r="AN185" i="95"/>
  <c r="BR157" i="98"/>
  <c r="BR155" i="98"/>
  <c r="BR153" i="98"/>
  <c r="BO139" i="98"/>
  <c r="BO25" i="98" s="1"/>
  <c r="BR160" i="98"/>
  <c r="BR159" i="98"/>
  <c r="BR158" i="98"/>
  <c r="BR156" i="98"/>
  <c r="BR154" i="98"/>
  <c r="BN139" i="98"/>
  <c r="BN25" i="98" s="1"/>
  <c r="BC79" i="73"/>
  <c r="AZ58" i="73"/>
  <c r="AZ22" i="73" s="1"/>
  <c r="AY58" i="73"/>
  <c r="AY22" i="73" s="1"/>
  <c r="BC72" i="73"/>
  <c r="BR187" i="94"/>
  <c r="BM166" i="94" s="1"/>
  <c r="BR186" i="94"/>
  <c r="BR185" i="94"/>
  <c r="BR180" i="94"/>
  <c r="BR183" i="94"/>
  <c r="BO166" i="94"/>
  <c r="BO26" i="94" s="1"/>
  <c r="BR181" i="94"/>
  <c r="BR184" i="94"/>
  <c r="BR182" i="94"/>
  <c r="BN166" i="94"/>
  <c r="BN26" i="94" s="1"/>
  <c r="BR106" i="94"/>
  <c r="BR105" i="94"/>
  <c r="BO85" i="94"/>
  <c r="BO23" i="94" s="1"/>
  <c r="BR101" i="94"/>
  <c r="BR103" i="94"/>
  <c r="BR100" i="94"/>
  <c r="BR102" i="94"/>
  <c r="BR99" i="94"/>
  <c r="BN85" i="94"/>
  <c r="BN23" i="94" s="1"/>
  <c r="BR104" i="94"/>
  <c r="BN253" i="94" s="1"/>
  <c r="BR131" i="94"/>
  <c r="BR129" i="94"/>
  <c r="BR127" i="94"/>
  <c r="BO112" i="94"/>
  <c r="BR128" i="94"/>
  <c r="BN112" i="94"/>
  <c r="BN24" i="94" s="1"/>
  <c r="BR133" i="94"/>
  <c r="BR130" i="94"/>
  <c r="BR132" i="94"/>
  <c r="AN73" i="94"/>
  <c r="AN76" i="94"/>
  <c r="AN72" i="94"/>
  <c r="AK58" i="94"/>
  <c r="AK22" i="94" s="1"/>
  <c r="AN79" i="94"/>
  <c r="AN78" i="94"/>
  <c r="AN77" i="94"/>
  <c r="AJ58" i="94"/>
  <c r="AJ22" i="94" s="1"/>
  <c r="AN75" i="94"/>
  <c r="AN74" i="94"/>
  <c r="BC214" i="95"/>
  <c r="BC213" i="95"/>
  <c r="AY193" i="95"/>
  <c r="AY27" i="95" s="1"/>
  <c r="AZ193" i="95"/>
  <c r="AZ27" i="95" s="1"/>
  <c r="BC212" i="95"/>
  <c r="BC211" i="95"/>
  <c r="BC210" i="95"/>
  <c r="BC209" i="95"/>
  <c r="BC208" i="95"/>
  <c r="BC207" i="95"/>
  <c r="AK166" i="73"/>
  <c r="AK26" i="73" s="1"/>
  <c r="AN187" i="73"/>
  <c r="AN185" i="73"/>
  <c r="AN182" i="73"/>
  <c r="AJ166" i="73"/>
  <c r="AJ26" i="73" s="1"/>
  <c r="AN181" i="73"/>
  <c r="AN186" i="73"/>
  <c r="AN183" i="73"/>
  <c r="AN180" i="73"/>
  <c r="AN184" i="73"/>
  <c r="BC185" i="95"/>
  <c r="BC183" i="95"/>
  <c r="BC181" i="95"/>
  <c r="AZ166" i="95"/>
  <c r="AZ26" i="95" s="1"/>
  <c r="BC180" i="95"/>
  <c r="BC187" i="95"/>
  <c r="BC184" i="95"/>
  <c r="AY166" i="95"/>
  <c r="AY26" i="95" s="1"/>
  <c r="BC182" i="95"/>
  <c r="BC186" i="95"/>
  <c r="BC158" i="73"/>
  <c r="BC156" i="73"/>
  <c r="BC154" i="73"/>
  <c r="AY139" i="73"/>
  <c r="AY25" i="73" s="1"/>
  <c r="BC159" i="73"/>
  <c r="BC155" i="73"/>
  <c r="AZ139" i="73"/>
  <c r="AZ25" i="73" s="1"/>
  <c r="BC160" i="73"/>
  <c r="BC153" i="73"/>
  <c r="BC157" i="73"/>
  <c r="BC184" i="97"/>
  <c r="BC182" i="97"/>
  <c r="BC180" i="97"/>
  <c r="BC181" i="97"/>
  <c r="BC187" i="97"/>
  <c r="BC185" i="97"/>
  <c r="AY166" i="97"/>
  <c r="AY26" i="97" s="1"/>
  <c r="BC186" i="97"/>
  <c r="BC183" i="97"/>
  <c r="AZ166" i="97"/>
  <c r="AZ26" i="97" s="1"/>
  <c r="AN181" i="94"/>
  <c r="AN184" i="94"/>
  <c r="AN182" i="94"/>
  <c r="AK166" i="94"/>
  <c r="AK26" i="94" s="1"/>
  <c r="AN185" i="94"/>
  <c r="AN183" i="94"/>
  <c r="AN180" i="94"/>
  <c r="AJ166" i="94"/>
  <c r="AJ26" i="94" s="1"/>
  <c r="AN186" i="94"/>
  <c r="AN187" i="94"/>
  <c r="BR73" i="98"/>
  <c r="BR74" i="98"/>
  <c r="BR72" i="98"/>
  <c r="BO58" i="98"/>
  <c r="BO22" i="98" s="1"/>
  <c r="BR79" i="98"/>
  <c r="BN58" i="98"/>
  <c r="BN22" i="98" s="1"/>
  <c r="BR158" i="95"/>
  <c r="BR156" i="95"/>
  <c r="BR154" i="95"/>
  <c r="BR159" i="95"/>
  <c r="BN139" i="95"/>
  <c r="BN25" i="95" s="1"/>
  <c r="BR157" i="95"/>
  <c r="BR155" i="95"/>
  <c r="BR153" i="95"/>
  <c r="BR160" i="95"/>
  <c r="BO139" i="95"/>
  <c r="BO25" i="95" s="1"/>
  <c r="AJ139" i="97"/>
  <c r="AJ25" i="97" s="1"/>
  <c r="AN157" i="97"/>
  <c r="AN159" i="97"/>
  <c r="AN156" i="97"/>
  <c r="AN158" i="97"/>
  <c r="AN155" i="97"/>
  <c r="AN160" i="97"/>
  <c r="AK139" i="97"/>
  <c r="AK25" i="97" s="1"/>
  <c r="AN154" i="97"/>
  <c r="AN153" i="97"/>
  <c r="BR130" i="98"/>
  <c r="BR128" i="98"/>
  <c r="BR126" i="98"/>
  <c r="BO112" i="98"/>
  <c r="BO24" i="98" s="1"/>
  <c r="BR133" i="98"/>
  <c r="BR127" i="98"/>
  <c r="BR131" i="98"/>
  <c r="BR129" i="98"/>
  <c r="BN112" i="98"/>
  <c r="BN24" i="98" s="1"/>
  <c r="BR132" i="98"/>
  <c r="BO85" i="95"/>
  <c r="BO23" i="95" s="1"/>
  <c r="BR106" i="95"/>
  <c r="BR103" i="95"/>
  <c r="BR100" i="95"/>
  <c r="BN85" i="95"/>
  <c r="BN23" i="95" s="1"/>
  <c r="BR102" i="95"/>
  <c r="BR99" i="95"/>
  <c r="BR105" i="95"/>
  <c r="BR104" i="95"/>
  <c r="BR101" i="95"/>
  <c r="BR156" i="73"/>
  <c r="BR153" i="73"/>
  <c r="BO139" i="73"/>
  <c r="BO25" i="73" s="1"/>
  <c r="BR160" i="73"/>
  <c r="BR157" i="73"/>
  <c r="BR159" i="73"/>
  <c r="BR154" i="73"/>
  <c r="BN139" i="73"/>
  <c r="BN25" i="73" s="1"/>
  <c r="BR158" i="73"/>
  <c r="BR155" i="73"/>
  <c r="BC104" i="95"/>
  <c r="BC102" i="95"/>
  <c r="BC100" i="95"/>
  <c r="BC105" i="95"/>
  <c r="BC101" i="95"/>
  <c r="BC106" i="95"/>
  <c r="BC103" i="95"/>
  <c r="AZ85" i="95"/>
  <c r="AZ23" i="95" s="1"/>
  <c r="BC99" i="95"/>
  <c r="AY85" i="95"/>
  <c r="AY23" i="95" s="1"/>
  <c r="BC72" i="95"/>
  <c r="BC79" i="95"/>
  <c r="AZ58" i="95"/>
  <c r="AZ22" i="95" s="1"/>
  <c r="AY58" i="95"/>
  <c r="AY22" i="95" s="1"/>
  <c r="BC184" i="73"/>
  <c r="BC182" i="73"/>
  <c r="BC180" i="73"/>
  <c r="AY166" i="73"/>
  <c r="AY26" i="73" s="1"/>
  <c r="BC187" i="73"/>
  <c r="BC183" i="73"/>
  <c r="BC186" i="73"/>
  <c r="BC181" i="73"/>
  <c r="BC185" i="73"/>
  <c r="AZ166" i="73"/>
  <c r="AZ26" i="73" s="1"/>
  <c r="AN157" i="94"/>
  <c r="AN155" i="94"/>
  <c r="AL250" i="94" s="1"/>
  <c r="AK139" i="94"/>
  <c r="AK25" i="94" s="1"/>
  <c r="AN159" i="94"/>
  <c r="AN158" i="94"/>
  <c r="AN154" i="94"/>
  <c r="AN156" i="94"/>
  <c r="AN160" i="94"/>
  <c r="AN153" i="94"/>
  <c r="AL248" i="94" s="1"/>
  <c r="AJ139" i="94"/>
  <c r="AJ25" i="94" s="1"/>
  <c r="BR131" i="95"/>
  <c r="BR129" i="95"/>
  <c r="BR127" i="95"/>
  <c r="BN112" i="95"/>
  <c r="BN24" i="95" s="1"/>
  <c r="BR133" i="95"/>
  <c r="BO112" i="95"/>
  <c r="BO24" i="95" s="1"/>
  <c r="BR126" i="95"/>
  <c r="BR132" i="95"/>
  <c r="BR130" i="95"/>
  <c r="BR128" i="95"/>
  <c r="BO85" i="73"/>
  <c r="BO23" i="73" s="1"/>
  <c r="BR100" i="73"/>
  <c r="BN85" i="73"/>
  <c r="BN23" i="73" s="1"/>
  <c r="BR102" i="73"/>
  <c r="BR99" i="73"/>
  <c r="BR105" i="73"/>
  <c r="BR104" i="73"/>
  <c r="BR101" i="73"/>
  <c r="BR106" i="73"/>
  <c r="BR103" i="73"/>
  <c r="BR160" i="97"/>
  <c r="BR159" i="97"/>
  <c r="BN139" i="97"/>
  <c r="BN25" i="97" s="1"/>
  <c r="BR156" i="97"/>
  <c r="BO139" i="97"/>
  <c r="BO25" i="97" s="1"/>
  <c r="BR155" i="97"/>
  <c r="BR157" i="97"/>
  <c r="BR154" i="97"/>
  <c r="BR158" i="97"/>
  <c r="BR153" i="97"/>
  <c r="BR74" i="73"/>
  <c r="BR73" i="73"/>
  <c r="BR72" i="73"/>
  <c r="BN58" i="73"/>
  <c r="BN22" i="73" s="1"/>
  <c r="BR79" i="73"/>
  <c r="BO58" i="73"/>
  <c r="BO22" i="73" s="1"/>
  <c r="BC157" i="97"/>
  <c r="BC155" i="97"/>
  <c r="BC153" i="97"/>
  <c r="BC154" i="97"/>
  <c r="BC160" i="97"/>
  <c r="BC158" i="97"/>
  <c r="AY139" i="97"/>
  <c r="AY25" i="97" s="1"/>
  <c r="BC159" i="97"/>
  <c r="BC156" i="97"/>
  <c r="AZ139" i="97"/>
  <c r="AZ25" i="97" s="1"/>
  <c r="BC185" i="98"/>
  <c r="BC183" i="98"/>
  <c r="BC181" i="98"/>
  <c r="AZ166" i="98"/>
  <c r="AZ26" i="98" s="1"/>
  <c r="BC180" i="98"/>
  <c r="BC187" i="98"/>
  <c r="BC186" i="98"/>
  <c r="BC184" i="98"/>
  <c r="AY166" i="98"/>
  <c r="AY26" i="98" s="1"/>
  <c r="BC182" i="98"/>
  <c r="BC184" i="94"/>
  <c r="BC182" i="94"/>
  <c r="BC180" i="94"/>
  <c r="AZ166" i="94"/>
  <c r="AZ26" i="94" s="1"/>
  <c r="BC186" i="94"/>
  <c r="BC183" i="94"/>
  <c r="BB251" i="94" s="1"/>
  <c r="AY166" i="94"/>
  <c r="AY26" i="94" s="1"/>
  <c r="BC187" i="94"/>
  <c r="BC185" i="94"/>
  <c r="BC181" i="94"/>
  <c r="BC103" i="94"/>
  <c r="BC101" i="94"/>
  <c r="BC99" i="94"/>
  <c r="BC106" i="94"/>
  <c r="BC104" i="94"/>
  <c r="AZ85" i="94"/>
  <c r="AZ23" i="94" s="1"/>
  <c r="AY85" i="94"/>
  <c r="AY23" i="94" s="1"/>
  <c r="BC100" i="94"/>
  <c r="AY249" i="94" s="1"/>
  <c r="BC105" i="94"/>
  <c r="BC102" i="94"/>
  <c r="BC133" i="94"/>
  <c r="BD133" i="94" s="1"/>
  <c r="BC132" i="94"/>
  <c r="AZ112" i="94"/>
  <c r="AZ24" i="94" s="1"/>
  <c r="BC130" i="94"/>
  <c r="BC129" i="94"/>
  <c r="BC128" i="94"/>
  <c r="BC127" i="94"/>
  <c r="AY112" i="94"/>
  <c r="AY24" i="94" s="1"/>
  <c r="BC131" i="94"/>
  <c r="BC126" i="94"/>
  <c r="AN76" i="73"/>
  <c r="AN72" i="73"/>
  <c r="AI248" i="73" s="1"/>
  <c r="AN79" i="73"/>
  <c r="AN78" i="73"/>
  <c r="AN75" i="73"/>
  <c r="AN74" i="73"/>
  <c r="AN73" i="73"/>
  <c r="AK58" i="73"/>
  <c r="AK22" i="73" s="1"/>
  <c r="AN77" i="73"/>
  <c r="AJ58" i="73"/>
  <c r="AJ22" i="73" s="1"/>
  <c r="BC104" i="97"/>
  <c r="BC102" i="97"/>
  <c r="BC100" i="97"/>
  <c r="BC99" i="97"/>
  <c r="AY85" i="97"/>
  <c r="AY23" i="97" s="1"/>
  <c r="BC105" i="97"/>
  <c r="BC101" i="97"/>
  <c r="BC106" i="97"/>
  <c r="BC103" i="97"/>
  <c r="AZ85" i="97"/>
  <c r="AZ23" i="97" s="1"/>
  <c r="AN106" i="95"/>
  <c r="AN105" i="95"/>
  <c r="AK85" i="95"/>
  <c r="AK23" i="95" s="1"/>
  <c r="AN104" i="95"/>
  <c r="AJ85" i="95"/>
  <c r="AJ23" i="95" s="1"/>
  <c r="AN99" i="95"/>
  <c r="AJ248" i="95" s="1"/>
  <c r="AN101" i="95"/>
  <c r="AN103" i="95"/>
  <c r="AN100" i="95"/>
  <c r="AN102" i="95"/>
  <c r="BR211" i="97"/>
  <c r="BR209" i="97"/>
  <c r="BR207" i="97"/>
  <c r="BO193" i="97"/>
  <c r="BO27" i="97" s="1"/>
  <c r="BR214" i="97"/>
  <c r="BR213" i="97"/>
  <c r="BR212" i="97"/>
  <c r="BR210" i="97"/>
  <c r="BR208" i="97"/>
  <c r="BN193" i="97"/>
  <c r="BN27" i="97" s="1"/>
  <c r="BC212" i="94"/>
  <c r="BC210" i="94"/>
  <c r="BC208" i="94"/>
  <c r="BC207" i="94"/>
  <c r="AY193" i="94"/>
  <c r="AY27" i="94" s="1"/>
  <c r="BC214" i="94"/>
  <c r="BD214" i="94" s="1"/>
  <c r="AZ193" i="94"/>
  <c r="AZ27" i="94" s="1"/>
  <c r="BC213" i="94"/>
  <c r="BC211" i="94"/>
  <c r="BC209" i="94"/>
  <c r="AY58" i="98"/>
  <c r="AY22" i="98" s="1"/>
  <c r="BC79" i="98"/>
  <c r="AZ58" i="98"/>
  <c r="AZ22" i="98" s="1"/>
  <c r="BC72" i="98"/>
  <c r="BR79" i="95"/>
  <c r="BN58" i="95"/>
  <c r="BN22" i="95" s="1"/>
  <c r="BR74" i="95"/>
  <c r="BO58" i="95"/>
  <c r="BO22" i="95" s="1"/>
  <c r="BR73" i="95"/>
  <c r="BR72" i="95"/>
  <c r="AN126" i="94"/>
  <c r="AK248" i="94" s="1"/>
  <c r="AN130" i="94"/>
  <c r="AN128" i="94"/>
  <c r="AK112" i="94"/>
  <c r="AK24" i="94" s="1"/>
  <c r="AN129" i="94"/>
  <c r="AN132" i="94"/>
  <c r="AN133" i="94"/>
  <c r="AN127" i="94"/>
  <c r="AJ112" i="94"/>
  <c r="AJ24" i="94" s="1"/>
  <c r="BC72" i="94"/>
  <c r="AY58" i="94"/>
  <c r="AY22" i="94" s="1"/>
  <c r="BC79" i="94"/>
  <c r="BD79" i="94" s="1"/>
  <c r="AZ58" i="94"/>
  <c r="AZ22" i="94" s="1"/>
  <c r="BR183" i="95"/>
  <c r="BR186" i="95"/>
  <c r="BR185" i="95"/>
  <c r="BR181" i="95"/>
  <c r="BO166" i="95"/>
  <c r="BO26" i="95" s="1"/>
  <c r="BR182" i="95"/>
  <c r="BR187" i="95"/>
  <c r="BN166" i="95"/>
  <c r="BN26" i="95" s="1"/>
  <c r="BR184" i="95"/>
  <c r="BR212" i="95"/>
  <c r="BR210" i="95"/>
  <c r="BR208" i="95"/>
  <c r="BN193" i="95"/>
  <c r="BN27" i="95" s="1"/>
  <c r="BR209" i="95"/>
  <c r="BR214" i="95"/>
  <c r="BR211" i="95"/>
  <c r="BR207" i="95"/>
  <c r="BO193" i="95"/>
  <c r="BO27" i="95" s="1"/>
  <c r="BR213" i="95"/>
  <c r="BR187" i="97"/>
  <c r="BR186" i="97"/>
  <c r="BO166" i="97"/>
  <c r="BO26" i="97" s="1"/>
  <c r="BR183" i="97"/>
  <c r="BN166" i="97"/>
  <c r="BN26" i="97" s="1"/>
  <c r="BR182" i="97"/>
  <c r="BR184" i="97"/>
  <c r="BR181" i="97"/>
  <c r="BR185" i="97"/>
  <c r="AN211" i="98"/>
  <c r="AN209" i="98"/>
  <c r="AN207" i="98"/>
  <c r="AJ193" i="98"/>
  <c r="AJ27" i="98" s="1"/>
  <c r="AK193" i="98"/>
  <c r="AK27" i="98" s="1"/>
  <c r="AN214" i="98"/>
  <c r="AI195" i="98" s="1"/>
  <c r="AN212" i="98"/>
  <c r="AN210" i="98"/>
  <c r="AN208" i="98"/>
  <c r="AN213" i="98"/>
  <c r="BR133" i="97"/>
  <c r="BR132" i="97"/>
  <c r="BN112" i="97"/>
  <c r="BN24" i="97" s="1"/>
  <c r="BR128" i="97"/>
  <c r="BR127" i="97"/>
  <c r="BR131" i="97"/>
  <c r="BO112" i="97"/>
  <c r="BO24" i="97" s="1"/>
  <c r="BR130" i="97"/>
  <c r="BR126" i="97"/>
  <c r="BR129" i="97"/>
  <c r="AN106" i="73"/>
  <c r="AN105" i="73"/>
  <c r="AK85" i="73"/>
  <c r="AK23" i="73" s="1"/>
  <c r="AN99" i="73"/>
  <c r="AJ248" i="73" s="1"/>
  <c r="AN101" i="73"/>
  <c r="AN103" i="73"/>
  <c r="AN100" i="73"/>
  <c r="AN102" i="73"/>
  <c r="AN104" i="73"/>
  <c r="AJ85" i="73"/>
  <c r="AJ23" i="73" s="1"/>
  <c r="BC130" i="97"/>
  <c r="BC128" i="97"/>
  <c r="BC126" i="97"/>
  <c r="BC133" i="97"/>
  <c r="BC131" i="97"/>
  <c r="AY112" i="97"/>
  <c r="AY24" i="97" s="1"/>
  <c r="BC129" i="97"/>
  <c r="BC127" i="97"/>
  <c r="BC132" i="97"/>
  <c r="AZ112" i="97"/>
  <c r="AZ24" i="97" s="1"/>
  <c r="AN212" i="97"/>
  <c r="AN210" i="97"/>
  <c r="AN208" i="97"/>
  <c r="AN214" i="97"/>
  <c r="AI195" i="97" s="1"/>
  <c r="AN213" i="97"/>
  <c r="AJ193" i="97"/>
  <c r="AJ27" i="97" s="1"/>
  <c r="AN211" i="97"/>
  <c r="AN209" i="97"/>
  <c r="AN207" i="97"/>
  <c r="AK193" i="97"/>
  <c r="AK27" i="97" s="1"/>
  <c r="AN158" i="98"/>
  <c r="AN156" i="98"/>
  <c r="AN154" i="98"/>
  <c r="AK139" i="98"/>
  <c r="AK25" i="98" s="1"/>
  <c r="AN153" i="98"/>
  <c r="AJ139" i="98"/>
  <c r="AJ25" i="98" s="1"/>
  <c r="AN160" i="98"/>
  <c r="AN159" i="98"/>
  <c r="AN157" i="98"/>
  <c r="AN155" i="98"/>
  <c r="BC131" i="73"/>
  <c r="BC129" i="73"/>
  <c r="BC127" i="73"/>
  <c r="AY112" i="73"/>
  <c r="AY24" i="73" s="1"/>
  <c r="BC132" i="73"/>
  <c r="BC128" i="73"/>
  <c r="AZ112" i="73"/>
  <c r="AZ24" i="73" s="1"/>
  <c r="BC130" i="73"/>
  <c r="BC126" i="73"/>
  <c r="BC133" i="73"/>
  <c r="BR212" i="98"/>
  <c r="BR210" i="98"/>
  <c r="BR208" i="98"/>
  <c r="BN193" i="98"/>
  <c r="BN27" i="98" s="1"/>
  <c r="BR213" i="98"/>
  <c r="BR211" i="98"/>
  <c r="BR209" i="98"/>
  <c r="BR207" i="98"/>
  <c r="BO193" i="98"/>
  <c r="BO27" i="98" s="1"/>
  <c r="BR214" i="98"/>
  <c r="BC160" i="95"/>
  <c r="BC159" i="95"/>
  <c r="AZ139" i="95"/>
  <c r="AZ25" i="95" s="1"/>
  <c r="BC158" i="95"/>
  <c r="BC155" i="95"/>
  <c r="BC154" i="95"/>
  <c r="BC157" i="95"/>
  <c r="BC156" i="95"/>
  <c r="BC153" i="95"/>
  <c r="AY139" i="95"/>
  <c r="AY25" i="95" s="1"/>
  <c r="BR186" i="98"/>
  <c r="BR185" i="98"/>
  <c r="BR182" i="98"/>
  <c r="BO166" i="98"/>
  <c r="BO26" i="98" s="1"/>
  <c r="BR181" i="98"/>
  <c r="BR187" i="98"/>
  <c r="BR184" i="98"/>
  <c r="BN166" i="98"/>
  <c r="BN26" i="98" s="1"/>
  <c r="BR183" i="98"/>
  <c r="AN157" i="95"/>
  <c r="AN155" i="95"/>
  <c r="AK139" i="95"/>
  <c r="AK25" i="95" s="1"/>
  <c r="AN153" i="95"/>
  <c r="AL248" i="95" s="1"/>
  <c r="AN160" i="95"/>
  <c r="AN158" i="95"/>
  <c r="AN156" i="95"/>
  <c r="AN154" i="95"/>
  <c r="AL249" i="95" s="1"/>
  <c r="AJ139" i="95"/>
  <c r="AJ25" i="95" s="1"/>
  <c r="AN159" i="95"/>
  <c r="AN79" i="98"/>
  <c r="AN78" i="98"/>
  <c r="AN75" i="98"/>
  <c r="AN77" i="98"/>
  <c r="AK58" i="98"/>
  <c r="AK22" i="98" s="1"/>
  <c r="AJ58" i="98"/>
  <c r="AJ22" i="98" s="1"/>
  <c r="AN72" i="98"/>
  <c r="AN76" i="98"/>
  <c r="AN74" i="98"/>
  <c r="AN73" i="98"/>
  <c r="AK166" i="97"/>
  <c r="AK26" i="97" s="1"/>
  <c r="AN184" i="97"/>
  <c r="AJ166" i="97"/>
  <c r="AJ26" i="97" s="1"/>
  <c r="AN186" i="97"/>
  <c r="AN181" i="97"/>
  <c r="AN183" i="97"/>
  <c r="AN187" i="97"/>
  <c r="AN185" i="97"/>
  <c r="AN182" i="97"/>
  <c r="AN180" i="97"/>
  <c r="BO193" i="94"/>
  <c r="BO27" i="94" s="1"/>
  <c r="BR213" i="94"/>
  <c r="BR254" i="94" s="1"/>
  <c r="BR212" i="94"/>
  <c r="BR209" i="94"/>
  <c r="BR208" i="94"/>
  <c r="BR214" i="94"/>
  <c r="BR211" i="94"/>
  <c r="BN193" i="94"/>
  <c r="BN27" i="94" s="1"/>
  <c r="BR210" i="94"/>
  <c r="BR207" i="94"/>
  <c r="AN214" i="94"/>
  <c r="AN213" i="94"/>
  <c r="AK193" i="94"/>
  <c r="AK27" i="94" s="1"/>
  <c r="AN210" i="94"/>
  <c r="AN209" i="94"/>
  <c r="AN207" i="94"/>
  <c r="AJ193" i="94"/>
  <c r="AJ27" i="94" s="1"/>
  <c r="AN212" i="94"/>
  <c r="AN253" i="94" s="1"/>
  <c r="AN211" i="94"/>
  <c r="AN208" i="94"/>
  <c r="AN99" i="94"/>
  <c r="AJ248" i="94" s="1"/>
  <c r="AK85" i="94"/>
  <c r="AK23" i="94" s="1"/>
  <c r="AN105" i="94"/>
  <c r="AN102" i="94"/>
  <c r="AN106" i="94"/>
  <c r="AN104" i="94"/>
  <c r="AJ253" i="94" s="1"/>
  <c r="AN101" i="94"/>
  <c r="AN103" i="94"/>
  <c r="AJ85" i="94"/>
  <c r="AJ23" i="94" s="1"/>
  <c r="AN100" i="94"/>
  <c r="BR158" i="94"/>
  <c r="BR156" i="94"/>
  <c r="BR154" i="94"/>
  <c r="BP249" i="94" s="1"/>
  <c r="BO139" i="94"/>
  <c r="BO25" i="94" s="1"/>
  <c r="BR160" i="94"/>
  <c r="BR157" i="94"/>
  <c r="BR153" i="94"/>
  <c r="BR155" i="94"/>
  <c r="BN139" i="94"/>
  <c r="BN25" i="94" s="1"/>
  <c r="BR159" i="94"/>
  <c r="BC133" i="95"/>
  <c r="BC132" i="95"/>
  <c r="AZ112" i="95"/>
  <c r="AZ24" i="95" s="1"/>
  <c r="BC130" i="95"/>
  <c r="BC129" i="95"/>
  <c r="BC126" i="95"/>
  <c r="BC128" i="95"/>
  <c r="BC127" i="95"/>
  <c r="AY112" i="95"/>
  <c r="AY24" i="95" s="1"/>
  <c r="BC131" i="95"/>
  <c r="AN214" i="73"/>
  <c r="AN213" i="73"/>
  <c r="AN211" i="73"/>
  <c r="AN208" i="73"/>
  <c r="AK193" i="73"/>
  <c r="AK27" i="73" s="1"/>
  <c r="AN212" i="73"/>
  <c r="AN207" i="73"/>
  <c r="AJ193" i="73"/>
  <c r="AJ27" i="73" s="1"/>
  <c r="AN210" i="73"/>
  <c r="AN209" i="73"/>
  <c r="Z78" i="73"/>
  <c r="Z79" i="73"/>
  <c r="Z103" i="73"/>
  <c r="Z73" i="73"/>
  <c r="D4" i="95"/>
  <c r="D28" i="73"/>
  <c r="D28" i="94"/>
  <c r="D28" i="95"/>
  <c r="CU230" i="94"/>
  <c r="CW228" i="94"/>
  <c r="CE229" i="94"/>
  <c r="CC231" i="94"/>
  <c r="CT139" i="94"/>
  <c r="CT25" i="94" s="1"/>
  <c r="CW229" i="94"/>
  <c r="CT112" i="94"/>
  <c r="CT24" i="94" s="1"/>
  <c r="CW227" i="94"/>
  <c r="E28" i="94"/>
  <c r="CC230" i="94"/>
  <c r="V252" i="94"/>
  <c r="Z130" i="94"/>
  <c r="X252" i="94"/>
  <c r="Z184" i="94"/>
  <c r="V28" i="94"/>
  <c r="V248" i="94"/>
  <c r="Z126" i="94"/>
  <c r="DR129" i="94"/>
  <c r="DR128" i="94"/>
  <c r="DR130" i="94"/>
  <c r="DR127" i="94"/>
  <c r="DR126" i="94"/>
  <c r="DR131" i="94"/>
  <c r="DL112" i="94"/>
  <c r="DL113" i="94" s="1"/>
  <c r="T248" i="94"/>
  <c r="Z72" i="94"/>
  <c r="V250" i="94"/>
  <c r="Z128" i="94"/>
  <c r="C86" i="94"/>
  <c r="C85" i="94"/>
  <c r="H251" i="94"/>
  <c r="H237" i="94"/>
  <c r="C114" i="94"/>
  <c r="C112" i="94"/>
  <c r="V253" i="94"/>
  <c r="Z131" i="94"/>
  <c r="X254" i="94"/>
  <c r="Z186" i="94"/>
  <c r="CB230" i="94"/>
  <c r="CB112" i="94"/>
  <c r="CC229" i="94"/>
  <c r="Y239" i="94"/>
  <c r="Z212" i="94"/>
  <c r="Y253" i="94"/>
  <c r="CB227" i="94"/>
  <c r="CD226" i="94"/>
  <c r="H250" i="94"/>
  <c r="H236" i="94"/>
  <c r="DQ252" i="94"/>
  <c r="DQ238" i="94"/>
  <c r="DN220" i="94" s="1"/>
  <c r="BO24" i="94"/>
  <c r="CU231" i="94"/>
  <c r="CT226" i="94"/>
  <c r="CV229" i="94"/>
  <c r="CT229" i="94"/>
  <c r="CB228" i="94"/>
  <c r="H234" i="94"/>
  <c r="H248" i="94"/>
  <c r="W250" i="94"/>
  <c r="Z155" i="94"/>
  <c r="Y237" i="94"/>
  <c r="Z210" i="94"/>
  <c r="Y251" i="94"/>
  <c r="X253" i="94"/>
  <c r="Z185" i="94"/>
  <c r="D253" i="94"/>
  <c r="T250" i="94"/>
  <c r="Z74" i="94"/>
  <c r="V251" i="94"/>
  <c r="Z129" i="94"/>
  <c r="Y234" i="94"/>
  <c r="Z207" i="94"/>
  <c r="Y248" i="94"/>
  <c r="CC226" i="94"/>
  <c r="CB193" i="94"/>
  <c r="DR183" i="94"/>
  <c r="DR182" i="94"/>
  <c r="DR180" i="94"/>
  <c r="DR185" i="94"/>
  <c r="DR184" i="94"/>
  <c r="DL166" i="94"/>
  <c r="DL167" i="94" s="1"/>
  <c r="DR181" i="94"/>
  <c r="Z76" i="94"/>
  <c r="T252" i="94"/>
  <c r="V254" i="94"/>
  <c r="Z132" i="94"/>
  <c r="Z211" i="94"/>
  <c r="Y252" i="94"/>
  <c r="Y238" i="94"/>
  <c r="T254" i="94"/>
  <c r="Z78" i="94"/>
  <c r="Y254" i="94"/>
  <c r="Z213" i="94"/>
  <c r="Y240" i="94"/>
  <c r="CB229" i="94"/>
  <c r="CC227" i="94"/>
  <c r="C194" i="94"/>
  <c r="C193" i="94"/>
  <c r="C195" i="94"/>
  <c r="G253" i="94"/>
  <c r="CE227" i="94"/>
  <c r="DR209" i="94"/>
  <c r="DL193" i="94"/>
  <c r="DR212" i="94"/>
  <c r="DR208" i="94"/>
  <c r="DQ239" i="94"/>
  <c r="DR211" i="94"/>
  <c r="DR207" i="94"/>
  <c r="DR210" i="94"/>
  <c r="U251" i="94"/>
  <c r="Z102" i="94"/>
  <c r="W248" i="94"/>
  <c r="Z153" i="94"/>
  <c r="Y236" i="94"/>
  <c r="Z209" i="94"/>
  <c r="Y250" i="94"/>
  <c r="CB166" i="94"/>
  <c r="CE230" i="94"/>
  <c r="H252" i="94"/>
  <c r="H238" i="94"/>
  <c r="Z133" i="94"/>
  <c r="T112" i="94"/>
  <c r="Z183" i="94"/>
  <c r="X251" i="94"/>
  <c r="CD228" i="94"/>
  <c r="DL253" i="94"/>
  <c r="CT85" i="94"/>
  <c r="CU228" i="94"/>
  <c r="CW231" i="94"/>
  <c r="CU229" i="94"/>
  <c r="CT228" i="94"/>
  <c r="CV231" i="94"/>
  <c r="CV226" i="94"/>
  <c r="CT231" i="94"/>
  <c r="U252" i="94"/>
  <c r="Z103" i="94"/>
  <c r="C141" i="94"/>
  <c r="C139" i="94"/>
  <c r="C140" i="94"/>
  <c r="Z79" i="94"/>
  <c r="T58" i="94"/>
  <c r="T59" i="94" s="1"/>
  <c r="T60" i="94" s="1"/>
  <c r="C58" i="94"/>
  <c r="C60" i="94"/>
  <c r="C59" i="94"/>
  <c r="CD227" i="94"/>
  <c r="DR76" i="94"/>
  <c r="DR72" i="94"/>
  <c r="DL58" i="94"/>
  <c r="DL59" i="94" s="1"/>
  <c r="DR75" i="94"/>
  <c r="DR74" i="94"/>
  <c r="DR77" i="94"/>
  <c r="DR73" i="94"/>
  <c r="U248" i="94"/>
  <c r="Z99" i="94"/>
  <c r="W251" i="94"/>
  <c r="Z156" i="94"/>
  <c r="CB226" i="94"/>
  <c r="CB85" i="94"/>
  <c r="CB139" i="94"/>
  <c r="DQ236" i="94"/>
  <c r="DQ250" i="94"/>
  <c r="DR250" i="94" s="1"/>
  <c r="U249" i="94"/>
  <c r="Z100" i="94"/>
  <c r="Z157" i="94"/>
  <c r="W252" i="94"/>
  <c r="CC228" i="94"/>
  <c r="DQ237" i="94"/>
  <c r="DQ251" i="94"/>
  <c r="DR251" i="94" s="1"/>
  <c r="E248" i="94"/>
  <c r="C166" i="94"/>
  <c r="CD231" i="94"/>
  <c r="DR158" i="94"/>
  <c r="DR156" i="94"/>
  <c r="DL140" i="94"/>
  <c r="DR154" i="94"/>
  <c r="DR157" i="94"/>
  <c r="DR155" i="94"/>
  <c r="DR153" i="94"/>
  <c r="DL139" i="94"/>
  <c r="T249" i="94"/>
  <c r="Z73" i="94"/>
  <c r="Z106" i="94"/>
  <c r="T85" i="94"/>
  <c r="W254" i="94"/>
  <c r="Z159" i="94"/>
  <c r="T193" i="94"/>
  <c r="Y241" i="94"/>
  <c r="Z214" i="94"/>
  <c r="DM28" i="94"/>
  <c r="DQ249" i="94"/>
  <c r="DR249" i="94" s="1"/>
  <c r="DQ235" i="94"/>
  <c r="W249" i="94"/>
  <c r="Z154" i="94"/>
  <c r="T166" i="94"/>
  <c r="CD229" i="94"/>
  <c r="CT58" i="94"/>
  <c r="CW226" i="94"/>
  <c r="CT230" i="94"/>
  <c r="CV228" i="94"/>
  <c r="Z75" i="94"/>
  <c r="T251" i="94"/>
  <c r="U28" i="94"/>
  <c r="U37" i="94"/>
  <c r="U40" i="94" s="1"/>
  <c r="U250" i="94"/>
  <c r="Z101" i="94"/>
  <c r="Z160" i="94"/>
  <c r="CE228" i="94"/>
  <c r="U253" i="94"/>
  <c r="Z104" i="94"/>
  <c r="X248" i="94"/>
  <c r="Z180" i="94"/>
  <c r="U254" i="94"/>
  <c r="Z105" i="94"/>
  <c r="X250" i="94"/>
  <c r="Z182" i="94"/>
  <c r="CE226" i="94"/>
  <c r="DR103" i="94"/>
  <c r="DR101" i="94"/>
  <c r="DL85" i="94"/>
  <c r="DR100" i="94"/>
  <c r="DR104" i="94"/>
  <c r="DR99" i="94"/>
  <c r="DR102" i="94"/>
  <c r="Z77" i="94"/>
  <c r="T253" i="94"/>
  <c r="V249" i="94"/>
  <c r="Z127" i="94"/>
  <c r="X249" i="94"/>
  <c r="Z181" i="94"/>
  <c r="CB58" i="94"/>
  <c r="CE231" i="94"/>
  <c r="CT193" i="94"/>
  <c r="CU226" i="94"/>
  <c r="W253" i="94"/>
  <c r="Z158" i="94"/>
  <c r="Y235" i="94"/>
  <c r="Y249" i="94"/>
  <c r="Z208" i="94"/>
  <c r="CB231" i="94"/>
  <c r="CD230" i="94"/>
  <c r="DM253" i="94"/>
  <c r="DQ248" i="94"/>
  <c r="DQ234" i="94"/>
  <c r="CT166" i="94"/>
  <c r="CU227" i="94"/>
  <c r="CW230" i="94"/>
  <c r="CV227" i="94"/>
  <c r="CT227" i="94"/>
  <c r="CV230" i="94"/>
  <c r="CT228" i="73"/>
  <c r="DR184" i="73"/>
  <c r="T248" i="73"/>
  <c r="Z248" i="73" s="1"/>
  <c r="Z75" i="73"/>
  <c r="Z156" i="73"/>
  <c r="Z208" i="73"/>
  <c r="Z101" i="73"/>
  <c r="Z155" i="73"/>
  <c r="Z212" i="73"/>
  <c r="Z183" i="73"/>
  <c r="Z74" i="73"/>
  <c r="DR128" i="73"/>
  <c r="DR208" i="73"/>
  <c r="DR207" i="73"/>
  <c r="Z76" i="73"/>
  <c r="C113" i="73"/>
  <c r="DR211" i="73"/>
  <c r="Z154" i="73"/>
  <c r="Z213" i="73"/>
  <c r="Z157" i="73"/>
  <c r="Z182" i="73"/>
  <c r="DR210" i="73"/>
  <c r="Z214" i="73"/>
  <c r="Z153" i="73"/>
  <c r="Z159" i="73"/>
  <c r="C139" i="73"/>
  <c r="DR127" i="73"/>
  <c r="CT227" i="73"/>
  <c r="CV226" i="73"/>
  <c r="DR73" i="73"/>
  <c r="Z102" i="73"/>
  <c r="C114" i="73"/>
  <c r="DR153" i="73"/>
  <c r="Z184" i="73"/>
  <c r="DQ251" i="73"/>
  <c r="DR251" i="73" s="1"/>
  <c r="Z180" i="73"/>
  <c r="Z100" i="73"/>
  <c r="DR77" i="73"/>
  <c r="C112" i="73"/>
  <c r="DR156" i="73"/>
  <c r="DR155" i="73"/>
  <c r="X252" i="73"/>
  <c r="Z252" i="73" s="1"/>
  <c r="CV230" i="73"/>
  <c r="H237" i="73"/>
  <c r="DR75" i="73"/>
  <c r="CU230" i="73"/>
  <c r="CB226" i="73"/>
  <c r="DL85" i="73"/>
  <c r="DL86" i="73" s="1"/>
  <c r="C193" i="73"/>
  <c r="CT226" i="73"/>
  <c r="CW231" i="73"/>
  <c r="DQ234" i="73"/>
  <c r="DR157" i="73"/>
  <c r="E249" i="73"/>
  <c r="DN249" i="73"/>
  <c r="DR180" i="73"/>
  <c r="DR185" i="73"/>
  <c r="Z105" i="73"/>
  <c r="Z106" i="73"/>
  <c r="DR74" i="73"/>
  <c r="Y238" i="73"/>
  <c r="DR209" i="73"/>
  <c r="DL193" i="73"/>
  <c r="DL194" i="73" s="1"/>
  <c r="Z211" i="73"/>
  <c r="Z185" i="73"/>
  <c r="DR100" i="73"/>
  <c r="DQ237" i="73"/>
  <c r="DR99" i="73"/>
  <c r="T166" i="73"/>
  <c r="T167" i="73" s="1"/>
  <c r="Z126" i="73"/>
  <c r="Z127" i="73"/>
  <c r="Z186" i="73"/>
  <c r="C251" i="73"/>
  <c r="D250" i="73"/>
  <c r="T58" i="73"/>
  <c r="T59" i="73" s="1"/>
  <c r="E28" i="73"/>
  <c r="Z181" i="73"/>
  <c r="Y237" i="73"/>
  <c r="DL253" i="73"/>
  <c r="DL283" i="73" s="1"/>
  <c r="CT85" i="73"/>
  <c r="Y235" i="73"/>
  <c r="V28" i="73"/>
  <c r="DL139" i="73"/>
  <c r="DL140" i="73" s="1"/>
  <c r="CW229" i="73"/>
  <c r="CV227" i="73"/>
  <c r="CU229" i="73"/>
  <c r="CW230" i="73"/>
  <c r="T85" i="73"/>
  <c r="T86" i="73" s="1"/>
  <c r="CT139" i="73"/>
  <c r="CT25" i="73" s="1"/>
  <c r="CT193" i="73"/>
  <c r="CT27" i="73" s="1"/>
  <c r="Z131" i="73"/>
  <c r="CW228" i="73"/>
  <c r="CT231" i="73"/>
  <c r="CV231" i="73"/>
  <c r="DR103" i="73"/>
  <c r="CV229" i="73"/>
  <c r="H238" i="73"/>
  <c r="CT229" i="73"/>
  <c r="C167" i="73"/>
  <c r="CU227" i="73"/>
  <c r="CV228" i="73"/>
  <c r="CT166" i="73"/>
  <c r="DQ236" i="73"/>
  <c r="CW227" i="73"/>
  <c r="DQ238" i="73"/>
  <c r="DN220" i="73" s="1"/>
  <c r="DR183" i="73"/>
  <c r="CW226" i="73"/>
  <c r="C194" i="73"/>
  <c r="CT230" i="73"/>
  <c r="DM28" i="73"/>
  <c r="CW230" i="95"/>
  <c r="CT112" i="73"/>
  <c r="CT24" i="73" s="1"/>
  <c r="CT58" i="73"/>
  <c r="CX66" i="73" s="1"/>
  <c r="DG66" i="73" s="1"/>
  <c r="U28" i="73"/>
  <c r="U37" i="73"/>
  <c r="U38" i="73" s="1"/>
  <c r="Z207" i="73"/>
  <c r="DR182" i="73"/>
  <c r="DR102" i="73"/>
  <c r="Y241" i="73"/>
  <c r="U220" i="73" s="1"/>
  <c r="DR72" i="73"/>
  <c r="Y234" i="73"/>
  <c r="Z210" i="73"/>
  <c r="DR181" i="73"/>
  <c r="Z104" i="73"/>
  <c r="DR101" i="73"/>
  <c r="Y239" i="73"/>
  <c r="CU226" i="73"/>
  <c r="CU231" i="73"/>
  <c r="T193" i="73"/>
  <c r="DR130" i="73"/>
  <c r="C195" i="73"/>
  <c r="T112" i="73"/>
  <c r="Z130" i="73"/>
  <c r="DR76" i="73"/>
  <c r="Z132" i="73"/>
  <c r="DL58" i="73"/>
  <c r="DL59" i="73" s="1"/>
  <c r="T249" i="73"/>
  <c r="C166" i="73"/>
  <c r="C141" i="73"/>
  <c r="Z99" i="73"/>
  <c r="C60" i="73"/>
  <c r="Y236" i="73"/>
  <c r="C58" i="73"/>
  <c r="DO249" i="73"/>
  <c r="DP250" i="73"/>
  <c r="H252" i="73"/>
  <c r="DN252" i="73"/>
  <c r="W253" i="73"/>
  <c r="Z253" i="73" s="1"/>
  <c r="Z209" i="73"/>
  <c r="Y240" i="73"/>
  <c r="V220" i="73" s="1"/>
  <c r="DQ239" i="73"/>
  <c r="DM220" i="73" s="1"/>
  <c r="CU228" i="73"/>
  <c r="H234" i="73"/>
  <c r="DL166" i="73"/>
  <c r="DL112" i="73"/>
  <c r="DL113" i="73" s="1"/>
  <c r="Z129" i="73"/>
  <c r="C85" i="73"/>
  <c r="C140" i="73"/>
  <c r="DR129" i="73"/>
  <c r="DR154" i="73"/>
  <c r="H236" i="73"/>
  <c r="C59" i="73"/>
  <c r="C86" i="73"/>
  <c r="Z128" i="73"/>
  <c r="D252" i="73"/>
  <c r="DQ235" i="73"/>
  <c r="DR126" i="73"/>
  <c r="Z133" i="73"/>
  <c r="Z158" i="73"/>
  <c r="CT166" i="95"/>
  <c r="CB85" i="95"/>
  <c r="V252" i="95"/>
  <c r="Z130" i="95"/>
  <c r="V250" i="95"/>
  <c r="Z128" i="95"/>
  <c r="Z133" i="95"/>
  <c r="DR185" i="95"/>
  <c r="DL166" i="95"/>
  <c r="DR180" i="95"/>
  <c r="DR182" i="95"/>
  <c r="DR184" i="95"/>
  <c r="DR181" i="95"/>
  <c r="DR183" i="95"/>
  <c r="W252" i="95"/>
  <c r="Z157" i="95"/>
  <c r="CE231" i="73"/>
  <c r="CD231" i="95"/>
  <c r="CE229" i="73"/>
  <c r="CD229" i="95"/>
  <c r="CE227" i="73"/>
  <c r="CD227" i="95"/>
  <c r="H248" i="95"/>
  <c r="H234" i="95"/>
  <c r="DQ251" i="95"/>
  <c r="DR251" i="95" s="1"/>
  <c r="DQ237" i="95"/>
  <c r="DQ250" i="95"/>
  <c r="DR250" i="95" s="1"/>
  <c r="DQ236" i="95"/>
  <c r="X253" i="95"/>
  <c r="Z185" i="95"/>
  <c r="DL58" i="95"/>
  <c r="DL59" i="95" s="1"/>
  <c r="DR77" i="95"/>
  <c r="DR73" i="95"/>
  <c r="DR72" i="95"/>
  <c r="DR75" i="95"/>
  <c r="DR74" i="95"/>
  <c r="DR76" i="95"/>
  <c r="CB226" i="95"/>
  <c r="CW231" i="95"/>
  <c r="CV231" i="95"/>
  <c r="CW229" i="95"/>
  <c r="CV229" i="95"/>
  <c r="CW227" i="95"/>
  <c r="CV227" i="95"/>
  <c r="Z213" i="95"/>
  <c r="Y254" i="95"/>
  <c r="Y240" i="95"/>
  <c r="Y248" i="95"/>
  <c r="Y234" i="95"/>
  <c r="Z207" i="95"/>
  <c r="CT112" i="95"/>
  <c r="Z72" i="95"/>
  <c r="T248" i="95"/>
  <c r="U28" i="95"/>
  <c r="U37" i="95"/>
  <c r="U38" i="95" s="1"/>
  <c r="T251" i="95"/>
  <c r="Z75" i="95"/>
  <c r="CE232" i="73"/>
  <c r="CC232" i="95"/>
  <c r="CC230" i="95"/>
  <c r="CC228" i="95"/>
  <c r="CB193" i="95"/>
  <c r="CC226" i="95"/>
  <c r="U254" i="95"/>
  <c r="Z105" i="95"/>
  <c r="U248" i="95"/>
  <c r="Z99" i="95"/>
  <c r="DR131" i="95"/>
  <c r="DR127" i="95"/>
  <c r="DR130" i="95"/>
  <c r="DR126" i="95"/>
  <c r="DR129" i="95"/>
  <c r="DR128" i="95"/>
  <c r="DL112" i="95"/>
  <c r="CB58" i="73"/>
  <c r="CB22" i="73" s="1"/>
  <c r="CV230" i="95"/>
  <c r="CW228" i="95"/>
  <c r="CV228" i="95"/>
  <c r="CW226" i="95"/>
  <c r="CV226" i="95"/>
  <c r="V249" i="95"/>
  <c r="Z127" i="95"/>
  <c r="V254" i="95"/>
  <c r="Z132" i="95"/>
  <c r="CC227" i="95"/>
  <c r="C166" i="95"/>
  <c r="C167" i="95"/>
  <c r="Z156" i="95"/>
  <c r="W251" i="95"/>
  <c r="W249" i="95"/>
  <c r="Z154" i="95"/>
  <c r="CC231" i="95"/>
  <c r="CC229" i="95"/>
  <c r="H237" i="95"/>
  <c r="H251" i="95"/>
  <c r="H236" i="95"/>
  <c r="H250" i="95"/>
  <c r="DR208" i="95"/>
  <c r="DR207" i="95"/>
  <c r="DQ239" i="95"/>
  <c r="DR212" i="95"/>
  <c r="DR211" i="95"/>
  <c r="DL193" i="95"/>
  <c r="DR210" i="95"/>
  <c r="DR209" i="95"/>
  <c r="DQ238" i="95"/>
  <c r="DN220" i="95" s="1"/>
  <c r="DQ252" i="95"/>
  <c r="CB112" i="73"/>
  <c r="CB112" i="95"/>
  <c r="X248" i="95"/>
  <c r="Z180" i="95"/>
  <c r="X251" i="95"/>
  <c r="Z183" i="95"/>
  <c r="CB231" i="73"/>
  <c r="CB231" i="95"/>
  <c r="CB229" i="73"/>
  <c r="CB229" i="95"/>
  <c r="CB227" i="73"/>
  <c r="CB227" i="95"/>
  <c r="DM28" i="95"/>
  <c r="CU231" i="95"/>
  <c r="CU229" i="95"/>
  <c r="CU227" i="95"/>
  <c r="Y252" i="95"/>
  <c r="Z211" i="95"/>
  <c r="Y238" i="95"/>
  <c r="CB166" i="73"/>
  <c r="CB166" i="95"/>
  <c r="Z76" i="95"/>
  <c r="T252" i="95"/>
  <c r="Z74" i="95"/>
  <c r="T250" i="95"/>
  <c r="Z79" i="95"/>
  <c r="T58" i="95"/>
  <c r="CE232" i="95"/>
  <c r="CD230" i="73"/>
  <c r="CE230" i="95"/>
  <c r="CD228" i="73"/>
  <c r="CE228" i="95"/>
  <c r="CD226" i="73"/>
  <c r="CE226" i="95"/>
  <c r="U252" i="95"/>
  <c r="Z103" i="95"/>
  <c r="C112" i="95"/>
  <c r="C114" i="95"/>
  <c r="C113" i="95"/>
  <c r="CB232" i="73"/>
  <c r="CB232" i="95"/>
  <c r="CB230" i="73"/>
  <c r="CB230" i="95"/>
  <c r="CB228" i="73"/>
  <c r="CB228" i="95"/>
  <c r="CB58" i="95"/>
  <c r="CB22" i="95" s="1"/>
  <c r="DR158" i="95"/>
  <c r="DR156" i="95"/>
  <c r="DR154" i="95"/>
  <c r="DL139" i="95"/>
  <c r="DR157" i="95"/>
  <c r="DL140" i="95"/>
  <c r="DR153" i="95"/>
  <c r="DR155" i="95"/>
  <c r="CU230" i="95"/>
  <c r="CU228" i="95"/>
  <c r="CT193" i="95"/>
  <c r="CU226" i="95"/>
  <c r="V253" i="95"/>
  <c r="Z131" i="95"/>
  <c r="CT58" i="95"/>
  <c r="Z155" i="95"/>
  <c r="W250" i="95"/>
  <c r="Z160" i="95"/>
  <c r="W253" i="95"/>
  <c r="Z158" i="95"/>
  <c r="CD231" i="73"/>
  <c r="CE231" i="95"/>
  <c r="CD229" i="73"/>
  <c r="CE229" i="95"/>
  <c r="CD227" i="73"/>
  <c r="CE227" i="95"/>
  <c r="C194" i="95"/>
  <c r="C195" i="95"/>
  <c r="C193" i="95"/>
  <c r="H238" i="95"/>
  <c r="H252" i="95"/>
  <c r="X252" i="95"/>
  <c r="Z184" i="95"/>
  <c r="X250" i="95"/>
  <c r="Z182" i="95"/>
  <c r="T166" i="95"/>
  <c r="T167" i="95" s="1"/>
  <c r="T168" i="95" s="1"/>
  <c r="C59" i="95"/>
  <c r="C58" i="95"/>
  <c r="C60" i="95"/>
  <c r="CB139" i="73"/>
  <c r="CT231" i="95"/>
  <c r="CT229" i="95"/>
  <c r="CT227" i="95"/>
  <c r="Y251" i="95"/>
  <c r="Y237" i="95"/>
  <c r="Z210" i="95"/>
  <c r="Y235" i="95"/>
  <c r="Z208" i="95"/>
  <c r="Y249" i="95"/>
  <c r="Z73" i="95"/>
  <c r="T249" i="95"/>
  <c r="Z78" i="95"/>
  <c r="T254" i="95"/>
  <c r="CC232" i="73"/>
  <c r="CC230" i="73"/>
  <c r="CC228" i="73"/>
  <c r="CC226" i="73"/>
  <c r="CB193" i="73"/>
  <c r="Z102" i="95"/>
  <c r="U251" i="95"/>
  <c r="U249" i="95"/>
  <c r="Z100" i="95"/>
  <c r="C140" i="95"/>
  <c r="C139" i="95"/>
  <c r="C141" i="95"/>
  <c r="CT230" i="95"/>
  <c r="CT228" i="95"/>
  <c r="CB85" i="73"/>
  <c r="T112" i="95"/>
  <c r="Z126" i="95"/>
  <c r="V248" i="95"/>
  <c r="Z129" i="95"/>
  <c r="V251" i="95"/>
  <c r="CT226" i="95"/>
  <c r="W254" i="95"/>
  <c r="Z159" i="95"/>
  <c r="W248" i="95"/>
  <c r="Z153" i="95"/>
  <c r="CC231" i="73"/>
  <c r="CC229" i="73"/>
  <c r="CC227" i="73"/>
  <c r="DQ249" i="95"/>
  <c r="DR249" i="95" s="1"/>
  <c r="DQ235" i="95"/>
  <c r="DQ234" i="95"/>
  <c r="DQ248" i="95"/>
  <c r="CT85" i="95"/>
  <c r="X249" i="95"/>
  <c r="Z181" i="95"/>
  <c r="Z186" i="95"/>
  <c r="X254" i="95"/>
  <c r="E28" i="95"/>
  <c r="CB139" i="95"/>
  <c r="Y250" i="95"/>
  <c r="Z209" i="95"/>
  <c r="Y236" i="95"/>
  <c r="T193" i="95"/>
  <c r="Y241" i="95"/>
  <c r="Z214" i="95"/>
  <c r="Y253" i="95"/>
  <c r="Z212" i="95"/>
  <c r="Y239" i="95"/>
  <c r="C85" i="95"/>
  <c r="C86" i="95"/>
  <c r="DR104" i="95"/>
  <c r="DR100" i="95"/>
  <c r="DR103" i="95"/>
  <c r="DR99" i="95"/>
  <c r="DR102" i="95"/>
  <c r="DR101" i="95"/>
  <c r="DL85" i="95"/>
  <c r="Z77" i="95"/>
  <c r="T253" i="95"/>
  <c r="V28" i="95"/>
  <c r="CT139" i="95"/>
  <c r="CD232" i="73"/>
  <c r="CD232" i="95"/>
  <c r="CE230" i="73"/>
  <c r="CD230" i="95"/>
  <c r="CE228" i="73"/>
  <c r="CD228" i="95"/>
  <c r="CE226" i="73"/>
  <c r="CD226" i="95"/>
  <c r="Z101" i="95"/>
  <c r="U250" i="95"/>
  <c r="T85" i="95"/>
  <c r="Z106" i="95"/>
  <c r="Z104" i="95"/>
  <c r="U253" i="95"/>
  <c r="E249" i="95"/>
  <c r="Z251" i="73"/>
  <c r="Y255" i="73"/>
  <c r="Y281" i="73" s="1"/>
  <c r="Z254" i="73"/>
  <c r="Z250" i="73"/>
  <c r="V255" i="73"/>
  <c r="V283" i="73" s="1"/>
  <c r="DR248" i="73"/>
  <c r="U255" i="73"/>
  <c r="K45" i="153"/>
  <c r="K28" i="153"/>
  <c r="J15" i="156"/>
  <c r="K11" i="152"/>
  <c r="K22" i="156"/>
  <c r="E11" i="157"/>
  <c r="J32" i="156"/>
  <c r="E24" i="158"/>
  <c r="E32" i="158"/>
  <c r="J15" i="153"/>
  <c r="K30" i="156"/>
  <c r="E11" i="158"/>
  <c r="K11" i="157"/>
  <c r="K13" i="156"/>
  <c r="H5" i="330"/>
  <c r="J22" i="158"/>
  <c r="E20" i="152"/>
  <c r="G11" i="158"/>
  <c r="J15" i="152"/>
  <c r="I9" i="330"/>
  <c r="K45" i="157"/>
  <c r="I48" i="156"/>
  <c r="E15" i="156"/>
  <c r="E28" i="158"/>
  <c r="E15" i="153"/>
  <c r="F45" i="152"/>
  <c r="K45" i="158"/>
  <c r="P9" i="330"/>
  <c r="Q7" i="330"/>
  <c r="K13" i="158"/>
  <c r="K24" i="156"/>
  <c r="J15" i="157"/>
  <c r="I7" i="330"/>
  <c r="O6" i="330"/>
  <c r="G11" i="156"/>
  <c r="E43" i="157"/>
  <c r="E32" i="153"/>
  <c r="E26" i="157"/>
  <c r="K26" i="153"/>
  <c r="E43" i="152"/>
  <c r="I48" i="157"/>
  <c r="J32" i="158"/>
  <c r="K11" i="158"/>
  <c r="E15" i="152"/>
  <c r="K24" i="157"/>
  <c r="E45" i="152"/>
  <c r="E45" i="156"/>
  <c r="E43" i="153"/>
  <c r="K28" i="157"/>
  <c r="O5" i="330"/>
  <c r="E30" i="156"/>
  <c r="K24" i="153"/>
  <c r="E26" i="153"/>
  <c r="I48" i="152"/>
  <c r="E24" i="153"/>
  <c r="H8" i="330"/>
  <c r="I48" i="153"/>
  <c r="E30" i="158"/>
  <c r="C2" i="98"/>
  <c r="K26" i="152"/>
  <c r="J30" i="158"/>
  <c r="E11" i="156"/>
  <c r="E43" i="156"/>
  <c r="F45" i="158"/>
  <c r="E26" i="156"/>
  <c r="Q8" i="330"/>
  <c r="E24" i="157"/>
  <c r="G20" i="152"/>
  <c r="E43" i="158"/>
  <c r="E30" i="153"/>
  <c r="I48" i="158"/>
  <c r="G11" i="157"/>
  <c r="K30" i="158"/>
  <c r="G5" i="330"/>
  <c r="J30" i="153"/>
  <c r="K30" i="153"/>
  <c r="P6" i="330"/>
  <c r="J13" i="153"/>
  <c r="F20" i="157"/>
  <c r="K26" i="157"/>
  <c r="O7" i="330"/>
  <c r="K13" i="157"/>
  <c r="K22" i="152"/>
  <c r="E22" i="156"/>
  <c r="F20" i="153"/>
  <c r="K20" i="157"/>
  <c r="K22" i="153"/>
  <c r="F20" i="152"/>
  <c r="E15" i="157"/>
  <c r="E28" i="156"/>
  <c r="G11" i="152"/>
  <c r="E45" i="158"/>
  <c r="E13" i="158"/>
  <c r="F45" i="156"/>
  <c r="E20" i="157"/>
  <c r="K11" i="156"/>
  <c r="E13" i="152"/>
  <c r="K22" i="158"/>
  <c r="E20" i="158"/>
  <c r="J13" i="156"/>
  <c r="K13" i="152"/>
  <c r="G20" i="158"/>
  <c r="K20" i="158"/>
  <c r="E28" i="152"/>
  <c r="J22" i="157"/>
  <c r="J30" i="152"/>
  <c r="P5" i="330"/>
  <c r="G20" i="157"/>
  <c r="F11" i="153"/>
  <c r="F11" i="152"/>
  <c r="F45" i="157"/>
  <c r="P7" i="330"/>
  <c r="E28" i="153"/>
  <c r="G7" i="330"/>
  <c r="C2" i="94"/>
  <c r="K20" i="156"/>
  <c r="E45" i="157"/>
  <c r="J43" i="152"/>
  <c r="E32" i="156"/>
  <c r="J13" i="157"/>
  <c r="K20" i="153"/>
  <c r="E22" i="153"/>
  <c r="H7" i="330"/>
  <c r="K30" i="157"/>
  <c r="F11" i="157"/>
  <c r="K28" i="156"/>
  <c r="K28" i="158"/>
  <c r="J43" i="157"/>
  <c r="I5" i="330"/>
  <c r="J43" i="156"/>
  <c r="E11" i="152"/>
  <c r="E32" i="152"/>
  <c r="K45" i="156"/>
  <c r="Q9" i="330"/>
  <c r="K26" i="156"/>
  <c r="J30" i="156"/>
  <c r="C2" i="73"/>
  <c r="F45" i="153"/>
  <c r="E26" i="152"/>
  <c r="Q5" i="330"/>
  <c r="G11" i="153"/>
  <c r="J22" i="152"/>
  <c r="H6" i="330"/>
  <c r="P8" i="330"/>
  <c r="E13" i="153"/>
  <c r="E26" i="158"/>
  <c r="E24" i="152"/>
  <c r="E30" i="152"/>
  <c r="G8" i="330"/>
  <c r="K24" i="152"/>
  <c r="G9" i="330"/>
  <c r="J13" i="158"/>
  <c r="O9" i="330"/>
  <c r="E32" i="157"/>
  <c r="E15" i="158"/>
  <c r="K20" i="152"/>
  <c r="E24" i="156"/>
  <c r="C2" i="97"/>
  <c r="Q6" i="330"/>
  <c r="I8" i="330"/>
  <c r="E45" i="153"/>
  <c r="G20" i="153"/>
  <c r="C2" i="152"/>
  <c r="E20" i="153"/>
  <c r="E30" i="157"/>
  <c r="E22" i="158"/>
  <c r="J32" i="152"/>
  <c r="F20" i="156"/>
  <c r="K24" i="158"/>
  <c r="E22" i="157"/>
  <c r="G20" i="156"/>
  <c r="J43" i="153"/>
  <c r="J15" i="158"/>
  <c r="J32" i="153"/>
  <c r="E13" i="157"/>
  <c r="K26" i="158"/>
  <c r="K45" i="152"/>
  <c r="O8" i="330"/>
  <c r="F20" i="158"/>
  <c r="H9" i="330"/>
  <c r="J43" i="158"/>
  <c r="J22" i="156"/>
  <c r="G6" i="330"/>
  <c r="K28" i="152"/>
  <c r="E22" i="152"/>
  <c r="K30" i="152"/>
  <c r="J13" i="152"/>
  <c r="E13" i="156"/>
  <c r="C2" i="95"/>
  <c r="E28" i="157"/>
  <c r="E20" i="156"/>
  <c r="F11" i="158"/>
  <c r="F11" i="156"/>
  <c r="K11" i="153"/>
  <c r="J30" i="157"/>
  <c r="K22" i="157"/>
  <c r="J32" i="157"/>
  <c r="J22" i="153"/>
  <c r="K13" i="153"/>
  <c r="I6" i="330"/>
  <c r="CD11" i="95" l="1"/>
  <c r="CW15" i="95"/>
  <c r="CE12" i="98"/>
  <c r="CW14" i="97"/>
  <c r="CD12" i="95"/>
  <c r="CD13" i="95"/>
  <c r="CU11" i="97"/>
  <c r="I252" i="95"/>
  <c r="CW11" i="95"/>
  <c r="CW12" i="98"/>
  <c r="CC14" i="95"/>
  <c r="CU11" i="94"/>
  <c r="CE13" i="97"/>
  <c r="CE13" i="98"/>
  <c r="CW13" i="73"/>
  <c r="CV16" i="73"/>
  <c r="CU12" i="94"/>
  <c r="CD12" i="98"/>
  <c r="CU15" i="98"/>
  <c r="CD11" i="73"/>
  <c r="CD16" i="97"/>
  <c r="CU16" i="97"/>
  <c r="CE11" i="98"/>
  <c r="CF67" i="94"/>
  <c r="CO67" i="94" s="1"/>
  <c r="CF68" i="94"/>
  <c r="CO68" i="94" s="1"/>
  <c r="CF64" i="94"/>
  <c r="CO64" i="94" s="1"/>
  <c r="CF65" i="94"/>
  <c r="CO65" i="94" s="1"/>
  <c r="CF69" i="94"/>
  <c r="CO69" i="94" s="1"/>
  <c r="CF66" i="94"/>
  <c r="CO66" i="94" s="1"/>
  <c r="CC11" i="94"/>
  <c r="CW13" i="94"/>
  <c r="CE16" i="97"/>
  <c r="CD14" i="73"/>
  <c r="CC15" i="98"/>
  <c r="CU15" i="95"/>
  <c r="CW14" i="95"/>
  <c r="CC17" i="98"/>
  <c r="CC16" i="73"/>
  <c r="CE15" i="97"/>
  <c r="CE14" i="95"/>
  <c r="CU14" i="98"/>
  <c r="CW16" i="73"/>
  <c r="CU13" i="97"/>
  <c r="CC13" i="95"/>
  <c r="CW12" i="97"/>
  <c r="CV15" i="94"/>
  <c r="CU15" i="94"/>
  <c r="CW14" i="73"/>
  <c r="CE17" i="97"/>
  <c r="CD15" i="98"/>
  <c r="CU12" i="95"/>
  <c r="CV16" i="98"/>
  <c r="CU11" i="98"/>
  <c r="CE12" i="73"/>
  <c r="CW11" i="97"/>
  <c r="CD16" i="95"/>
  <c r="CW12" i="95"/>
  <c r="CE17" i="73"/>
  <c r="CC17" i="73"/>
  <c r="CD11" i="98"/>
  <c r="CU14" i="95"/>
  <c r="CC15" i="95"/>
  <c r="CD12" i="73"/>
  <c r="CC16" i="95"/>
  <c r="CD13" i="97"/>
  <c r="CV11" i="73"/>
  <c r="CC11" i="97"/>
  <c r="CV13" i="94"/>
  <c r="CV12" i="95"/>
  <c r="CD13" i="98"/>
  <c r="CD14" i="95"/>
  <c r="CW15" i="97"/>
  <c r="CU12" i="98"/>
  <c r="CU14" i="94"/>
  <c r="CV15" i="73"/>
  <c r="CC16" i="97"/>
  <c r="CC13" i="73"/>
  <c r="CV13" i="98"/>
  <c r="CD15" i="73"/>
  <c r="CW12" i="73"/>
  <c r="CV16" i="97"/>
  <c r="CW15" i="98"/>
  <c r="CD12" i="97"/>
  <c r="CC14" i="73"/>
  <c r="CV11" i="97"/>
  <c r="CC15" i="97"/>
  <c r="CC12" i="97"/>
  <c r="CW14" i="94"/>
  <c r="CD17" i="73"/>
  <c r="CC17" i="97"/>
  <c r="CW16" i="94"/>
  <c r="CU13" i="94"/>
  <c r="CU16" i="73"/>
  <c r="CE12" i="95"/>
  <c r="CC11" i="98"/>
  <c r="CE17" i="98"/>
  <c r="CU13" i="98"/>
  <c r="CV16" i="94"/>
  <c r="CV16" i="95"/>
  <c r="CD17" i="98"/>
  <c r="CE11" i="95"/>
  <c r="CC11" i="95"/>
  <c r="CC12" i="73"/>
  <c r="CD13" i="73"/>
  <c r="CC14" i="97"/>
  <c r="CD14" i="97"/>
  <c r="CV12" i="94"/>
  <c r="CC11" i="73"/>
  <c r="CE14" i="97"/>
  <c r="CU16" i="95"/>
  <c r="CW13" i="97"/>
  <c r="CW13" i="98"/>
  <c r="CE11" i="73"/>
  <c r="CE16" i="95"/>
  <c r="CC14" i="98"/>
  <c r="CV15" i="98"/>
  <c r="CV13" i="97"/>
  <c r="CE13" i="73"/>
  <c r="CW11" i="73"/>
  <c r="CE15" i="95"/>
  <c r="CD15" i="97"/>
  <c r="CU11" i="95"/>
  <c r="CE13" i="95"/>
  <c r="CC12" i="95"/>
  <c r="CC16" i="98"/>
  <c r="CV14" i="97"/>
  <c r="CV15" i="97"/>
  <c r="CC15" i="73"/>
  <c r="CU14" i="97"/>
  <c r="CE14" i="73"/>
  <c r="CE16" i="73"/>
  <c r="CE17" i="95"/>
  <c r="CW16" i="97"/>
  <c r="CW11" i="94"/>
  <c r="CC13" i="97"/>
  <c r="CE14" i="98"/>
  <c r="CE12" i="97"/>
  <c r="CD16" i="98"/>
  <c r="CV14" i="94"/>
  <c r="CU15" i="97"/>
  <c r="CV14" i="73"/>
  <c r="CV13" i="73"/>
  <c r="CB220" i="97"/>
  <c r="CW12" i="94"/>
  <c r="CV11" i="94"/>
  <c r="CU12" i="73"/>
  <c r="CU11" i="73"/>
  <c r="CW14" i="98"/>
  <c r="CC12" i="98"/>
  <c r="CW16" i="98"/>
  <c r="CW15" i="94"/>
  <c r="CV13" i="95"/>
  <c r="CD14" i="98"/>
  <c r="CD11" i="97"/>
  <c r="CU16" i="94"/>
  <c r="CV15" i="95"/>
  <c r="CE15" i="73"/>
  <c r="CV14" i="98"/>
  <c r="CU16" i="98"/>
  <c r="CW15" i="73"/>
  <c r="CV11" i="95"/>
  <c r="CU12" i="97"/>
  <c r="CW13" i="95"/>
  <c r="CV12" i="97"/>
  <c r="CV12" i="98"/>
  <c r="CU14" i="73"/>
  <c r="CD15" i="95"/>
  <c r="CV12" i="73"/>
  <c r="CU15" i="73"/>
  <c r="CV11" i="98"/>
  <c r="CW16" i="95"/>
  <c r="CU13" i="95"/>
  <c r="CW11" i="98"/>
  <c r="CD16" i="73"/>
  <c r="CD17" i="95"/>
  <c r="CD17" i="97"/>
  <c r="CC17" i="95"/>
  <c r="CE15" i="98"/>
  <c r="CV14" i="95"/>
  <c r="CE11" i="97"/>
  <c r="CU13" i="73"/>
  <c r="CE16" i="98"/>
  <c r="CC13" i="98"/>
  <c r="CF96" i="94"/>
  <c r="CO96" i="94" s="1"/>
  <c r="CF93" i="94"/>
  <c r="CO93" i="94" s="1"/>
  <c r="CF94" i="94"/>
  <c r="CO94" i="94" s="1"/>
  <c r="CF95" i="94"/>
  <c r="CO95" i="94" s="1"/>
  <c r="CB22" i="94"/>
  <c r="CC12" i="94"/>
  <c r="CD13" i="94"/>
  <c r="CE14" i="94"/>
  <c r="CC16" i="94"/>
  <c r="CE11" i="94"/>
  <c r="CE12" i="94"/>
  <c r="CC14" i="94"/>
  <c r="CE16" i="94"/>
  <c r="CC13" i="94"/>
  <c r="CE15" i="94"/>
  <c r="CD12" i="94"/>
  <c r="CE13" i="94"/>
  <c r="CC15" i="94"/>
  <c r="CD16" i="94"/>
  <c r="CD15" i="94"/>
  <c r="CD14" i="94"/>
  <c r="CD11" i="94"/>
  <c r="I250" i="94"/>
  <c r="DL253" i="98"/>
  <c r="DL284" i="98" s="1"/>
  <c r="DL253" i="97"/>
  <c r="DL284" i="97" s="1"/>
  <c r="DP253" i="73"/>
  <c r="DN28" i="73"/>
  <c r="Z239" i="95"/>
  <c r="DL253" i="95"/>
  <c r="CB220" i="95"/>
  <c r="CB220" i="94"/>
  <c r="CB220" i="98"/>
  <c r="CB220" i="73"/>
  <c r="DN28" i="98"/>
  <c r="DR252" i="95"/>
  <c r="C253" i="94"/>
  <c r="DN28" i="95"/>
  <c r="DN28" i="94"/>
  <c r="DN28" i="97"/>
  <c r="DR252" i="98"/>
  <c r="DO253" i="73"/>
  <c r="E253" i="94"/>
  <c r="DR252" i="94"/>
  <c r="DR252" i="97"/>
  <c r="I251" i="73"/>
  <c r="I252" i="94"/>
  <c r="I251" i="94"/>
  <c r="H20" i="157"/>
  <c r="H20" i="153"/>
  <c r="H20" i="158"/>
  <c r="H20" i="156"/>
  <c r="H20" i="152"/>
  <c r="W6" i="330"/>
  <c r="W7" i="330"/>
  <c r="W8" i="330"/>
  <c r="W9" i="330"/>
  <c r="W5" i="330"/>
  <c r="F253" i="73"/>
  <c r="F284" i="73" s="1"/>
  <c r="I250" i="73"/>
  <c r="I248" i="73"/>
  <c r="F253" i="95"/>
  <c r="BM112" i="73"/>
  <c r="BM113" i="73" s="1"/>
  <c r="BM168" i="98"/>
  <c r="BM167" i="98"/>
  <c r="BM166" i="98"/>
  <c r="BM168" i="97"/>
  <c r="BM167" i="97"/>
  <c r="BM166" i="97"/>
  <c r="DP281" i="98"/>
  <c r="BM167" i="95"/>
  <c r="BM168" i="95"/>
  <c r="BM166" i="95"/>
  <c r="BM112" i="94"/>
  <c r="E253" i="97"/>
  <c r="E282" i="97" s="1"/>
  <c r="DP282" i="98"/>
  <c r="D253" i="95"/>
  <c r="DP280" i="98"/>
  <c r="DP283" i="98"/>
  <c r="H253" i="73"/>
  <c r="H283" i="73" s="1"/>
  <c r="V7" i="330"/>
  <c r="V8" i="330"/>
  <c r="V5" i="330"/>
  <c r="V6" i="330"/>
  <c r="V9" i="330"/>
  <c r="H11" i="158"/>
  <c r="H11" i="157"/>
  <c r="H11" i="156"/>
  <c r="H11" i="153"/>
  <c r="H11" i="152"/>
  <c r="DR248" i="97"/>
  <c r="E253" i="98"/>
  <c r="E284" i="98" s="1"/>
  <c r="E253" i="73"/>
  <c r="I250" i="95"/>
  <c r="BS213" i="94"/>
  <c r="G253" i="73"/>
  <c r="G282" i="73" s="1"/>
  <c r="C253" i="95"/>
  <c r="D253" i="97"/>
  <c r="D284" i="97" s="1"/>
  <c r="I248" i="95"/>
  <c r="BS154" i="94"/>
  <c r="I251" i="95"/>
  <c r="AO126" i="94"/>
  <c r="D253" i="98"/>
  <c r="D283" i="98" s="1"/>
  <c r="I251" i="97"/>
  <c r="CT23" i="97"/>
  <c r="CX95" i="97"/>
  <c r="DG95" i="97" s="1"/>
  <c r="CX91" i="97"/>
  <c r="DG91" i="97" s="1"/>
  <c r="CX93" i="97"/>
  <c r="DG93" i="97" s="1"/>
  <c r="CX92" i="97"/>
  <c r="DG92" i="97" s="1"/>
  <c r="G253" i="97"/>
  <c r="G284" i="97" s="1"/>
  <c r="I249" i="97"/>
  <c r="I249" i="95"/>
  <c r="DR248" i="95"/>
  <c r="DM283" i="73"/>
  <c r="DM284" i="73"/>
  <c r="CX94" i="97"/>
  <c r="DG94" i="97" s="1"/>
  <c r="I251" i="98"/>
  <c r="CX96" i="97"/>
  <c r="DG96" i="97" s="1"/>
  <c r="I250" i="97"/>
  <c r="I250" i="98"/>
  <c r="I252" i="98"/>
  <c r="I252" i="97"/>
  <c r="I249" i="98"/>
  <c r="F253" i="97"/>
  <c r="F283" i="97" s="1"/>
  <c r="DQ253" i="73"/>
  <c r="DQ281" i="73" s="1"/>
  <c r="DM282" i="73"/>
  <c r="DM281" i="73"/>
  <c r="DM280" i="73"/>
  <c r="AN235" i="73"/>
  <c r="F253" i="98"/>
  <c r="F281" i="98" s="1"/>
  <c r="G253" i="98"/>
  <c r="G280" i="98" s="1"/>
  <c r="U39" i="73"/>
  <c r="E220" i="97"/>
  <c r="E220" i="94"/>
  <c r="E220" i="95"/>
  <c r="E220" i="73"/>
  <c r="E220" i="98"/>
  <c r="U40" i="73"/>
  <c r="X255" i="73"/>
  <c r="X284" i="73" s="1"/>
  <c r="AO153" i="94"/>
  <c r="C222" i="73"/>
  <c r="AN236" i="73"/>
  <c r="AN240" i="73"/>
  <c r="DL282" i="73"/>
  <c r="CX118" i="98"/>
  <c r="DG118" i="98" s="1"/>
  <c r="AN237" i="73"/>
  <c r="Z239" i="97"/>
  <c r="Z238" i="97"/>
  <c r="BR237" i="95"/>
  <c r="Z238" i="98"/>
  <c r="AX60" i="95"/>
  <c r="BR238" i="94"/>
  <c r="BR238" i="98"/>
  <c r="BR238" i="95"/>
  <c r="AN238" i="73"/>
  <c r="BR237" i="94"/>
  <c r="BR234" i="98"/>
  <c r="AN237" i="97"/>
  <c r="BR235" i="97"/>
  <c r="AN239" i="73"/>
  <c r="BR234" i="95"/>
  <c r="Z236" i="97"/>
  <c r="AN238" i="94"/>
  <c r="AI141" i="95"/>
  <c r="BR237" i="98"/>
  <c r="BR235" i="95"/>
  <c r="BR234" i="97"/>
  <c r="AI114" i="97"/>
  <c r="AI60" i="95"/>
  <c r="DL24" i="98"/>
  <c r="T222" i="73"/>
  <c r="AN239" i="94"/>
  <c r="AN237" i="94"/>
  <c r="BR234" i="94"/>
  <c r="BM195" i="94"/>
  <c r="BM194" i="94"/>
  <c r="AN238" i="97"/>
  <c r="AN235" i="97"/>
  <c r="BM114" i="97"/>
  <c r="BM113" i="97"/>
  <c r="AN239" i="98"/>
  <c r="BM195" i="95"/>
  <c r="BM194" i="95"/>
  <c r="AX60" i="98"/>
  <c r="BR236" i="97"/>
  <c r="BM87" i="73"/>
  <c r="BM86" i="73"/>
  <c r="AX167" i="97"/>
  <c r="AX168" i="97"/>
  <c r="BM168" i="94"/>
  <c r="BM167" i="94"/>
  <c r="AX60" i="73"/>
  <c r="AI167" i="95"/>
  <c r="AI168" i="95"/>
  <c r="AN237" i="95"/>
  <c r="AN238" i="95"/>
  <c r="BR238" i="73"/>
  <c r="AX86" i="98"/>
  <c r="AX87" i="98"/>
  <c r="BM114" i="73"/>
  <c r="Z235" i="98"/>
  <c r="AX114" i="95"/>
  <c r="AX113" i="95"/>
  <c r="AI87" i="94"/>
  <c r="BR235" i="94"/>
  <c r="AI167" i="97"/>
  <c r="AI168" i="97"/>
  <c r="AI60" i="98"/>
  <c r="AX114" i="73"/>
  <c r="AX113" i="97"/>
  <c r="AX114" i="97"/>
  <c r="AN240" i="98"/>
  <c r="AN236" i="98"/>
  <c r="BR236" i="95"/>
  <c r="AI114" i="94"/>
  <c r="BM194" i="97"/>
  <c r="BM195" i="97"/>
  <c r="BR238" i="97"/>
  <c r="AX86" i="94"/>
  <c r="AX87" i="94"/>
  <c r="AI141" i="94"/>
  <c r="AI167" i="94"/>
  <c r="AI168" i="94"/>
  <c r="AN235" i="95"/>
  <c r="AI167" i="98"/>
  <c r="AI168" i="98"/>
  <c r="AX140" i="98"/>
  <c r="AX141" i="98"/>
  <c r="BR236" i="73"/>
  <c r="BM195" i="73"/>
  <c r="BM194" i="73"/>
  <c r="BM87" i="97"/>
  <c r="BM86" i="97"/>
  <c r="AX141" i="94"/>
  <c r="W255" i="98"/>
  <c r="W285" i="98" s="1"/>
  <c r="T222" i="98"/>
  <c r="T222" i="95"/>
  <c r="AN235" i="94"/>
  <c r="AN240" i="94"/>
  <c r="BR236" i="94"/>
  <c r="AX140" i="95"/>
  <c r="AX141" i="95"/>
  <c r="BR236" i="98"/>
  <c r="BR235" i="98"/>
  <c r="AI141" i="98"/>
  <c r="AN240" i="97"/>
  <c r="AN239" i="97"/>
  <c r="AI87" i="73"/>
  <c r="AN235" i="98"/>
  <c r="AN238" i="98"/>
  <c r="AX194" i="94"/>
  <c r="AX195" i="94"/>
  <c r="BR237" i="97"/>
  <c r="AI60" i="73"/>
  <c r="AX114" i="94"/>
  <c r="AX141" i="97"/>
  <c r="AX140" i="97"/>
  <c r="BM141" i="97"/>
  <c r="BM140" i="97"/>
  <c r="BM114" i="95"/>
  <c r="BM113" i="95"/>
  <c r="AX167" i="73"/>
  <c r="AX168" i="73"/>
  <c r="BM114" i="98"/>
  <c r="AI141" i="97"/>
  <c r="BM141" i="95"/>
  <c r="BM140" i="95"/>
  <c r="AX194" i="95"/>
  <c r="AX195" i="95"/>
  <c r="BM114" i="94"/>
  <c r="BM87" i="94"/>
  <c r="BM86" i="94"/>
  <c r="BM141" i="98"/>
  <c r="BM140" i="98"/>
  <c r="AI60" i="97"/>
  <c r="AN239" i="95"/>
  <c r="AI87" i="97"/>
  <c r="AI87" i="98"/>
  <c r="AX60" i="97"/>
  <c r="BR235" i="73"/>
  <c r="BR234" i="73"/>
  <c r="BM168" i="73"/>
  <c r="BM167" i="73"/>
  <c r="AX195" i="97"/>
  <c r="AX194" i="97"/>
  <c r="AX195" i="73"/>
  <c r="AX194" i="73"/>
  <c r="AX87" i="73"/>
  <c r="AX86" i="73"/>
  <c r="T222" i="97"/>
  <c r="Z236" i="98"/>
  <c r="Z187" i="97"/>
  <c r="X255" i="98"/>
  <c r="X286" i="98" s="1"/>
  <c r="T22" i="73"/>
  <c r="T222" i="94"/>
  <c r="AI195" i="73"/>
  <c r="BM141" i="94"/>
  <c r="AN236" i="94"/>
  <c r="AI195" i="94"/>
  <c r="BM195" i="98"/>
  <c r="BM194" i="98"/>
  <c r="AN236" i="97"/>
  <c r="AN237" i="98"/>
  <c r="AI87" i="95"/>
  <c r="AX87" i="97"/>
  <c r="AX86" i="97"/>
  <c r="AX168" i="94"/>
  <c r="AX167" i="94"/>
  <c r="AX168" i="98"/>
  <c r="AX167" i="98"/>
  <c r="AX86" i="95"/>
  <c r="AX87" i="95"/>
  <c r="BM141" i="73"/>
  <c r="BM87" i="95"/>
  <c r="BM86" i="95"/>
  <c r="AX141" i="73"/>
  <c r="AX168" i="95"/>
  <c r="AX167" i="95"/>
  <c r="AI168" i="73"/>
  <c r="AI167" i="73"/>
  <c r="AI60" i="94"/>
  <c r="AN240" i="95"/>
  <c r="AN236" i="95"/>
  <c r="AI114" i="98"/>
  <c r="BR237" i="73"/>
  <c r="BM87" i="98"/>
  <c r="BM86" i="98"/>
  <c r="AX114" i="98"/>
  <c r="AX113" i="98"/>
  <c r="AX194" i="98"/>
  <c r="AX195" i="98"/>
  <c r="BM59" i="94"/>
  <c r="BM60" i="94"/>
  <c r="AI141" i="73"/>
  <c r="AI114" i="95"/>
  <c r="U40" i="98"/>
  <c r="CX123" i="98"/>
  <c r="DG123" i="98" s="1"/>
  <c r="CX122" i="98"/>
  <c r="DG122" i="98" s="1"/>
  <c r="CX119" i="98"/>
  <c r="DG119" i="98" s="1"/>
  <c r="CX229" i="97"/>
  <c r="DL222" i="98"/>
  <c r="DL221" i="98"/>
  <c r="DL222" i="73"/>
  <c r="DL221" i="73"/>
  <c r="DL222" i="94"/>
  <c r="DL221" i="94"/>
  <c r="DL222" i="95"/>
  <c r="DL222" i="97"/>
  <c r="DL221" i="97"/>
  <c r="CX120" i="98"/>
  <c r="DG120" i="98" s="1"/>
  <c r="CX121" i="98"/>
  <c r="DG121" i="98" s="1"/>
  <c r="U39" i="97"/>
  <c r="U38" i="97"/>
  <c r="C26" i="98"/>
  <c r="DL26" i="98"/>
  <c r="T26" i="97"/>
  <c r="T27" i="97"/>
  <c r="DL26" i="97"/>
  <c r="DL25" i="98"/>
  <c r="T27" i="98"/>
  <c r="C22" i="97"/>
  <c r="DL24" i="97"/>
  <c r="C24" i="97"/>
  <c r="DL23" i="97"/>
  <c r="DL22" i="97"/>
  <c r="C27" i="98"/>
  <c r="DR237" i="97"/>
  <c r="DR239" i="97"/>
  <c r="DR236" i="97"/>
  <c r="DR238" i="97"/>
  <c r="DR234" i="97"/>
  <c r="DR235" i="97"/>
  <c r="DM220" i="97"/>
  <c r="C222" i="97"/>
  <c r="H239" i="97"/>
  <c r="I239" i="97" s="1"/>
  <c r="C220" i="97"/>
  <c r="C221" i="97" s="1"/>
  <c r="Z240" i="98"/>
  <c r="V220" i="98"/>
  <c r="C59" i="98"/>
  <c r="C22" i="98" s="1"/>
  <c r="CX227" i="98"/>
  <c r="DO280" i="98"/>
  <c r="DO283" i="98"/>
  <c r="DO284" i="98"/>
  <c r="DO281" i="98"/>
  <c r="DO282" i="98"/>
  <c r="V255" i="97"/>
  <c r="Z252" i="98"/>
  <c r="DP280" i="97"/>
  <c r="DP281" i="97"/>
  <c r="DP284" i="97"/>
  <c r="DP283" i="97"/>
  <c r="DP282" i="97"/>
  <c r="U255" i="98"/>
  <c r="Z251" i="98"/>
  <c r="T23" i="98"/>
  <c r="CF69" i="97"/>
  <c r="CO69" i="97" s="1"/>
  <c r="CF68" i="97"/>
  <c r="CO68" i="97" s="1"/>
  <c r="CF67" i="97"/>
  <c r="CO67" i="97" s="1"/>
  <c r="CF64" i="97"/>
  <c r="CO64" i="97" s="1"/>
  <c r="CF70" i="97"/>
  <c r="CO70" i="97" s="1"/>
  <c r="CF66" i="97"/>
  <c r="CO66" i="97" s="1"/>
  <c r="CF65" i="97"/>
  <c r="CO65" i="97" s="1"/>
  <c r="Z235" i="97"/>
  <c r="DL220" i="97"/>
  <c r="U38" i="98"/>
  <c r="Z249" i="97"/>
  <c r="T24" i="98"/>
  <c r="H253" i="97"/>
  <c r="CT26" i="97"/>
  <c r="CX177" i="97"/>
  <c r="DG177" i="97" s="1"/>
  <c r="CX174" i="97"/>
  <c r="DG174" i="97" s="1"/>
  <c r="CX176" i="97"/>
  <c r="DG176" i="97" s="1"/>
  <c r="CX175" i="97"/>
  <c r="DG175" i="97" s="1"/>
  <c r="CX172" i="97"/>
  <c r="DG172" i="97" s="1"/>
  <c r="CX173" i="97"/>
  <c r="DG173" i="97" s="1"/>
  <c r="CX148" i="97"/>
  <c r="DG148" i="97" s="1"/>
  <c r="CX149" i="97"/>
  <c r="DG149" i="97" s="1"/>
  <c r="CT25" i="97"/>
  <c r="CX145" i="97"/>
  <c r="DG145" i="97" s="1"/>
  <c r="CX147" i="97"/>
  <c r="DG147" i="97" s="1"/>
  <c r="CX150" i="97"/>
  <c r="DG150" i="97" s="1"/>
  <c r="CX146" i="97"/>
  <c r="DG146" i="97" s="1"/>
  <c r="V220" i="97"/>
  <c r="Z240" i="97"/>
  <c r="DL25" i="97"/>
  <c r="DN280" i="98"/>
  <c r="DN281" i="98"/>
  <c r="DN284" i="98"/>
  <c r="DN282" i="98"/>
  <c r="DN283" i="98"/>
  <c r="C23" i="97"/>
  <c r="Z250" i="97"/>
  <c r="T23" i="97"/>
  <c r="T25" i="97"/>
  <c r="H253" i="98"/>
  <c r="DQ253" i="98"/>
  <c r="DQ281" i="98" s="1"/>
  <c r="CX176" i="98"/>
  <c r="DG176" i="98" s="1"/>
  <c r="CX172" i="98"/>
  <c r="DG172" i="98" s="1"/>
  <c r="CX175" i="98"/>
  <c r="DG175" i="98" s="1"/>
  <c r="CT26" i="98"/>
  <c r="CX174" i="98"/>
  <c r="DG174" i="98" s="1"/>
  <c r="CX177" i="98"/>
  <c r="DG177" i="98" s="1"/>
  <c r="CX173" i="98"/>
  <c r="DG173" i="98" s="1"/>
  <c r="C25" i="98"/>
  <c r="W255" i="97"/>
  <c r="Z237" i="97"/>
  <c r="CX226" i="98"/>
  <c r="C26" i="97"/>
  <c r="C25" i="97"/>
  <c r="CF205" i="98"/>
  <c r="CO205" i="98" s="1"/>
  <c r="CF204" i="98"/>
  <c r="CO204" i="98" s="1"/>
  <c r="CF200" i="98"/>
  <c r="CO200" i="98" s="1"/>
  <c r="CF202" i="98"/>
  <c r="CO202" i="98" s="1"/>
  <c r="CF199" i="98"/>
  <c r="CO199" i="98" s="1"/>
  <c r="CF203" i="98"/>
  <c r="CO203" i="98" s="1"/>
  <c r="CB27" i="98"/>
  <c r="CF201" i="98"/>
  <c r="CO201" i="98" s="1"/>
  <c r="Z254" i="97"/>
  <c r="V255" i="98"/>
  <c r="CF118" i="98"/>
  <c r="CO118" i="98" s="1"/>
  <c r="CF119" i="98"/>
  <c r="CO119" i="98" s="1"/>
  <c r="CF124" i="98"/>
  <c r="CO124" i="98" s="1"/>
  <c r="CF121" i="98"/>
  <c r="CO121" i="98" s="1"/>
  <c r="CF123" i="98"/>
  <c r="CO123" i="98" s="1"/>
  <c r="CF122" i="98"/>
  <c r="CO122" i="98" s="1"/>
  <c r="CB24" i="98"/>
  <c r="CF120" i="98"/>
  <c r="CO120" i="98" s="1"/>
  <c r="T22" i="98"/>
  <c r="Y255" i="97"/>
  <c r="C253" i="97"/>
  <c r="I248" i="97"/>
  <c r="T22" i="97"/>
  <c r="CX123" i="97"/>
  <c r="DG123" i="97" s="1"/>
  <c r="CX119" i="97"/>
  <c r="DG119" i="97" s="1"/>
  <c r="CX122" i="97"/>
  <c r="DG122" i="97" s="1"/>
  <c r="CX118" i="97"/>
  <c r="DG118" i="97" s="1"/>
  <c r="CX121" i="97"/>
  <c r="DG121" i="97" s="1"/>
  <c r="CT24" i="97"/>
  <c r="CX120" i="97"/>
  <c r="DG120" i="97" s="1"/>
  <c r="DL23" i="98"/>
  <c r="CF69" i="98"/>
  <c r="CO69" i="98" s="1"/>
  <c r="CF68" i="98"/>
  <c r="CO68" i="98" s="1"/>
  <c r="CF67" i="98"/>
  <c r="CO67" i="98" s="1"/>
  <c r="CF64" i="98"/>
  <c r="CO64" i="98" s="1"/>
  <c r="CF65" i="98"/>
  <c r="CO65" i="98" s="1"/>
  <c r="CF70" i="98"/>
  <c r="CO70" i="98" s="1"/>
  <c r="CF66" i="98"/>
  <c r="CO66" i="98" s="1"/>
  <c r="DQ253" i="97"/>
  <c r="DQ281" i="97" s="1"/>
  <c r="Z253" i="98"/>
  <c r="CX66" i="98"/>
  <c r="DG66" i="98" s="1"/>
  <c r="CX65" i="98"/>
  <c r="DG65" i="98" s="1"/>
  <c r="CX64" i="98"/>
  <c r="DG64" i="98" s="1"/>
  <c r="CT22" i="98"/>
  <c r="CX69" i="98"/>
  <c r="DG69" i="98" s="1"/>
  <c r="CX67" i="98"/>
  <c r="DG67" i="98" s="1"/>
  <c r="CX68" i="98"/>
  <c r="DG68" i="98" s="1"/>
  <c r="CX96" i="98"/>
  <c r="DG96" i="98" s="1"/>
  <c r="CX93" i="98"/>
  <c r="DG93" i="98" s="1"/>
  <c r="CX94" i="98"/>
  <c r="DG94" i="98" s="1"/>
  <c r="CX95" i="98"/>
  <c r="DG95" i="98" s="1"/>
  <c r="CX92" i="98"/>
  <c r="DG92" i="98" s="1"/>
  <c r="CX91" i="98"/>
  <c r="DG91" i="98" s="1"/>
  <c r="CT23" i="98"/>
  <c r="DR248" i="98"/>
  <c r="DL27" i="97"/>
  <c r="CX230" i="97"/>
  <c r="CX228" i="98"/>
  <c r="CF204" i="97"/>
  <c r="CO204" i="97" s="1"/>
  <c r="CF200" i="97"/>
  <c r="CO200" i="97" s="1"/>
  <c r="CF203" i="97"/>
  <c r="CO203" i="97" s="1"/>
  <c r="CF199" i="97"/>
  <c r="CO199" i="97" s="1"/>
  <c r="CF202" i="97"/>
  <c r="CO202" i="97" s="1"/>
  <c r="CB27" i="97"/>
  <c r="CF205" i="97"/>
  <c r="CO205" i="97" s="1"/>
  <c r="CF201" i="97"/>
  <c r="CO201" i="97" s="1"/>
  <c r="CX149" i="98"/>
  <c r="DG149" i="98" s="1"/>
  <c r="CX145" i="98"/>
  <c r="DG145" i="98" s="1"/>
  <c r="CX148" i="98"/>
  <c r="DG148" i="98" s="1"/>
  <c r="CT25" i="98"/>
  <c r="CX147" i="98"/>
  <c r="DG147" i="98" s="1"/>
  <c r="CX150" i="98"/>
  <c r="DG150" i="98" s="1"/>
  <c r="CX146" i="98"/>
  <c r="DG146" i="98" s="1"/>
  <c r="Z248" i="98"/>
  <c r="T255" i="98"/>
  <c r="CF150" i="97"/>
  <c r="CO150" i="97" s="1"/>
  <c r="CB25" i="97"/>
  <c r="CF148" i="97"/>
  <c r="CO148" i="97" s="1"/>
  <c r="CF149" i="97"/>
  <c r="CO149" i="97" s="1"/>
  <c r="CF146" i="97"/>
  <c r="CO146" i="97" s="1"/>
  <c r="CF147" i="97"/>
  <c r="CO147" i="97" s="1"/>
  <c r="CF151" i="97"/>
  <c r="CO151" i="97" s="1"/>
  <c r="CF145" i="97"/>
  <c r="CO145" i="97" s="1"/>
  <c r="Z252" i="97"/>
  <c r="T221" i="97"/>
  <c r="U220" i="97"/>
  <c r="T220" i="97"/>
  <c r="Z241" i="97"/>
  <c r="CX231" i="98"/>
  <c r="C220" i="98"/>
  <c r="H239" i="98"/>
  <c r="I239" i="98" s="1"/>
  <c r="C222" i="98"/>
  <c r="C221" i="98"/>
  <c r="DL220" i="98"/>
  <c r="T24" i="97"/>
  <c r="Z237" i="98"/>
  <c r="Z187" i="98"/>
  <c r="CF97" i="97"/>
  <c r="CO97" i="97" s="1"/>
  <c r="CF95" i="97"/>
  <c r="CO95" i="97" s="1"/>
  <c r="CB23" i="97"/>
  <c r="CF94" i="97"/>
  <c r="CO94" i="97" s="1"/>
  <c r="CF92" i="97"/>
  <c r="CO92" i="97" s="1"/>
  <c r="CF96" i="97"/>
  <c r="CO96" i="97" s="1"/>
  <c r="CF91" i="97"/>
  <c r="CO91" i="97" s="1"/>
  <c r="CF93" i="97"/>
  <c r="CO93" i="97" s="1"/>
  <c r="DL22" i="98"/>
  <c r="CX204" i="97"/>
  <c r="DG204" i="97" s="1"/>
  <c r="CX200" i="97"/>
  <c r="DG200" i="97" s="1"/>
  <c r="CX203" i="97"/>
  <c r="DG203" i="97" s="1"/>
  <c r="CX199" i="97"/>
  <c r="DG199" i="97" s="1"/>
  <c r="CX202" i="97"/>
  <c r="DG202" i="97" s="1"/>
  <c r="CT220" i="97"/>
  <c r="CX201" i="97"/>
  <c r="DG201" i="97" s="1"/>
  <c r="CT27" i="97"/>
  <c r="CX203" i="98"/>
  <c r="DG203" i="98" s="1"/>
  <c r="CX199" i="98"/>
  <c r="DG199" i="98" s="1"/>
  <c r="CX202" i="98"/>
  <c r="DG202" i="98" s="1"/>
  <c r="CT220" i="98"/>
  <c r="CX201" i="98"/>
  <c r="DG201" i="98" s="1"/>
  <c r="CT27" i="98"/>
  <c r="CX204" i="98"/>
  <c r="DG204" i="98" s="1"/>
  <c r="CX200" i="98"/>
  <c r="DG200" i="98" s="1"/>
  <c r="Z249" i="98"/>
  <c r="T25" i="98"/>
  <c r="U255" i="97"/>
  <c r="DO282" i="97"/>
  <c r="DO284" i="97"/>
  <c r="DO283" i="97"/>
  <c r="DO280" i="97"/>
  <c r="DO281" i="97"/>
  <c r="CX231" i="97"/>
  <c r="CF174" i="97"/>
  <c r="CO174" i="97" s="1"/>
  <c r="CF172" i="97"/>
  <c r="CO172" i="97" s="1"/>
  <c r="CF177" i="97"/>
  <c r="CO177" i="97" s="1"/>
  <c r="CB26" i="97"/>
  <c r="CF178" i="97"/>
  <c r="CO178" i="97" s="1"/>
  <c r="CF173" i="97"/>
  <c r="CO173" i="97" s="1"/>
  <c r="CF176" i="97"/>
  <c r="CO176" i="97" s="1"/>
  <c r="CF175" i="97"/>
  <c r="CO175" i="97" s="1"/>
  <c r="Z239" i="98"/>
  <c r="CF148" i="98"/>
  <c r="CO148" i="98" s="1"/>
  <c r="CB25" i="98"/>
  <c r="CF151" i="98"/>
  <c r="CO151" i="98" s="1"/>
  <c r="CF147" i="98"/>
  <c r="CO147" i="98" s="1"/>
  <c r="CF150" i="98"/>
  <c r="CO150" i="98" s="1"/>
  <c r="CF146" i="98"/>
  <c r="CO146" i="98" s="1"/>
  <c r="CF149" i="98"/>
  <c r="CO149" i="98" s="1"/>
  <c r="CF145" i="98"/>
  <c r="CO145" i="98" s="1"/>
  <c r="CF92" i="98"/>
  <c r="CO92" i="98" s="1"/>
  <c r="CB23" i="98"/>
  <c r="CF93" i="98"/>
  <c r="CO93" i="98" s="1"/>
  <c r="CF94" i="98"/>
  <c r="CO94" i="98" s="1"/>
  <c r="CF95" i="98"/>
  <c r="CO95" i="98" s="1"/>
  <c r="CF97" i="98"/>
  <c r="CO97" i="98" s="1"/>
  <c r="CF91" i="98"/>
  <c r="CO91" i="98" s="1"/>
  <c r="CF96" i="98"/>
  <c r="CO96" i="98" s="1"/>
  <c r="Y255" i="98"/>
  <c r="CX229" i="98"/>
  <c r="C24" i="98"/>
  <c r="DN283" i="97"/>
  <c r="DN282" i="97"/>
  <c r="DN280" i="97"/>
  <c r="DN281" i="97"/>
  <c r="DN284" i="97"/>
  <c r="CX228" i="97"/>
  <c r="C23" i="98"/>
  <c r="CX69" i="97"/>
  <c r="DG69" i="97" s="1"/>
  <c r="CX68" i="97"/>
  <c r="DG68" i="97" s="1"/>
  <c r="CX64" i="97"/>
  <c r="DG64" i="97" s="1"/>
  <c r="CT22" i="97"/>
  <c r="CX65" i="97"/>
  <c r="DG65" i="97" s="1"/>
  <c r="CX66" i="97"/>
  <c r="DG66" i="97" s="1"/>
  <c r="CX67" i="97"/>
  <c r="DG67" i="97" s="1"/>
  <c r="I248" i="98"/>
  <c r="C253" i="98"/>
  <c r="DM280" i="97"/>
  <c r="DM284" i="97"/>
  <c r="DM281" i="97"/>
  <c r="DM282" i="97"/>
  <c r="DM283" i="97"/>
  <c r="CX227" i="97"/>
  <c r="T26" i="98"/>
  <c r="X255" i="97"/>
  <c r="DL281" i="98"/>
  <c r="DL283" i="98"/>
  <c r="C27" i="97"/>
  <c r="CX226" i="97"/>
  <c r="CX230" i="98"/>
  <c r="Z241" i="98"/>
  <c r="T220" i="98"/>
  <c r="T221" i="98" s="1"/>
  <c r="U220" i="98"/>
  <c r="Z251" i="97"/>
  <c r="CF175" i="98"/>
  <c r="CO175" i="98" s="1"/>
  <c r="CB26" i="98"/>
  <c r="CF178" i="98"/>
  <c r="CO178" i="98" s="1"/>
  <c r="CF174" i="98"/>
  <c r="CO174" i="98" s="1"/>
  <c r="CF177" i="98"/>
  <c r="CO177" i="98" s="1"/>
  <c r="CF173" i="98"/>
  <c r="CO173" i="98" s="1"/>
  <c r="CF176" i="98"/>
  <c r="CO176" i="98" s="1"/>
  <c r="CF172" i="98"/>
  <c r="CO172" i="98" s="1"/>
  <c r="Z234" i="97"/>
  <c r="Z250" i="98"/>
  <c r="Z253" i="97"/>
  <c r="DR234" i="98"/>
  <c r="DM220" i="98"/>
  <c r="DR235" i="98"/>
  <c r="DR236" i="98"/>
  <c r="DR237" i="98"/>
  <c r="DR239" i="98"/>
  <c r="DR238" i="98"/>
  <c r="DL27" i="98"/>
  <c r="Z234" i="98"/>
  <c r="Z254" i="98"/>
  <c r="T255" i="97"/>
  <c r="Z248" i="97"/>
  <c r="DM284" i="98"/>
  <c r="DM283" i="98"/>
  <c r="DM282" i="98"/>
  <c r="DM280" i="98"/>
  <c r="DM281" i="98"/>
  <c r="CB24" i="97"/>
  <c r="CF120" i="97"/>
  <c r="CO120" i="97" s="1"/>
  <c r="CF118" i="97"/>
  <c r="CO118" i="97" s="1"/>
  <c r="CF123" i="97"/>
  <c r="CO123" i="97" s="1"/>
  <c r="CF122" i="97"/>
  <c r="CO122" i="97" s="1"/>
  <c r="CF124" i="97"/>
  <c r="CO124" i="97" s="1"/>
  <c r="CF121" i="97"/>
  <c r="CO121" i="97" s="1"/>
  <c r="CF119" i="97"/>
  <c r="CO119" i="97" s="1"/>
  <c r="AM250" i="97"/>
  <c r="AO182" i="97"/>
  <c r="AO181" i="97"/>
  <c r="AM249" i="97"/>
  <c r="AI248" i="98"/>
  <c r="AO72" i="98"/>
  <c r="AI251" i="98"/>
  <c r="AO75" i="98"/>
  <c r="BQ252" i="98"/>
  <c r="BS184" i="98"/>
  <c r="BQ250" i="98"/>
  <c r="BS182" i="98"/>
  <c r="BR250" i="98"/>
  <c r="BS209" i="98"/>
  <c r="BR249" i="98"/>
  <c r="BS208" i="98"/>
  <c r="AI140" i="98"/>
  <c r="AO160" i="98"/>
  <c r="AI139" i="98"/>
  <c r="AL249" i="98"/>
  <c r="AO154" i="98"/>
  <c r="AN248" i="97"/>
  <c r="AO207" i="97"/>
  <c r="AN234" i="97"/>
  <c r="AN254" i="97"/>
  <c r="AO213" i="97"/>
  <c r="AN253" i="97"/>
  <c r="AO212" i="97"/>
  <c r="AZ251" i="97"/>
  <c r="BD129" i="97"/>
  <c r="AZ248" i="97"/>
  <c r="BD126" i="97"/>
  <c r="AN249" i="98"/>
  <c r="AO208" i="98"/>
  <c r="AN252" i="98"/>
  <c r="AO211" i="98"/>
  <c r="BQ250" i="97"/>
  <c r="BS182" i="97"/>
  <c r="AZ28" i="98"/>
  <c r="AY37" i="98"/>
  <c r="AY39" i="98" s="1"/>
  <c r="AY28" i="98"/>
  <c r="BR253" i="97"/>
  <c r="BR239" i="97"/>
  <c r="BS212" i="97"/>
  <c r="BR248" i="97"/>
  <c r="BS207" i="97"/>
  <c r="AY254" i="97"/>
  <c r="BD105" i="97"/>
  <c r="AY251" i="97"/>
  <c r="BD102" i="97"/>
  <c r="BB250" i="98"/>
  <c r="BD182" i="98"/>
  <c r="AX166" i="98"/>
  <c r="BD183" i="98"/>
  <c r="BB251" i="98"/>
  <c r="BA254" i="97"/>
  <c r="BD159" i="97"/>
  <c r="BA249" i="97"/>
  <c r="BD154" i="97"/>
  <c r="BS154" i="97"/>
  <c r="BP249" i="97"/>
  <c r="BP251" i="97"/>
  <c r="BS156" i="97"/>
  <c r="BS132" i="98"/>
  <c r="BO254" i="98"/>
  <c r="BO249" i="98"/>
  <c r="BS127" i="98"/>
  <c r="BS128" i="98"/>
  <c r="BO250" i="98"/>
  <c r="AL251" i="97"/>
  <c r="AO156" i="97"/>
  <c r="BM248" i="98"/>
  <c r="BS72" i="98"/>
  <c r="BS78" i="98"/>
  <c r="BM254" i="98"/>
  <c r="BD180" i="97"/>
  <c r="BB248" i="97"/>
  <c r="BP251" i="98"/>
  <c r="BS156" i="98"/>
  <c r="AI251" i="97"/>
  <c r="AO75" i="97"/>
  <c r="AI249" i="97"/>
  <c r="AO73" i="97"/>
  <c r="AO101" i="97"/>
  <c r="AJ250" i="97"/>
  <c r="AO102" i="97"/>
  <c r="AJ251" i="97"/>
  <c r="AK252" i="98"/>
  <c r="AO130" i="98"/>
  <c r="AO133" i="98"/>
  <c r="AI112" i="98"/>
  <c r="AI113" i="98"/>
  <c r="AK253" i="98"/>
  <c r="AO131" i="98"/>
  <c r="AO184" i="98"/>
  <c r="AM252" i="98"/>
  <c r="AJ250" i="98"/>
  <c r="AO101" i="98"/>
  <c r="AO100" i="98"/>
  <c r="AJ249" i="98"/>
  <c r="AO106" i="98"/>
  <c r="AI86" i="98"/>
  <c r="AI85" i="98"/>
  <c r="AY28" i="97"/>
  <c r="AY37" i="97"/>
  <c r="AY39" i="97" s="1"/>
  <c r="AX58" i="97"/>
  <c r="AX59" i="97" s="1"/>
  <c r="BD79" i="97"/>
  <c r="BA248" i="98"/>
  <c r="BD153" i="98"/>
  <c r="BA250" i="98"/>
  <c r="BD155" i="98"/>
  <c r="BN249" i="98"/>
  <c r="BS100" i="98"/>
  <c r="BN250" i="98"/>
  <c r="BS101" i="98"/>
  <c r="BN251" i="98"/>
  <c r="BS102" i="98"/>
  <c r="BD133" i="98"/>
  <c r="AX112" i="98"/>
  <c r="BD132" i="98"/>
  <c r="AZ254" i="98"/>
  <c r="AZ252" i="98"/>
  <c r="BD130" i="98"/>
  <c r="BN249" i="97"/>
  <c r="BS100" i="97"/>
  <c r="BN253" i="97"/>
  <c r="BS104" i="97"/>
  <c r="BC249" i="98"/>
  <c r="BD208" i="98"/>
  <c r="BC235" i="98"/>
  <c r="AX193" i="98"/>
  <c r="BD214" i="98"/>
  <c r="BC241" i="98"/>
  <c r="AK253" i="97"/>
  <c r="AO131" i="97"/>
  <c r="AO129" i="97"/>
  <c r="AK251" i="97"/>
  <c r="BD214" i="97"/>
  <c r="BC241" i="97"/>
  <c r="AX193" i="97"/>
  <c r="BD207" i="97"/>
  <c r="BC234" i="97"/>
  <c r="BC248" i="97"/>
  <c r="BD105" i="98"/>
  <c r="AY254" i="98"/>
  <c r="AY249" i="98"/>
  <c r="BD100" i="98"/>
  <c r="BN28" i="97"/>
  <c r="BN37" i="97"/>
  <c r="BN38" i="97" s="1"/>
  <c r="BO28" i="97"/>
  <c r="AM253" i="97"/>
  <c r="AO185" i="97"/>
  <c r="AM254" i="97"/>
  <c r="AO186" i="97"/>
  <c r="AI249" i="98"/>
  <c r="AO73" i="98"/>
  <c r="AJ37" i="98"/>
  <c r="AJ40" i="98" s="1"/>
  <c r="AJ28" i="98"/>
  <c r="AI254" i="98"/>
  <c r="AO78" i="98"/>
  <c r="BQ248" i="98"/>
  <c r="BS180" i="98"/>
  <c r="BS185" i="98"/>
  <c r="BQ253" i="98"/>
  <c r="BM193" i="98"/>
  <c r="BR241" i="98"/>
  <c r="BS214" i="98"/>
  <c r="BR252" i="98"/>
  <c r="BS211" i="98"/>
  <c r="BR251" i="98"/>
  <c r="BS210" i="98"/>
  <c r="AL250" i="98"/>
  <c r="AO155" i="98"/>
  <c r="AO156" i="98"/>
  <c r="AL251" i="98"/>
  <c r="AN250" i="97"/>
  <c r="AO209" i="97"/>
  <c r="AI193" i="97"/>
  <c r="AI194" i="97"/>
  <c r="AO214" i="97"/>
  <c r="AN241" i="97"/>
  <c r="BD128" i="97"/>
  <c r="AZ250" i="97"/>
  <c r="BS129" i="97"/>
  <c r="BO251" i="97"/>
  <c r="BS131" i="97"/>
  <c r="BO253" i="97"/>
  <c r="BO254" i="97"/>
  <c r="BS132" i="97"/>
  <c r="AN251" i="98"/>
  <c r="AO210" i="98"/>
  <c r="BQ253" i="97"/>
  <c r="BS185" i="97"/>
  <c r="BQ254" i="97"/>
  <c r="BS186" i="97"/>
  <c r="AX248" i="98"/>
  <c r="BD72" i="98"/>
  <c r="BD79" i="98"/>
  <c r="AX58" i="98"/>
  <c r="AX59" i="98" s="1"/>
  <c r="BD74" i="98"/>
  <c r="AX250" i="98"/>
  <c r="BR254" i="97"/>
  <c r="BR240" i="97"/>
  <c r="BS213" i="97"/>
  <c r="BR250" i="97"/>
  <c r="BS209" i="97"/>
  <c r="AY252" i="97"/>
  <c r="BD103" i="97"/>
  <c r="AY253" i="97"/>
  <c r="BD104" i="97"/>
  <c r="BB248" i="98"/>
  <c r="BD180" i="98"/>
  <c r="BB253" i="98"/>
  <c r="BD185" i="98"/>
  <c r="BA248" i="97"/>
  <c r="BD153" i="97"/>
  <c r="BS157" i="97"/>
  <c r="BP252" i="97"/>
  <c r="BS133" i="98"/>
  <c r="BM112" i="98"/>
  <c r="BM113" i="98" s="1"/>
  <c r="BO252" i="98"/>
  <c r="BS130" i="98"/>
  <c r="AO160" i="97"/>
  <c r="AI140" i="97"/>
  <c r="AI139" i="97"/>
  <c r="AO159" i="97"/>
  <c r="AL254" i="97"/>
  <c r="BN28" i="98"/>
  <c r="BN37" i="98"/>
  <c r="BN40" i="98" s="1"/>
  <c r="BM250" i="98"/>
  <c r="BS74" i="98"/>
  <c r="BM252" i="98"/>
  <c r="BS76" i="98"/>
  <c r="BB253" i="97"/>
  <c r="BD185" i="97"/>
  <c r="BB250" i="97"/>
  <c r="BD182" i="97"/>
  <c r="BS158" i="98"/>
  <c r="BP253" i="98"/>
  <c r="BP248" i="98"/>
  <c r="BS153" i="98"/>
  <c r="AI252" i="97"/>
  <c r="AO76" i="97"/>
  <c r="AK28" i="97"/>
  <c r="AJ248" i="97"/>
  <c r="AO99" i="97"/>
  <c r="AO126" i="98"/>
  <c r="AK248" i="98"/>
  <c r="AM253" i="98"/>
  <c r="AO185" i="98"/>
  <c r="AO183" i="98"/>
  <c r="AM251" i="98"/>
  <c r="AO103" i="98"/>
  <c r="AJ252" i="98"/>
  <c r="AO99" i="98"/>
  <c r="AJ248" i="98"/>
  <c r="AZ28" i="97"/>
  <c r="BD72" i="97"/>
  <c r="AX248" i="97"/>
  <c r="BD160" i="98"/>
  <c r="AX139" i="98"/>
  <c r="BD154" i="98"/>
  <c r="BA249" i="98"/>
  <c r="BD156" i="98"/>
  <c r="BA251" i="98"/>
  <c r="BN253" i="98"/>
  <c r="BS104" i="98"/>
  <c r="AZ253" i="98"/>
  <c r="BD131" i="98"/>
  <c r="BS102" i="97"/>
  <c r="BN251" i="97"/>
  <c r="BN252" i="97"/>
  <c r="BS103" i="97"/>
  <c r="BN254" i="97"/>
  <c r="BS105" i="97"/>
  <c r="BC248" i="98"/>
  <c r="BC234" i="98"/>
  <c r="BD207" i="98"/>
  <c r="BC236" i="98"/>
  <c r="BC250" i="98"/>
  <c r="BD209" i="98"/>
  <c r="AO128" i="97"/>
  <c r="AK250" i="97"/>
  <c r="AK254" i="97"/>
  <c r="AO132" i="97"/>
  <c r="BC249" i="97"/>
  <c r="BC235" i="97"/>
  <c r="BD208" i="97"/>
  <c r="AY252" i="98"/>
  <c r="BD103" i="98"/>
  <c r="AY251" i="98"/>
  <c r="BD102" i="98"/>
  <c r="BM249" i="97"/>
  <c r="BS73" i="97"/>
  <c r="BM251" i="97"/>
  <c r="BS75" i="97"/>
  <c r="BS72" i="97"/>
  <c r="BM248" i="97"/>
  <c r="AI166" i="97"/>
  <c r="AO74" i="98"/>
  <c r="AI250" i="98"/>
  <c r="AK28" i="98"/>
  <c r="AO79" i="98"/>
  <c r="AI58" i="98"/>
  <c r="AI59" i="98"/>
  <c r="BQ251" i="98"/>
  <c r="BS183" i="98"/>
  <c r="BQ249" i="98"/>
  <c r="BS181" i="98"/>
  <c r="BQ254" i="98"/>
  <c r="BS186" i="98"/>
  <c r="BR254" i="98"/>
  <c r="BR240" i="98"/>
  <c r="BS213" i="98"/>
  <c r="BR253" i="98"/>
  <c r="BS212" i="98"/>
  <c r="BR239" i="98"/>
  <c r="AO157" i="98"/>
  <c r="AL252" i="98"/>
  <c r="AL248" i="98"/>
  <c r="AO153" i="98"/>
  <c r="AL253" i="98"/>
  <c r="AO158" i="98"/>
  <c r="AN252" i="97"/>
  <c r="AO211" i="97"/>
  <c r="AN249" i="97"/>
  <c r="AO208" i="97"/>
  <c r="BD132" i="97"/>
  <c r="AZ254" i="97"/>
  <c r="AZ253" i="97"/>
  <c r="BD131" i="97"/>
  <c r="AZ252" i="97"/>
  <c r="BD130" i="97"/>
  <c r="BO248" i="97"/>
  <c r="BS126" i="97"/>
  <c r="BO249" i="97"/>
  <c r="BS127" i="97"/>
  <c r="BS133" i="97"/>
  <c r="BM112" i="97"/>
  <c r="AN253" i="98"/>
  <c r="AO212" i="98"/>
  <c r="AN248" i="98"/>
  <c r="AO207" i="98"/>
  <c r="AN234" i="98"/>
  <c r="BQ249" i="97"/>
  <c r="BS181" i="97"/>
  <c r="BQ248" i="97"/>
  <c r="BS180" i="97"/>
  <c r="AX251" i="98"/>
  <c r="BD75" i="98"/>
  <c r="BD73" i="98"/>
  <c r="AX249" i="98"/>
  <c r="BD77" i="98"/>
  <c r="AX253" i="98"/>
  <c r="BR249" i="97"/>
  <c r="BS208" i="97"/>
  <c r="BS214" i="97"/>
  <c r="BR241" i="97"/>
  <c r="BM193" i="97"/>
  <c r="BR252" i="97"/>
  <c r="BS211" i="97"/>
  <c r="BD106" i="97"/>
  <c r="AX85" i="97"/>
  <c r="BD99" i="97"/>
  <c r="AY248" i="97"/>
  <c r="BB252" i="98"/>
  <c r="BD184" i="98"/>
  <c r="BA253" i="97"/>
  <c r="BD158" i="97"/>
  <c r="BA250" i="97"/>
  <c r="BD155" i="97"/>
  <c r="BS153" i="97"/>
  <c r="BP248" i="97"/>
  <c r="BS155" i="97"/>
  <c r="BP250" i="97"/>
  <c r="BP254" i="97"/>
  <c r="BS159" i="97"/>
  <c r="BS129" i="98"/>
  <c r="BO251" i="98"/>
  <c r="AO153" i="97"/>
  <c r="AL248" i="97"/>
  <c r="AO155" i="97"/>
  <c r="AL250" i="97"/>
  <c r="AO157" i="97"/>
  <c r="AL252" i="97"/>
  <c r="BS79" i="98"/>
  <c r="BM58" i="98"/>
  <c r="BM59" i="98" s="1"/>
  <c r="BM60" i="98" s="1"/>
  <c r="BM251" i="98"/>
  <c r="BS75" i="98"/>
  <c r="BS73" i="98"/>
  <c r="BM249" i="98"/>
  <c r="BB251" i="97"/>
  <c r="BD183" i="97"/>
  <c r="AX166" i="97"/>
  <c r="BB252" i="97"/>
  <c r="BD184" i="97"/>
  <c r="BP254" i="98"/>
  <c r="BS159" i="98"/>
  <c r="BP250" i="98"/>
  <c r="BS155" i="98"/>
  <c r="AI248" i="97"/>
  <c r="AO72" i="97"/>
  <c r="AO78" i="97"/>
  <c r="AI254" i="97"/>
  <c r="AI250" i="97"/>
  <c r="AO74" i="97"/>
  <c r="AJ252" i="97"/>
  <c r="AO103" i="97"/>
  <c r="AJ254" i="97"/>
  <c r="AO105" i="97"/>
  <c r="AK250" i="98"/>
  <c r="AO128" i="98"/>
  <c r="AK249" i="98"/>
  <c r="AO127" i="98"/>
  <c r="AO180" i="98"/>
  <c r="AM248" i="98"/>
  <c r="AM254" i="98"/>
  <c r="AO186" i="98"/>
  <c r="AJ253" i="98"/>
  <c r="AO104" i="98"/>
  <c r="AX251" i="97"/>
  <c r="BD75" i="97"/>
  <c r="BD74" i="97"/>
  <c r="AX250" i="97"/>
  <c r="BD76" i="97"/>
  <c r="AX252" i="97"/>
  <c r="BA254" i="98"/>
  <c r="BD159" i="98"/>
  <c r="BA252" i="98"/>
  <c r="BD157" i="98"/>
  <c r="BN252" i="98"/>
  <c r="BS103" i="98"/>
  <c r="BN254" i="98"/>
  <c r="BS105" i="98"/>
  <c r="AZ250" i="98"/>
  <c r="BD128" i="98"/>
  <c r="AZ248" i="98"/>
  <c r="BD126" i="98"/>
  <c r="BS99" i="97"/>
  <c r="BN248" i="97"/>
  <c r="BM85" i="97"/>
  <c r="BS106" i="97"/>
  <c r="BD210" i="98"/>
  <c r="BC251" i="98"/>
  <c r="BC237" i="98"/>
  <c r="BC253" i="98"/>
  <c r="BC239" i="98"/>
  <c r="BD212" i="98"/>
  <c r="AK252" i="97"/>
  <c r="AO130" i="97"/>
  <c r="AO133" i="97"/>
  <c r="AI112" i="97"/>
  <c r="AI113" i="97" s="1"/>
  <c r="BC250" i="97"/>
  <c r="BC236" i="97"/>
  <c r="BD209" i="97"/>
  <c r="BC238" i="97"/>
  <c r="BD211" i="97"/>
  <c r="BC252" i="97"/>
  <c r="AX85" i="98"/>
  <c r="BD106" i="98"/>
  <c r="AY248" i="98"/>
  <c r="BD99" i="98"/>
  <c r="AY253" i="98"/>
  <c r="BD104" i="98"/>
  <c r="BM250" i="97"/>
  <c r="BS74" i="97"/>
  <c r="BM254" i="97"/>
  <c r="BS78" i="97"/>
  <c r="BM252" i="97"/>
  <c r="BS76" i="97"/>
  <c r="AM248" i="97"/>
  <c r="AO180" i="97"/>
  <c r="AO183" i="97"/>
  <c r="AM251" i="97"/>
  <c r="AM252" i="97"/>
  <c r="AO184" i="97"/>
  <c r="AI252" i="98"/>
  <c r="AO76" i="98"/>
  <c r="AI253" i="98"/>
  <c r="AO77" i="98"/>
  <c r="BR248" i="98"/>
  <c r="BS207" i="98"/>
  <c r="AO159" i="98"/>
  <c r="AL254" i="98"/>
  <c r="AN251" i="97"/>
  <c r="AO210" i="97"/>
  <c r="BD127" i="97"/>
  <c r="AZ249" i="97"/>
  <c r="BD133" i="97"/>
  <c r="AX112" i="97"/>
  <c r="BO252" i="97"/>
  <c r="BS130" i="97"/>
  <c r="BO250" i="97"/>
  <c r="BS128" i="97"/>
  <c r="AO213" i="98"/>
  <c r="AN254" i="98"/>
  <c r="AO214" i="98"/>
  <c r="AN241" i="98"/>
  <c r="AI194" i="98"/>
  <c r="AI193" i="98"/>
  <c r="AN250" i="98"/>
  <c r="AO209" i="98"/>
  <c r="BQ252" i="97"/>
  <c r="BS184" i="97"/>
  <c r="BQ251" i="97"/>
  <c r="BS183" i="97"/>
  <c r="BD78" i="98"/>
  <c r="AX254" i="98"/>
  <c r="AX252" i="98"/>
  <c r="BD76" i="98"/>
  <c r="BR251" i="97"/>
  <c r="BS210" i="97"/>
  <c r="BD101" i="97"/>
  <c r="AY250" i="97"/>
  <c r="AY249" i="97"/>
  <c r="BD100" i="97"/>
  <c r="BB254" i="98"/>
  <c r="BD186" i="98"/>
  <c r="BB249" i="98"/>
  <c r="BD181" i="98"/>
  <c r="BA251" i="97"/>
  <c r="BD156" i="97"/>
  <c r="AX139" i="97"/>
  <c r="BD160" i="97"/>
  <c r="BA252" i="97"/>
  <c r="BD157" i="97"/>
  <c r="BP253" i="97"/>
  <c r="BS158" i="97"/>
  <c r="BS160" i="97"/>
  <c r="BM139" i="97"/>
  <c r="BS131" i="98"/>
  <c r="BO253" i="98"/>
  <c r="BO248" i="98"/>
  <c r="BS126" i="98"/>
  <c r="AO154" i="97"/>
  <c r="AL249" i="97"/>
  <c r="AO158" i="97"/>
  <c r="AL253" i="97"/>
  <c r="BO28" i="98"/>
  <c r="BM253" i="98"/>
  <c r="BS77" i="98"/>
  <c r="BB254" i="97"/>
  <c r="BD186" i="97"/>
  <c r="BB249" i="97"/>
  <c r="BD181" i="97"/>
  <c r="BS154" i="98"/>
  <c r="BP249" i="98"/>
  <c r="BM139" i="98"/>
  <c r="BS160" i="98"/>
  <c r="BP252" i="98"/>
  <c r="BS157" i="98"/>
  <c r="AO79" i="97"/>
  <c r="AI58" i="97"/>
  <c r="AI59" i="97"/>
  <c r="AJ28" i="97"/>
  <c r="AJ37" i="97"/>
  <c r="AJ38" i="97" s="1"/>
  <c r="AI253" i="97"/>
  <c r="AO77" i="97"/>
  <c r="AJ249" i="97"/>
  <c r="AO100" i="97"/>
  <c r="AJ253" i="97"/>
  <c r="AO104" i="97"/>
  <c r="AO106" i="97"/>
  <c r="AI86" i="97"/>
  <c r="AI85" i="97"/>
  <c r="AO132" i="98"/>
  <c r="AK254" i="98"/>
  <c r="AK251" i="98"/>
  <c r="AO129" i="98"/>
  <c r="AO181" i="98"/>
  <c r="AM249" i="98"/>
  <c r="AM250" i="98"/>
  <c r="AO182" i="98"/>
  <c r="AI166" i="98"/>
  <c r="AO102" i="98"/>
  <c r="AJ251" i="98"/>
  <c r="AJ254" i="98"/>
  <c r="AO105" i="98"/>
  <c r="AX254" i="97"/>
  <c r="BD78" i="97"/>
  <c r="AX253" i="97"/>
  <c r="BD77" i="97"/>
  <c r="AX249" i="97"/>
  <c r="BD73" i="97"/>
  <c r="BA253" i="98"/>
  <c r="BD158" i="98"/>
  <c r="BS106" i="98"/>
  <c r="BM85" i="98"/>
  <c r="BS99" i="98"/>
  <c r="BN248" i="98"/>
  <c r="AZ251" i="98"/>
  <c r="BD129" i="98"/>
  <c r="AZ249" i="98"/>
  <c r="BD127" i="98"/>
  <c r="BS101" i="97"/>
  <c r="BN250" i="97"/>
  <c r="BC238" i="98"/>
  <c r="BD211" i="98"/>
  <c r="BC252" i="98"/>
  <c r="BD213" i="98"/>
  <c r="BC254" i="98"/>
  <c r="BC240" i="98"/>
  <c r="AO127" i="97"/>
  <c r="AK249" i="97"/>
  <c r="AK248" i="97"/>
  <c r="AO126" i="97"/>
  <c r="BC254" i="97"/>
  <c r="BD213" i="97"/>
  <c r="BC240" i="97"/>
  <c r="BC237" i="97"/>
  <c r="BC251" i="97"/>
  <c r="BD210" i="97"/>
  <c r="BC239" i="97"/>
  <c r="BD212" i="97"/>
  <c r="BC253" i="97"/>
  <c r="AY250" i="98"/>
  <c r="BD101" i="98"/>
  <c r="BM253" i="97"/>
  <c r="BS77" i="97"/>
  <c r="BS79" i="97"/>
  <c r="BM58" i="97"/>
  <c r="BM59" i="97" s="1"/>
  <c r="BM60" i="97" s="1"/>
  <c r="DR238" i="73"/>
  <c r="BD183" i="94"/>
  <c r="D253" i="73"/>
  <c r="T255" i="73"/>
  <c r="T285" i="73" s="1"/>
  <c r="CX200" i="73"/>
  <c r="DG200" i="73" s="1"/>
  <c r="CX176" i="73"/>
  <c r="DG176" i="73" s="1"/>
  <c r="CX69" i="73"/>
  <c r="DG69" i="73" s="1"/>
  <c r="C2" i="157"/>
  <c r="C2" i="153"/>
  <c r="U5" i="330"/>
  <c r="K9" i="330"/>
  <c r="T8" i="330"/>
  <c r="T9" i="330"/>
  <c r="R9" i="330"/>
  <c r="J9" i="330"/>
  <c r="C2" i="156"/>
  <c r="U9" i="330"/>
  <c r="K8" i="330"/>
  <c r="R8" i="330"/>
  <c r="G45" i="158"/>
  <c r="U7" i="330"/>
  <c r="G45" i="153"/>
  <c r="L8" i="330"/>
  <c r="G45" i="152"/>
  <c r="U8" i="330"/>
  <c r="G45" i="156"/>
  <c r="S8" i="330"/>
  <c r="S9" i="330"/>
  <c r="G45" i="157"/>
  <c r="C2" i="158"/>
  <c r="U6" i="330"/>
  <c r="J8" i="330"/>
  <c r="L9" i="330"/>
  <c r="DL280" i="98" l="1"/>
  <c r="DL282" i="98"/>
  <c r="DL281" i="97"/>
  <c r="DR281" i="97" s="1"/>
  <c r="CX16" i="94"/>
  <c r="DL283" i="97"/>
  <c r="CF13" i="98"/>
  <c r="CF13" i="97"/>
  <c r="CF14" i="95"/>
  <c r="CX14" i="97"/>
  <c r="CX11" i="97"/>
  <c r="CZ16" i="97"/>
  <c r="CZ11" i="98"/>
  <c r="DA11" i="98" s="1"/>
  <c r="CF15" i="94"/>
  <c r="CZ15" i="98"/>
  <c r="DA15" i="98" s="1"/>
  <c r="CZ14" i="98"/>
  <c r="DA14" i="98" s="1"/>
  <c r="CZ12" i="98"/>
  <c r="DA12" i="98" s="1"/>
  <c r="CZ15" i="97"/>
  <c r="CZ11" i="97"/>
  <c r="DA11" i="97" s="1"/>
  <c r="CZ14" i="97"/>
  <c r="DA14" i="97" s="1"/>
  <c r="CF13" i="94"/>
  <c r="CF12" i="94"/>
  <c r="CX12" i="73"/>
  <c r="CX11" i="73"/>
  <c r="CF12" i="73"/>
  <c r="CF11" i="98"/>
  <c r="CF12" i="97"/>
  <c r="CF11" i="97"/>
  <c r="CF17" i="73"/>
  <c r="CX15" i="94"/>
  <c r="CX13" i="97"/>
  <c r="CX14" i="95"/>
  <c r="CX15" i="95"/>
  <c r="CX11" i="94"/>
  <c r="CZ13" i="97"/>
  <c r="DA13" i="97" s="1"/>
  <c r="CH17" i="97"/>
  <c r="CH14" i="97"/>
  <c r="CF14" i="94"/>
  <c r="CX13" i="73"/>
  <c r="CF17" i="95"/>
  <c r="CI17" i="95"/>
  <c r="CX12" i="95"/>
  <c r="CF12" i="98"/>
  <c r="CF16" i="98"/>
  <c r="CI14" i="97"/>
  <c r="CF14" i="97"/>
  <c r="CX13" i="98"/>
  <c r="CX16" i="73"/>
  <c r="CF13" i="73"/>
  <c r="CX12" i="98"/>
  <c r="CX11" i="98"/>
  <c r="CF17" i="98"/>
  <c r="CI17" i="98"/>
  <c r="CZ12" i="97"/>
  <c r="DA12" i="97" s="1"/>
  <c r="CH11" i="98"/>
  <c r="CI11" i="98" s="1"/>
  <c r="DL282" i="97"/>
  <c r="DL280" i="97"/>
  <c r="CX15" i="73"/>
  <c r="DA15" i="97"/>
  <c r="CX15" i="97"/>
  <c r="CF15" i="73"/>
  <c r="CF12" i="95"/>
  <c r="CF11" i="73"/>
  <c r="DA13" i="94"/>
  <c r="CX13" i="94"/>
  <c r="CF14" i="73"/>
  <c r="CF16" i="97"/>
  <c r="CF16" i="95"/>
  <c r="CF13" i="95"/>
  <c r="CX12" i="94"/>
  <c r="CZ16" i="98"/>
  <c r="CZ13" i="98"/>
  <c r="DA13" i="98" s="1"/>
  <c r="CH11" i="97"/>
  <c r="CI11" i="97" s="1"/>
  <c r="CF16" i="94"/>
  <c r="CX14" i="98"/>
  <c r="CX14" i="73"/>
  <c r="CX12" i="97"/>
  <c r="CX13" i="95"/>
  <c r="CX11" i="95"/>
  <c r="DA16" i="95"/>
  <c r="CX16" i="95"/>
  <c r="CF11" i="95"/>
  <c r="CF17" i="97"/>
  <c r="CI17" i="97"/>
  <c r="CF15" i="97"/>
  <c r="CI15" i="97"/>
  <c r="CX14" i="94"/>
  <c r="CF15" i="95"/>
  <c r="CF16" i="73"/>
  <c r="CF15" i="98"/>
  <c r="CF11" i="94"/>
  <c r="DA16" i="97"/>
  <c r="CX16" i="97"/>
  <c r="CX15" i="98"/>
  <c r="DA16" i="98"/>
  <c r="CX16" i="98"/>
  <c r="CF14" i="98"/>
  <c r="CH13" i="97"/>
  <c r="CI13" i="97" s="1"/>
  <c r="CH13" i="98"/>
  <c r="CI13" i="98" s="1"/>
  <c r="CH12" i="97"/>
  <c r="CH14" i="98"/>
  <c r="CI14" i="98" s="1"/>
  <c r="CH12" i="98"/>
  <c r="CH17" i="98"/>
  <c r="CH16" i="98"/>
  <c r="CI16" i="98" s="1"/>
  <c r="CH15" i="98"/>
  <c r="CI15" i="98" s="1"/>
  <c r="CH15" i="97"/>
  <c r="CH16" i="97"/>
  <c r="CI16" i="97" s="1"/>
  <c r="CI15" i="94"/>
  <c r="H45" i="152"/>
  <c r="H45" i="158"/>
  <c r="E281" i="98"/>
  <c r="H45" i="157"/>
  <c r="H45" i="153"/>
  <c r="H45" i="156"/>
  <c r="H280" i="73"/>
  <c r="E283" i="97"/>
  <c r="E281" i="97"/>
  <c r="E282" i="98"/>
  <c r="D280" i="97"/>
  <c r="Z8" i="330"/>
  <c r="Z9" i="330"/>
  <c r="Y8" i="330"/>
  <c r="Y9" i="330"/>
  <c r="X9" i="330"/>
  <c r="X8" i="330"/>
  <c r="E284" i="97"/>
  <c r="E280" i="97"/>
  <c r="DP285" i="98"/>
  <c r="F282" i="97"/>
  <c r="BD237" i="98"/>
  <c r="G284" i="98"/>
  <c r="D281" i="98"/>
  <c r="D281" i="97"/>
  <c r="AO236" i="98"/>
  <c r="BS234" i="98"/>
  <c r="D283" i="97"/>
  <c r="D282" i="97"/>
  <c r="G283" i="97"/>
  <c r="X280" i="98"/>
  <c r="X283" i="98"/>
  <c r="F284" i="97"/>
  <c r="F281" i="97"/>
  <c r="F280" i="97"/>
  <c r="X282" i="98"/>
  <c r="X284" i="98"/>
  <c r="D280" i="98"/>
  <c r="E283" i="98"/>
  <c r="G282" i="98"/>
  <c r="X285" i="98"/>
  <c r="D284" i="98"/>
  <c r="D282" i="98"/>
  <c r="G283" i="98"/>
  <c r="X281" i="98"/>
  <c r="E280" i="98"/>
  <c r="G281" i="98"/>
  <c r="G280" i="97"/>
  <c r="G282" i="97"/>
  <c r="G281" i="97"/>
  <c r="W284" i="98"/>
  <c r="BN38" i="98"/>
  <c r="W286" i="98"/>
  <c r="W282" i="98"/>
  <c r="AO237" i="97"/>
  <c r="W280" i="98"/>
  <c r="W283" i="98"/>
  <c r="W281" i="98"/>
  <c r="F282" i="98"/>
  <c r="F284" i="98"/>
  <c r="F283" i="98"/>
  <c r="F280" i="98"/>
  <c r="I236" i="97"/>
  <c r="I235" i="97"/>
  <c r="I236" i="98"/>
  <c r="I237" i="97"/>
  <c r="I234" i="97"/>
  <c r="I234" i="98"/>
  <c r="I235" i="98"/>
  <c r="I238" i="98"/>
  <c r="I237" i="98"/>
  <c r="I238" i="97"/>
  <c r="T31" i="98"/>
  <c r="BM222" i="97"/>
  <c r="BS254" i="97"/>
  <c r="BD236" i="98"/>
  <c r="BD239" i="98"/>
  <c r="BD239" i="97"/>
  <c r="BS237" i="97"/>
  <c r="BS238" i="97"/>
  <c r="AJ38" i="98"/>
  <c r="BD234" i="98"/>
  <c r="BM222" i="98"/>
  <c r="AY40" i="97"/>
  <c r="AO250" i="97"/>
  <c r="BN39" i="98"/>
  <c r="BS237" i="98"/>
  <c r="BS238" i="98"/>
  <c r="AI222" i="97"/>
  <c r="AX222" i="98"/>
  <c r="AX221" i="98"/>
  <c r="BS253" i="98"/>
  <c r="BO255" i="98"/>
  <c r="BO284" i="98" s="1"/>
  <c r="BS239" i="98"/>
  <c r="AX221" i="97"/>
  <c r="AX222" i="97"/>
  <c r="DO285" i="97"/>
  <c r="AI222" i="98"/>
  <c r="T31" i="97"/>
  <c r="DR253" i="98"/>
  <c r="AX27" i="97"/>
  <c r="X283" i="97"/>
  <c r="X284" i="97"/>
  <c r="X281" i="97"/>
  <c r="X280" i="97"/>
  <c r="X286" i="97"/>
  <c r="X282" i="97"/>
  <c r="X285" i="97"/>
  <c r="U283" i="97"/>
  <c r="U284" i="97"/>
  <c r="U280" i="97"/>
  <c r="U282" i="97"/>
  <c r="U285" i="97"/>
  <c r="U286" i="97"/>
  <c r="U281" i="97"/>
  <c r="CB28" i="98"/>
  <c r="Y284" i="97"/>
  <c r="Y286" i="97"/>
  <c r="Y283" i="97"/>
  <c r="Y280" i="97"/>
  <c r="Y282" i="97"/>
  <c r="Y285" i="97"/>
  <c r="Y281" i="97"/>
  <c r="W282" i="97"/>
  <c r="W283" i="97"/>
  <c r="W281" i="97"/>
  <c r="W284" i="97"/>
  <c r="W280" i="97"/>
  <c r="W286" i="97"/>
  <c r="W285" i="97"/>
  <c r="DQ283" i="98"/>
  <c r="DR283" i="98" s="1"/>
  <c r="DQ284" i="98"/>
  <c r="DR284" i="98" s="1"/>
  <c r="DQ280" i="98"/>
  <c r="DQ282" i="98"/>
  <c r="DR282" i="98" s="1"/>
  <c r="V283" i="97"/>
  <c r="V284" i="97"/>
  <c r="V281" i="97"/>
  <c r="V282" i="97"/>
  <c r="V286" i="97"/>
  <c r="V285" i="97"/>
  <c r="V280" i="97"/>
  <c r="BS253" i="97"/>
  <c r="BD237" i="97"/>
  <c r="BR255" i="98"/>
  <c r="BR280" i="98" s="1"/>
  <c r="AO252" i="98"/>
  <c r="BD236" i="97"/>
  <c r="AO235" i="97"/>
  <c r="BN40" i="97"/>
  <c r="BN39" i="97"/>
  <c r="BS249" i="97"/>
  <c r="DM285" i="98"/>
  <c r="T282" i="97"/>
  <c r="T286" i="97"/>
  <c r="T280" i="97"/>
  <c r="T283" i="97"/>
  <c r="T285" i="97"/>
  <c r="T281" i="97"/>
  <c r="T284" i="97"/>
  <c r="Z255" i="97"/>
  <c r="DM285" i="97"/>
  <c r="CT28" i="97"/>
  <c r="Y283" i="98"/>
  <c r="Y284" i="98"/>
  <c r="Y285" i="98"/>
  <c r="Y280" i="98"/>
  <c r="Y281" i="98"/>
  <c r="Y282" i="98"/>
  <c r="Y286" i="98"/>
  <c r="CF228" i="98"/>
  <c r="CF231" i="98"/>
  <c r="CF226" i="98"/>
  <c r="CF232" i="98"/>
  <c r="CF229" i="98"/>
  <c r="CF227" i="98"/>
  <c r="CF230" i="98"/>
  <c r="H282" i="98"/>
  <c r="H281" i="98"/>
  <c r="H283" i="98"/>
  <c r="H280" i="98"/>
  <c r="H284" i="98"/>
  <c r="CB28" i="97"/>
  <c r="BN255" i="98"/>
  <c r="BN284" i="98" s="1"/>
  <c r="DR281" i="98"/>
  <c r="D220" i="98"/>
  <c r="Z255" i="98"/>
  <c r="T282" i="98"/>
  <c r="T286" i="98"/>
  <c r="T281" i="98"/>
  <c r="T283" i="98"/>
  <c r="T285" i="98"/>
  <c r="T284" i="98"/>
  <c r="T280" i="98"/>
  <c r="CF230" i="97"/>
  <c r="CF231" i="97"/>
  <c r="CF226" i="97"/>
  <c r="CF227" i="97"/>
  <c r="CF232" i="97"/>
  <c r="CF229" i="97"/>
  <c r="CF228" i="97"/>
  <c r="CT28" i="98"/>
  <c r="DQ283" i="97"/>
  <c r="DR283" i="97" s="1"/>
  <c r="DQ284" i="97"/>
  <c r="DR284" i="97" s="1"/>
  <c r="DQ280" i="97"/>
  <c r="DQ282" i="97"/>
  <c r="H282" i="97"/>
  <c r="H280" i="97"/>
  <c r="H284" i="97"/>
  <c r="H283" i="97"/>
  <c r="H281" i="97"/>
  <c r="DP285" i="97"/>
  <c r="DO285" i="98"/>
  <c r="AK255" i="97"/>
  <c r="AK283" i="97" s="1"/>
  <c r="BD249" i="97"/>
  <c r="BD254" i="97"/>
  <c r="BD238" i="97"/>
  <c r="BS251" i="98"/>
  <c r="AO238" i="97"/>
  <c r="BD235" i="97"/>
  <c r="AY38" i="97"/>
  <c r="AY40" i="98"/>
  <c r="DL285" i="98"/>
  <c r="C284" i="98"/>
  <c r="C283" i="98"/>
  <c r="C282" i="98"/>
  <c r="I253" i="98"/>
  <c r="C280" i="98"/>
  <c r="C281" i="98"/>
  <c r="DN285" i="97"/>
  <c r="C284" i="97"/>
  <c r="I253" i="97"/>
  <c r="C283" i="97"/>
  <c r="C281" i="97"/>
  <c r="C282" i="97"/>
  <c r="C280" i="97"/>
  <c r="V283" i="98"/>
  <c r="V282" i="98"/>
  <c r="V284" i="98"/>
  <c r="V281" i="98"/>
  <c r="V286" i="98"/>
  <c r="V280" i="98"/>
  <c r="V285" i="98"/>
  <c r="DR253" i="97"/>
  <c r="DN285" i="98"/>
  <c r="U284" i="98"/>
  <c r="U281" i="98"/>
  <c r="U282" i="98"/>
  <c r="U286" i="98"/>
  <c r="U280" i="98"/>
  <c r="U283" i="98"/>
  <c r="U285" i="98"/>
  <c r="D220" i="97"/>
  <c r="AX26" i="98"/>
  <c r="AI22" i="98"/>
  <c r="AX25" i="98"/>
  <c r="AI25" i="97"/>
  <c r="AI25" i="98"/>
  <c r="AX22" i="98"/>
  <c r="AI27" i="97"/>
  <c r="BD234" i="97"/>
  <c r="AI24" i="98"/>
  <c r="AY38" i="98"/>
  <c r="BM25" i="97"/>
  <c r="BM22" i="97"/>
  <c r="BM23" i="98"/>
  <c r="BD253" i="97"/>
  <c r="AI22" i="97"/>
  <c r="AX25" i="97"/>
  <c r="BD252" i="98"/>
  <c r="AI27" i="98"/>
  <c r="AK220" i="98"/>
  <c r="AO240" i="98"/>
  <c r="BN255" i="97"/>
  <c r="BD250" i="97"/>
  <c r="AM255" i="98"/>
  <c r="AI255" i="97"/>
  <c r="AO254" i="97"/>
  <c r="AO248" i="97"/>
  <c r="BM22" i="98"/>
  <c r="AY255" i="97"/>
  <c r="BD251" i="98"/>
  <c r="BS187" i="97"/>
  <c r="AO234" i="98"/>
  <c r="BO220" i="98"/>
  <c r="BS240" i="98"/>
  <c r="AI26" i="97"/>
  <c r="AJ255" i="97"/>
  <c r="BS252" i="98"/>
  <c r="BD187" i="98"/>
  <c r="AO254" i="98"/>
  <c r="AO249" i="98"/>
  <c r="BC255" i="97"/>
  <c r="AX220" i="97"/>
  <c r="BD241" i="97"/>
  <c r="AY220" i="97"/>
  <c r="AX24" i="98"/>
  <c r="BA255" i="98"/>
  <c r="AX22" i="97"/>
  <c r="BD187" i="97"/>
  <c r="BM255" i="98"/>
  <c r="BS248" i="98"/>
  <c r="BR255" i="97"/>
  <c r="AN255" i="97"/>
  <c r="AZ220" i="97"/>
  <c r="BD240" i="97"/>
  <c r="BD240" i="98"/>
  <c r="AZ220" i="98"/>
  <c r="BD254" i="98"/>
  <c r="AO187" i="97"/>
  <c r="BM23" i="97"/>
  <c r="AO187" i="98"/>
  <c r="AL255" i="97"/>
  <c r="BP255" i="97"/>
  <c r="BM220" i="97"/>
  <c r="BM221" i="97" s="1"/>
  <c r="BS241" i="97"/>
  <c r="BN220" i="97"/>
  <c r="BS235" i="97"/>
  <c r="BD249" i="98"/>
  <c r="BQ255" i="97"/>
  <c r="BO255" i="97"/>
  <c r="AL255" i="98"/>
  <c r="BC255" i="98"/>
  <c r="AX255" i="97"/>
  <c r="BD248" i="97"/>
  <c r="AJ255" i="98"/>
  <c r="AK255" i="98"/>
  <c r="BP255" i="98"/>
  <c r="BB255" i="98"/>
  <c r="BD250" i="98"/>
  <c r="AX255" i="98"/>
  <c r="BD248" i="98"/>
  <c r="BS241" i="98"/>
  <c r="BN220" i="98"/>
  <c r="BM220" i="98"/>
  <c r="BM221" i="98" s="1"/>
  <c r="BS187" i="98"/>
  <c r="AO251" i="97"/>
  <c r="BS254" i="98"/>
  <c r="BA255" i="97"/>
  <c r="AO235" i="98"/>
  <c r="AZ255" i="97"/>
  <c r="AO239" i="97"/>
  <c r="AJ39" i="98"/>
  <c r="AO248" i="98"/>
  <c r="AI255" i="98"/>
  <c r="AI23" i="97"/>
  <c r="BM25" i="98"/>
  <c r="AO241" i="98"/>
  <c r="AI220" i="98"/>
  <c r="AI221" i="98" s="1"/>
  <c r="AJ220" i="98"/>
  <c r="AO253" i="98"/>
  <c r="AM255" i="97"/>
  <c r="AI24" i="97"/>
  <c r="BD252" i="97"/>
  <c r="AJ40" i="97"/>
  <c r="AX26" i="97"/>
  <c r="BM26" i="97"/>
  <c r="AN255" i="98"/>
  <c r="BM24" i="97"/>
  <c r="AO250" i="98"/>
  <c r="BM255" i="97"/>
  <c r="BS248" i="97"/>
  <c r="BS250" i="98"/>
  <c r="AI220" i="97"/>
  <c r="AJ220" i="97"/>
  <c r="AO241" i="97"/>
  <c r="AI221" i="97"/>
  <c r="AO236" i="97"/>
  <c r="BQ255" i="98"/>
  <c r="AY255" i="98"/>
  <c r="BD238" i="98"/>
  <c r="BD241" i="98"/>
  <c r="AX220" i="98"/>
  <c r="AY220" i="98"/>
  <c r="AX27" i="98"/>
  <c r="AO249" i="97"/>
  <c r="BS239" i="97"/>
  <c r="AO238" i="98"/>
  <c r="AO234" i="97"/>
  <c r="BS236" i="98"/>
  <c r="AI26" i="98"/>
  <c r="AO253" i="97"/>
  <c r="AX24" i="97"/>
  <c r="BS252" i="97"/>
  <c r="BS250" i="97"/>
  <c r="AX23" i="98"/>
  <c r="AZ255" i="98"/>
  <c r="BD251" i="97"/>
  <c r="BS249" i="98"/>
  <c r="AX23" i="97"/>
  <c r="BM27" i="97"/>
  <c r="BD253" i="98"/>
  <c r="AO239" i="98"/>
  <c r="BS251" i="97"/>
  <c r="AO252" i="97"/>
  <c r="BM24" i="98"/>
  <c r="BS236" i="97"/>
  <c r="BS240" i="97"/>
  <c r="BO220" i="97"/>
  <c r="AO237" i="98"/>
  <c r="BM27" i="98"/>
  <c r="BM26" i="98"/>
  <c r="BD235" i="98"/>
  <c r="AI23" i="98"/>
  <c r="AJ39" i="97"/>
  <c r="BB255" i="97"/>
  <c r="BS234" i="97"/>
  <c r="AK220" i="97"/>
  <c r="AO240" i="97"/>
  <c r="BS235" i="98"/>
  <c r="AO251" i="98"/>
  <c r="DL27" i="95"/>
  <c r="T31" i="73"/>
  <c r="BO28" i="94"/>
  <c r="Z251" i="94"/>
  <c r="CX148" i="94"/>
  <c r="DG148" i="94" s="1"/>
  <c r="Z235" i="94"/>
  <c r="BR240" i="94"/>
  <c r="BO220" i="94" s="1"/>
  <c r="CX230" i="94"/>
  <c r="Z253" i="94"/>
  <c r="Z237" i="94"/>
  <c r="CX150" i="94"/>
  <c r="DG150" i="94" s="1"/>
  <c r="CX119" i="94"/>
  <c r="DG119" i="94" s="1"/>
  <c r="U38" i="94"/>
  <c r="C27" i="94"/>
  <c r="AK28" i="94"/>
  <c r="T27" i="94"/>
  <c r="C27" i="73"/>
  <c r="T27" i="95"/>
  <c r="DL27" i="94"/>
  <c r="C27" i="95"/>
  <c r="T27" i="73"/>
  <c r="DL27" i="73"/>
  <c r="DL23" i="94"/>
  <c r="BM26" i="94"/>
  <c r="T23" i="94"/>
  <c r="CX176" i="94"/>
  <c r="DG176" i="94" s="1"/>
  <c r="CX172" i="94"/>
  <c r="DG172" i="94" s="1"/>
  <c r="CX175" i="94"/>
  <c r="DG175" i="94" s="1"/>
  <c r="CT26" i="94"/>
  <c r="CX174" i="94"/>
  <c r="DG174" i="94" s="1"/>
  <c r="CX177" i="94"/>
  <c r="DG177" i="94" s="1"/>
  <c r="CX173" i="94"/>
  <c r="DG173" i="94" s="1"/>
  <c r="AO210" i="94"/>
  <c r="AN251" i="94"/>
  <c r="DO283" i="94"/>
  <c r="DO284" i="94"/>
  <c r="DO281" i="94"/>
  <c r="DO282" i="94"/>
  <c r="DO280" i="94"/>
  <c r="AX139" i="94"/>
  <c r="AX140" i="94" s="1"/>
  <c r="BD160" i="94"/>
  <c r="BB250" i="94"/>
  <c r="BD182" i="94"/>
  <c r="AO106" i="94"/>
  <c r="AI86" i="94"/>
  <c r="AI85" i="94"/>
  <c r="BD106" i="94"/>
  <c r="AX85" i="94"/>
  <c r="F281" i="94"/>
  <c r="F282" i="94"/>
  <c r="F280" i="94"/>
  <c r="F284" i="94"/>
  <c r="F283" i="94"/>
  <c r="BA251" i="94"/>
  <c r="BD156" i="94"/>
  <c r="BS133" i="94"/>
  <c r="BM113" i="94"/>
  <c r="AZ251" i="94"/>
  <c r="BD129" i="94"/>
  <c r="BA248" i="94"/>
  <c r="BD153" i="94"/>
  <c r="AJ249" i="94"/>
  <c r="AO100" i="94"/>
  <c r="BN37" i="94"/>
  <c r="BN40" i="94" s="1"/>
  <c r="BN28" i="94"/>
  <c r="AO99" i="94"/>
  <c r="AX254" i="94"/>
  <c r="BD78" i="94"/>
  <c r="BC252" i="94"/>
  <c r="BD211" i="94"/>
  <c r="BC238" i="94"/>
  <c r="U255" i="94"/>
  <c r="AI254" i="94"/>
  <c r="AO78" i="94"/>
  <c r="AX250" i="94"/>
  <c r="BD74" i="94"/>
  <c r="C281" i="94"/>
  <c r="C282" i="94"/>
  <c r="C284" i="94"/>
  <c r="C280" i="94"/>
  <c r="C283" i="94"/>
  <c r="BS129" i="94"/>
  <c r="BO251" i="94"/>
  <c r="CX229" i="94"/>
  <c r="CX228" i="94"/>
  <c r="BR248" i="94"/>
  <c r="BS207" i="94"/>
  <c r="AZ253" i="94"/>
  <c r="BD131" i="94"/>
  <c r="AI58" i="94"/>
  <c r="AO79" i="94"/>
  <c r="AI59" i="94"/>
  <c r="DL281" i="94"/>
  <c r="DL282" i="94"/>
  <c r="DL280" i="94"/>
  <c r="DL283" i="94"/>
  <c r="DL284" i="94"/>
  <c r="BC234" i="94"/>
  <c r="BD207" i="94"/>
  <c r="BC248" i="94"/>
  <c r="AI253" i="94"/>
  <c r="AO77" i="94"/>
  <c r="BR251" i="94"/>
  <c r="BS210" i="94"/>
  <c r="AX248" i="94"/>
  <c r="BD72" i="94"/>
  <c r="AO184" i="94"/>
  <c r="AM252" i="94"/>
  <c r="BS182" i="94"/>
  <c r="BQ250" i="94"/>
  <c r="CF201" i="94"/>
  <c r="CO201" i="94" s="1"/>
  <c r="CB27" i="94"/>
  <c r="CF204" i="94"/>
  <c r="CO204" i="94" s="1"/>
  <c r="CF200" i="94"/>
  <c r="CO200" i="94" s="1"/>
  <c r="CF203" i="94"/>
  <c r="CO203" i="94" s="1"/>
  <c r="CF199" i="94"/>
  <c r="CO199" i="94" s="1"/>
  <c r="CF202" i="94"/>
  <c r="CO202" i="94" s="1"/>
  <c r="Y255" i="94"/>
  <c r="BD77" i="94"/>
  <c r="AX253" i="94"/>
  <c r="H239" i="94"/>
  <c r="C221" i="94"/>
  <c r="C222" i="94" s="1"/>
  <c r="C220" i="94"/>
  <c r="CX231" i="94"/>
  <c r="BP253" i="94"/>
  <c r="BS158" i="94"/>
  <c r="BD154" i="94"/>
  <c r="BA249" i="94"/>
  <c r="BO252" i="94"/>
  <c r="BS130" i="94"/>
  <c r="AY28" i="94"/>
  <c r="AY37" i="94"/>
  <c r="AY39" i="94" s="1"/>
  <c r="BN250" i="94"/>
  <c r="BS101" i="94"/>
  <c r="AO127" i="94"/>
  <c r="AK249" i="94"/>
  <c r="CF120" i="94"/>
  <c r="CO120" i="94" s="1"/>
  <c r="CF123" i="94"/>
  <c r="CO123" i="94" s="1"/>
  <c r="CF119" i="94"/>
  <c r="CO119" i="94" s="1"/>
  <c r="CF122" i="94"/>
  <c r="CO122" i="94" s="1"/>
  <c r="CF118" i="94"/>
  <c r="CO118" i="94" s="1"/>
  <c r="CF121" i="94"/>
  <c r="CO121" i="94" s="1"/>
  <c r="CB24" i="94"/>
  <c r="AZ249" i="94"/>
  <c r="BD127" i="94"/>
  <c r="AL252" i="94"/>
  <c r="AO157" i="94"/>
  <c r="AO207" i="94"/>
  <c r="AN234" i="94"/>
  <c r="AN248" i="94"/>
  <c r="BD100" i="94"/>
  <c r="CX227" i="94"/>
  <c r="DM280" i="94"/>
  <c r="DM283" i="94"/>
  <c r="DM284" i="94"/>
  <c r="DM281" i="94"/>
  <c r="DM282" i="94"/>
  <c r="BD102" i="94"/>
  <c r="AY251" i="94"/>
  <c r="AJ28" i="94"/>
  <c r="AJ37" i="94"/>
  <c r="AJ40" i="94" s="1"/>
  <c r="Z187" i="94"/>
  <c r="AO128" i="94"/>
  <c r="AK250" i="94"/>
  <c r="T25" i="94"/>
  <c r="AL254" i="94"/>
  <c r="AO159" i="94"/>
  <c r="BN249" i="94"/>
  <c r="BS100" i="94"/>
  <c r="AN249" i="94"/>
  <c r="AO208" i="94"/>
  <c r="BS157" i="94"/>
  <c r="BP252" i="94"/>
  <c r="T26" i="94"/>
  <c r="DN282" i="94"/>
  <c r="DN281" i="94"/>
  <c r="DN284" i="94"/>
  <c r="DN283" i="94"/>
  <c r="DN280" i="94"/>
  <c r="BP250" i="94"/>
  <c r="BS155" i="94"/>
  <c r="DL25" i="94"/>
  <c r="E280" i="94"/>
  <c r="E283" i="94"/>
  <c r="E284" i="94"/>
  <c r="E281" i="94"/>
  <c r="E282" i="94"/>
  <c r="AI193" i="94"/>
  <c r="AN241" i="94"/>
  <c r="AO214" i="94"/>
  <c r="AI194" i="94"/>
  <c r="CF145" i="94"/>
  <c r="CO145" i="94" s="1"/>
  <c r="CF147" i="94"/>
  <c r="CO147" i="94" s="1"/>
  <c r="CB25" i="94"/>
  <c r="CF149" i="94"/>
  <c r="CO149" i="94" s="1"/>
  <c r="CF148" i="94"/>
  <c r="CO148" i="94" s="1"/>
  <c r="CF146" i="94"/>
  <c r="CO146" i="94" s="1"/>
  <c r="CF150" i="94"/>
  <c r="CO150" i="94" s="1"/>
  <c r="AJ250" i="94"/>
  <c r="AO101" i="94"/>
  <c r="C22" i="94"/>
  <c r="BS105" i="94"/>
  <c r="BN254" i="94"/>
  <c r="I248" i="94"/>
  <c r="BS79" i="94"/>
  <c r="BM58" i="94"/>
  <c r="AX251" i="94"/>
  <c r="BD75" i="94"/>
  <c r="AX252" i="94"/>
  <c r="BD76" i="94"/>
  <c r="BD128" i="94"/>
  <c r="AZ250" i="94"/>
  <c r="Z248" i="94"/>
  <c r="W255" i="94"/>
  <c r="BO253" i="94"/>
  <c r="BS131" i="94"/>
  <c r="DR235" i="94"/>
  <c r="DR238" i="94"/>
  <c r="DR237" i="94"/>
  <c r="DR236" i="94"/>
  <c r="DR234" i="94"/>
  <c r="DR239" i="94"/>
  <c r="DM220" i="94"/>
  <c r="G282" i="94"/>
  <c r="G280" i="94"/>
  <c r="G283" i="94"/>
  <c r="G284" i="94"/>
  <c r="G281" i="94"/>
  <c r="AO181" i="94"/>
  <c r="AM249" i="94"/>
  <c r="Z238" i="94"/>
  <c r="BB253" i="94"/>
  <c r="BD185" i="94"/>
  <c r="DL26" i="94"/>
  <c r="AJ251" i="94"/>
  <c r="AO102" i="94"/>
  <c r="AY253" i="94"/>
  <c r="BD104" i="94"/>
  <c r="CX118" i="94"/>
  <c r="DG118" i="94" s="1"/>
  <c r="CX122" i="94"/>
  <c r="DG122" i="94" s="1"/>
  <c r="BS74" i="94"/>
  <c r="BM250" i="94"/>
  <c r="AI139" i="94"/>
  <c r="AO160" i="94"/>
  <c r="CX147" i="94"/>
  <c r="DG147" i="94" s="1"/>
  <c r="BB252" i="94"/>
  <c r="BD184" i="94"/>
  <c r="AI248" i="94"/>
  <c r="AO72" i="94"/>
  <c r="C113" i="94"/>
  <c r="C24" i="94" s="1"/>
  <c r="BQ254" i="94"/>
  <c r="BS186" i="94"/>
  <c r="AN250" i="94"/>
  <c r="AO209" i="94"/>
  <c r="T255" i="94"/>
  <c r="DL24" i="94"/>
  <c r="AO74" i="94"/>
  <c r="AI250" i="94"/>
  <c r="BC241" i="94"/>
  <c r="BQ248" i="94"/>
  <c r="BS180" i="94"/>
  <c r="DL220" i="94"/>
  <c r="CX226" i="94"/>
  <c r="BP251" i="94"/>
  <c r="BS156" i="94"/>
  <c r="AM248" i="94"/>
  <c r="AO180" i="94"/>
  <c r="AM253" i="94"/>
  <c r="AO185" i="94"/>
  <c r="AY250" i="94"/>
  <c r="BD101" i="94"/>
  <c r="BM254" i="94"/>
  <c r="BS78" i="94"/>
  <c r="CX66" i="94"/>
  <c r="DG66" i="94" s="1"/>
  <c r="CX65" i="94"/>
  <c r="DG65" i="94" s="1"/>
  <c r="CX69" i="94"/>
  <c r="DG69" i="94" s="1"/>
  <c r="CX68" i="94"/>
  <c r="DG68" i="94" s="1"/>
  <c r="CX64" i="94"/>
  <c r="DG64" i="94" s="1"/>
  <c r="CX67" i="94"/>
  <c r="DG67" i="94" s="1"/>
  <c r="CT22" i="94"/>
  <c r="BC239" i="94"/>
  <c r="BD212" i="94"/>
  <c r="BC253" i="94"/>
  <c r="AL253" i="94"/>
  <c r="AO158" i="94"/>
  <c r="BN251" i="94"/>
  <c r="BS102" i="94"/>
  <c r="BR252" i="94"/>
  <c r="BS211" i="94"/>
  <c r="BD73" i="94"/>
  <c r="AX249" i="94"/>
  <c r="Z249" i="94"/>
  <c r="BM252" i="94"/>
  <c r="BS76" i="94"/>
  <c r="AJ252" i="94"/>
  <c r="AO103" i="94"/>
  <c r="C167" i="94"/>
  <c r="C26" i="94" s="1"/>
  <c r="BC251" i="94"/>
  <c r="BC237" i="94"/>
  <c r="BD210" i="94"/>
  <c r="CF92" i="94"/>
  <c r="CO92" i="94" s="1"/>
  <c r="CF91" i="94"/>
  <c r="CO91" i="94" s="1"/>
  <c r="CB23" i="94"/>
  <c r="BS214" i="94"/>
  <c r="BM193" i="94"/>
  <c r="BR241" i="94"/>
  <c r="DL22" i="94"/>
  <c r="C25" i="94"/>
  <c r="BR239" i="94"/>
  <c r="BR253" i="94"/>
  <c r="BS212" i="94"/>
  <c r="BD208" i="94"/>
  <c r="BC249" i="94"/>
  <c r="BC235" i="94"/>
  <c r="AI166" i="94"/>
  <c r="AO182" i="94"/>
  <c r="AM250" i="94"/>
  <c r="DP280" i="94"/>
  <c r="DP283" i="94"/>
  <c r="DP284" i="94"/>
  <c r="DP282" i="94"/>
  <c r="DP281" i="94"/>
  <c r="T24" i="94"/>
  <c r="AO211" i="94"/>
  <c r="AN252" i="94"/>
  <c r="CF174" i="94"/>
  <c r="CO174" i="94" s="1"/>
  <c r="CF177" i="94"/>
  <c r="CO177" i="94" s="1"/>
  <c r="CF173" i="94"/>
  <c r="CO173" i="94" s="1"/>
  <c r="CF176" i="94"/>
  <c r="CO176" i="94" s="1"/>
  <c r="CF172" i="94"/>
  <c r="CO172" i="94" s="1"/>
  <c r="CF175" i="94"/>
  <c r="CO175" i="94" s="1"/>
  <c r="CB26" i="94"/>
  <c r="BC254" i="94"/>
  <c r="BC240" i="94"/>
  <c r="BD213" i="94"/>
  <c r="BS160" i="94"/>
  <c r="BM139" i="94"/>
  <c r="BM140" i="94" s="1"/>
  <c r="Z240" i="94"/>
  <c r="V220" i="94"/>
  <c r="Z254" i="94"/>
  <c r="Z252" i="94"/>
  <c r="Z234" i="94"/>
  <c r="Z250" i="94"/>
  <c r="D282" i="94"/>
  <c r="D280" i="94"/>
  <c r="D284" i="94"/>
  <c r="D281" i="94"/>
  <c r="D283" i="94"/>
  <c r="BS75" i="94"/>
  <c r="BM251" i="94"/>
  <c r="AZ28" i="94"/>
  <c r="CX121" i="94"/>
  <c r="DG121" i="94" s="1"/>
  <c r="CX123" i="94"/>
  <c r="DG123" i="94" s="1"/>
  <c r="BB249" i="94"/>
  <c r="BD181" i="94"/>
  <c r="Z239" i="94"/>
  <c r="CX146" i="94"/>
  <c r="DG146" i="94" s="1"/>
  <c r="CX145" i="94"/>
  <c r="DG145" i="94" s="1"/>
  <c r="AY254" i="94"/>
  <c r="BD105" i="94"/>
  <c r="BS106" i="94"/>
  <c r="BM85" i="94"/>
  <c r="AO131" i="94"/>
  <c r="AK253" i="94"/>
  <c r="BO250" i="94"/>
  <c r="BS128" i="94"/>
  <c r="C23" i="94"/>
  <c r="BO249" i="94"/>
  <c r="BS127" i="94"/>
  <c r="BS184" i="94"/>
  <c r="BQ252" i="94"/>
  <c r="AX58" i="94"/>
  <c r="AX59" i="94" s="1"/>
  <c r="AX60" i="94" s="1"/>
  <c r="AX193" i="94"/>
  <c r="AO155" i="94"/>
  <c r="AY252" i="94"/>
  <c r="BD103" i="94"/>
  <c r="DQ253" i="94"/>
  <c r="DQ281" i="94" s="1"/>
  <c r="CX203" i="94"/>
  <c r="DG203" i="94" s="1"/>
  <c r="CX199" i="94"/>
  <c r="DG199" i="94" s="1"/>
  <c r="CX202" i="94"/>
  <c r="DG202" i="94" s="1"/>
  <c r="CT27" i="94"/>
  <c r="CT220" i="94"/>
  <c r="CX201" i="94"/>
  <c r="DG201" i="94" s="1"/>
  <c r="CX204" i="94"/>
  <c r="DG204" i="94" s="1"/>
  <c r="CX200" i="94"/>
  <c r="DG200" i="94" s="1"/>
  <c r="BM253" i="94"/>
  <c r="BS77" i="94"/>
  <c r="AJ254" i="94"/>
  <c r="AO105" i="94"/>
  <c r="BN248" i="94"/>
  <c r="BS99" i="94"/>
  <c r="BD99" i="94"/>
  <c r="AY248" i="94"/>
  <c r="BN252" i="94"/>
  <c r="BS103" i="94"/>
  <c r="BS153" i="94"/>
  <c r="BP248" i="94"/>
  <c r="U39" i="94"/>
  <c r="BS183" i="94"/>
  <c r="BQ251" i="94"/>
  <c r="BC250" i="94"/>
  <c r="BD209" i="94"/>
  <c r="BC236" i="94"/>
  <c r="AO133" i="94"/>
  <c r="AI113" i="94"/>
  <c r="AI112" i="94"/>
  <c r="BO254" i="94"/>
  <c r="BS132" i="94"/>
  <c r="AL251" i="94"/>
  <c r="AO156" i="94"/>
  <c r="U220" i="94"/>
  <c r="T220" i="94"/>
  <c r="Z241" i="94"/>
  <c r="T221" i="94"/>
  <c r="BA252" i="94"/>
  <c r="BD157" i="94"/>
  <c r="BR250" i="94"/>
  <c r="BS209" i="94"/>
  <c r="AO213" i="94"/>
  <c r="AN254" i="94"/>
  <c r="BM248" i="94"/>
  <c r="BS72" i="94"/>
  <c r="T22" i="94"/>
  <c r="AK252" i="94"/>
  <c r="AO130" i="94"/>
  <c r="BA253" i="94"/>
  <c r="BD158" i="94"/>
  <c r="AL249" i="94"/>
  <c r="AO154" i="94"/>
  <c r="CX96" i="94"/>
  <c r="DG96" i="94" s="1"/>
  <c r="CX95" i="94"/>
  <c r="DG95" i="94" s="1"/>
  <c r="CX92" i="94"/>
  <c r="DG92" i="94" s="1"/>
  <c r="CX93" i="94"/>
  <c r="DG93" i="94" s="1"/>
  <c r="CX91" i="94"/>
  <c r="DG91" i="94" s="1"/>
  <c r="CT23" i="94"/>
  <c r="CX94" i="94"/>
  <c r="DG94" i="94" s="1"/>
  <c r="BB254" i="94"/>
  <c r="BD186" i="94"/>
  <c r="AK251" i="94"/>
  <c r="AO129" i="94"/>
  <c r="DR248" i="94"/>
  <c r="X255" i="94"/>
  <c r="BO248" i="94"/>
  <c r="BS126" i="94"/>
  <c r="AO132" i="94"/>
  <c r="AK254" i="94"/>
  <c r="Z236" i="94"/>
  <c r="BB248" i="94"/>
  <c r="BD180" i="94"/>
  <c r="BP254" i="94"/>
  <c r="BS159" i="94"/>
  <c r="AO73" i="94"/>
  <c r="AI249" i="94"/>
  <c r="BM249" i="94"/>
  <c r="BS73" i="94"/>
  <c r="H253" i="94"/>
  <c r="I253" i="94" s="1"/>
  <c r="BS208" i="94"/>
  <c r="BR249" i="94"/>
  <c r="AX166" i="94"/>
  <c r="AO183" i="94"/>
  <c r="AM251" i="94"/>
  <c r="CX120" i="94"/>
  <c r="DG120" i="94" s="1"/>
  <c r="BQ253" i="94"/>
  <c r="BS185" i="94"/>
  <c r="AZ248" i="94"/>
  <c r="BD126" i="94"/>
  <c r="AO75" i="94"/>
  <c r="AI251" i="94"/>
  <c r="CX149" i="94"/>
  <c r="DG149" i="94" s="1"/>
  <c r="BQ249" i="94"/>
  <c r="BS181" i="94"/>
  <c r="AO186" i="94"/>
  <c r="AM254" i="94"/>
  <c r="AI252" i="94"/>
  <c r="AO76" i="94"/>
  <c r="AZ254" i="94"/>
  <c r="BD132" i="94"/>
  <c r="AZ252" i="94"/>
  <c r="BD130" i="94"/>
  <c r="V255" i="94"/>
  <c r="BD155" i="94"/>
  <c r="BA250" i="94"/>
  <c r="BD159" i="94"/>
  <c r="AX112" i="94"/>
  <c r="AX113" i="94" s="1"/>
  <c r="BS104" i="94"/>
  <c r="AO104" i="94"/>
  <c r="AO212" i="94"/>
  <c r="C253" i="73"/>
  <c r="C281" i="73" s="1"/>
  <c r="DL22" i="95"/>
  <c r="X281" i="73"/>
  <c r="Z236" i="73"/>
  <c r="CX93" i="73"/>
  <c r="DG93" i="73" s="1"/>
  <c r="T26" i="73"/>
  <c r="C24" i="73"/>
  <c r="DL26" i="73"/>
  <c r="CT23" i="73"/>
  <c r="CX199" i="73"/>
  <c r="DG199" i="73" s="1"/>
  <c r="W255" i="73"/>
  <c r="W286" i="73" s="1"/>
  <c r="DN253" i="73"/>
  <c r="DN283" i="73" s="1"/>
  <c r="DL23" i="73"/>
  <c r="Z239" i="73"/>
  <c r="T24" i="73"/>
  <c r="DR237" i="73"/>
  <c r="DL280" i="73"/>
  <c r="CX123" i="73"/>
  <c r="DG123" i="73" s="1"/>
  <c r="CX146" i="73"/>
  <c r="DG146" i="73" s="1"/>
  <c r="CX96" i="73"/>
  <c r="DG96" i="73" s="1"/>
  <c r="CX68" i="73"/>
  <c r="DG68" i="73" s="1"/>
  <c r="C220" i="73"/>
  <c r="C25" i="73"/>
  <c r="C26" i="73"/>
  <c r="CX231" i="73"/>
  <c r="Z235" i="73"/>
  <c r="DR239" i="73"/>
  <c r="DL281" i="73"/>
  <c r="DL284" i="73"/>
  <c r="CT26" i="73"/>
  <c r="CX65" i="73"/>
  <c r="DG65" i="73" s="1"/>
  <c r="CX94" i="73"/>
  <c r="DG94" i="73" s="1"/>
  <c r="CX173" i="73"/>
  <c r="DG173" i="73" s="1"/>
  <c r="CX204" i="73"/>
  <c r="DG204" i="73" s="1"/>
  <c r="DM284" i="95"/>
  <c r="DR235" i="73"/>
  <c r="CX122" i="73"/>
  <c r="DG122" i="73" s="1"/>
  <c r="CX95" i="73"/>
  <c r="DG95" i="73" s="1"/>
  <c r="CX64" i="73"/>
  <c r="DG64" i="73" s="1"/>
  <c r="CX201" i="73"/>
  <c r="DG201" i="73" s="1"/>
  <c r="Z238" i="73"/>
  <c r="DL220" i="73"/>
  <c r="Z187" i="73"/>
  <c r="DL22" i="73"/>
  <c r="C221" i="73"/>
  <c r="H239" i="73"/>
  <c r="Z241" i="73"/>
  <c r="Z237" i="73"/>
  <c r="CX229" i="73"/>
  <c r="T220" i="73"/>
  <c r="DR236" i="73"/>
  <c r="T25" i="73"/>
  <c r="CX228" i="73"/>
  <c r="CX226" i="73"/>
  <c r="DR234" i="73"/>
  <c r="T221" i="73"/>
  <c r="CX230" i="73"/>
  <c r="Z240" i="73"/>
  <c r="C23" i="73"/>
  <c r="I252" i="73"/>
  <c r="DM280" i="95"/>
  <c r="DM283" i="95"/>
  <c r="Z234" i="73"/>
  <c r="CX121" i="73"/>
  <c r="DG121" i="73" s="1"/>
  <c r="DM282" i="95"/>
  <c r="CX227" i="73"/>
  <c r="CX147" i="73"/>
  <c r="DG147" i="73" s="1"/>
  <c r="E282" i="73"/>
  <c r="E283" i="73"/>
  <c r="E280" i="73"/>
  <c r="E281" i="73"/>
  <c r="E284" i="73"/>
  <c r="DR250" i="73"/>
  <c r="I249" i="73"/>
  <c r="DL25" i="73"/>
  <c r="DL24" i="73"/>
  <c r="C22" i="73"/>
  <c r="G282" i="95"/>
  <c r="CX174" i="73"/>
  <c r="DG174" i="73" s="1"/>
  <c r="CX67" i="73"/>
  <c r="DG67" i="73" s="1"/>
  <c r="CT22" i="73"/>
  <c r="Z249" i="73"/>
  <c r="CX120" i="73"/>
  <c r="DG120" i="73" s="1"/>
  <c r="CT220" i="73"/>
  <c r="CX150" i="73"/>
  <c r="DG150" i="73" s="1"/>
  <c r="CX172" i="73"/>
  <c r="DG172" i="73" s="1"/>
  <c r="CX145" i="73"/>
  <c r="DG145" i="73" s="1"/>
  <c r="CX177" i="73"/>
  <c r="DG177" i="73" s="1"/>
  <c r="CX92" i="73"/>
  <c r="DG92" i="73" s="1"/>
  <c r="CX149" i="73"/>
  <c r="DG149" i="73" s="1"/>
  <c r="CX148" i="73"/>
  <c r="DG148" i="73" s="1"/>
  <c r="CX203" i="73"/>
  <c r="DG203" i="73" s="1"/>
  <c r="CX119" i="73"/>
  <c r="DG119" i="73" s="1"/>
  <c r="CX118" i="73"/>
  <c r="DG118" i="73" s="1"/>
  <c r="CX91" i="73"/>
  <c r="DG91" i="73" s="1"/>
  <c r="CX202" i="73"/>
  <c r="DG202" i="73" s="1"/>
  <c r="CX175" i="73"/>
  <c r="DG175" i="73" s="1"/>
  <c r="G281" i="95"/>
  <c r="DR249" i="73"/>
  <c r="DO284" i="73"/>
  <c r="DO281" i="73"/>
  <c r="DO282" i="73"/>
  <c r="DO280" i="73"/>
  <c r="DO283" i="73"/>
  <c r="G284" i="95"/>
  <c r="G280" i="95"/>
  <c r="D281" i="73"/>
  <c r="D283" i="73"/>
  <c r="D280" i="73"/>
  <c r="D282" i="73"/>
  <c r="D284" i="73"/>
  <c r="DP280" i="73"/>
  <c r="DP282" i="73"/>
  <c r="DP284" i="73"/>
  <c r="DP281" i="73"/>
  <c r="DP283" i="73"/>
  <c r="DR252" i="73"/>
  <c r="C26" i="95"/>
  <c r="W255" i="95"/>
  <c r="W281" i="95" s="1"/>
  <c r="E253" i="95"/>
  <c r="E282" i="95" s="1"/>
  <c r="V255" i="95"/>
  <c r="V285" i="95" s="1"/>
  <c r="DL25" i="95"/>
  <c r="X255" i="95"/>
  <c r="X285" i="95" s="1"/>
  <c r="Z234" i="95"/>
  <c r="DL26" i="95"/>
  <c r="DL23" i="95"/>
  <c r="C25" i="95"/>
  <c r="T23" i="95"/>
  <c r="T25" i="95"/>
  <c r="CX148" i="95"/>
  <c r="DG148" i="95" s="1"/>
  <c r="CT25" i="95"/>
  <c r="CX147" i="95"/>
  <c r="DG147" i="95" s="1"/>
  <c r="CX150" i="95"/>
  <c r="DG150" i="95" s="1"/>
  <c r="CX146" i="95"/>
  <c r="DG146" i="95" s="1"/>
  <c r="CX149" i="95"/>
  <c r="DG149" i="95" s="1"/>
  <c r="CX145" i="95"/>
  <c r="DG145" i="95" s="1"/>
  <c r="C23" i="95"/>
  <c r="DP283" i="95"/>
  <c r="DP280" i="95"/>
  <c r="DP282" i="95"/>
  <c r="DP284" i="95"/>
  <c r="DP281" i="95"/>
  <c r="CF94" i="73"/>
  <c r="CO94" i="73" s="1"/>
  <c r="CF92" i="73"/>
  <c r="CO92" i="73" s="1"/>
  <c r="CF96" i="73"/>
  <c r="CO96" i="73" s="1"/>
  <c r="CF91" i="73"/>
  <c r="CO91" i="73" s="1"/>
  <c r="CF93" i="73"/>
  <c r="CO93" i="73" s="1"/>
  <c r="CB23" i="73"/>
  <c r="CF95" i="73"/>
  <c r="CO95" i="73" s="1"/>
  <c r="CF97" i="73"/>
  <c r="CO97" i="73" s="1"/>
  <c r="Z254" i="95"/>
  <c r="CX201" i="95"/>
  <c r="DG201" i="95" s="1"/>
  <c r="CT27" i="95"/>
  <c r="CX204" i="95"/>
  <c r="DG204" i="95" s="1"/>
  <c r="CX200" i="95"/>
  <c r="DG200" i="95" s="1"/>
  <c r="CX203" i="95"/>
  <c r="DG203" i="95" s="1"/>
  <c r="CX199" i="95"/>
  <c r="DG199" i="95" s="1"/>
  <c r="CX202" i="95"/>
  <c r="DG202" i="95" s="1"/>
  <c r="CT220" i="95"/>
  <c r="C24" i="95"/>
  <c r="CX227" i="95"/>
  <c r="Z251" i="95"/>
  <c r="Z248" i="95"/>
  <c r="T255" i="95"/>
  <c r="CX118" i="95"/>
  <c r="DG118" i="95" s="1"/>
  <c r="CT24" i="95"/>
  <c r="CX123" i="95"/>
  <c r="DG123" i="95" s="1"/>
  <c r="CX122" i="95"/>
  <c r="DG122" i="95" s="1"/>
  <c r="CX121" i="95"/>
  <c r="DG121" i="95" s="1"/>
  <c r="CX120" i="95"/>
  <c r="DG120" i="95" s="1"/>
  <c r="CX119" i="95"/>
  <c r="DG119" i="95" s="1"/>
  <c r="CF151" i="95"/>
  <c r="CO151" i="95" s="1"/>
  <c r="CF147" i="95"/>
  <c r="CO147" i="95" s="1"/>
  <c r="CB25" i="95"/>
  <c r="CF150" i="95"/>
  <c r="CO150" i="95" s="1"/>
  <c r="CF146" i="95"/>
  <c r="CO146" i="95" s="1"/>
  <c r="CF149" i="95"/>
  <c r="CO149" i="95" s="1"/>
  <c r="CF145" i="95"/>
  <c r="CO145" i="95" s="1"/>
  <c r="CF148" i="95"/>
  <c r="CO148" i="95" s="1"/>
  <c r="DL280" i="95"/>
  <c r="DL282" i="95"/>
  <c r="DL284" i="95"/>
  <c r="DL283" i="95"/>
  <c r="DL281" i="95"/>
  <c r="CT23" i="95"/>
  <c r="CX93" i="95"/>
  <c r="DG93" i="95" s="1"/>
  <c r="CX96" i="95"/>
  <c r="DG96" i="95" s="1"/>
  <c r="CX95" i="95"/>
  <c r="DG95" i="95" s="1"/>
  <c r="CX92" i="95"/>
  <c r="DG92" i="95" s="1"/>
  <c r="CX91" i="95"/>
  <c r="DG91" i="95" s="1"/>
  <c r="CX94" i="95"/>
  <c r="DG94" i="95" s="1"/>
  <c r="CB27" i="73"/>
  <c r="CF199" i="73"/>
  <c r="CO199" i="73" s="1"/>
  <c r="CF201" i="73"/>
  <c r="CO201" i="73" s="1"/>
  <c r="CF205" i="73"/>
  <c r="CO205" i="73" s="1"/>
  <c r="CF202" i="73"/>
  <c r="CO202" i="73" s="1"/>
  <c r="CF204" i="73"/>
  <c r="CO204" i="73" s="1"/>
  <c r="CF203" i="73"/>
  <c r="CO203" i="73" s="1"/>
  <c r="CF200" i="73"/>
  <c r="CO200" i="73" s="1"/>
  <c r="Z235" i="95"/>
  <c r="CF151" i="73"/>
  <c r="CO151" i="73" s="1"/>
  <c r="CB25" i="73"/>
  <c r="CF150" i="73"/>
  <c r="CO150" i="73" s="1"/>
  <c r="CF148" i="73"/>
  <c r="CO148" i="73" s="1"/>
  <c r="CF145" i="73"/>
  <c r="CO145" i="73" s="1"/>
  <c r="CF147" i="73"/>
  <c r="CO147" i="73" s="1"/>
  <c r="CF146" i="73"/>
  <c r="CO146" i="73" s="1"/>
  <c r="CF149" i="73"/>
  <c r="CO149" i="73" s="1"/>
  <c r="CX228" i="95"/>
  <c r="T22" i="95"/>
  <c r="Z238" i="95"/>
  <c r="CX229" i="95"/>
  <c r="CB24" i="95"/>
  <c r="CF119" i="95"/>
  <c r="CO119" i="95" s="1"/>
  <c r="CF124" i="95"/>
  <c r="CO124" i="95" s="1"/>
  <c r="CF122" i="95"/>
  <c r="CO122" i="95" s="1"/>
  <c r="CF120" i="95"/>
  <c r="CO120" i="95" s="1"/>
  <c r="CF118" i="95"/>
  <c r="CO118" i="95" s="1"/>
  <c r="CF121" i="95"/>
  <c r="CO121" i="95" s="1"/>
  <c r="CF123" i="95"/>
  <c r="CO123" i="95" s="1"/>
  <c r="Y255" i="95"/>
  <c r="H239" i="95"/>
  <c r="C222" i="95"/>
  <c r="C221" i="95"/>
  <c r="C220" i="95"/>
  <c r="CF95" i="95"/>
  <c r="CO95" i="95" s="1"/>
  <c r="CF97" i="95"/>
  <c r="CO97" i="95" s="1"/>
  <c r="CF96" i="95"/>
  <c r="CO96" i="95" s="1"/>
  <c r="CF91" i="95"/>
  <c r="CO91" i="95" s="1"/>
  <c r="CF92" i="95"/>
  <c r="CO92" i="95" s="1"/>
  <c r="CF94" i="95"/>
  <c r="CO94" i="95" s="1"/>
  <c r="CB23" i="95"/>
  <c r="CF93" i="95"/>
  <c r="CO93" i="95" s="1"/>
  <c r="Z250" i="95"/>
  <c r="DQ253" i="95"/>
  <c r="D280" i="95"/>
  <c r="D282" i="95"/>
  <c r="D284" i="95"/>
  <c r="D281" i="95"/>
  <c r="D283" i="95"/>
  <c r="CT22" i="95"/>
  <c r="CX67" i="95"/>
  <c r="DG67" i="95" s="1"/>
  <c r="CX66" i="95"/>
  <c r="DG66" i="95" s="1"/>
  <c r="CX69" i="95"/>
  <c r="DG69" i="95" s="1"/>
  <c r="CX65" i="95"/>
  <c r="DG65" i="95" s="1"/>
  <c r="CX68" i="95"/>
  <c r="DG68" i="95" s="1"/>
  <c r="CX64" i="95"/>
  <c r="DG64" i="95" s="1"/>
  <c r="Z253" i="95"/>
  <c r="CX230" i="95"/>
  <c r="CF69" i="95"/>
  <c r="CO69" i="95" s="1"/>
  <c r="CF64" i="95"/>
  <c r="CO64" i="95" s="1"/>
  <c r="CF66" i="95"/>
  <c r="CO66" i="95" s="1"/>
  <c r="CF68" i="95"/>
  <c r="CO68" i="95" s="1"/>
  <c r="CF70" i="95"/>
  <c r="CO70" i="95" s="1"/>
  <c r="CF65" i="95"/>
  <c r="CO65" i="95" s="1"/>
  <c r="CF67" i="95"/>
  <c r="CO67" i="95" s="1"/>
  <c r="Z252" i="95"/>
  <c r="CF175" i="95"/>
  <c r="CO175" i="95" s="1"/>
  <c r="CF174" i="95"/>
  <c r="CO174" i="95" s="1"/>
  <c r="CF173" i="95"/>
  <c r="CO173" i="95" s="1"/>
  <c r="CF172" i="95"/>
  <c r="CO172" i="95" s="1"/>
  <c r="CF178" i="95"/>
  <c r="CO178" i="95" s="1"/>
  <c r="CB26" i="95"/>
  <c r="CF177" i="95"/>
  <c r="CO177" i="95" s="1"/>
  <c r="CF176" i="95"/>
  <c r="CO176" i="95" s="1"/>
  <c r="CX231" i="95"/>
  <c r="CF123" i="73"/>
  <c r="CO123" i="73" s="1"/>
  <c r="CF124" i="73"/>
  <c r="CO124" i="73" s="1"/>
  <c r="CF121" i="73"/>
  <c r="CO121" i="73" s="1"/>
  <c r="CF119" i="73"/>
  <c r="CO119" i="73" s="1"/>
  <c r="CF122" i="73"/>
  <c r="CO122" i="73" s="1"/>
  <c r="CF118" i="73"/>
  <c r="CO118" i="73" s="1"/>
  <c r="CF120" i="73"/>
  <c r="CO120" i="73" s="1"/>
  <c r="CB24" i="73"/>
  <c r="Z249" i="95"/>
  <c r="F282" i="95"/>
  <c r="F283" i="95"/>
  <c r="F280" i="95"/>
  <c r="F284" i="95"/>
  <c r="F281" i="95"/>
  <c r="CF64" i="73"/>
  <c r="CO64" i="73" s="1"/>
  <c r="CF65" i="73"/>
  <c r="CO65" i="73" s="1"/>
  <c r="CF70" i="73"/>
  <c r="CO70" i="73" s="1"/>
  <c r="CF66" i="73"/>
  <c r="CO66" i="73" s="1"/>
  <c r="CF67" i="73"/>
  <c r="CO67" i="73" s="1"/>
  <c r="CF69" i="73"/>
  <c r="CO69" i="73" s="1"/>
  <c r="CF68" i="73"/>
  <c r="CO68" i="73" s="1"/>
  <c r="DL24" i="95"/>
  <c r="U255" i="95"/>
  <c r="CF204" i="95"/>
  <c r="CO204" i="95" s="1"/>
  <c r="CF200" i="95"/>
  <c r="CO200" i="95" s="1"/>
  <c r="CF203" i="95"/>
  <c r="CO203" i="95" s="1"/>
  <c r="CF199" i="95"/>
  <c r="CO199" i="95" s="1"/>
  <c r="CF202" i="95"/>
  <c r="CO202" i="95" s="1"/>
  <c r="CB27" i="95"/>
  <c r="CF205" i="95"/>
  <c r="CO205" i="95" s="1"/>
  <c r="CF201" i="95"/>
  <c r="CO201" i="95" s="1"/>
  <c r="U39" i="95"/>
  <c r="Z240" i="95"/>
  <c r="V220" i="95"/>
  <c r="H253" i="95"/>
  <c r="T24" i="95"/>
  <c r="Z241" i="95"/>
  <c r="U220" i="95"/>
  <c r="T220" i="95"/>
  <c r="Z236" i="95"/>
  <c r="DL220" i="95"/>
  <c r="DL221" i="95" s="1"/>
  <c r="Z237" i="95"/>
  <c r="C22" i="95"/>
  <c r="CX226" i="95"/>
  <c r="CF173" i="73"/>
  <c r="CO173" i="73" s="1"/>
  <c r="CF175" i="73"/>
  <c r="CO175" i="73" s="1"/>
  <c r="CF177" i="73"/>
  <c r="CO177" i="73" s="1"/>
  <c r="CB26" i="73"/>
  <c r="CF178" i="73"/>
  <c r="CO178" i="73" s="1"/>
  <c r="CF172" i="73"/>
  <c r="CO172" i="73" s="1"/>
  <c r="CF174" i="73"/>
  <c r="CO174" i="73" s="1"/>
  <c r="CF176" i="73"/>
  <c r="CO176" i="73" s="1"/>
  <c r="Z187" i="95"/>
  <c r="DR237" i="95"/>
  <c r="DR238" i="95"/>
  <c r="DR236" i="95"/>
  <c r="DR234" i="95"/>
  <c r="DR235" i="95"/>
  <c r="DM220" i="95"/>
  <c r="DR239" i="95"/>
  <c r="DN284" i="95"/>
  <c r="DN283" i="95"/>
  <c r="DN282" i="95"/>
  <c r="DN280" i="95"/>
  <c r="DN281" i="95"/>
  <c r="U40" i="95"/>
  <c r="C283" i="95"/>
  <c r="C284" i="95"/>
  <c r="C281" i="95"/>
  <c r="C280" i="95"/>
  <c r="C282" i="95"/>
  <c r="DO284" i="95"/>
  <c r="DO283" i="95"/>
  <c r="DO282" i="95"/>
  <c r="DO280" i="95"/>
  <c r="DO281" i="95"/>
  <c r="CX177" i="95"/>
  <c r="DG177" i="95" s="1"/>
  <c r="CX173" i="95"/>
  <c r="DG173" i="95" s="1"/>
  <c r="CX175" i="95"/>
  <c r="DG175" i="95" s="1"/>
  <c r="CX174" i="95"/>
  <c r="DG174" i="95" s="1"/>
  <c r="CX176" i="95"/>
  <c r="DG176" i="95" s="1"/>
  <c r="CT26" i="95"/>
  <c r="CX172" i="95"/>
  <c r="DG172" i="95" s="1"/>
  <c r="BO28" i="95"/>
  <c r="AO211" i="95"/>
  <c r="AN252" i="95"/>
  <c r="AO208" i="95"/>
  <c r="AN249" i="95"/>
  <c r="AO214" i="95"/>
  <c r="AI194" i="95"/>
  <c r="AN241" i="95"/>
  <c r="AI193" i="95"/>
  <c r="BN28" i="95"/>
  <c r="BN37" i="95"/>
  <c r="BN38" i="95" s="1"/>
  <c r="BS77" i="95"/>
  <c r="BM253" i="95"/>
  <c r="BD181" i="95"/>
  <c r="BB249" i="95"/>
  <c r="BB252" i="95"/>
  <c r="BD184" i="95"/>
  <c r="BS159" i="95"/>
  <c r="BP254" i="95"/>
  <c r="BD73" i="95"/>
  <c r="AX249" i="95"/>
  <c r="AY28" i="95"/>
  <c r="AY37" i="95"/>
  <c r="AY40" i="95" s="1"/>
  <c r="AX252" i="95"/>
  <c r="BD76" i="95"/>
  <c r="AK250" i="95"/>
  <c r="AO128" i="95"/>
  <c r="AK251" i="95"/>
  <c r="AO129" i="95"/>
  <c r="BA251" i="95"/>
  <c r="BD156" i="95"/>
  <c r="BA252" i="95"/>
  <c r="BD157" i="95"/>
  <c r="BO254" i="95"/>
  <c r="BS132" i="95"/>
  <c r="BO252" i="95"/>
  <c r="BS130" i="95"/>
  <c r="BS127" i="95"/>
  <c r="BO249" i="95"/>
  <c r="AX85" i="95"/>
  <c r="BD106" i="95"/>
  <c r="BD103" i="95"/>
  <c r="AY252" i="95"/>
  <c r="AO78" i="95"/>
  <c r="AI254" i="95"/>
  <c r="AK28" i="95"/>
  <c r="AI253" i="95"/>
  <c r="AO77" i="95"/>
  <c r="BQ251" i="95"/>
  <c r="BS183" i="95"/>
  <c r="AO184" i="95"/>
  <c r="AM252" i="95"/>
  <c r="AI166" i="95"/>
  <c r="AZ251" i="95"/>
  <c r="BD129" i="95"/>
  <c r="BD128" i="95"/>
  <c r="AZ250" i="95"/>
  <c r="AO103" i="95"/>
  <c r="AJ252" i="95"/>
  <c r="AJ249" i="95"/>
  <c r="AO100" i="95"/>
  <c r="AO106" i="95"/>
  <c r="AO99" i="95"/>
  <c r="AL250" i="95"/>
  <c r="AO155" i="95"/>
  <c r="AL251" i="95"/>
  <c r="AO156" i="95"/>
  <c r="BC238" i="95"/>
  <c r="BD211" i="95"/>
  <c r="BC252" i="95"/>
  <c r="AN250" i="95"/>
  <c r="AO209" i="95"/>
  <c r="AN253" i="95"/>
  <c r="AO212" i="95"/>
  <c r="BS78" i="95"/>
  <c r="BM254" i="95"/>
  <c r="BM251" i="95"/>
  <c r="BS75" i="95"/>
  <c r="BN248" i="95"/>
  <c r="BS99" i="95"/>
  <c r="BN254" i="95"/>
  <c r="BS105" i="95"/>
  <c r="BS102" i="95"/>
  <c r="BN251" i="95"/>
  <c r="BB250" i="95"/>
  <c r="BD182" i="95"/>
  <c r="BP252" i="95"/>
  <c r="BS157" i="95"/>
  <c r="BS155" i="95"/>
  <c r="BP250" i="95"/>
  <c r="BP251" i="95"/>
  <c r="BS156" i="95"/>
  <c r="AZ28" i="95"/>
  <c r="BD74" i="95"/>
  <c r="AX250" i="95"/>
  <c r="BR248" i="95"/>
  <c r="BS207" i="95"/>
  <c r="BR240" i="95"/>
  <c r="BR254" i="95"/>
  <c r="BS213" i="95"/>
  <c r="BS210" i="95"/>
  <c r="BR251" i="95"/>
  <c r="AO133" i="95"/>
  <c r="AI113" i="95"/>
  <c r="AO126" i="95"/>
  <c r="AI112" i="95"/>
  <c r="BA249" i="95"/>
  <c r="BD154" i="95"/>
  <c r="BS131" i="95"/>
  <c r="BO253" i="95"/>
  <c r="AY253" i="95"/>
  <c r="BD104" i="95"/>
  <c r="AO74" i="95"/>
  <c r="AI250" i="95"/>
  <c r="AI251" i="95"/>
  <c r="AO75" i="95"/>
  <c r="BS184" i="95"/>
  <c r="BQ252" i="95"/>
  <c r="AO182" i="95"/>
  <c r="AM250" i="95"/>
  <c r="AO180" i="95"/>
  <c r="AM248" i="95"/>
  <c r="AM249" i="95"/>
  <c r="AO181" i="95"/>
  <c r="AZ254" i="95"/>
  <c r="BD132" i="95"/>
  <c r="AI85" i="95"/>
  <c r="AJ250" i="95"/>
  <c r="AO101" i="95"/>
  <c r="AJ253" i="95"/>
  <c r="AO104" i="95"/>
  <c r="AL252" i="95"/>
  <c r="AO157" i="95"/>
  <c r="AO154" i="95"/>
  <c r="AO160" i="95"/>
  <c r="AI139" i="95"/>
  <c r="AI140" i="95"/>
  <c r="AO153" i="95"/>
  <c r="BC239" i="95"/>
  <c r="BD212" i="95"/>
  <c r="BC253" i="95"/>
  <c r="BS76" i="95"/>
  <c r="BM252" i="95"/>
  <c r="BS79" i="95"/>
  <c r="BM58" i="95"/>
  <c r="BM59" i="95" s="1"/>
  <c r="BM60" i="95" s="1"/>
  <c r="BN252" i="95"/>
  <c r="BS103" i="95"/>
  <c r="BN249" i="95"/>
  <c r="BS100" i="95"/>
  <c r="BM85" i="95"/>
  <c r="BS106" i="95"/>
  <c r="AX166" i="95"/>
  <c r="BD186" i="95"/>
  <c r="BB254" i="95"/>
  <c r="BP248" i="95"/>
  <c r="BS153" i="95"/>
  <c r="BS154" i="95"/>
  <c r="BP249" i="95"/>
  <c r="BS160" i="95"/>
  <c r="BM139" i="95"/>
  <c r="BD79" i="95"/>
  <c r="AX58" i="95"/>
  <c r="AX59" i="95" s="1"/>
  <c r="AX254" i="95"/>
  <c r="BD78" i="95"/>
  <c r="BS211" i="95"/>
  <c r="BR252" i="95"/>
  <c r="BS208" i="95"/>
  <c r="BR249" i="95"/>
  <c r="BS214" i="95"/>
  <c r="BR241" i="95"/>
  <c r="BM193" i="95"/>
  <c r="AK252" i="95"/>
  <c r="AO130" i="95"/>
  <c r="AO127" i="95"/>
  <c r="AK249" i="95"/>
  <c r="BA253" i="95"/>
  <c r="BD158" i="95"/>
  <c r="BA250" i="95"/>
  <c r="BD155" i="95"/>
  <c r="BS128" i="95"/>
  <c r="BO250" i="95"/>
  <c r="BS129" i="95"/>
  <c r="BO251" i="95"/>
  <c r="AY251" i="95"/>
  <c r="BD102" i="95"/>
  <c r="AY249" i="95"/>
  <c r="BD100" i="95"/>
  <c r="AY250" i="95"/>
  <c r="BD101" i="95"/>
  <c r="AO76" i="95"/>
  <c r="AI252" i="95"/>
  <c r="AO79" i="95"/>
  <c r="AI58" i="95"/>
  <c r="AI59" i="95"/>
  <c r="BS182" i="95"/>
  <c r="BQ250" i="95"/>
  <c r="BQ248" i="95"/>
  <c r="BS180" i="95"/>
  <c r="BQ249" i="95"/>
  <c r="BS181" i="95"/>
  <c r="AM253" i="95"/>
  <c r="AO185" i="95"/>
  <c r="AZ249" i="95"/>
  <c r="BD127" i="95"/>
  <c r="BD133" i="95"/>
  <c r="AX112" i="95"/>
  <c r="AZ248" i="95"/>
  <c r="BD126" i="95"/>
  <c r="AO158" i="95"/>
  <c r="AL253" i="95"/>
  <c r="BD210" i="95"/>
  <c r="BC251" i="95"/>
  <c r="BC237" i="95"/>
  <c r="BD208" i="95"/>
  <c r="BC249" i="95"/>
  <c r="BC235" i="95"/>
  <c r="BD209" i="95"/>
  <c r="BC250" i="95"/>
  <c r="BC236" i="95"/>
  <c r="AO207" i="95"/>
  <c r="AN248" i="95"/>
  <c r="AN234" i="95"/>
  <c r="AO213" i="95"/>
  <c r="AN254" i="95"/>
  <c r="AO210" i="95"/>
  <c r="AN251" i="95"/>
  <c r="BM250" i="95"/>
  <c r="BS74" i="95"/>
  <c r="BM248" i="95"/>
  <c r="BS72" i="95"/>
  <c r="BS73" i="95"/>
  <c r="BM249" i="95"/>
  <c r="BN250" i="95"/>
  <c r="BS101" i="95"/>
  <c r="BS104" i="95"/>
  <c r="BN253" i="95"/>
  <c r="BB253" i="95"/>
  <c r="BD185" i="95"/>
  <c r="BB251" i="95"/>
  <c r="BD183" i="95"/>
  <c r="BD180" i="95"/>
  <c r="BB248" i="95"/>
  <c r="BS158" i="95"/>
  <c r="BP253" i="95"/>
  <c r="BD77" i="95"/>
  <c r="AX253" i="95"/>
  <c r="BD75" i="95"/>
  <c r="AX251" i="95"/>
  <c r="AX248" i="95"/>
  <c r="BD72" i="95"/>
  <c r="BS209" i="95"/>
  <c r="BR250" i="95"/>
  <c r="BS212" i="95"/>
  <c r="BR253" i="95"/>
  <c r="BR239" i="95"/>
  <c r="AO132" i="95"/>
  <c r="AK254" i="95"/>
  <c r="AK253" i="95"/>
  <c r="AO131" i="95"/>
  <c r="AX139" i="95"/>
  <c r="BD160" i="95"/>
  <c r="BA248" i="95"/>
  <c r="BD153" i="95"/>
  <c r="BA254" i="95"/>
  <c r="BD159" i="95"/>
  <c r="BO248" i="95"/>
  <c r="BS126" i="95"/>
  <c r="BM112" i="95"/>
  <c r="BS133" i="95"/>
  <c r="BD99" i="95"/>
  <c r="AY248" i="95"/>
  <c r="AY254" i="95"/>
  <c r="BD105" i="95"/>
  <c r="AJ37" i="95"/>
  <c r="AJ40" i="95" s="1"/>
  <c r="AJ28" i="95"/>
  <c r="AI248" i="95"/>
  <c r="AO72" i="95"/>
  <c r="AO73" i="95"/>
  <c r="AI249" i="95"/>
  <c r="BQ254" i="95"/>
  <c r="BS186" i="95"/>
  <c r="BQ253" i="95"/>
  <c r="BS185" i="95"/>
  <c r="AM254" i="95"/>
  <c r="AO186" i="95"/>
  <c r="AM251" i="95"/>
  <c r="AO183" i="95"/>
  <c r="AZ253" i="95"/>
  <c r="BD131" i="95"/>
  <c r="BD130" i="95"/>
  <c r="AZ252" i="95"/>
  <c r="AJ254" i="95"/>
  <c r="AO105" i="95"/>
  <c r="AJ251" i="95"/>
  <c r="AO102" i="95"/>
  <c r="AO159" i="95"/>
  <c r="AL254" i="95"/>
  <c r="BD214" i="95"/>
  <c r="BC241" i="95"/>
  <c r="AX193" i="95"/>
  <c r="BC248" i="95"/>
  <c r="BD207" i="95"/>
  <c r="BC234" i="95"/>
  <c r="BC240" i="95"/>
  <c r="BC254" i="95"/>
  <c r="BD213" i="95"/>
  <c r="H284" i="73"/>
  <c r="H282" i="73"/>
  <c r="H281" i="73"/>
  <c r="T280" i="73"/>
  <c r="X283" i="73"/>
  <c r="X286" i="73"/>
  <c r="X285" i="73"/>
  <c r="T283" i="73"/>
  <c r="T284" i="73"/>
  <c r="X280" i="73"/>
  <c r="T286" i="73"/>
  <c r="T281" i="73"/>
  <c r="X282" i="73"/>
  <c r="T282" i="73"/>
  <c r="G281" i="73"/>
  <c r="BD209" i="73"/>
  <c r="F280" i="73"/>
  <c r="Y284" i="73"/>
  <c r="Y282" i="73"/>
  <c r="Y280" i="73"/>
  <c r="Y285" i="73"/>
  <c r="Y286" i="73"/>
  <c r="F283" i="73"/>
  <c r="F281" i="73"/>
  <c r="F282" i="73"/>
  <c r="Y283" i="73"/>
  <c r="G283" i="73"/>
  <c r="G284" i="73"/>
  <c r="G280" i="73"/>
  <c r="V282" i="73"/>
  <c r="V284" i="73"/>
  <c r="V280" i="73"/>
  <c r="V286" i="73"/>
  <c r="V285" i="73"/>
  <c r="BC250" i="73"/>
  <c r="BC236" i="73"/>
  <c r="V281" i="73"/>
  <c r="DM285" i="73"/>
  <c r="DQ283" i="73"/>
  <c r="DQ284" i="73"/>
  <c r="DQ280" i="73"/>
  <c r="DQ282" i="73"/>
  <c r="U284" i="73"/>
  <c r="U280" i="73"/>
  <c r="U283" i="73"/>
  <c r="U285" i="73"/>
  <c r="U286" i="73"/>
  <c r="U281" i="73"/>
  <c r="U282" i="73"/>
  <c r="BM166" i="73"/>
  <c r="BC239" i="73"/>
  <c r="BD212" i="73"/>
  <c r="BC253" i="73"/>
  <c r="AO79" i="73"/>
  <c r="AI59" i="73"/>
  <c r="AI58" i="73"/>
  <c r="AO72" i="73"/>
  <c r="AI251" i="73"/>
  <c r="AO75" i="73"/>
  <c r="BM254" i="73"/>
  <c r="BS78" i="73"/>
  <c r="BM249" i="73"/>
  <c r="BS73" i="73"/>
  <c r="BM253" i="73"/>
  <c r="BS77" i="73"/>
  <c r="BR249" i="73"/>
  <c r="BS208" i="73"/>
  <c r="BR253" i="73"/>
  <c r="BS212" i="73"/>
  <c r="BR239" i="73"/>
  <c r="AL251" i="73"/>
  <c r="AO156" i="73"/>
  <c r="AL254" i="73"/>
  <c r="AO159" i="73"/>
  <c r="AO209" i="73"/>
  <c r="AN250" i="73"/>
  <c r="BC235" i="73"/>
  <c r="BD208" i="73"/>
  <c r="BC249" i="73"/>
  <c r="BD180" i="73"/>
  <c r="BB248" i="73"/>
  <c r="BD184" i="73"/>
  <c r="BB252" i="73"/>
  <c r="BO254" i="73"/>
  <c r="BS132" i="73"/>
  <c r="BO249" i="73"/>
  <c r="BS127" i="73"/>
  <c r="BS131" i="73"/>
  <c r="BO253" i="73"/>
  <c r="BC252" i="73"/>
  <c r="BC238" i="73"/>
  <c r="BD211" i="73"/>
  <c r="BP248" i="73"/>
  <c r="BS153" i="73"/>
  <c r="BS156" i="73"/>
  <c r="BP251" i="73"/>
  <c r="BM139" i="73"/>
  <c r="BM140" i="73" s="1"/>
  <c r="BS160" i="73"/>
  <c r="AK254" i="73"/>
  <c r="AO132" i="73"/>
  <c r="AK252" i="73"/>
  <c r="AO130" i="73"/>
  <c r="AM252" i="73"/>
  <c r="AO184" i="73"/>
  <c r="AM253" i="73"/>
  <c r="AO185" i="73"/>
  <c r="AO99" i="73"/>
  <c r="AO106" i="73"/>
  <c r="AI85" i="73"/>
  <c r="AJ249" i="73"/>
  <c r="AO100" i="73"/>
  <c r="AJ253" i="73"/>
  <c r="AO104" i="73"/>
  <c r="BD156" i="73"/>
  <c r="BA251" i="73"/>
  <c r="BN254" i="73"/>
  <c r="BS105" i="73"/>
  <c r="BN250" i="73"/>
  <c r="BS101" i="73"/>
  <c r="AZ252" i="73"/>
  <c r="BD130" i="73"/>
  <c r="AZ253" i="73"/>
  <c r="BD131" i="73"/>
  <c r="AZ28" i="73"/>
  <c r="AX251" i="73"/>
  <c r="BD75" i="73"/>
  <c r="AX58" i="73"/>
  <c r="AX59" i="73" s="1"/>
  <c r="BD79" i="73"/>
  <c r="AY250" i="73"/>
  <c r="BD101" i="73"/>
  <c r="BC251" i="73"/>
  <c r="BC237" i="73"/>
  <c r="BD210" i="73"/>
  <c r="AK28" i="73"/>
  <c r="AI252" i="73"/>
  <c r="AO76" i="73"/>
  <c r="BS79" i="73"/>
  <c r="BM58" i="73"/>
  <c r="BM59" i="73" s="1"/>
  <c r="BM60" i="73" s="1"/>
  <c r="BM250" i="73"/>
  <c r="BS74" i="73"/>
  <c r="BQ249" i="73"/>
  <c r="BS181" i="73"/>
  <c r="BQ248" i="73"/>
  <c r="BS180" i="73"/>
  <c r="BQ254" i="73"/>
  <c r="BS186" i="73"/>
  <c r="BR250" i="73"/>
  <c r="BS209" i="73"/>
  <c r="AO157" i="73"/>
  <c r="AL252" i="73"/>
  <c r="AO160" i="73"/>
  <c r="AI139" i="73"/>
  <c r="AI140" i="73" s="1"/>
  <c r="AO153" i="73"/>
  <c r="AN251" i="73"/>
  <c r="AO210" i="73"/>
  <c r="BB254" i="73"/>
  <c r="BD186" i="73"/>
  <c r="BD181" i="73"/>
  <c r="BB249" i="73"/>
  <c r="BD185" i="73"/>
  <c r="BB253" i="73"/>
  <c r="BO250" i="73"/>
  <c r="BS128" i="73"/>
  <c r="BP249" i="73"/>
  <c r="BS154" i="73"/>
  <c r="AK249" i="73"/>
  <c r="AO127" i="73"/>
  <c r="AK253" i="73"/>
  <c r="AO131" i="73"/>
  <c r="AO186" i="73"/>
  <c r="AM254" i="73"/>
  <c r="AJ254" i="73"/>
  <c r="AO105" i="73"/>
  <c r="AO101" i="73"/>
  <c r="AJ250" i="73"/>
  <c r="BD160" i="73"/>
  <c r="AX139" i="73"/>
  <c r="AX140" i="73" s="1"/>
  <c r="BD153" i="73"/>
  <c r="BA248" i="73"/>
  <c r="BD157" i="73"/>
  <c r="BA252" i="73"/>
  <c r="BM85" i="73"/>
  <c r="BS106" i="73"/>
  <c r="BN251" i="73"/>
  <c r="BS102" i="73"/>
  <c r="AZ254" i="73"/>
  <c r="BD132" i="73"/>
  <c r="BD207" i="73"/>
  <c r="BD72" i="73"/>
  <c r="AX248" i="73"/>
  <c r="AX252" i="73"/>
  <c r="BD76" i="73"/>
  <c r="AY249" i="73"/>
  <c r="BD100" i="73"/>
  <c r="BD105" i="73"/>
  <c r="AY254" i="73"/>
  <c r="AJ37" i="73"/>
  <c r="AJ38" i="73" s="1"/>
  <c r="AJ28" i="73"/>
  <c r="AI249" i="73"/>
  <c r="AO73" i="73"/>
  <c r="AI253" i="73"/>
  <c r="AO77" i="73"/>
  <c r="BN28" i="73"/>
  <c r="BN37" i="73"/>
  <c r="BN39" i="73" s="1"/>
  <c r="BM251" i="73"/>
  <c r="BS75" i="73"/>
  <c r="BS183" i="73"/>
  <c r="BQ251" i="73"/>
  <c r="BQ250" i="73"/>
  <c r="BS182" i="73"/>
  <c r="BR240" i="73"/>
  <c r="BS213" i="73"/>
  <c r="BR254" i="73"/>
  <c r="BR251" i="73"/>
  <c r="BS210" i="73"/>
  <c r="AL250" i="73"/>
  <c r="AO155" i="73"/>
  <c r="AO154" i="73"/>
  <c r="AL249" i="73"/>
  <c r="AN254" i="73"/>
  <c r="AO213" i="73"/>
  <c r="AN248" i="73"/>
  <c r="AN234" i="73"/>
  <c r="AO207" i="73"/>
  <c r="AN252" i="73"/>
  <c r="AO211" i="73"/>
  <c r="AX166" i="73"/>
  <c r="BB250" i="73"/>
  <c r="BD182" i="73"/>
  <c r="BO248" i="73"/>
  <c r="BS126" i="73"/>
  <c r="BO251" i="73"/>
  <c r="BS129" i="73"/>
  <c r="BP253" i="73"/>
  <c r="BS158" i="73"/>
  <c r="AK250" i="73"/>
  <c r="AO128" i="73"/>
  <c r="AM248" i="73"/>
  <c r="AO180" i="73"/>
  <c r="AM249" i="73"/>
  <c r="AO181" i="73"/>
  <c r="AI166" i="73"/>
  <c r="AO102" i="73"/>
  <c r="AJ251" i="73"/>
  <c r="BA249" i="73"/>
  <c r="BD154" i="73"/>
  <c r="BA253" i="73"/>
  <c r="BD158" i="73"/>
  <c r="BS99" i="73"/>
  <c r="BN248" i="73"/>
  <c r="BN252" i="73"/>
  <c r="BS103" i="73"/>
  <c r="AZ248" i="73"/>
  <c r="BD126" i="73"/>
  <c r="AZ249" i="73"/>
  <c r="BD127" i="73"/>
  <c r="BD133" i="73"/>
  <c r="AX112" i="73"/>
  <c r="AX113" i="73" s="1"/>
  <c r="BD73" i="73"/>
  <c r="AX249" i="73"/>
  <c r="AX253" i="73"/>
  <c r="BD77" i="73"/>
  <c r="AY248" i="73"/>
  <c r="BD99" i="73"/>
  <c r="BD104" i="73"/>
  <c r="AY253" i="73"/>
  <c r="BD106" i="73"/>
  <c r="AX85" i="73"/>
  <c r="AI254" i="73"/>
  <c r="AO78" i="73"/>
  <c r="AI250" i="73"/>
  <c r="AO74" i="73"/>
  <c r="BO28" i="73"/>
  <c r="BS72" i="73"/>
  <c r="BM248" i="73"/>
  <c r="BM252" i="73"/>
  <c r="BS76" i="73"/>
  <c r="BQ253" i="73"/>
  <c r="BS185" i="73"/>
  <c r="BQ252" i="73"/>
  <c r="BS184" i="73"/>
  <c r="BM193" i="73"/>
  <c r="BR241" i="73"/>
  <c r="BS214" i="73"/>
  <c r="BR248" i="73"/>
  <c r="BS207" i="73"/>
  <c r="BS211" i="73"/>
  <c r="BR252" i="73"/>
  <c r="AO158" i="73"/>
  <c r="AL253" i="73"/>
  <c r="AN241" i="73"/>
  <c r="AO214" i="73"/>
  <c r="AI194" i="73"/>
  <c r="AI193" i="73"/>
  <c r="AN249" i="73"/>
  <c r="AO208" i="73"/>
  <c r="AN253" i="73"/>
  <c r="AO212" i="73"/>
  <c r="BD214" i="73"/>
  <c r="AX193" i="73"/>
  <c r="BC241" i="73"/>
  <c r="BD183" i="73"/>
  <c r="BB251" i="73"/>
  <c r="BS133" i="73"/>
  <c r="BO252" i="73"/>
  <c r="BS130" i="73"/>
  <c r="BC240" i="73"/>
  <c r="BD213" i="73"/>
  <c r="BC254" i="73"/>
  <c r="BP252" i="73"/>
  <c r="BS157" i="73"/>
  <c r="BS155" i="73"/>
  <c r="BP250" i="73"/>
  <c r="BP254" i="73"/>
  <c r="BS159" i="73"/>
  <c r="AO126" i="73"/>
  <c r="AI112" i="73"/>
  <c r="AI113" i="73" s="1"/>
  <c r="AI114" i="73" s="1"/>
  <c r="AO133" i="73"/>
  <c r="AO129" i="73"/>
  <c r="AK251" i="73"/>
  <c r="AO182" i="73"/>
  <c r="AM250" i="73"/>
  <c r="AM251" i="73"/>
  <c r="AO183" i="73"/>
  <c r="AJ252" i="73"/>
  <c r="AO103" i="73"/>
  <c r="BA254" i="73"/>
  <c r="BD159" i="73"/>
  <c r="BA250" i="73"/>
  <c r="BD155" i="73"/>
  <c r="BS100" i="73"/>
  <c r="BN249" i="73"/>
  <c r="BN253" i="73"/>
  <c r="BS104" i="73"/>
  <c r="BD128" i="73"/>
  <c r="AZ250" i="73"/>
  <c r="AZ251" i="73"/>
  <c r="BD129" i="73"/>
  <c r="BC234" i="73"/>
  <c r="AY28" i="73"/>
  <c r="AY37" i="73"/>
  <c r="AY40" i="73" s="1"/>
  <c r="AX250" i="73"/>
  <c r="BD74" i="73"/>
  <c r="AX254" i="73"/>
  <c r="BD78" i="73"/>
  <c r="AY252" i="73"/>
  <c r="BD103" i="73"/>
  <c r="AY251" i="73"/>
  <c r="BD102" i="73"/>
  <c r="S5" i="330"/>
  <c r="F26" i="152"/>
  <c r="K6" i="330"/>
  <c r="G28" i="152"/>
  <c r="J5" i="330"/>
  <c r="G28" i="158"/>
  <c r="T5" i="330"/>
  <c r="F26" i="157"/>
  <c r="J7" i="330"/>
  <c r="G26" i="158"/>
  <c r="G26" i="156"/>
  <c r="G24" i="153"/>
  <c r="G24" i="156"/>
  <c r="T6" i="330"/>
  <c r="G24" i="158"/>
  <c r="G28" i="157"/>
  <c r="F28" i="156"/>
  <c r="L5" i="330"/>
  <c r="F24" i="153"/>
  <c r="G26" i="152"/>
  <c r="F24" i="157"/>
  <c r="N8" i="330"/>
  <c r="K5" i="330"/>
  <c r="F28" i="157"/>
  <c r="M8" i="330"/>
  <c r="R5" i="330"/>
  <c r="G28" i="153"/>
  <c r="F24" i="158"/>
  <c r="L6" i="330"/>
  <c r="G24" i="152"/>
  <c r="L7" i="330"/>
  <c r="F28" i="152"/>
  <c r="T7" i="330"/>
  <c r="F26" i="153"/>
  <c r="F24" i="156"/>
  <c r="R7" i="330"/>
  <c r="K7" i="330"/>
  <c r="G26" i="153"/>
  <c r="G28" i="156"/>
  <c r="M9" i="330"/>
  <c r="J6" i="330"/>
  <c r="F28" i="158"/>
  <c r="S6" i="330"/>
  <c r="G26" i="157"/>
  <c r="F26" i="156"/>
  <c r="S7" i="330"/>
  <c r="F28" i="153"/>
  <c r="F24" i="152"/>
  <c r="N9" i="330"/>
  <c r="G24" i="157"/>
  <c r="F26" i="158"/>
  <c r="R6" i="330"/>
  <c r="DL285" i="97" l="1"/>
  <c r="DR282" i="97"/>
  <c r="CV23" i="97"/>
  <c r="DA23" i="97" s="1"/>
  <c r="CH11" i="73"/>
  <c r="CZ12" i="95"/>
  <c r="DA12" i="95" s="1"/>
  <c r="CH11" i="94"/>
  <c r="CV22" i="97"/>
  <c r="DA22" i="97" s="1"/>
  <c r="CZ16" i="73"/>
  <c r="DA16" i="73" s="1"/>
  <c r="CZ15" i="73"/>
  <c r="DA15" i="73" s="1"/>
  <c r="CZ13" i="73"/>
  <c r="DA13" i="73" s="1"/>
  <c r="CZ16" i="94"/>
  <c r="DA16" i="94" s="1"/>
  <c r="CD24" i="94"/>
  <c r="CV23" i="95"/>
  <c r="DA23" i="95" s="1"/>
  <c r="CV24" i="95"/>
  <c r="CV24" i="94"/>
  <c r="CV22" i="94"/>
  <c r="CV23" i="94"/>
  <c r="CV24" i="97"/>
  <c r="CZ16" i="95"/>
  <c r="CZ14" i="73"/>
  <c r="DA14" i="73" s="1"/>
  <c r="CZ14" i="94"/>
  <c r="DA14" i="94" s="1"/>
  <c r="CI11" i="94"/>
  <c r="CZ12" i="94"/>
  <c r="DA12" i="94" s="1"/>
  <c r="CD24" i="95"/>
  <c r="CD23" i="95"/>
  <c r="CD22" i="95"/>
  <c r="CD24" i="73"/>
  <c r="CD22" i="73"/>
  <c r="CD23" i="73"/>
  <c r="CV22" i="73"/>
  <c r="CV22" i="95"/>
  <c r="CI24" i="98"/>
  <c r="CD24" i="98"/>
  <c r="CD22" i="98"/>
  <c r="CI22" i="98" s="1"/>
  <c r="CD23" i="98"/>
  <c r="DA24" i="97"/>
  <c r="CH11" i="95"/>
  <c r="CZ11" i="95"/>
  <c r="DA11" i="95" s="1"/>
  <c r="CZ13" i="95"/>
  <c r="DA13" i="95" s="1"/>
  <c r="CZ11" i="73"/>
  <c r="DA11" i="73" s="1"/>
  <c r="CZ12" i="73"/>
  <c r="DA12" i="73" s="1"/>
  <c r="CZ11" i="94"/>
  <c r="DA11" i="94" s="1"/>
  <c r="CZ13" i="94"/>
  <c r="DR280" i="97"/>
  <c r="DR285" i="97" s="1"/>
  <c r="CV22" i="98"/>
  <c r="DA22" i="98" s="1"/>
  <c r="CV24" i="98"/>
  <c r="DA24" i="98"/>
  <c r="CV23" i="98"/>
  <c r="DA23" i="98" s="1"/>
  <c r="CI24" i="97"/>
  <c r="CD24" i="97"/>
  <c r="CD23" i="97"/>
  <c r="CD22" i="97"/>
  <c r="CI22" i="97" s="1"/>
  <c r="CZ15" i="95"/>
  <c r="DA15" i="95" s="1"/>
  <c r="CZ14" i="95"/>
  <c r="DA14" i="95" s="1"/>
  <c r="DA24" i="95" s="1"/>
  <c r="CZ15" i="94"/>
  <c r="DA15" i="94" s="1"/>
  <c r="DA24" i="94" s="1"/>
  <c r="DA24" i="73"/>
  <c r="CV24" i="73"/>
  <c r="CV23" i="73"/>
  <c r="CH16" i="95"/>
  <c r="CI16" i="95" s="1"/>
  <c r="CH13" i="95"/>
  <c r="CI13" i="95" s="1"/>
  <c r="CH12" i="95"/>
  <c r="CH17" i="95"/>
  <c r="CH15" i="95"/>
  <c r="CI15" i="95" s="1"/>
  <c r="CH14" i="95"/>
  <c r="CI14" i="95" s="1"/>
  <c r="CH12" i="73"/>
  <c r="CH13" i="73"/>
  <c r="CI13" i="73" s="1"/>
  <c r="CH16" i="73"/>
  <c r="CI16" i="73" s="1"/>
  <c r="CH15" i="73"/>
  <c r="CI15" i="73" s="1"/>
  <c r="CH14" i="73"/>
  <c r="CI14" i="73" s="1"/>
  <c r="CH17" i="73"/>
  <c r="CI17" i="73" s="1"/>
  <c r="CI12" i="97"/>
  <c r="CI12" i="98"/>
  <c r="CH15" i="94"/>
  <c r="CH13" i="94"/>
  <c r="CI13" i="94" s="1"/>
  <c r="CH12" i="94"/>
  <c r="CI12" i="94" s="1"/>
  <c r="CI24" i="94" s="1"/>
  <c r="CH16" i="94"/>
  <c r="CI16" i="94" s="1"/>
  <c r="CH14" i="94"/>
  <c r="CI14" i="94" s="1"/>
  <c r="CD22" i="94"/>
  <c r="CD23" i="94"/>
  <c r="E285" i="97"/>
  <c r="U31" i="98"/>
  <c r="U31" i="97"/>
  <c r="H28" i="153"/>
  <c r="H28" i="156"/>
  <c r="H28" i="152"/>
  <c r="H28" i="158"/>
  <c r="H28" i="157"/>
  <c r="H26" i="156"/>
  <c r="H26" i="157"/>
  <c r="H26" i="158"/>
  <c r="H26" i="152"/>
  <c r="H26" i="153"/>
  <c r="H24" i="153"/>
  <c r="H24" i="152"/>
  <c r="H24" i="157"/>
  <c r="H24" i="156"/>
  <c r="H24" i="158"/>
  <c r="Y6" i="330"/>
  <c r="X6" i="330"/>
  <c r="Z6" i="330"/>
  <c r="AA8" i="330"/>
  <c r="X7" i="330"/>
  <c r="AA9" i="330"/>
  <c r="Z7" i="330"/>
  <c r="Y7" i="330"/>
  <c r="X5" i="330"/>
  <c r="Z5" i="330"/>
  <c r="Y5" i="330"/>
  <c r="D285" i="97"/>
  <c r="AI222" i="73"/>
  <c r="BM31" i="98"/>
  <c r="E285" i="98"/>
  <c r="F285" i="97"/>
  <c r="G285" i="98"/>
  <c r="X287" i="98"/>
  <c r="G285" i="97"/>
  <c r="D285" i="98"/>
  <c r="AI31" i="98"/>
  <c r="W287" i="98"/>
  <c r="F285" i="98"/>
  <c r="I239" i="94"/>
  <c r="I235" i="94"/>
  <c r="I234" i="94"/>
  <c r="I238" i="94"/>
  <c r="I237" i="94"/>
  <c r="I236" i="94"/>
  <c r="I239" i="95"/>
  <c r="I237" i="95"/>
  <c r="I238" i="95"/>
  <c r="I235" i="95"/>
  <c r="I236" i="95"/>
  <c r="I234" i="95"/>
  <c r="I239" i="73"/>
  <c r="I236" i="73"/>
  <c r="I234" i="73"/>
  <c r="I237" i="73"/>
  <c r="I238" i="73"/>
  <c r="I235" i="73"/>
  <c r="I284" i="97"/>
  <c r="BO282" i="98"/>
  <c r="W283" i="73"/>
  <c r="Z283" i="73" s="1"/>
  <c r="D220" i="73"/>
  <c r="BO285" i="98"/>
  <c r="BO283" i="98"/>
  <c r="BO280" i="98"/>
  <c r="BO281" i="98"/>
  <c r="BO286" i="98"/>
  <c r="AX31" i="97"/>
  <c r="Z255" i="73"/>
  <c r="W285" i="73"/>
  <c r="Z285" i="73" s="1"/>
  <c r="W284" i="73"/>
  <c r="Z284" i="73" s="1"/>
  <c r="W281" i="73"/>
  <c r="W280" i="73"/>
  <c r="Z280" i="73" s="1"/>
  <c r="I282" i="97"/>
  <c r="BN282" i="98"/>
  <c r="AK282" i="97"/>
  <c r="BN280" i="98"/>
  <c r="BN286" i="98"/>
  <c r="BN283" i="98"/>
  <c r="BN285" i="98"/>
  <c r="AK280" i="97"/>
  <c r="BN281" i="98"/>
  <c r="AK281" i="97"/>
  <c r="I283" i="97"/>
  <c r="I281" i="98"/>
  <c r="Y287" i="98"/>
  <c r="Z285" i="97"/>
  <c r="Z282" i="97"/>
  <c r="AX31" i="98"/>
  <c r="AI222" i="94"/>
  <c r="AI222" i="95"/>
  <c r="Z281" i="98"/>
  <c r="BM222" i="73"/>
  <c r="BM222" i="94"/>
  <c r="I281" i="97"/>
  <c r="AX221" i="73"/>
  <c r="AX222" i="73"/>
  <c r="AX222" i="95"/>
  <c r="AX221" i="95"/>
  <c r="BR281" i="98"/>
  <c r="BR282" i="98"/>
  <c r="I284" i="98"/>
  <c r="BM31" i="97"/>
  <c r="BD239" i="94"/>
  <c r="AO239" i="73"/>
  <c r="BM222" i="95"/>
  <c r="AX222" i="94"/>
  <c r="AX221" i="94"/>
  <c r="I282" i="98"/>
  <c r="DR253" i="95"/>
  <c r="DQ281" i="95"/>
  <c r="DR281" i="95" s="1"/>
  <c r="AK284" i="97"/>
  <c r="AK285" i="97"/>
  <c r="AK286" i="97"/>
  <c r="T26" i="95"/>
  <c r="DL285" i="73"/>
  <c r="T287" i="98"/>
  <c r="Z280" i="98"/>
  <c r="DR280" i="98"/>
  <c r="DR285" i="98" s="1"/>
  <c r="DQ285" i="98"/>
  <c r="DN284" i="73"/>
  <c r="DR284" i="73" s="1"/>
  <c r="BR285" i="98"/>
  <c r="BR286" i="98"/>
  <c r="V287" i="98"/>
  <c r="H285" i="97"/>
  <c r="Z284" i="98"/>
  <c r="Z286" i="98"/>
  <c r="Z283" i="97"/>
  <c r="BR284" i="98"/>
  <c r="BR283" i="98"/>
  <c r="I283" i="98"/>
  <c r="Z285" i="98"/>
  <c r="Z282" i="98"/>
  <c r="Z284" i="97"/>
  <c r="T287" i="97"/>
  <c r="Z280" i="97"/>
  <c r="W287" i="97"/>
  <c r="Y287" i="97"/>
  <c r="U287" i="97"/>
  <c r="X287" i="97"/>
  <c r="U287" i="98"/>
  <c r="C285" i="97"/>
  <c r="I280" i="97"/>
  <c r="C285" i="98"/>
  <c r="I280" i="98"/>
  <c r="DQ285" i="97"/>
  <c r="Z283" i="98"/>
  <c r="H285" i="98"/>
  <c r="Z281" i="97"/>
  <c r="Z286" i="97"/>
  <c r="V287" i="97"/>
  <c r="AI31" i="97"/>
  <c r="BQ286" i="98"/>
  <c r="BQ284" i="98"/>
  <c r="BQ281" i="98"/>
  <c r="BQ280" i="98"/>
  <c r="BQ285" i="98"/>
  <c r="BQ282" i="98"/>
  <c r="BQ283" i="98"/>
  <c r="BB283" i="98"/>
  <c r="BB285" i="98"/>
  <c r="BB282" i="98"/>
  <c r="BB286" i="98"/>
  <c r="BB280" i="98"/>
  <c r="BB284" i="98"/>
  <c r="BB281" i="98"/>
  <c r="AL281" i="98"/>
  <c r="AL286" i="98"/>
  <c r="AL282" i="98"/>
  <c r="AL285" i="98"/>
  <c r="AL283" i="98"/>
  <c r="AL284" i="98"/>
  <c r="AL280" i="98"/>
  <c r="AN286" i="98"/>
  <c r="AN281" i="98"/>
  <c r="AN283" i="98"/>
  <c r="AN285" i="98"/>
  <c r="AN280" i="98"/>
  <c r="AN284" i="98"/>
  <c r="AN282" i="98"/>
  <c r="AI286" i="98"/>
  <c r="AO255" i="98"/>
  <c r="AI285" i="98"/>
  <c r="AI282" i="98"/>
  <c r="AI281" i="98"/>
  <c r="AI284" i="98"/>
  <c r="AI283" i="98"/>
  <c r="AI280" i="98"/>
  <c r="AZ280" i="97"/>
  <c r="AZ281" i="97"/>
  <c r="AZ284" i="97"/>
  <c r="AZ283" i="97"/>
  <c r="AZ285" i="97"/>
  <c r="AZ282" i="97"/>
  <c r="AZ286" i="97"/>
  <c r="BP281" i="98"/>
  <c r="BP280" i="98"/>
  <c r="BP282" i="98"/>
  <c r="BP283" i="98"/>
  <c r="BP284" i="98"/>
  <c r="BP285" i="98"/>
  <c r="BP286" i="98"/>
  <c r="AX281" i="97"/>
  <c r="AX284" i="97"/>
  <c r="AX282" i="97"/>
  <c r="BD255" i="97"/>
  <c r="AX283" i="97"/>
  <c r="AX280" i="97"/>
  <c r="AX285" i="97"/>
  <c r="AX286" i="97"/>
  <c r="BO286" i="97"/>
  <c r="BO283" i="97"/>
  <c r="BO280" i="97"/>
  <c r="BO285" i="97"/>
  <c r="BO284" i="97"/>
  <c r="BO281" i="97"/>
  <c r="BO282" i="97"/>
  <c r="BR284" i="97"/>
  <c r="BR283" i="97"/>
  <c r="BR280" i="97"/>
  <c r="BR285" i="97"/>
  <c r="BR282" i="97"/>
  <c r="BR281" i="97"/>
  <c r="BR286" i="97"/>
  <c r="BC282" i="97"/>
  <c r="BC280" i="97"/>
  <c r="BC281" i="97"/>
  <c r="BC285" i="97"/>
  <c r="BC286" i="97"/>
  <c r="BC283" i="97"/>
  <c r="BC284" i="97"/>
  <c r="BN281" i="97"/>
  <c r="BN282" i="97"/>
  <c r="BN284" i="97"/>
  <c r="BN283" i="97"/>
  <c r="BN280" i="97"/>
  <c r="BN285" i="97"/>
  <c r="BN286" i="97"/>
  <c r="BB285" i="97"/>
  <c r="BB280" i="97"/>
  <c r="BB281" i="97"/>
  <c r="BB284" i="97"/>
  <c r="BB283" i="97"/>
  <c r="BB282" i="97"/>
  <c r="BB286" i="97"/>
  <c r="AZ284" i="98"/>
  <c r="AZ281" i="98"/>
  <c r="AZ283" i="98"/>
  <c r="AZ285" i="98"/>
  <c r="AZ286" i="98"/>
  <c r="AZ282" i="98"/>
  <c r="AZ280" i="98"/>
  <c r="BM285" i="97"/>
  <c r="BM281" i="97"/>
  <c r="BM284" i="97"/>
  <c r="BM283" i="97"/>
  <c r="BM286" i="97"/>
  <c r="BM280" i="97"/>
  <c r="BM282" i="97"/>
  <c r="BS255" i="97"/>
  <c r="AX280" i="98"/>
  <c r="AX283" i="98"/>
  <c r="AX285" i="98"/>
  <c r="AX282" i="98"/>
  <c r="AX281" i="98"/>
  <c r="BD255" i="98"/>
  <c r="AX286" i="98"/>
  <c r="AX284" i="98"/>
  <c r="AK282" i="98"/>
  <c r="AK286" i="98"/>
  <c r="AK285" i="98"/>
  <c r="AK281" i="98"/>
  <c r="AK280" i="98"/>
  <c r="AK284" i="98"/>
  <c r="AK283" i="98"/>
  <c r="BC285" i="98"/>
  <c r="BC280" i="98"/>
  <c r="BC283" i="98"/>
  <c r="BC284" i="98"/>
  <c r="BC286" i="98"/>
  <c r="BC281" i="98"/>
  <c r="BC282" i="98"/>
  <c r="BQ280" i="97"/>
  <c r="BQ283" i="97"/>
  <c r="BQ285" i="97"/>
  <c r="BQ282" i="97"/>
  <c r="BQ284" i="97"/>
  <c r="BQ281" i="97"/>
  <c r="BQ286" i="97"/>
  <c r="BP286" i="97"/>
  <c r="BP284" i="97"/>
  <c r="BP281" i="97"/>
  <c r="BP280" i="97"/>
  <c r="BP285" i="97"/>
  <c r="BP282" i="97"/>
  <c r="BP283" i="97"/>
  <c r="BA280" i="98"/>
  <c r="BA283" i="98"/>
  <c r="BA285" i="98"/>
  <c r="BA282" i="98"/>
  <c r="BA286" i="98"/>
  <c r="BA284" i="98"/>
  <c r="BA281" i="98"/>
  <c r="AY286" i="97"/>
  <c r="AY285" i="97"/>
  <c r="AY284" i="97"/>
  <c r="AY282" i="97"/>
  <c r="AY281" i="97"/>
  <c r="AY283" i="97"/>
  <c r="AY280" i="97"/>
  <c r="AI283" i="97"/>
  <c r="AI280" i="97"/>
  <c r="AI281" i="97"/>
  <c r="AI286" i="97"/>
  <c r="AI284" i="97"/>
  <c r="AI285" i="97"/>
  <c r="AI282" i="97"/>
  <c r="AO255" i="97"/>
  <c r="AY283" i="98"/>
  <c r="AY286" i="98"/>
  <c r="AY285" i="98"/>
  <c r="AY280" i="98"/>
  <c r="AY281" i="98"/>
  <c r="AY284" i="98"/>
  <c r="AY282" i="98"/>
  <c r="AM281" i="97"/>
  <c r="AM286" i="97"/>
  <c r="AM284" i="97"/>
  <c r="AM282" i="97"/>
  <c r="AM280" i="97"/>
  <c r="AM285" i="97"/>
  <c r="AM283" i="97"/>
  <c r="BA282" i="97"/>
  <c r="BA280" i="97"/>
  <c r="BA283" i="97"/>
  <c r="BA281" i="97"/>
  <c r="BA286" i="97"/>
  <c r="BA285" i="97"/>
  <c r="BA284" i="97"/>
  <c r="AJ286" i="98"/>
  <c r="AJ283" i="98"/>
  <c r="AJ284" i="98"/>
  <c r="AJ280" i="98"/>
  <c r="AJ285" i="98"/>
  <c r="AJ281" i="98"/>
  <c r="AJ282" i="98"/>
  <c r="AL284" i="97"/>
  <c r="AL285" i="97"/>
  <c r="AL280" i="97"/>
  <c r="AL281" i="97"/>
  <c r="AL282" i="97"/>
  <c r="AL283" i="97"/>
  <c r="AL286" i="97"/>
  <c r="AN284" i="97"/>
  <c r="AN285" i="97"/>
  <c r="AN281" i="97"/>
  <c r="AN282" i="97"/>
  <c r="AN286" i="97"/>
  <c r="AN283" i="97"/>
  <c r="AN280" i="97"/>
  <c r="BM280" i="98"/>
  <c r="BM285" i="98"/>
  <c r="BM283" i="98"/>
  <c r="BS255" i="98"/>
  <c r="BM282" i="98"/>
  <c r="BM281" i="98"/>
  <c r="BM284" i="98"/>
  <c r="BM286" i="98"/>
  <c r="AJ286" i="97"/>
  <c r="AJ284" i="97"/>
  <c r="AJ281" i="97"/>
  <c r="AJ282" i="97"/>
  <c r="AJ285" i="97"/>
  <c r="AJ280" i="97"/>
  <c r="AJ283" i="97"/>
  <c r="AM283" i="98"/>
  <c r="AM286" i="98"/>
  <c r="AM281" i="98"/>
  <c r="AM280" i="98"/>
  <c r="AM285" i="98"/>
  <c r="AM282" i="98"/>
  <c r="AM284" i="98"/>
  <c r="W282" i="73"/>
  <c r="Z282" i="73" s="1"/>
  <c r="DN280" i="73"/>
  <c r="DR280" i="73" s="1"/>
  <c r="C282" i="73"/>
  <c r="I282" i="73" s="1"/>
  <c r="C280" i="73"/>
  <c r="I280" i="73" s="1"/>
  <c r="AO236" i="94"/>
  <c r="AO237" i="95"/>
  <c r="AO234" i="95"/>
  <c r="AJ39" i="94"/>
  <c r="BD236" i="94"/>
  <c r="AY38" i="94"/>
  <c r="AO236" i="95"/>
  <c r="T31" i="95"/>
  <c r="I253" i="73"/>
  <c r="DN281" i="73"/>
  <c r="DR281" i="73" s="1"/>
  <c r="AJ38" i="94"/>
  <c r="BO255" i="94"/>
  <c r="BO282" i="94" s="1"/>
  <c r="BM24" i="94"/>
  <c r="G285" i="94"/>
  <c r="AO238" i="94"/>
  <c r="BN39" i="94"/>
  <c r="T31" i="94"/>
  <c r="BD235" i="94"/>
  <c r="BN38" i="94"/>
  <c r="BD237" i="94"/>
  <c r="BD238" i="94"/>
  <c r="AX27" i="94"/>
  <c r="AI27" i="73"/>
  <c r="AO234" i="94"/>
  <c r="AO252" i="94"/>
  <c r="AI27" i="94"/>
  <c r="AK255" i="94"/>
  <c r="AK281" i="94" s="1"/>
  <c r="AM255" i="94"/>
  <c r="AM284" i="94" s="1"/>
  <c r="AJ255" i="94"/>
  <c r="AJ282" i="94" s="1"/>
  <c r="BM27" i="95"/>
  <c r="AL255" i="94"/>
  <c r="AL281" i="94" s="1"/>
  <c r="AI24" i="94"/>
  <c r="BM27" i="73"/>
  <c r="AX27" i="95"/>
  <c r="AI27" i="95"/>
  <c r="BM27" i="94"/>
  <c r="AX27" i="73"/>
  <c r="AI26" i="94"/>
  <c r="BS249" i="94"/>
  <c r="BP255" i="94"/>
  <c r="DQ282" i="94"/>
  <c r="DR282" i="94" s="1"/>
  <c r="DQ283" i="94"/>
  <c r="DR283" i="94" s="1"/>
  <c r="DQ284" i="94"/>
  <c r="DR284" i="94" s="1"/>
  <c r="DR281" i="94"/>
  <c r="DQ280" i="94"/>
  <c r="DR280" i="94" s="1"/>
  <c r="DP285" i="94"/>
  <c r="BS241" i="94"/>
  <c r="BN220" i="94"/>
  <c r="BM220" i="94"/>
  <c r="BM221" i="94" s="1"/>
  <c r="BS238" i="94"/>
  <c r="W280" i="94"/>
  <c r="W286" i="94"/>
  <c r="W283" i="94"/>
  <c r="W284" i="94"/>
  <c r="W285" i="94"/>
  <c r="W282" i="94"/>
  <c r="W281" i="94"/>
  <c r="BN255" i="94"/>
  <c r="E285" i="94"/>
  <c r="DL285" i="94"/>
  <c r="BR255" i="94"/>
  <c r="BD250" i="94"/>
  <c r="AX26" i="94"/>
  <c r="AO249" i="94"/>
  <c r="X286" i="94"/>
  <c r="X280" i="94"/>
  <c r="X282" i="94"/>
  <c r="X284" i="94"/>
  <c r="X281" i="94"/>
  <c r="X283" i="94"/>
  <c r="X285" i="94"/>
  <c r="BS236" i="94"/>
  <c r="AY255" i="94"/>
  <c r="D285" i="94"/>
  <c r="BD249" i="94"/>
  <c r="BS252" i="94"/>
  <c r="BS254" i="94"/>
  <c r="AY220" i="94"/>
  <c r="AX220" i="94"/>
  <c r="BD241" i="94"/>
  <c r="AO248" i="94"/>
  <c r="AI255" i="94"/>
  <c r="BS250" i="94"/>
  <c r="BD252" i="94"/>
  <c r="BD251" i="94"/>
  <c r="AO241" i="94"/>
  <c r="AI220" i="94"/>
  <c r="AI221" i="94" s="1"/>
  <c r="AJ220" i="94"/>
  <c r="DN285" i="94"/>
  <c r="AO235" i="94"/>
  <c r="Y281" i="94"/>
  <c r="Y280" i="94"/>
  <c r="Y282" i="94"/>
  <c r="Y285" i="94"/>
  <c r="Y284" i="94"/>
  <c r="Y283" i="94"/>
  <c r="Y286" i="94"/>
  <c r="AX255" i="94"/>
  <c r="BD248" i="94"/>
  <c r="BD234" i="94"/>
  <c r="BD254" i="94"/>
  <c r="AX23" i="94"/>
  <c r="AO237" i="94"/>
  <c r="V282" i="94"/>
  <c r="V280" i="94"/>
  <c r="V281" i="94"/>
  <c r="V285" i="94"/>
  <c r="V284" i="94"/>
  <c r="V286" i="94"/>
  <c r="V283" i="94"/>
  <c r="AZ255" i="94"/>
  <c r="H283" i="94"/>
  <c r="I283" i="94" s="1"/>
  <c r="H282" i="94"/>
  <c r="I282" i="94" s="1"/>
  <c r="H281" i="94"/>
  <c r="I281" i="94" s="1"/>
  <c r="H284" i="94"/>
  <c r="I284" i="94" s="1"/>
  <c r="H280" i="94"/>
  <c r="I280" i="94" s="1"/>
  <c r="BD187" i="94"/>
  <c r="CB28" i="94"/>
  <c r="BM25" i="94"/>
  <c r="BD240" i="94"/>
  <c r="AZ220" i="94"/>
  <c r="CT28" i="94"/>
  <c r="BS251" i="94"/>
  <c r="BS187" i="94"/>
  <c r="BS240" i="94"/>
  <c r="D220" i="94"/>
  <c r="CF232" i="94"/>
  <c r="CF231" i="94"/>
  <c r="CF230" i="94"/>
  <c r="CF229" i="94"/>
  <c r="CF228" i="94"/>
  <c r="CF227" i="94"/>
  <c r="CF226" i="94"/>
  <c r="AO253" i="94"/>
  <c r="AI22" i="94"/>
  <c r="BS234" i="94"/>
  <c r="AO254" i="94"/>
  <c r="BA255" i="94"/>
  <c r="F285" i="94"/>
  <c r="AI23" i="94"/>
  <c r="AX25" i="94"/>
  <c r="AX24" i="94"/>
  <c r="AO251" i="94"/>
  <c r="BS235" i="94"/>
  <c r="BM255" i="94"/>
  <c r="BS248" i="94"/>
  <c r="AK220" i="94"/>
  <c r="AO240" i="94"/>
  <c r="BS253" i="94"/>
  <c r="AX22" i="94"/>
  <c r="BM23" i="94"/>
  <c r="BS239" i="94"/>
  <c r="AO187" i="94"/>
  <c r="BQ255" i="94"/>
  <c r="AO250" i="94"/>
  <c r="T280" i="94"/>
  <c r="T284" i="94"/>
  <c r="Z255" i="94"/>
  <c r="T282" i="94"/>
  <c r="T286" i="94"/>
  <c r="T283" i="94"/>
  <c r="T281" i="94"/>
  <c r="T285" i="94"/>
  <c r="AI140" i="94"/>
  <c r="AI25" i="94" s="1"/>
  <c r="BM22" i="94"/>
  <c r="DM285" i="94"/>
  <c r="AN255" i="94"/>
  <c r="BD253" i="94"/>
  <c r="AY40" i="94"/>
  <c r="BS237" i="94"/>
  <c r="BC255" i="94"/>
  <c r="DR253" i="94"/>
  <c r="C285" i="94"/>
  <c r="U286" i="94"/>
  <c r="U285" i="94"/>
  <c r="U280" i="94"/>
  <c r="U283" i="94"/>
  <c r="U282" i="94"/>
  <c r="U281" i="94"/>
  <c r="U284" i="94"/>
  <c r="BB255" i="94"/>
  <c r="DO285" i="94"/>
  <c r="AO239" i="94"/>
  <c r="C284" i="73"/>
  <c r="C283" i="73"/>
  <c r="I283" i="73" s="1"/>
  <c r="DR253" i="73"/>
  <c r="DN282" i="73"/>
  <c r="DR282" i="73" s="1"/>
  <c r="BS249" i="95"/>
  <c r="AI86" i="95"/>
  <c r="V286" i="95"/>
  <c r="X284" i="95"/>
  <c r="AO239" i="95"/>
  <c r="AO238" i="95"/>
  <c r="CT28" i="73"/>
  <c r="T23" i="73"/>
  <c r="DM285" i="95"/>
  <c r="I253" i="95"/>
  <c r="DP285" i="73"/>
  <c r="D285" i="73"/>
  <c r="DO285" i="73"/>
  <c r="E285" i="73"/>
  <c r="V281" i="95"/>
  <c r="DR283" i="73"/>
  <c r="G285" i="95"/>
  <c r="X283" i="95"/>
  <c r="V280" i="95"/>
  <c r="V282" i="95"/>
  <c r="W286" i="95"/>
  <c r="X281" i="95"/>
  <c r="V284" i="95"/>
  <c r="V283" i="95"/>
  <c r="W282" i="95"/>
  <c r="E284" i="95"/>
  <c r="W280" i="95"/>
  <c r="E280" i="95"/>
  <c r="X280" i="95"/>
  <c r="W284" i="95"/>
  <c r="X282" i="95"/>
  <c r="W283" i="95"/>
  <c r="W285" i="95"/>
  <c r="E283" i="95"/>
  <c r="X286" i="95"/>
  <c r="E281" i="95"/>
  <c r="AI86" i="73"/>
  <c r="BS239" i="95"/>
  <c r="BS236" i="95"/>
  <c r="AY38" i="95"/>
  <c r="T221" i="95"/>
  <c r="H282" i="95"/>
  <c r="I282" i="95" s="1"/>
  <c r="H281" i="95"/>
  <c r="H284" i="95"/>
  <c r="H280" i="95"/>
  <c r="H283" i="95"/>
  <c r="U285" i="95"/>
  <c r="U282" i="95"/>
  <c r="U283" i="95"/>
  <c r="U280" i="95"/>
  <c r="U281" i="95"/>
  <c r="U286" i="95"/>
  <c r="U284" i="95"/>
  <c r="DO285" i="95"/>
  <c r="DN285" i="95"/>
  <c r="F285" i="95"/>
  <c r="CT28" i="95"/>
  <c r="D220" i="95"/>
  <c r="CF228" i="73"/>
  <c r="CF231" i="73"/>
  <c r="CF227" i="73"/>
  <c r="CF230" i="73"/>
  <c r="CF226" i="73"/>
  <c r="CF229" i="73"/>
  <c r="CF232" i="73"/>
  <c r="DL285" i="95"/>
  <c r="T280" i="95"/>
  <c r="T286" i="95"/>
  <c r="T283" i="95"/>
  <c r="T284" i="95"/>
  <c r="T282" i="95"/>
  <c r="Z255" i="95"/>
  <c r="T281" i="95"/>
  <c r="T285" i="95"/>
  <c r="CB28" i="73"/>
  <c r="CB28" i="95"/>
  <c r="Y282" i="95"/>
  <c r="Y285" i="95"/>
  <c r="Y286" i="95"/>
  <c r="Y283" i="95"/>
  <c r="Y280" i="95"/>
  <c r="Y281" i="95"/>
  <c r="Y284" i="95"/>
  <c r="DP285" i="95"/>
  <c r="C285" i="95"/>
  <c r="CF229" i="95"/>
  <c r="CF230" i="95"/>
  <c r="CF227" i="95"/>
  <c r="CF232" i="95"/>
  <c r="CF226" i="95"/>
  <c r="CF231" i="95"/>
  <c r="CF228" i="95"/>
  <c r="D285" i="95"/>
  <c r="DQ284" i="95"/>
  <c r="DR284" i="95" s="1"/>
  <c r="DQ282" i="95"/>
  <c r="DR282" i="95" s="1"/>
  <c r="DQ283" i="95"/>
  <c r="DR283" i="95" s="1"/>
  <c r="DQ280" i="95"/>
  <c r="DR280" i="95" s="1"/>
  <c r="BB255" i="95"/>
  <c r="BB280" i="95" s="1"/>
  <c r="AO252" i="95"/>
  <c r="BA255" i="95"/>
  <c r="BA284" i="95" s="1"/>
  <c r="BR255" i="95"/>
  <c r="BR283" i="95" s="1"/>
  <c r="BD187" i="95"/>
  <c r="BN39" i="95"/>
  <c r="AI25" i="95"/>
  <c r="AO249" i="95"/>
  <c r="AL255" i="95"/>
  <c r="AL285" i="95" s="1"/>
  <c r="BM25" i="95"/>
  <c r="BM22" i="95"/>
  <c r="BO255" i="95"/>
  <c r="BO284" i="95" s="1"/>
  <c r="AX24" i="95"/>
  <c r="AI24" i="95"/>
  <c r="AY39" i="95"/>
  <c r="BN40" i="95"/>
  <c r="AX220" i="95"/>
  <c r="AY220" i="95"/>
  <c r="BD241" i="95"/>
  <c r="BS250" i="95"/>
  <c r="AI22" i="95"/>
  <c r="BD249" i="95"/>
  <c r="BS235" i="95"/>
  <c r="BS238" i="95"/>
  <c r="AO187" i="95"/>
  <c r="BM26" i="95"/>
  <c r="BS237" i="95"/>
  <c r="BS234" i="95"/>
  <c r="BS252" i="95"/>
  <c r="BN255" i="95"/>
  <c r="AX23" i="95"/>
  <c r="BS253" i="95"/>
  <c r="AZ220" i="95"/>
  <c r="BD240" i="95"/>
  <c r="AX255" i="95"/>
  <c r="BD248" i="95"/>
  <c r="AN255" i="95"/>
  <c r="BD237" i="95"/>
  <c r="BS187" i="95"/>
  <c r="BN220" i="95"/>
  <c r="BM220" i="95"/>
  <c r="BM221" i="95" s="1"/>
  <c r="BS241" i="95"/>
  <c r="BD239" i="95"/>
  <c r="BD238" i="95"/>
  <c r="AI26" i="95"/>
  <c r="AJ38" i="95"/>
  <c r="BD234" i="95"/>
  <c r="AI255" i="95"/>
  <c r="AO248" i="95"/>
  <c r="AX25" i="95"/>
  <c r="BS248" i="95"/>
  <c r="BM255" i="95"/>
  <c r="AO240" i="95"/>
  <c r="AK220" i="95"/>
  <c r="BD235" i="95"/>
  <c r="BQ255" i="95"/>
  <c r="BD251" i="95"/>
  <c r="AX22" i="95"/>
  <c r="AX26" i="95"/>
  <c r="AO251" i="95"/>
  <c r="BS251" i="95"/>
  <c r="AO254" i="95"/>
  <c r="AJ39" i="95"/>
  <c r="AY255" i="95"/>
  <c r="BM24" i="95"/>
  <c r="BD236" i="95"/>
  <c r="AZ255" i="95"/>
  <c r="AK255" i="95"/>
  <c r="BD254" i="95"/>
  <c r="BP255" i="95"/>
  <c r="BM23" i="95"/>
  <c r="BC255" i="95"/>
  <c r="AM255" i="95"/>
  <c r="AO250" i="95"/>
  <c r="BD253" i="95"/>
  <c r="BS240" i="95"/>
  <c r="BO220" i="95"/>
  <c r="BD250" i="95"/>
  <c r="BS254" i="95"/>
  <c r="AJ255" i="95"/>
  <c r="AO253" i="95"/>
  <c r="BD252" i="95"/>
  <c r="AI220" i="95"/>
  <c r="AO241" i="95"/>
  <c r="AI221" i="95"/>
  <c r="AJ220" i="95"/>
  <c r="AO235" i="95"/>
  <c r="H285" i="73"/>
  <c r="U31" i="73"/>
  <c r="I281" i="73"/>
  <c r="T287" i="73"/>
  <c r="X287" i="73"/>
  <c r="Y287" i="73"/>
  <c r="F285" i="73"/>
  <c r="Z286" i="73"/>
  <c r="V287" i="73"/>
  <c r="G285" i="73"/>
  <c r="DQ285" i="73"/>
  <c r="AO254" i="73"/>
  <c r="U287" i="73"/>
  <c r="AY39" i="73"/>
  <c r="BC255" i="73"/>
  <c r="BC286" i="73" s="1"/>
  <c r="BN40" i="73"/>
  <c r="BD254" i="73"/>
  <c r="BN38" i="73"/>
  <c r="BD250" i="73"/>
  <c r="BD234" i="73"/>
  <c r="BS238" i="73"/>
  <c r="BR255" i="73"/>
  <c r="BR282" i="73" s="1"/>
  <c r="BM26" i="73"/>
  <c r="BM22" i="73"/>
  <c r="BD241" i="73"/>
  <c r="AY220" i="73"/>
  <c r="AX220" i="73"/>
  <c r="AO250" i="73"/>
  <c r="BD236" i="73"/>
  <c r="AM255" i="73"/>
  <c r="AO248" i="73"/>
  <c r="BS240" i="73"/>
  <c r="BO220" i="73"/>
  <c r="AJ39" i="73"/>
  <c r="BM23" i="73"/>
  <c r="BA255" i="73"/>
  <c r="AX25" i="73"/>
  <c r="AO252" i="73"/>
  <c r="BD237" i="73"/>
  <c r="AX22" i="73"/>
  <c r="AY38" i="73"/>
  <c r="BP255" i="73"/>
  <c r="BD187" i="73"/>
  <c r="BS239" i="73"/>
  <c r="AI24" i="73"/>
  <c r="AO235" i="73"/>
  <c r="BS234" i="73"/>
  <c r="AX23" i="73"/>
  <c r="BD253" i="73"/>
  <c r="BO255" i="73"/>
  <c r="AX26" i="73"/>
  <c r="AO240" i="73"/>
  <c r="AK220" i="73"/>
  <c r="BS251" i="73"/>
  <c r="AO249" i="73"/>
  <c r="AI255" i="73"/>
  <c r="AJ40" i="73"/>
  <c r="BS236" i="73"/>
  <c r="BS187" i="73"/>
  <c r="BM25" i="73"/>
  <c r="AO236" i="73"/>
  <c r="BS249" i="73"/>
  <c r="AO251" i="73"/>
  <c r="AI22" i="73"/>
  <c r="BD239" i="73"/>
  <c r="AZ220" i="73"/>
  <c r="BD240" i="73"/>
  <c r="BM24" i="73"/>
  <c r="AO241" i="73"/>
  <c r="AJ220" i="73"/>
  <c r="AI220" i="73"/>
  <c r="AI221" i="73"/>
  <c r="BS241" i="73"/>
  <c r="BM220" i="73"/>
  <c r="BM221" i="73" s="1"/>
  <c r="BN220" i="73"/>
  <c r="BS252" i="73"/>
  <c r="BD249" i="73"/>
  <c r="AX24" i="73"/>
  <c r="BN255" i="73"/>
  <c r="AO238" i="73"/>
  <c r="AO234" i="73"/>
  <c r="BD252" i="73"/>
  <c r="AI25" i="73"/>
  <c r="BQ255" i="73"/>
  <c r="BS250" i="73"/>
  <c r="BD251" i="73"/>
  <c r="BD238" i="73"/>
  <c r="BS248" i="73"/>
  <c r="BM255" i="73"/>
  <c r="AY255" i="73"/>
  <c r="AZ255" i="73"/>
  <c r="AI26" i="73"/>
  <c r="AO187" i="73"/>
  <c r="AN255" i="73"/>
  <c r="AL255" i="73"/>
  <c r="BS237" i="73"/>
  <c r="AO253" i="73"/>
  <c r="AX255" i="73"/>
  <c r="BD248" i="73"/>
  <c r="AK255" i="73"/>
  <c r="AO237" i="73"/>
  <c r="AJ255" i="73"/>
  <c r="BB255" i="73"/>
  <c r="BD235" i="73"/>
  <c r="BS235" i="73"/>
  <c r="BS253" i="73"/>
  <c r="BS254" i="73"/>
  <c r="K38" i="157"/>
  <c r="K36" i="153"/>
  <c r="K34" i="158"/>
  <c r="F38" i="158"/>
  <c r="E17" i="330"/>
  <c r="N5" i="330"/>
  <c r="F16" i="330"/>
  <c r="E40" i="158"/>
  <c r="F34" i="156"/>
  <c r="E16" i="330"/>
  <c r="M6" i="330"/>
  <c r="E39" i="158"/>
  <c r="B17" i="330"/>
  <c r="K52" i="153"/>
  <c r="D17" i="330"/>
  <c r="M5" i="330"/>
  <c r="D16" i="330"/>
  <c r="C16" i="330"/>
  <c r="K34" i="157"/>
  <c r="K40" i="158"/>
  <c r="F38" i="157"/>
  <c r="K36" i="158"/>
  <c r="F34" i="157"/>
  <c r="F34" i="153"/>
  <c r="M7" i="330"/>
  <c r="E39" i="157"/>
  <c r="E40" i="157"/>
  <c r="F17" i="330"/>
  <c r="F38" i="156"/>
  <c r="K39" i="158"/>
  <c r="K38" i="158"/>
  <c r="N7" i="330"/>
  <c r="F38" i="153"/>
  <c r="C17" i="330"/>
  <c r="F34" i="158"/>
  <c r="B16" i="330"/>
  <c r="K36" i="157"/>
  <c r="F38" i="152"/>
  <c r="G17" i="330"/>
  <c r="F34" i="152"/>
  <c r="K39" i="157"/>
  <c r="N6" i="330"/>
  <c r="K40" i="157"/>
  <c r="G16" i="330"/>
  <c r="DA22" i="94" l="1"/>
  <c r="DA22" i="73"/>
  <c r="CI23" i="73"/>
  <c r="DA23" i="94"/>
  <c r="DA23" i="73"/>
  <c r="CI23" i="98"/>
  <c r="CI23" i="95"/>
  <c r="DA22" i="95"/>
  <c r="CI22" i="94"/>
  <c r="CI23" i="97"/>
  <c r="CI12" i="73"/>
  <c r="CI24" i="73" s="1"/>
  <c r="CI12" i="95"/>
  <c r="CI24" i="95" s="1"/>
  <c r="CI11" i="73"/>
  <c r="CI22" i="73" s="1"/>
  <c r="CI11" i="95"/>
  <c r="CI22" i="95" s="1"/>
  <c r="CI23" i="94"/>
  <c r="AY31" i="98"/>
  <c r="BN31" i="98"/>
  <c r="AY31" i="97"/>
  <c r="AJ31" i="98"/>
  <c r="AJ31" i="97"/>
  <c r="BN31" i="97"/>
  <c r="AA6" i="330"/>
  <c r="AA7" i="330"/>
  <c r="AA5" i="330"/>
  <c r="BO284" i="94"/>
  <c r="AI31" i="94"/>
  <c r="W287" i="73"/>
  <c r="Z287" i="73" s="1"/>
  <c r="Z281" i="73"/>
  <c r="BO283" i="94"/>
  <c r="BO285" i="94"/>
  <c r="I285" i="97"/>
  <c r="BO281" i="94"/>
  <c r="BO280" i="94"/>
  <c r="BO286" i="94"/>
  <c r="BO287" i="98"/>
  <c r="BN287" i="98"/>
  <c r="I285" i="98"/>
  <c r="BS284" i="98"/>
  <c r="BS285" i="98"/>
  <c r="AK287" i="97"/>
  <c r="BR287" i="98"/>
  <c r="BS283" i="98"/>
  <c r="BS281" i="98"/>
  <c r="BS286" i="98"/>
  <c r="Z287" i="98"/>
  <c r="AM287" i="98"/>
  <c r="AN287" i="97"/>
  <c r="BB287" i="98"/>
  <c r="Z287" i="97"/>
  <c r="BS282" i="98"/>
  <c r="BQ287" i="98"/>
  <c r="BP287" i="97"/>
  <c r="AK287" i="98"/>
  <c r="AM287" i="97"/>
  <c r="AY287" i="98"/>
  <c r="AO286" i="97"/>
  <c r="AY287" i="97"/>
  <c r="BD283" i="98"/>
  <c r="BS282" i="97"/>
  <c r="BS284" i="97"/>
  <c r="BN287" i="97"/>
  <c r="BR287" i="97"/>
  <c r="BD280" i="97"/>
  <c r="AX287" i="97"/>
  <c r="BD284" i="97"/>
  <c r="AI287" i="98"/>
  <c r="AO280" i="98"/>
  <c r="AO282" i="98"/>
  <c r="AO282" i="97"/>
  <c r="AO281" i="97"/>
  <c r="BA287" i="98"/>
  <c r="BC287" i="98"/>
  <c r="BD281" i="98"/>
  <c r="BD280" i="98"/>
  <c r="AX287" i="98"/>
  <c r="BM287" i="97"/>
  <c r="BS280" i="97"/>
  <c r="BS281" i="97"/>
  <c r="BD283" i="97"/>
  <c r="BD281" i="97"/>
  <c r="AO283" i="98"/>
  <c r="AO285" i="98"/>
  <c r="AJ287" i="97"/>
  <c r="AJ287" i="98"/>
  <c r="AO285" i="97"/>
  <c r="AI287" i="97"/>
  <c r="AO280" i="97"/>
  <c r="BD284" i="98"/>
  <c r="BD282" i="98"/>
  <c r="BS286" i="97"/>
  <c r="BS285" i="97"/>
  <c r="BC287" i="97"/>
  <c r="BD286" i="97"/>
  <c r="AO284" i="98"/>
  <c r="AN287" i="98"/>
  <c r="AL287" i="98"/>
  <c r="BM287" i="98"/>
  <c r="BS280" i="98"/>
  <c r="AL287" i="97"/>
  <c r="BA287" i="97"/>
  <c r="AO284" i="97"/>
  <c r="AO283" i="97"/>
  <c r="BQ287" i="97"/>
  <c r="BD286" i="98"/>
  <c r="BD285" i="98"/>
  <c r="BS283" i="97"/>
  <c r="AZ287" i="98"/>
  <c r="BB287" i="97"/>
  <c r="BO287" i="97"/>
  <c r="BD285" i="97"/>
  <c r="BD282" i="97"/>
  <c r="BP287" i="98"/>
  <c r="AZ287" i="97"/>
  <c r="AO281" i="98"/>
  <c r="AO286" i="98"/>
  <c r="BA283" i="95"/>
  <c r="C285" i="73"/>
  <c r="AI31" i="73"/>
  <c r="AX31" i="94"/>
  <c r="I284" i="73"/>
  <c r="I285" i="73" s="1"/>
  <c r="BM31" i="95"/>
  <c r="AK286" i="94"/>
  <c r="U31" i="94"/>
  <c r="BR284" i="95"/>
  <c r="BB281" i="95"/>
  <c r="AK285" i="94"/>
  <c r="AK280" i="94"/>
  <c r="AX31" i="73"/>
  <c r="BB286" i="95"/>
  <c r="AX31" i="95"/>
  <c r="DN285" i="73"/>
  <c r="AK284" i="94"/>
  <c r="AK283" i="94"/>
  <c r="AI31" i="95"/>
  <c r="BB283" i="95"/>
  <c r="AK282" i="94"/>
  <c r="BM31" i="73"/>
  <c r="BO281" i="95"/>
  <c r="AM282" i="94"/>
  <c r="BO285" i="95"/>
  <c r="BO280" i="95"/>
  <c r="BO286" i="95"/>
  <c r="BO283" i="95"/>
  <c r="BO282" i="95"/>
  <c r="BM31" i="94"/>
  <c r="AJ283" i="94"/>
  <c r="AJ284" i="94"/>
  <c r="AL286" i="94"/>
  <c r="AJ285" i="94"/>
  <c r="AL282" i="94"/>
  <c r="AJ286" i="94"/>
  <c r="AJ281" i="94"/>
  <c r="AJ280" i="94"/>
  <c r="AM281" i="94"/>
  <c r="AM286" i="94"/>
  <c r="AL280" i="94"/>
  <c r="AL284" i="94"/>
  <c r="Z283" i="94"/>
  <c r="Z284" i="94"/>
  <c r="AM283" i="94"/>
  <c r="AM285" i="94"/>
  <c r="AL283" i="94"/>
  <c r="AL285" i="94"/>
  <c r="AM280" i="94"/>
  <c r="BB281" i="94"/>
  <c r="BB282" i="94"/>
  <c r="BB280" i="94"/>
  <c r="BB286" i="94"/>
  <c r="BB285" i="94"/>
  <c r="BB284" i="94"/>
  <c r="BB283" i="94"/>
  <c r="V287" i="94"/>
  <c r="AX280" i="94"/>
  <c r="AX282" i="94"/>
  <c r="AX286" i="94"/>
  <c r="AX285" i="94"/>
  <c r="AX284" i="94"/>
  <c r="BD255" i="94"/>
  <c r="AX283" i="94"/>
  <c r="AX281" i="94"/>
  <c r="BC283" i="94"/>
  <c r="BC282" i="94"/>
  <c r="BC281" i="94"/>
  <c r="BC286" i="94"/>
  <c r="BC284" i="94"/>
  <c r="BC285" i="94"/>
  <c r="BC280" i="94"/>
  <c r="AN280" i="94"/>
  <c r="AN284" i="94"/>
  <c r="AN283" i="94"/>
  <c r="AN286" i="94"/>
  <c r="AN282" i="94"/>
  <c r="AN281" i="94"/>
  <c r="AN285" i="94"/>
  <c r="Z286" i="94"/>
  <c r="T287" i="94"/>
  <c r="Z280" i="94"/>
  <c r="H285" i="94"/>
  <c r="BR285" i="94"/>
  <c r="BR283" i="94"/>
  <c r="BR282" i="94"/>
  <c r="BR280" i="94"/>
  <c r="BR281" i="94"/>
  <c r="BR286" i="94"/>
  <c r="BR284" i="94"/>
  <c r="U287" i="94"/>
  <c r="I285" i="94"/>
  <c r="Z285" i="94"/>
  <c r="Z282" i="94"/>
  <c r="AZ281" i="94"/>
  <c r="AZ284" i="94"/>
  <c r="AZ280" i="94"/>
  <c r="AZ283" i="94"/>
  <c r="AZ286" i="94"/>
  <c r="AZ282" i="94"/>
  <c r="AZ285" i="94"/>
  <c r="Y287" i="94"/>
  <c r="DR285" i="94"/>
  <c r="W287" i="94"/>
  <c r="DQ285" i="94"/>
  <c r="Z281" i="94"/>
  <c r="BQ285" i="94"/>
  <c r="BQ283" i="94"/>
  <c r="BQ280" i="94"/>
  <c r="BQ284" i="94"/>
  <c r="BQ282" i="94"/>
  <c r="BQ286" i="94"/>
  <c r="BQ281" i="94"/>
  <c r="BM283" i="94"/>
  <c r="BM286" i="94"/>
  <c r="BM281" i="94"/>
  <c r="BM284" i="94"/>
  <c r="BM280" i="94"/>
  <c r="BM282" i="94"/>
  <c r="BM285" i="94"/>
  <c r="BS255" i="94"/>
  <c r="BA286" i="94"/>
  <c r="BA285" i="94"/>
  <c r="BA280" i="94"/>
  <c r="BA283" i="94"/>
  <c r="BA284" i="94"/>
  <c r="BA281" i="94"/>
  <c r="BA282" i="94"/>
  <c r="AI286" i="94"/>
  <c r="AI283" i="94"/>
  <c r="AI284" i="94"/>
  <c r="AI281" i="94"/>
  <c r="AI282" i="94"/>
  <c r="AO255" i="94"/>
  <c r="AI280" i="94"/>
  <c r="AI285" i="94"/>
  <c r="AY285" i="94"/>
  <c r="AY284" i="94"/>
  <c r="AY281" i="94"/>
  <c r="AY282" i="94"/>
  <c r="AY286" i="94"/>
  <c r="AY280" i="94"/>
  <c r="AY283" i="94"/>
  <c r="X287" i="94"/>
  <c r="BN282" i="94"/>
  <c r="BN284" i="94"/>
  <c r="BN281" i="94"/>
  <c r="BN286" i="94"/>
  <c r="BN285" i="94"/>
  <c r="BN280" i="94"/>
  <c r="BN283" i="94"/>
  <c r="BP282" i="94"/>
  <c r="BP280" i="94"/>
  <c r="BP285" i="94"/>
  <c r="BP286" i="94"/>
  <c r="BP284" i="94"/>
  <c r="BP283" i="94"/>
  <c r="BP281" i="94"/>
  <c r="X287" i="95"/>
  <c r="BB284" i="95"/>
  <c r="BB285" i="95"/>
  <c r="BB282" i="95"/>
  <c r="AI23" i="95"/>
  <c r="BA285" i="95"/>
  <c r="BA282" i="95"/>
  <c r="BA280" i="95"/>
  <c r="BA281" i="95"/>
  <c r="BA286" i="95"/>
  <c r="W287" i="95"/>
  <c r="DR285" i="73"/>
  <c r="I284" i="95"/>
  <c r="I283" i="95"/>
  <c r="I280" i="95"/>
  <c r="V287" i="95"/>
  <c r="I281" i="95"/>
  <c r="E285" i="95"/>
  <c r="AI23" i="73"/>
  <c r="BR282" i="95"/>
  <c r="BR286" i="95"/>
  <c r="BR285" i="95"/>
  <c r="BR281" i="95"/>
  <c r="BR280" i="95"/>
  <c r="AL281" i="95"/>
  <c r="DR285" i="95"/>
  <c r="AL282" i="95"/>
  <c r="Z282" i="95"/>
  <c r="H285" i="95"/>
  <c r="AL280" i="95"/>
  <c r="Z285" i="95"/>
  <c r="Z284" i="95"/>
  <c r="DQ285" i="95"/>
  <c r="Y287" i="95"/>
  <c r="U31" i="95"/>
  <c r="Z281" i="95"/>
  <c r="Z283" i="95"/>
  <c r="Z286" i="95"/>
  <c r="U287" i="95"/>
  <c r="T287" i="95"/>
  <c r="Z280" i="95"/>
  <c r="AL283" i="95"/>
  <c r="AL286" i="95"/>
  <c r="AL284" i="95"/>
  <c r="BC286" i="95"/>
  <c r="BC282" i="95"/>
  <c r="BC281" i="95"/>
  <c r="BC284" i="95"/>
  <c r="BC285" i="95"/>
  <c r="BC280" i="95"/>
  <c r="BC283" i="95"/>
  <c r="AK283" i="95"/>
  <c r="AK284" i="95"/>
  <c r="AK281" i="95"/>
  <c r="AK282" i="95"/>
  <c r="AK286" i="95"/>
  <c r="AK285" i="95"/>
  <c r="AK280" i="95"/>
  <c r="AY284" i="95"/>
  <c r="AY281" i="95"/>
  <c r="AY282" i="95"/>
  <c r="AY283" i="95"/>
  <c r="AY280" i="95"/>
  <c r="AY285" i="95"/>
  <c r="AY286" i="95"/>
  <c r="BM283" i="95"/>
  <c r="BM280" i="95"/>
  <c r="BM281" i="95"/>
  <c r="BM284" i="95"/>
  <c r="BM282" i="95"/>
  <c r="BM286" i="95"/>
  <c r="BM285" i="95"/>
  <c r="BS255" i="95"/>
  <c r="AI284" i="95"/>
  <c r="AI281" i="95"/>
  <c r="AI282" i="95"/>
  <c r="AI283" i="95"/>
  <c r="AI280" i="95"/>
  <c r="AI286" i="95"/>
  <c r="AI285" i="95"/>
  <c r="AO255" i="95"/>
  <c r="AZ284" i="95"/>
  <c r="AZ283" i="95"/>
  <c r="AZ281" i="95"/>
  <c r="AZ282" i="95"/>
  <c r="AZ286" i="95"/>
  <c r="AZ285" i="95"/>
  <c r="AZ280" i="95"/>
  <c r="AM284" i="95"/>
  <c r="AM281" i="95"/>
  <c r="AM282" i="95"/>
  <c r="AM283" i="95"/>
  <c r="AM280" i="95"/>
  <c r="AM286" i="95"/>
  <c r="AM285" i="95"/>
  <c r="BP285" i="95"/>
  <c r="BP280" i="95"/>
  <c r="BP281" i="95"/>
  <c r="BP284" i="95"/>
  <c r="BP282" i="95"/>
  <c r="BP286" i="95"/>
  <c r="BP283" i="95"/>
  <c r="AX280" i="95"/>
  <c r="AX285" i="95"/>
  <c r="AX281" i="95"/>
  <c r="AX282" i="95"/>
  <c r="AX284" i="95"/>
  <c r="AX286" i="95"/>
  <c r="AX283" i="95"/>
  <c r="BD255" i="95"/>
  <c r="AJ283" i="95"/>
  <c r="AJ280" i="95"/>
  <c r="AJ282" i="95"/>
  <c r="AJ284" i="95"/>
  <c r="AJ286" i="95"/>
  <c r="AJ281" i="95"/>
  <c r="AJ285" i="95"/>
  <c r="BQ286" i="95"/>
  <c r="BQ285" i="95"/>
  <c r="BQ280" i="95"/>
  <c r="BQ283" i="95"/>
  <c r="BQ284" i="95"/>
  <c r="BQ281" i="95"/>
  <c r="BQ282" i="95"/>
  <c r="AN285" i="95"/>
  <c r="AN281" i="95"/>
  <c r="AN286" i="95"/>
  <c r="AN280" i="95"/>
  <c r="AN284" i="95"/>
  <c r="AN283" i="95"/>
  <c r="AN282" i="95"/>
  <c r="BN286" i="95"/>
  <c r="BN281" i="95"/>
  <c r="BN284" i="95"/>
  <c r="BN285" i="95"/>
  <c r="BN283" i="95"/>
  <c r="BN280" i="95"/>
  <c r="BN282" i="95"/>
  <c r="BC282" i="73"/>
  <c r="BR280" i="73"/>
  <c r="BR281" i="73"/>
  <c r="BR284" i="73"/>
  <c r="BR286" i="73"/>
  <c r="BR285" i="73"/>
  <c r="BC280" i="73"/>
  <c r="BR283" i="73"/>
  <c r="BC281" i="73"/>
  <c r="BC285" i="73"/>
  <c r="BC284" i="73"/>
  <c r="BC283" i="73"/>
  <c r="BB281" i="73"/>
  <c r="BB285" i="73"/>
  <c r="BB284" i="73"/>
  <c r="BB280" i="73"/>
  <c r="BB283" i="73"/>
  <c r="BB286" i="73"/>
  <c r="BB282" i="73"/>
  <c r="AN282" i="73"/>
  <c r="AN281" i="73"/>
  <c r="AN284" i="73"/>
  <c r="AN283" i="73"/>
  <c r="AN280" i="73"/>
  <c r="AN285" i="73"/>
  <c r="AN286" i="73"/>
  <c r="AY286" i="73"/>
  <c r="AY284" i="73"/>
  <c r="AY282" i="73"/>
  <c r="AY280" i="73"/>
  <c r="AY285" i="73"/>
  <c r="AY281" i="73"/>
  <c r="AY283" i="73"/>
  <c r="BQ285" i="73"/>
  <c r="BQ283" i="73"/>
  <c r="BQ281" i="73"/>
  <c r="BQ286" i="73"/>
  <c r="BQ284" i="73"/>
  <c r="BQ280" i="73"/>
  <c r="BQ282" i="73"/>
  <c r="AJ282" i="73"/>
  <c r="AJ280" i="73"/>
  <c r="AJ286" i="73"/>
  <c r="AJ285" i="73"/>
  <c r="AJ281" i="73"/>
  <c r="AJ284" i="73"/>
  <c r="AJ283" i="73"/>
  <c r="BM285" i="73"/>
  <c r="BM283" i="73"/>
  <c r="BM281" i="73"/>
  <c r="BM284" i="73"/>
  <c r="BM282" i="73"/>
  <c r="BM286" i="73"/>
  <c r="BM280" i="73"/>
  <c r="BS255" i="73"/>
  <c r="BO286" i="73"/>
  <c r="BO284" i="73"/>
  <c r="BO282" i="73"/>
  <c r="BO280" i="73"/>
  <c r="BO281" i="73"/>
  <c r="BO285" i="73"/>
  <c r="BO283" i="73"/>
  <c r="AK285" i="73"/>
  <c r="AK283" i="73"/>
  <c r="AK281" i="73"/>
  <c r="AK286" i="73"/>
  <c r="AK284" i="73"/>
  <c r="AK280" i="73"/>
  <c r="AK282" i="73"/>
  <c r="AX286" i="73"/>
  <c r="AX282" i="73"/>
  <c r="BD255" i="73"/>
  <c r="AX285" i="73"/>
  <c r="AX281" i="73"/>
  <c r="AX283" i="73"/>
  <c r="AX284" i="73"/>
  <c r="AX280" i="73"/>
  <c r="AZ284" i="73"/>
  <c r="AZ283" i="73"/>
  <c r="AZ281" i="73"/>
  <c r="AZ286" i="73"/>
  <c r="AZ285" i="73"/>
  <c r="AZ282" i="73"/>
  <c r="AZ280" i="73"/>
  <c r="AM286" i="73"/>
  <c r="AM284" i="73"/>
  <c r="AM282" i="73"/>
  <c r="AM280" i="73"/>
  <c r="AM283" i="73"/>
  <c r="AM285" i="73"/>
  <c r="AM281" i="73"/>
  <c r="AL285" i="73"/>
  <c r="AL284" i="73"/>
  <c r="AL286" i="73"/>
  <c r="AL281" i="73"/>
  <c r="AL283" i="73"/>
  <c r="AL280" i="73"/>
  <c r="AL282" i="73"/>
  <c r="BN283" i="73"/>
  <c r="BN282" i="73"/>
  <c r="BN286" i="73"/>
  <c r="BN281" i="73"/>
  <c r="BN280" i="73"/>
  <c r="BN284" i="73"/>
  <c r="BN285" i="73"/>
  <c r="AI286" i="73"/>
  <c r="AI284" i="73"/>
  <c r="AI282" i="73"/>
  <c r="AI280" i="73"/>
  <c r="AI281" i="73"/>
  <c r="AO255" i="73"/>
  <c r="AI285" i="73"/>
  <c r="AI283" i="73"/>
  <c r="BP280" i="73"/>
  <c r="BP286" i="73"/>
  <c r="BP285" i="73"/>
  <c r="BP281" i="73"/>
  <c r="BP284" i="73"/>
  <c r="BP283" i="73"/>
  <c r="BP282" i="73"/>
  <c r="BA285" i="73"/>
  <c r="BA283" i="73"/>
  <c r="BA281" i="73"/>
  <c r="BA282" i="73"/>
  <c r="BA286" i="73"/>
  <c r="BA284" i="73"/>
  <c r="BA280" i="73"/>
  <c r="B15" i="330"/>
  <c r="K40" i="153"/>
  <c r="G14" i="330"/>
  <c r="D14" i="330"/>
  <c r="K38" i="153"/>
  <c r="K35" i="157"/>
  <c r="E40" i="152"/>
  <c r="C14" i="330"/>
  <c r="F15" i="330"/>
  <c r="G13" i="330"/>
  <c r="E38" i="152"/>
  <c r="E35" i="153"/>
  <c r="K36" i="152"/>
  <c r="K34" i="152"/>
  <c r="G15" i="330"/>
  <c r="E39" i="153"/>
  <c r="K35" i="153"/>
  <c r="F14" i="330"/>
  <c r="E34" i="152"/>
  <c r="E39" i="152"/>
  <c r="E36" i="158"/>
  <c r="E34" i="158"/>
  <c r="E40" i="153"/>
  <c r="E13" i="330"/>
  <c r="F13" i="330"/>
  <c r="K39" i="156"/>
  <c r="K35" i="152"/>
  <c r="E36" i="156"/>
  <c r="E35" i="156"/>
  <c r="K40" i="152"/>
  <c r="C15" i="330"/>
  <c r="E39" i="156"/>
  <c r="K39" i="153"/>
  <c r="E38" i="153"/>
  <c r="E36" i="153"/>
  <c r="D15" i="330"/>
  <c r="E35" i="157"/>
  <c r="K35" i="158"/>
  <c r="K34" i="153"/>
  <c r="E34" i="153"/>
  <c r="K36" i="156"/>
  <c r="K38" i="156"/>
  <c r="C13" i="330"/>
  <c r="B13" i="330"/>
  <c r="E40" i="156"/>
  <c r="E35" i="158"/>
  <c r="K39" i="152"/>
  <c r="K40" i="156"/>
  <c r="E38" i="156"/>
  <c r="E34" i="157"/>
  <c r="K34" i="156"/>
  <c r="E36" i="157"/>
  <c r="E38" i="157"/>
  <c r="K35" i="156"/>
  <c r="E34" i="156"/>
  <c r="E15" i="330"/>
  <c r="B14" i="330"/>
  <c r="E35" i="152"/>
  <c r="K38" i="152"/>
  <c r="E14" i="330"/>
  <c r="E36" i="152"/>
  <c r="E38" i="158"/>
  <c r="D13" i="330"/>
  <c r="AY31" i="94" l="1"/>
  <c r="AJ31" i="94"/>
  <c r="BN31" i="95"/>
  <c r="BO287" i="94"/>
  <c r="AK287" i="94"/>
  <c r="BD287" i="98"/>
  <c r="AO287" i="97"/>
  <c r="AO287" i="98"/>
  <c r="BS287" i="98"/>
  <c r="BS287" i="97"/>
  <c r="BD287" i="97"/>
  <c r="BN31" i="94"/>
  <c r="AJ31" i="95"/>
  <c r="AY31" i="95"/>
  <c r="BB287" i="95"/>
  <c r="BO287" i="95"/>
  <c r="AJ287" i="94"/>
  <c r="AO281" i="94"/>
  <c r="AO283" i="94"/>
  <c r="AL287" i="94"/>
  <c r="AO284" i="94"/>
  <c r="BS282" i="94"/>
  <c r="AM287" i="94"/>
  <c r="BC287" i="94"/>
  <c r="AO285" i="94"/>
  <c r="AO282" i="94"/>
  <c r="AI287" i="94"/>
  <c r="AO280" i="94"/>
  <c r="BS286" i="94"/>
  <c r="BD284" i="94"/>
  <c r="BD280" i="94"/>
  <c r="AX287" i="94"/>
  <c r="BN287" i="94"/>
  <c r="AY287" i="94"/>
  <c r="BM287" i="94"/>
  <c r="BS280" i="94"/>
  <c r="BS283" i="94"/>
  <c r="Z287" i="94"/>
  <c r="BD281" i="94"/>
  <c r="BD285" i="94"/>
  <c r="BP287" i="94"/>
  <c r="AO286" i="94"/>
  <c r="BS284" i="94"/>
  <c r="BQ287" i="94"/>
  <c r="BR287" i="94"/>
  <c r="BD283" i="94"/>
  <c r="BD286" i="94"/>
  <c r="BB287" i="94"/>
  <c r="BA287" i="94"/>
  <c r="BS285" i="94"/>
  <c r="BS281" i="94"/>
  <c r="AZ287" i="94"/>
  <c r="AN287" i="94"/>
  <c r="BD282" i="94"/>
  <c r="AL287" i="95"/>
  <c r="Z287" i="95"/>
  <c r="BR287" i="95"/>
  <c r="BA287" i="95"/>
  <c r="I285" i="95"/>
  <c r="BD286" i="95"/>
  <c r="BD283" i="95"/>
  <c r="AM287" i="95"/>
  <c r="AY287" i="95"/>
  <c r="AK287" i="95"/>
  <c r="BC287" i="95"/>
  <c r="AN287" i="95"/>
  <c r="BP287" i="95"/>
  <c r="BD284" i="95"/>
  <c r="AO283" i="95"/>
  <c r="BS284" i="95"/>
  <c r="BN287" i="95"/>
  <c r="AJ287" i="95"/>
  <c r="AO285" i="95"/>
  <c r="AO282" i="95"/>
  <c r="BS285" i="95"/>
  <c r="BS281" i="95"/>
  <c r="BQ287" i="95"/>
  <c r="AX287" i="95"/>
  <c r="BD280" i="95"/>
  <c r="AZ287" i="95"/>
  <c r="BD281" i="95"/>
  <c r="AO286" i="95"/>
  <c r="AO281" i="95"/>
  <c r="BS286" i="95"/>
  <c r="BS280" i="95"/>
  <c r="BM287" i="95"/>
  <c r="BD282" i="95"/>
  <c r="AO280" i="95"/>
  <c r="AI287" i="95"/>
  <c r="AO284" i="95"/>
  <c r="BS282" i="95"/>
  <c r="BS283" i="95"/>
  <c r="BD285" i="95"/>
  <c r="AJ31" i="73"/>
  <c r="BN31" i="73"/>
  <c r="AY31" i="73"/>
  <c r="BR287" i="73"/>
  <c r="BC287" i="73"/>
  <c r="BA287" i="73"/>
  <c r="AO285" i="73"/>
  <c r="AO282" i="73"/>
  <c r="AL287" i="73"/>
  <c r="AO281" i="73"/>
  <c r="BD284" i="73"/>
  <c r="AK287" i="73"/>
  <c r="BO287" i="73"/>
  <c r="BS285" i="73"/>
  <c r="AN287" i="73"/>
  <c r="BS282" i="73"/>
  <c r="AJ287" i="73"/>
  <c r="BP287" i="73"/>
  <c r="AO284" i="73"/>
  <c r="BN287" i="73"/>
  <c r="BD283" i="73"/>
  <c r="BD282" i="73"/>
  <c r="BS284" i="73"/>
  <c r="BB287" i="73"/>
  <c r="AO286" i="73"/>
  <c r="AM287" i="73"/>
  <c r="BD281" i="73"/>
  <c r="BD286" i="73"/>
  <c r="BS280" i="73"/>
  <c r="BM287" i="73"/>
  <c r="BS281" i="73"/>
  <c r="AO283" i="73"/>
  <c r="AI287" i="73"/>
  <c r="AO280" i="73"/>
  <c r="AZ287" i="73"/>
  <c r="AX287" i="73"/>
  <c r="BD280" i="73"/>
  <c r="BD285" i="73"/>
  <c r="BS286" i="73"/>
  <c r="BS283" i="73"/>
  <c r="BQ287" i="73"/>
  <c r="AY287" i="73"/>
  <c r="BS287" i="94" l="1"/>
  <c r="AO287" i="94"/>
  <c r="BD287" i="94"/>
  <c r="AO287" i="95"/>
  <c r="BS287" i="95"/>
  <c r="BD287" i="95"/>
  <c r="BD287" i="73"/>
  <c r="AO287" i="73"/>
  <c r="BS287" i="73"/>
</calcChain>
</file>

<file path=xl/sharedStrings.xml><?xml version="1.0" encoding="utf-8"?>
<sst xmlns="http://schemas.openxmlformats.org/spreadsheetml/2006/main" count="11667" uniqueCount="775">
  <si>
    <t>Scenario</t>
  </si>
  <si>
    <t>South USA</t>
  </si>
  <si>
    <t>Forest owners/managers</t>
  </si>
  <si>
    <t>Likely</t>
  </si>
  <si>
    <t>Unlikely</t>
  </si>
  <si>
    <t>Very unlikely</t>
  </si>
  <si>
    <t xml:space="preserve">No. </t>
  </si>
  <si>
    <t>%</t>
  </si>
  <si>
    <t>Total</t>
  </si>
  <si>
    <t>Pellet demand</t>
  </si>
  <si>
    <t>Pulpwood demand</t>
  </si>
  <si>
    <t>Saw log demand</t>
  </si>
  <si>
    <t>Reduction in site preparation</t>
  </si>
  <si>
    <t>Other (please specify)</t>
  </si>
  <si>
    <t>Response</t>
  </si>
  <si>
    <t>Helps with disposal of forest residues</t>
  </si>
  <si>
    <t>Cost of removal of residues</t>
  </si>
  <si>
    <t>Conservation</t>
  </si>
  <si>
    <t>Standards</t>
  </si>
  <si>
    <t>Agreed management plan</t>
  </si>
  <si>
    <t>Management of forest structure</t>
  </si>
  <si>
    <t>Medium</t>
  </si>
  <si>
    <t>Pellet users</t>
  </si>
  <si>
    <t>Stakeholder group</t>
  </si>
  <si>
    <t>Most common view</t>
  </si>
  <si>
    <t>High</t>
  </si>
  <si>
    <t>Low</t>
  </si>
  <si>
    <t>No consensus</t>
  </si>
  <si>
    <t>Counterfactual</t>
  </si>
  <si>
    <t>Moderately likely</t>
  </si>
  <si>
    <t xml:space="preserve">Summary of evidence on likelihood </t>
  </si>
  <si>
    <t>Pellet producers</t>
  </si>
  <si>
    <t>Non-bioenergy wood users</t>
  </si>
  <si>
    <t>Moderately unlikely</t>
  </si>
  <si>
    <t>Definitely not</t>
  </si>
  <si>
    <t>Sometimes</t>
  </si>
  <si>
    <t>Most of the time</t>
  </si>
  <si>
    <t>I don't know</t>
  </si>
  <si>
    <t>Yes, always</t>
  </si>
  <si>
    <t>I don’t know</t>
  </si>
  <si>
    <t>Occasionally</t>
  </si>
  <si>
    <t>No</t>
  </si>
  <si>
    <t>Pacific Canada</t>
  </si>
  <si>
    <t>Yes, frequently</t>
  </si>
  <si>
    <t>Boreal Canada</t>
  </si>
  <si>
    <t>East Canada</t>
  </si>
  <si>
    <t>Not applicable</t>
  </si>
  <si>
    <t>Comments</t>
  </si>
  <si>
    <t>Open-Ended Response</t>
  </si>
  <si>
    <t>Other</t>
  </si>
  <si>
    <t>Is the counterfactual provided above an accurate description of what currently happens when there is no or low demand for fibre for pellets?</t>
  </si>
  <si>
    <t>RespondentID</t>
  </si>
  <si>
    <t>Expert Judgement</t>
  </si>
  <si>
    <t>Somewhat confident</t>
  </si>
  <si>
    <t>Very likely</t>
  </si>
  <si>
    <t>Confident</t>
  </si>
  <si>
    <t>Reports (please provide reference below)</t>
  </si>
  <si>
    <t>Field data (please provide information on source and scope)</t>
  </si>
  <si>
    <t>Market information (please provide information source)</t>
  </si>
  <si>
    <t>Confidential information</t>
  </si>
  <si>
    <t>Newspaper or other non-scientific media (please provide URL)</t>
  </si>
  <si>
    <t>Model</t>
  </si>
  <si>
    <t>Very Confident</t>
  </si>
  <si>
    <t>Increased vulnerability to disease or pests - Top 3 factors  (1 is most important)</t>
  </si>
  <si>
    <t>Changes in legislation or forest policy that prevent this change in practice - How likely is this to occur in the future?</t>
  </si>
  <si>
    <t>Changes in legislation or forest policy that prevent this change in practice - Top 3 factors  (1 is most important)</t>
  </si>
  <si>
    <t>The market demand for fibre for pellets does not offer sufficient financial return - How likely is this to occur in the future?</t>
  </si>
  <si>
    <t>The market demand for fibre for pellets does not offer sufficient financial return - Top 3 factors  (1 is most important)</t>
  </si>
  <si>
    <t>Other (please specify below) - How likely is this to occur in the future?</t>
  </si>
  <si>
    <t>Other (please specify below) - Top 3 factors  (1 is most important)</t>
  </si>
  <si>
    <t>A reduction in vulnerability to diseases or pests - How likely is this to occur in the future?</t>
  </si>
  <si>
    <t>A reduction in vulnerability to diseases or pests - Top 3 factors  (1 is most important)</t>
  </si>
  <si>
    <t>The proposed change increases the value of the land - How likely is this to occur in the future?</t>
  </si>
  <si>
    <t>The proposed change increases the value of the land - Top 3 factors  (1 is most important)</t>
  </si>
  <si>
    <t>Changes in legislation or forest policy that facilitate this change in practice - How likely is this to occur in the future?</t>
  </si>
  <si>
    <t>Changes in legislation or forest policy that facilitate this change in practice - Top 3 factors  (1 is most important)</t>
  </si>
  <si>
    <t>Region:</t>
  </si>
  <si>
    <t>Source information</t>
  </si>
  <si>
    <t>Please say why you rate your confidence at this level</t>
  </si>
  <si>
    <t>Other uses make the land value more attractive - How likely is this to occur in the future?</t>
  </si>
  <si>
    <t>Other uses make the land value more attractive - Top 3 factors  (1 is most important)</t>
  </si>
  <si>
    <t>Low roundwood demand resulting in greater haulage distances for the roundwood market - How likely is this to occur in the future?</t>
  </si>
  <si>
    <t>Low roundwood demand resulting in greater haulage distances for the roundwood market - Top 3 factors  (1 is most important)</t>
  </si>
  <si>
    <t>Increased vulnerability to disease or pests - How likely is this to occur in the future?</t>
  </si>
  <si>
    <t>Evidence:</t>
  </si>
  <si>
    <t>If you are familiar with a region and aware of changes in this region, please provide the name of the region with an indication of the percentage forest affected by it, with evidence to support this.</t>
  </si>
  <si>
    <t>Changes in forestry incentives that ensure a sufficient financial return to warrant management of unmanaged forest - How likely is this to occur in the future?</t>
  </si>
  <si>
    <t>Changes in forestry incentives that ensure a sufficient financial return to warrant management of unmanaged forest - Top 3 factors  (1 is most important)</t>
  </si>
  <si>
    <t>Increased demand for saw timber results in sufficient financial return to warrant management of unmanaged forest - How likely is this to occur in the future?</t>
  </si>
  <si>
    <t>Increased demand for saw timber results in sufficient financial return to warrant management of unmanaged forest - Top 3 factors  (1 is most important)</t>
  </si>
  <si>
    <t>Increased demand for fibre for pellets results a sufficient financial return to warrant management of unmanaged forest - How likely is this to occur in the future?</t>
  </si>
  <si>
    <t>Increased demand for fibre for pellets results a sufficient financial return to warrant management of unmanaged forest - Top 3 factors  (1 is most important)</t>
  </si>
  <si>
    <t>Percentage area affected (i.e. where you have evidence that non-bioenergy uses have been displaced by demand for fibre for pellets):</t>
  </si>
  <si>
    <t>Other (please specify) - How likely is this to occur in the future?</t>
  </si>
  <si>
    <t>Other (please specify) - Top 3 factors  (1 is most important)</t>
  </si>
  <si>
    <t>Changes in forestry incentives that ensure a sufficient financial return to warrant conversion of abandoned agricultural land - How likely is this to occur in the future?</t>
  </si>
  <si>
    <t>Changes in forestry incentives that ensure a sufficient financial return to warrant conversion of abandoned agricultural land - Top 3 factors  (1 is most important)</t>
  </si>
  <si>
    <t>Increased demand for fibre for pellets results a sufficient financial return to warrant conversion of abandoned agricultural land - How likely is this to occur in the future?</t>
  </si>
  <si>
    <t>Increased demand for fibre for pellets results a sufficient financial return to warrant conversion of abandoned agricultural land - Top 3 factors  (1 is most important)</t>
  </si>
  <si>
    <t>Is the practice described in the scenario already occurring?</t>
  </si>
  <si>
    <t>If yes, for your own land holding what percentage of forest land has been affected by this?</t>
  </si>
  <si>
    <t>What is the potential for harvest for forest products in this forest?</t>
  </si>
  <si>
    <t>What would be the main motivation to increase management in this forest?</t>
  </si>
  <si>
    <t>Has this forest been managed in the past and, if so, for what purpose?</t>
  </si>
  <si>
    <t>If there is unmanaged forest in your region, why is it unmanaged?</t>
  </si>
  <si>
    <t>If you are not familiar with the type of forest included in this scenario please mark ‘not applicable’ here and continue to the next section.</t>
  </si>
  <si>
    <t>Overall, how confident are you in the answers you provided to the questions about scenario 26?</t>
  </si>
  <si>
    <t>Do you have any other comments on scenario 26 that are not captured elsewhere?</t>
  </si>
  <si>
    <t>If your own land holding has been affected in the ways described by scenario 26 what percentage of your forest land do you think has been affected by this?</t>
  </si>
  <si>
    <t>Scenario 26: Additional wood (in comparison to the counterfactual) from the conversion of abandoned agricultural land in USA that was previously annually ploughed, to an SRC hardwood plantation that is coppiced every 3 years.</t>
  </si>
  <si>
    <t>If you are not familiar with the type of forest included in these scenarios or the region is not relevant to you please mark ‘not applicable’ here and continue to the next scenario.</t>
  </si>
  <si>
    <t>State BMPs are the biggest driver of forest practices in industrial plantations, and basically universally adopted by industry.</t>
  </si>
  <si>
    <t>Government taxation has had a major influence on the structure of ownership and management as have state practice requirements/guidelines and in some places conservation requirements..Family landowners and some corp owners may have additional conservation/ recreation goals that influence management.  Most corp landowners subscribe to forest industry certification standards - a key influence.</t>
  </si>
  <si>
    <t>What is your source of information in answering the questions about scenario 30? Please indicate below and provide additional information on the evidence.</t>
  </si>
  <si>
    <t>Overall, how confident are you in the answers you provided to the questions about scenario 30?</t>
  </si>
  <si>
    <t>Do you have any other comments on scenario 30 that are not captured elsewhere?</t>
  </si>
  <si>
    <t>NGO</t>
  </si>
  <si>
    <t>HK</t>
  </si>
  <si>
    <t>HJ</t>
  </si>
  <si>
    <t>HI</t>
  </si>
  <si>
    <t>HH</t>
  </si>
  <si>
    <t>HG</t>
  </si>
  <si>
    <t>HF</t>
  </si>
  <si>
    <t>FO</t>
  </si>
  <si>
    <t>Column</t>
  </si>
  <si>
    <t>Sheet</t>
  </si>
  <si>
    <t>Sub Questions</t>
  </si>
  <si>
    <t>Survey Question</t>
  </si>
  <si>
    <t>Q</t>
  </si>
  <si>
    <t>Non-bioenergy wood users and related trade associations</t>
  </si>
  <si>
    <t xml:space="preserve"> NGOs </t>
  </si>
  <si>
    <t>Pellet users and related trade associations</t>
  </si>
  <si>
    <t>Pellet producers and related trade associations</t>
  </si>
  <si>
    <t>Forest owners and managers and related trade associations</t>
  </si>
  <si>
    <t>Stakeholder grouping</t>
  </si>
  <si>
    <t>PP</t>
  </si>
  <si>
    <t>PU</t>
  </si>
  <si>
    <t>PO</t>
  </si>
  <si>
    <t>NB</t>
  </si>
  <si>
    <t>K</t>
  </si>
  <si>
    <t>N</t>
  </si>
  <si>
    <t>O</t>
  </si>
  <si>
    <t>P</t>
  </si>
  <si>
    <t>W</t>
  </si>
  <si>
    <t>Very confident</t>
  </si>
  <si>
    <t>Total responses</t>
  </si>
  <si>
    <t>Changes in legislation or forest policy</t>
  </si>
  <si>
    <t>Changes in forestry incentives</t>
  </si>
  <si>
    <t>Reduction in vulnerability to disease/pests</t>
  </si>
  <si>
    <t>Ranked 1</t>
  </si>
  <si>
    <t>Ranked 2</t>
  </si>
  <si>
    <t>Ranked 3</t>
  </si>
  <si>
    <t>Overall score</t>
  </si>
  <si>
    <t>Policy makers and academia</t>
  </si>
  <si>
    <t>NGOs</t>
  </si>
  <si>
    <t>All Total responses</t>
  </si>
  <si>
    <t xml:space="preserve">Individual Total responses </t>
  </si>
  <si>
    <t xml:space="preserve">Total responses by percentage of each group. </t>
  </si>
  <si>
    <t>Changes in legislation</t>
  </si>
  <si>
    <t>Increased vulnerability to disease</t>
  </si>
  <si>
    <t>Average score</t>
  </si>
  <si>
    <t>Rankin</t>
  </si>
  <si>
    <t>Position of response confident</t>
  </si>
  <si>
    <t>no clear choice</t>
  </si>
  <si>
    <t>No.responses to rank</t>
  </si>
  <si>
    <t>Points score</t>
  </si>
  <si>
    <t>Rank score</t>
  </si>
  <si>
    <t>Confidence score</t>
  </si>
  <si>
    <t xml:space="preserve"> |The counterfactual is that the forest remains unmanged. Is the counterfactual provided above an accurate description of what currently happens when there is no or low demand for fibre for pellets?</t>
  </si>
  <si>
    <t xml:space="preserve"> Scenario 30:   Additional wood (in comparison to the counterfactual) from the conversion of unmanaged forest into production in the regions below (select the region that applies to you).   Is the practice described in the scenario already occurring? </t>
  </si>
  <si>
    <t>In the future (between now and 2030), if demand for fibre for pellets   stays at the current level   how likely do you think it is that this scenario will occur (or continue to occur, if it already happens)?</t>
  </si>
  <si>
    <t>Which of the following changes would   encourage   the practices described in this scenario to occur? Please select up to the three most important factors.</t>
  </si>
  <si>
    <t>Which of the following changes would   prevent   the practices described in scenario 30 from occurring in the future? Please select up to the three most important factors.</t>
  </si>
  <si>
    <t xml:space="preserve">Does the emergence of pellet demand in a housing recession increase or decrease the probability of scenario 30 happening?  (A housing recession means there are reduced quantities of sawmill residues that can be turned into low carbon pellets so feedstock for pellet production has to come from other sources) </t>
  </si>
  <si>
    <t xml:space="preserve"> South USA </t>
  </si>
  <si>
    <t xml:space="preserve"> East Canada </t>
  </si>
  <si>
    <t xml:space="preserve"> Pacific Canada </t>
  </si>
  <si>
    <t xml:space="preserve"> Boreal Canada </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</si>
  <si>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</si>
  <si>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</si>
  <si>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</si>
  <si>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</si>
  <si>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</si>
  <si>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</si>
  <si>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</si>
  <si>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</si>
  <si>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</si>
  <si>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</si>
  <si>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</si>
  <si>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</si>
  <si>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</si>
  <si>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</si>
  <si>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</si>
  <si>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</si>
  <si>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</si>
  <si>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</si>
  <si>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</si>
  <si>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</si>
  <si>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</si>
  <si>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</si>
  <si>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</si>
  <si>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</si>
  <si>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</si>
  <si>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</si>
  <si>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</si>
  <si>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</si>
  <si>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</si>
  <si>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</si>
  <si>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</si>
  <si>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</si>
  <si>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IR</t>
  </si>
  <si>
    <t>IS</t>
  </si>
  <si>
    <t>IT</t>
  </si>
  <si>
    <t>IU</t>
  </si>
  <si>
    <t>IV</t>
  </si>
  <si>
    <t>J</t>
  </si>
  <si>
    <t>L</t>
  </si>
  <si>
    <t>M</t>
  </si>
  <si>
    <t>R</t>
  </si>
  <si>
    <t>S</t>
  </si>
  <si>
    <t>T</t>
  </si>
  <si>
    <t>U</t>
  </si>
  <si>
    <t>V</t>
  </si>
  <si>
    <t>X</t>
  </si>
  <si>
    <t>Y</t>
  </si>
  <si>
    <t>Z</t>
  </si>
  <si>
    <t>AA</t>
  </si>
  <si>
    <t>AB</t>
  </si>
  <si>
    <t>AC</t>
  </si>
  <si>
    <t>Response_Q167_1</t>
  </si>
  <si>
    <t>Response_Q168_1</t>
  </si>
  <si>
    <t>Response_Q169_1</t>
  </si>
  <si>
    <t>Response_Q170_1</t>
  </si>
  <si>
    <t>Response_Q171_1</t>
  </si>
  <si>
    <t>Response_Q172_1</t>
  </si>
  <si>
    <t>Response_Q172_2</t>
  </si>
  <si>
    <t>Response_Q173_1</t>
  </si>
  <si>
    <t>Response_Q173_2</t>
  </si>
  <si>
    <t>Response_Q173_3</t>
  </si>
  <si>
    <t>Response_Q173_4</t>
  </si>
  <si>
    <t>Response_Q173_5</t>
  </si>
  <si>
    <t>Response_Q173_6</t>
  </si>
  <si>
    <t>Response_Q173_7</t>
  </si>
  <si>
    <t>Response_Q173_8</t>
  </si>
  <si>
    <t>Response_Q174_1</t>
  </si>
  <si>
    <t>Response_Q175_1</t>
  </si>
  <si>
    <t>Response_Q175_2</t>
  </si>
  <si>
    <t>Response_Q175_3</t>
  </si>
  <si>
    <t>Response_Q176_1</t>
  </si>
  <si>
    <t>Response_Q176_2</t>
  </si>
  <si>
    <t>Response_Q176_3</t>
  </si>
  <si>
    <t>Response_Q176_4</t>
  </si>
  <si>
    <t>Response_Q177_1</t>
  </si>
  <si>
    <t>Response_Q177_2</t>
  </si>
  <si>
    <t>Response_Q177_3</t>
  </si>
  <si>
    <t>Response_Q177_4</t>
  </si>
  <si>
    <t>Response_Q177_5</t>
  </si>
  <si>
    <t>Response_Q177_6</t>
  </si>
  <si>
    <t>Response_Q177_7</t>
  </si>
  <si>
    <t>Response_Q177_8</t>
  </si>
  <si>
    <t>Response_Q177_9</t>
  </si>
  <si>
    <t>Response_Q177_10</t>
  </si>
  <si>
    <t>Response_Q177_11</t>
  </si>
  <si>
    <t>Response_Q177_12</t>
  </si>
  <si>
    <t>Response_Q177_13</t>
  </si>
  <si>
    <t>Response_Q177_14</t>
  </si>
  <si>
    <t>Response_Q177_15</t>
  </si>
  <si>
    <t>Response_Q178_1</t>
  </si>
  <si>
    <t>Response_Q178_2</t>
  </si>
  <si>
    <t>Response_Q178_3</t>
  </si>
  <si>
    <t>Response_Q178_4</t>
  </si>
  <si>
    <t>Response_Q178_5</t>
  </si>
  <si>
    <t>Response_Q178_6</t>
  </si>
  <si>
    <t>Response_Q178_7</t>
  </si>
  <si>
    <t>Response_Q178_8</t>
  </si>
  <si>
    <t>Response_Q178_9</t>
  </si>
  <si>
    <t>Response_Q178_10</t>
  </si>
  <si>
    <t>Response_Q178_11</t>
  </si>
  <si>
    <t>Response_Q178_12</t>
  </si>
  <si>
    <t>Response_Q178_13</t>
  </si>
  <si>
    <t>Response_Q179_1</t>
  </si>
  <si>
    <t>Response_Q180_1</t>
  </si>
  <si>
    <t>Response_Q181_1</t>
  </si>
  <si>
    <t>Response_Q181_2</t>
  </si>
  <si>
    <t>Response_Q182_1</t>
  </si>
  <si>
    <t>Response_Q182_2</t>
  </si>
  <si>
    <t>Response_Q182_3</t>
  </si>
  <si>
    <t>Response_Q182_4</t>
  </si>
  <si>
    <t>Response_Q182_5</t>
  </si>
  <si>
    <t>Response_Q182_6</t>
  </si>
  <si>
    <t>Response_Q182_7</t>
  </si>
  <si>
    <t>Response_Q182_8</t>
  </si>
  <si>
    <t>S30_stakeholder_category</t>
  </si>
  <si>
    <t>Is the counterfactual provided above an accurate description of what currently happens when there is no
or low demand for fibre for pellets?</t>
  </si>
  <si>
    <t>In the future (to 2030), if demand for fibre for pellets stays at the current level, how likely do you think it is
that these scenarios will occur (or continue to occur, if they already happen)?</t>
  </si>
  <si>
    <t>Owner objectives and markets are the most significant drivers: these operate within the policy and regulatory environment. Owners objectives are varied, as evidenced by the Forest Service National Woodland Owners Survey (see this preliminary analysis of results for 2013).</t>
  </si>
  <si>
    <t>Other – Landowner preferences for how to use their land.  Recreation, legacy, etc may influence decisions about how forests are managed.  Brett J. Butler, Mary Tyrrell, Geoff Feinberg, Scott VanManen, Larry Wiseman, and Scott Wallinger. “Understanding and Reaching Family Forest Owners: Lessons from Social Marketing Research.” Journal of Forestry October/November 2007. pp. 348-357.</t>
  </si>
  <si>
    <t xml:space="preserve">Most forestland in the Southeast lacks adequate mandatory regulations.  More than 80% of forests are privately owned and logging operations are conducted with few restrictions and little oversight.  Practices such as large-scale clearcutting, old-growth logging, wetland logging and the conversion of natural forests to plantations are mostly unregulated and are often practiced in sensitive habitats with little protection for species.  http://www.nrdc.org/energy/wood-pellet-biomass-pollution.asp  </t>
  </si>
  <si>
    <t xml:space="preserve">Markets are the one consistent factor influencing the way plantations are managed. All the other options  are also considered when making management decisions, including best management practices, policy and regulation and conservation, environmental and landscape factors.   </t>
  </si>
  <si>
    <t>country</t>
  </si>
  <si>
    <t>of which "I don't knows"</t>
  </si>
  <si>
    <t>Are the practices described in the scenario already occurring?</t>
  </si>
  <si>
    <t>Combined total responses</t>
  </si>
  <si>
    <t>Which of the following changes would encourage the practices described in this scenario to occur?</t>
  </si>
  <si>
    <t>Which of the following would prevent the practices described in this scenario from occurring?</t>
  </si>
  <si>
    <t xml:space="preserve">Is the counterfactual an accurate description of what happens in the absence of pellets? </t>
  </si>
  <si>
    <t>Combined Total responses</t>
  </si>
  <si>
    <t>26)_increase_demand_case_(c)</t>
  </si>
  <si>
    <t>26)_increase_demand_case_(b)</t>
  </si>
  <si>
    <t>26)_increase_demand_case_(a)</t>
  </si>
  <si>
    <t>30d)_increase_demand_case_(c)</t>
  </si>
  <si>
    <t>30d)_increase_demand_case_(b)</t>
  </si>
  <si>
    <t>30d)_increase_demand_case_(a)</t>
  </si>
  <si>
    <t>30c)_increase_demand_case_(c)</t>
  </si>
  <si>
    <t>30c)_increase_demand_case_(b)</t>
  </si>
  <si>
    <t>30c)_increase_demand_case_(a)</t>
  </si>
  <si>
    <t>30b)_increase_demand_case_(c)</t>
  </si>
  <si>
    <t>30b)_increase_demand_case_(b)</t>
  </si>
  <si>
    <t>30b)_increase_demand_case_(a)</t>
  </si>
  <si>
    <t>30a)_increase_demand_case_(c)</t>
  </si>
  <si>
    <t>30a)_increase_demand_case_(b)</t>
  </si>
  <si>
    <t>30a)_increase_demand_case_(a)</t>
  </si>
  <si>
    <t>In the future (to 2030), if demand for fibre for pellets stays at the current level, how likely do you think it is that these scenarios will occur (or continue to occur, if they already happen)?</t>
  </si>
  <si>
    <t>If you are familiar with a region and aware of changes in this region, please provide the name of the region with an indication of the percentage forest affected by it, with evidence to support this.Region:</t>
  </si>
  <si>
    <t>No.stakeholdergroups that responded</t>
  </si>
  <si>
    <t>weighted % "I don't know"</t>
  </si>
  <si>
    <t>weighted % of likely</t>
  </si>
  <si>
    <t>weighted % of unlikely</t>
  </si>
  <si>
    <t>Assuming pellet demand increases in the future, what is the likelihood of the scenario at current fibre prices?</t>
  </si>
  <si>
    <t>In the future (between now and 2030), if demand for fibre for pellets stays at the current level how likely do you think it is that scenario 26 will occur (or continue to occur, if it already happens)?</t>
  </si>
  <si>
    <t>Which of the following changes would encourage the practices described in the scenario 26 to occur? Please select up to the three most important factors.</t>
  </si>
  <si>
    <t>Which of the following changes would prevent the practices described in scenario 26 from occurring in the future?  Please select up to the three most important factors.</t>
  </si>
  <si>
    <t>Does the emergence of pellet demand in a housing recession increase or decrease the probability of scenario 26 happening? (A housing recession means there are reduced quantities of sawmill residues that can be turned into low carbon pellets so feedstock for pellet production has to come from other sources)</t>
  </si>
  <si>
    <t>What is your source of information in answering the questions about scenario 26? Please indicate below and provide additional information on the evidence.</t>
  </si>
  <si>
    <t>S30_country</t>
  </si>
  <si>
    <t>10a</t>
  </si>
  <si>
    <t>S26_stakeholder_category</t>
  </si>
  <si>
    <t>S26_country</t>
  </si>
  <si>
    <t>Changes in legislation or policy</t>
  </si>
  <si>
    <t>Increased vulnerability to pests</t>
  </si>
  <si>
    <t>Changes in forest incentives</t>
  </si>
  <si>
    <t>Change increases value of land</t>
  </si>
  <si>
    <t>Other uses increase land value</t>
  </si>
  <si>
    <t>Shorter rotation does not give better return</t>
  </si>
  <si>
    <t>Increased demand for saw timber enables management of unmanaged forest</t>
  </si>
  <si>
    <t>Low roundwood demand - longer haulage</t>
  </si>
  <si>
    <t>26</t>
  </si>
  <si>
    <t>Assuming pellet demand increases in the future, what is the likelihood of the scenario if fibre prices rise by up to 15%?</t>
  </si>
  <si>
    <t>Assuming pellet demand increases in the future, what is the likelihood of the scenario if fibre prices rise by up to 30%?</t>
  </si>
  <si>
    <t>Respondents self assessed confidence in responses</t>
  </si>
  <si>
    <t>All groups</t>
  </si>
  <si>
    <t>Is it likely that policy or legislation on forestry will act to encourage or prevent this scenario in the future</t>
  </si>
  <si>
    <t>Does policy or legislation on forestry act to encourage or prevent this scenario currently?</t>
  </si>
  <si>
    <t xml:space="preserve">Does a review of price data in the literature suggest that this scenario will be financially attractive in the future? </t>
  </si>
  <si>
    <t xml:space="preserve">Does a review of price data in the literature suggest that this scenario is financially attractive now? </t>
  </si>
  <si>
    <t>What evidence is there that this scenario might occur in the future if demand increases?</t>
  </si>
  <si>
    <t>What evidence is there that this scenario might occur in the future if demand stays at current levels?</t>
  </si>
  <si>
    <t>What evidence is there that this scenario currently occurs?</t>
  </si>
  <si>
    <t>Overall likelihood rating based on evidence</t>
  </si>
  <si>
    <t>Question</t>
  </si>
  <si>
    <t>The current situation</t>
  </si>
  <si>
    <t>Confidence ratings</t>
  </si>
  <si>
    <t>Literature review</t>
  </si>
  <si>
    <t>What percentage of your forest land do you think is affected?</t>
  </si>
  <si>
    <t>What percentages of a region do you think is affected?</t>
  </si>
  <si>
    <t>Evidence source</t>
  </si>
  <si>
    <t>View</t>
  </si>
  <si>
    <t>Likelihood rating</t>
  </si>
  <si>
    <t>No of responses</t>
  </si>
  <si>
    <t>The future situation</t>
  </si>
  <si>
    <t>Which of the following changes would prevent the practices described in this scenario from occurring?</t>
  </si>
  <si>
    <t>Good</t>
  </si>
  <si>
    <t>Information difficult to obtain, response same as above.</t>
  </si>
  <si>
    <t>Insufficient financial return</t>
  </si>
  <si>
    <t>Counterfactual for the scenario</t>
  </si>
  <si>
    <t xml:space="preserve">Is the counterfactual an accurate description of what happens in the absence of demand for fibre for pellets </t>
  </si>
  <si>
    <t>Summary of findings</t>
  </si>
  <si>
    <t>No comments</t>
  </si>
  <si>
    <t>30a</t>
  </si>
  <si>
    <t>30b</t>
  </si>
  <si>
    <t>30c</t>
  </si>
  <si>
    <t>30d</t>
  </si>
  <si>
    <t>Future increased demand, same price</t>
  </si>
  <si>
    <t>Future increased demand,  price +15%</t>
  </si>
  <si>
    <t>Future increased demand,  price +30%</t>
  </si>
  <si>
    <t>Rating</t>
  </si>
  <si>
    <t>Future, demand at current levels</t>
  </si>
  <si>
    <t>Current occurrence</t>
  </si>
  <si>
    <t>D28</t>
  </si>
  <si>
    <t>U28</t>
  </si>
  <si>
    <t>BN28</t>
  </si>
  <si>
    <t>AY28</t>
  </si>
  <si>
    <t>AJ28</t>
  </si>
  <si>
    <t>CB28</t>
  </si>
  <si>
    <t>Factors that encourage</t>
  </si>
  <si>
    <t>Factors that prevent</t>
  </si>
  <si>
    <t>E28</t>
  </si>
  <si>
    <t>V28</t>
  </si>
  <si>
    <t>AK28</t>
  </si>
  <si>
    <t>AZ28</t>
  </si>
  <si>
    <t>BO28</t>
  </si>
  <si>
    <t>Is this scenario already occuring</t>
  </si>
  <si>
    <r>
      <t xml:space="preserve">In the future (to 2030), if demand for fibre for pellets </t>
    </r>
    <r>
      <rPr>
        <b/>
        <sz val="11"/>
        <color theme="1"/>
        <rFont val="Calibri"/>
        <family val="2"/>
        <scheme val="minor"/>
      </rPr>
      <t>stays at the current level</t>
    </r>
    <r>
      <rPr>
        <sz val="11"/>
        <color theme="1"/>
        <rFont val="Arial"/>
        <family val="2"/>
      </rPr>
      <t>, how likely do you think it is
that these scenarios will occur (or continue to occur, if they already happen)?</t>
    </r>
  </si>
  <si>
    <t>Assuming pellet demnd increases in the future, what is the likelihood of the scenario at current fibre prices</t>
  </si>
  <si>
    <t>Assuming pellet demnd increases in the future, what is the likelihood of the scenario if prices rise by up to 15%?</t>
  </si>
  <si>
    <t>Assuming pellet demnd increases in the future, what is the likelihood of the scenario if prices rise by up to 30%?</t>
  </si>
  <si>
    <r>
      <t xml:space="preserve">Factors which </t>
    </r>
    <r>
      <rPr>
        <b/>
        <sz val="11"/>
        <color theme="1"/>
        <rFont val="Calibri"/>
        <family val="2"/>
        <scheme val="minor"/>
      </rPr>
      <t xml:space="preserve">encourage - </t>
    </r>
    <r>
      <rPr>
        <sz val="11"/>
        <color theme="1"/>
        <rFont val="Arial"/>
        <family val="2"/>
      </rPr>
      <t>ranking</t>
    </r>
  </si>
  <si>
    <r>
      <t xml:space="preserve">Factors which </t>
    </r>
    <r>
      <rPr>
        <b/>
        <sz val="11"/>
        <color theme="1"/>
        <rFont val="Calibri"/>
        <family val="2"/>
        <scheme val="minor"/>
      </rPr>
      <t>encourage</t>
    </r>
    <r>
      <rPr>
        <sz val="11"/>
        <color theme="1"/>
        <rFont val="Arial"/>
        <family val="2"/>
      </rPr>
      <t xml:space="preserve"> - liklihood</t>
    </r>
  </si>
  <si>
    <r>
      <t xml:space="preserve">Factors which </t>
    </r>
    <r>
      <rPr>
        <b/>
        <sz val="11"/>
        <color theme="1"/>
        <rFont val="Calibri"/>
        <family val="2"/>
        <scheme val="minor"/>
      </rPr>
      <t xml:space="preserve">prevent - </t>
    </r>
    <r>
      <rPr>
        <sz val="11"/>
        <color theme="1"/>
        <rFont val="Arial"/>
        <family val="2"/>
      </rPr>
      <t>ranking</t>
    </r>
  </si>
  <si>
    <r>
      <t xml:space="preserve">Factors which </t>
    </r>
    <r>
      <rPr>
        <b/>
        <sz val="11"/>
        <color theme="1"/>
        <rFont val="Calibri"/>
        <family val="2"/>
        <scheme val="minor"/>
      </rPr>
      <t xml:space="preserve">prevent - </t>
    </r>
    <r>
      <rPr>
        <sz val="11"/>
        <color theme="1"/>
        <rFont val="Arial"/>
        <family val="2"/>
      </rPr>
      <t>liklihood</t>
    </r>
  </si>
  <si>
    <t>Response_Q165_1</t>
  </si>
  <si>
    <t>Response_Q156_1</t>
  </si>
  <si>
    <t>Response_Q156_2</t>
  </si>
  <si>
    <t>Response_Q157_1</t>
  </si>
  <si>
    <t>Response_Q159_2</t>
  </si>
  <si>
    <t>Response_Q158_1</t>
  </si>
  <si>
    <t>Response_Q159_1</t>
  </si>
  <si>
    <t>Response_Q160_1</t>
  </si>
  <si>
    <t>Response_26CaseA</t>
  </si>
  <si>
    <t>Response_26CaseB</t>
  </si>
  <si>
    <t>Response_26CaseC</t>
  </si>
  <si>
    <t>Response_Q161_1</t>
  </si>
  <si>
    <t>Response_Q161_3</t>
  </si>
  <si>
    <t>Response_Q161_5</t>
  </si>
  <si>
    <t>Response_Q161_7</t>
  </si>
  <si>
    <t>Response_Q161_9</t>
  </si>
  <si>
    <t>Response_Q161_11</t>
  </si>
  <si>
    <t>Response_Q161_2</t>
  </si>
  <si>
    <t>Response_Q161_4</t>
  </si>
  <si>
    <t>Response_Q161_6</t>
  </si>
  <si>
    <t>Response_Q161_8</t>
  </si>
  <si>
    <t>Response_Q161_10</t>
  </si>
  <si>
    <t>Response_Q161_12</t>
  </si>
  <si>
    <t>Response_Q161_13</t>
  </si>
  <si>
    <t>Response_Q162_1</t>
  </si>
  <si>
    <t>Response_Q162_3</t>
  </si>
  <si>
    <t>Response_Q162_5</t>
  </si>
  <si>
    <t>Response_Q162_7</t>
  </si>
  <si>
    <t>Response_Q162_9</t>
  </si>
  <si>
    <t>Response_Q162_11</t>
  </si>
  <si>
    <t>Response_Q162_2</t>
  </si>
  <si>
    <t>Response_Q162_4</t>
  </si>
  <si>
    <t>Response_Q162_6</t>
  </si>
  <si>
    <t>Response_Q162_8</t>
  </si>
  <si>
    <t>Response_Q162_10</t>
  </si>
  <si>
    <t>Response_Q162_12</t>
  </si>
  <si>
    <t xml:space="preserve">Additional wood (in comparison to the counterfactual) from the conversion of abandoned agricultural land in USA that was previously annually ploughed, to an SRC hardwood plantation that is coppiced every 3 years. Assumed exported to UK from South USA. </t>
  </si>
  <si>
    <t xml:space="preserve">Average score across all respondents replying to questions on this set of scenarios. </t>
  </si>
  <si>
    <t>Response_30a_CaseA</t>
  </si>
  <si>
    <t>Response_30b_CaseA</t>
  </si>
  <si>
    <t>Response_30c_CaseA</t>
  </si>
  <si>
    <t>Response_30d_CaseA</t>
  </si>
  <si>
    <t>Response_30d_CaseB</t>
  </si>
  <si>
    <t>Response_30d_CaseC</t>
  </si>
  <si>
    <t>Response_30c_CaseB</t>
  </si>
  <si>
    <t>Response_30c_CaseC</t>
  </si>
  <si>
    <t>Response_30b_CaseB</t>
  </si>
  <si>
    <t>Response_30b_CaseC</t>
  </si>
  <si>
    <t>Response_30a_CaseB</t>
  </si>
  <si>
    <t>Response_30a_CaseC</t>
  </si>
  <si>
    <t>As above</t>
  </si>
  <si>
    <t>Increased pellet demand allows sufficient financial return</t>
  </si>
  <si>
    <t>Reduction in vulnerability to disease</t>
  </si>
  <si>
    <t>Response_Q157_2</t>
  </si>
  <si>
    <t>Very unlikely/unlikely</t>
  </si>
  <si>
    <t>Top three factors</t>
  </si>
  <si>
    <t xml:space="preserve">The majority of respondents felt the counterfactual is an accurate description at least some of the time. </t>
  </si>
  <si>
    <t xml:space="preserve">The majority of respondents felt the counterfactual is an accurate description at least sometimes. </t>
  </si>
  <si>
    <t>Sometimes/Most of the time</t>
  </si>
  <si>
    <t>Definitely not/sometimes</t>
  </si>
  <si>
    <t xml:space="preserve">Only four respondents answered this question - the responses were equally split between definitely not and I don't know. </t>
  </si>
  <si>
    <t>very unlikely/unlikely</t>
  </si>
  <si>
    <t>Three of the five respondents answered "I don't know".  The other two said the scenario is very unlikely/unlikely</t>
  </si>
  <si>
    <t xml:space="preserve">All six respondents felt this scenario is either very unlikely or unlikely </t>
  </si>
  <si>
    <t>Two of the four respondents answered that the counterfactual is accurate sometimes, but one respondent said "definitely not" and the other said "most of the time"</t>
  </si>
  <si>
    <t>Very unlikely/Unlikely</t>
  </si>
  <si>
    <t>Sometimes/Yes, always</t>
  </si>
  <si>
    <t>All six respondents felt this scenario is very unlikely/unlikely to occur.</t>
  </si>
  <si>
    <t>Sometimes/ Yes, always</t>
  </si>
  <si>
    <t xml:space="preserve">The majority of respondents felt that the practices described in the scenario are already occurring sometimes. </t>
  </si>
  <si>
    <t>Moderately likely/likely</t>
  </si>
  <si>
    <t>Brief conclusions from survey comments</t>
  </si>
  <si>
    <t>Which of the following changes would encourage the practices described in the scenario occurring?</t>
  </si>
  <si>
    <t>Which of the following changes would prevent the practices described in the scenario occurring?</t>
  </si>
  <si>
    <t>Summary of likelihood from comments</t>
  </si>
  <si>
    <t>Brief conclusions from literature</t>
  </si>
  <si>
    <t>Strength of evidence to support conclusion</t>
  </si>
  <si>
    <t>If it is occurring, what evidence is there about the scale it is occurring at?</t>
  </si>
  <si>
    <t>No of don't knows</t>
  </si>
  <si>
    <t>Don't knows as % of responses</t>
  </si>
  <si>
    <t>Respondents self assessed confidence for all questions on scenario</t>
  </si>
  <si>
    <t>Strength of evidence/confidence</t>
  </si>
  <si>
    <t>Summary of evidence on likelihood</t>
  </si>
  <si>
    <t>All</t>
  </si>
  <si>
    <t>SRTS modelling</t>
  </si>
  <si>
    <t>What encourages or prevents this scenario occurring</t>
  </si>
  <si>
    <t>Which of the following changes would encourage the practices described in the scenario to occur?</t>
  </si>
  <si>
    <t xml:space="preserve">Not at present. The US DA has supported energy crop research programmes and the Biomass Crop Assistance Program incentivises the planting of energy crops by farmers by providing grants for establishment but this is related to the renewable Fuel Standard for liquid biofuels. </t>
  </si>
  <si>
    <t>The conversion of abandoned agricultural land to SRC for pellet production is extremely rare to date in SE USA and is unlikely to happen for economic and practical reasons. In particular returns are unlikely to compete with alternative land uses, and the fibre produced is unsuitable for the technical specifications of industrial wood pellets. The counterfactual of reverting to natural moist semi tropical deciduous forest is unrealistic. Natural reversion is unlikely, and if it does occur it will be to the prevalent local pine or mixed forest.</t>
  </si>
  <si>
    <t>Use of abandoned agricultural land is not influenced by pellet demand. It depends on landowner objectives, and may include conversion to urban land or recreation as alternatives to natural forest regeneration. Abandoned agricultural land will revert to the local vegetation, most likely pine or mixed forest, with only a very small area having climatic conditions suitable for moist subtropical deciduous forest.</t>
  </si>
  <si>
    <t>These practices are very unlikely as SRC is an undesirable feedstock for pellets. Reduction or elimination of UK subsidies would ensure the practice is not economically feasible.</t>
  </si>
  <si>
    <t xml:space="preserve">It is doubtful that financial returns for SRC plantations could ever compete with agricultural and urban land use options. Current sustainability guidelines and technical specifications would need to change to enable use of fibre from this source for pellets. </t>
  </si>
  <si>
    <t>SRC hardwood plantations are not prevalent in the Southeastern US and are unlikely to occur in the future. SRC is not a desirable feedstock for wood pellet production. These plantations are difficult to establish and expensive</t>
  </si>
  <si>
    <t>Unmanaged forest is in remote areas and is unlikely to be brought back into management as a result of pellet demand because of its remote location and its low financial return.</t>
  </si>
  <si>
    <t xml:space="preserve">Yes, but respondents emphasised the dynamic nature of forests and that such forest is likely to be remote. Pellets would likely not offer adequate financial return to convert these forests. </t>
  </si>
  <si>
    <t>This practice is unlikely and would be prevented by low prices and market conditions for more valuable wood products. The conditions for the annual allowable cut would need to be respected if this were to happen.</t>
  </si>
  <si>
    <t xml:space="preserve">It is unlikely that unmanaged woodland would be brought back into management. If it did it would most likely occur on private land, which makes up less than 10% of forest lands.                 </t>
  </si>
  <si>
    <t>The respondents said that the amount of unmanaged forests in their region was small and did not  expect that this forest land would be managed for pellet production.</t>
  </si>
  <si>
    <t xml:space="preserve">Respondents believe that it is the other way round: more land is becoming unmanaged (or unmanageable). Unmanaged forests are not managed for pellet production – other more valuable products would influence this, but the price of hardwood products are insufficient. </t>
  </si>
  <si>
    <t>The definition of ‘unmanaged’ was felt to be unclear. Most forest land in South USA has been managed in the past and is likely to be managed again in the future. The timing of management depends on when financial returns are attractive for timber and pulpwood, and on a range of other user objectives for small scale private owners. The counterfactual was not felt to be appropriate as respondents felt pellet demand would have little or no influence on when a forest is brought back into management.</t>
  </si>
  <si>
    <t xml:space="preserve">Demand for pellets will have little or no impact on whether or not the forest continues to be unmanaged. Future harvesting and management will depend on timber financial returns and owner objectives.  </t>
  </si>
  <si>
    <t>Forests are likely to remain unmanaged if there is a deterioration in sawtimber and pulpwood markets. However, there ae a range of other reasons for small private owners to retain unmanaged forest that are unrelated to timber and pellet markets.</t>
  </si>
  <si>
    <t xml:space="preserve">Most respondents said that landowners who not currently managing their forests are unlikely to begin to manage it or to be aware of prices. Any decision is more likely to be related to saw timber prices. 
There were a minority of respondents who said that this is already happening due to new demand from pellets and will increase with higher prices. However, other respondents said this does not happen to primary forests or those in protected areas. 
</t>
  </si>
  <si>
    <t>All southern forests are managed to some extent and undermanaged forests are likely to be brought back into some form of management to some degree.</t>
  </si>
  <si>
    <t xml:space="preserve">In the US South East only 3% of family forest owners have a management plant and only 13% have received management advice. This makes it difficult to assess the amount of land affected. One respondent said &gt;70% of land was affected. </t>
  </si>
  <si>
    <t xml:space="preserve">Some foresters said that harvest levels have plummeted in the past two decades and they are managing less. </t>
  </si>
  <si>
    <t>Unmanaged forests can be converted to managed forests, but this is not tied to pellet demand. It is likely to occur due to improvements in timber markets, change in land ownership, and objectives for stand improvement. Current trends are for less land to be actively managed.</t>
  </si>
  <si>
    <t>No literature found</t>
  </si>
  <si>
    <t>Sustainability requirements would prevent the establishment of energy crops on forest land.</t>
  </si>
  <si>
    <t>Bioenergy policy might encourage this if sufficient financial return was in place</t>
  </si>
  <si>
    <t>There is good evidence that this is not economically viable at present</t>
  </si>
  <si>
    <t>This is not financially attractive now</t>
  </si>
  <si>
    <t>There is no evidence in the literature that energy crops would be more economically viable than planted pine.</t>
  </si>
  <si>
    <t>There is very little short rotation coppice in the USA</t>
  </si>
  <si>
    <t>There is no evidence that pellet demand will encourage planting of short rotation coppice in the SE USA</t>
  </si>
  <si>
    <t xml:space="preserve">This is more difficult as there is little indication on what policy or legislation might look like in the future. However, assuming that regulations will shift towards more sustainability and certification this is likely to decrease the possibility that unmanaged wood land will be brought into production for pellets.  </t>
  </si>
  <si>
    <t xml:space="preserve">The need for sustainability and local regulations may prevent unmanaged forest from being used, so this would not change the conclusions above. </t>
  </si>
  <si>
    <t>No, there is no data on the costs of bringing unmanaged forest into production for pellet production. However costs for pellet production in Canada suggest that transport costs would probably be prohibitive.</t>
  </si>
  <si>
    <t>There is no evidence that future pellet demand would result in the management of unmanaged forest in Canada</t>
  </si>
  <si>
    <t>There is no evidence that this occurring at any scale</t>
  </si>
  <si>
    <t xml:space="preserve">The literature provides no evidence that unmanaged forest would be brought into management as a result of pellet demand. The annual allowable cut (AAC) is not achieved for many regions in Canada, so it is more likely that the permitted AAC would be exploited before unmanaged woodland is brought into production. </t>
  </si>
  <si>
    <t xml:space="preserve">Policy is not likely to encourage this and sustainability requirements will also prevent it. </t>
  </si>
  <si>
    <t>This will not be not financially attractive</t>
  </si>
  <si>
    <t>This is not financially attractive</t>
  </si>
  <si>
    <t>Pellet demand would not cause forest that is set aside for conservation to be brought into production. Current prices are not sufficient to encourage family forestland to be harvested for pellets.</t>
  </si>
  <si>
    <t xml:space="preserve">There are two types of forest that may be affected by this scenario: a) forests that are legally protected from harvest, via conservation easements or wetland or wilderness designation or similar, and b) forests that are owned by family forestland owners because they like owning forestland (for aesthetic or other purposes).  Neither category is being harvested now, but category a) are going to be legally protected and will not be harvested under any circumstances, while category b) are the forests that might come into production if the price increases enough.  </t>
  </si>
  <si>
    <t xml:space="preserve">Four of the six respondents felt this scenario is very unlikely/unlikely to occur. </t>
  </si>
  <si>
    <t>Total no. of responses</t>
  </si>
  <si>
    <t>Of which 'don't knows'</t>
  </si>
  <si>
    <t>E10</t>
  </si>
  <si>
    <t>V10</t>
  </si>
  <si>
    <t>AK10</t>
  </si>
  <si>
    <t>AZ10</t>
  </si>
  <si>
    <t>BO10</t>
  </si>
  <si>
    <t>DN10</t>
  </si>
  <si>
    <t>CT28</t>
  </si>
  <si>
    <t>DM28</t>
  </si>
  <si>
    <t>DN28</t>
  </si>
  <si>
    <t>Do practices described in scenario currently occur</t>
  </si>
  <si>
    <t>How likely are these practices in the future if demand stays at current levels</t>
  </si>
  <si>
    <t>How likely are these practices in the future if demand increases but price remains the same</t>
  </si>
  <si>
    <t>How likely are these practices in the future if demand increases and  price increases by 15%</t>
  </si>
  <si>
    <t>How likely are these practices in the future if demand increases and  price increases by 30%</t>
  </si>
  <si>
    <t xml:space="preserve">Is the counterfactual an accurate description of what happens in the absence of demand for fibre for pellets? </t>
  </si>
  <si>
    <t>It is not possible to use the SRTS model to provide a view on this scenario</t>
  </si>
  <si>
    <t>confidence threshold</t>
  </si>
  <si>
    <t>Very confident threshold</t>
  </si>
  <si>
    <t>Confident threshold</t>
  </si>
  <si>
    <t>Somewhat confident threshold</t>
  </si>
  <si>
    <t>(Range is 1 to 3; maximum confidence indicated by score of 3)</t>
  </si>
  <si>
    <t>Likelihood that factor will occur (6 = very likely and 1 = very unlikely)</t>
  </si>
  <si>
    <t>Other uses make land value more attractive</t>
  </si>
  <si>
    <t>Individual total responses</t>
  </si>
  <si>
    <t>Policy makers, and academics</t>
  </si>
  <si>
    <t>Position of most frequent response (currents)</t>
  </si>
  <si>
    <t>Position of most frequent response</t>
  </si>
  <si>
    <t>Position of causative factors</t>
  </si>
  <si>
    <t>Position of preventative factors</t>
  </si>
  <si>
    <t>Additional wood (in comparison to the counterfactual) from the conversion of unmanaged forest into production in South USA</t>
  </si>
  <si>
    <t>Additional wood (in comparison to the counterfactual) from the conversion of unmanaged forest into production in East Canada</t>
  </si>
  <si>
    <t>Additional wood (in comparison to the counterfactual) from the conversion of unmanaged forest into production in Pacific Canada</t>
  </si>
  <si>
    <t>Additional wood (in comparison to the counterfactual) from the conversion of unmanaged forest into production in Boreal Canada</t>
  </si>
  <si>
    <t>Short rotation hardwood plantations are very rare in SE USA. There are a few small scale experimental plantations of Miscanthus, cottonwood and eucalyptus, but these are for the pulp and paper market. The chemical content of the fibre is problematic for industrial wood pellets.</t>
  </si>
  <si>
    <t>Summary of overall view as determined from overview sheets</t>
  </si>
  <si>
    <t>Part of analysis tool</t>
  </si>
  <si>
    <t>Scenario No.</t>
  </si>
  <si>
    <t>Scenario description</t>
  </si>
  <si>
    <t>Part 1</t>
  </si>
  <si>
    <t>4a</t>
  </si>
  <si>
    <t>Coarse forest residues, removed from forests in South USA, continuously over the time horizon.</t>
  </si>
  <si>
    <t>4b</t>
  </si>
  <si>
    <t>Coarse forest residues, removed from forests in Pacific Canada, continuously over the time horizon.</t>
  </si>
  <si>
    <t>5a</t>
  </si>
  <si>
    <t>Fine forest residues, removed from forests in South USA, continuously over the time horizon.</t>
  </si>
  <si>
    <t>5b</t>
  </si>
  <si>
    <t>Fine forest residues, removed from forests in Pacific Canada, continuously over the time horizon.</t>
  </si>
  <si>
    <t>6a &amp; 7a</t>
  </si>
  <si>
    <t xml:space="preserve">Fine and coarse forest residues, removed from forests in South USA, for 15 years only (then residues are left in the forest again). </t>
  </si>
  <si>
    <t>6b &amp; 7b</t>
  </si>
  <si>
    <t>Fine and coarse forest residues, removed from forests in Pacific Canada, for 15 years only (then residues are left in the forest again).</t>
  </si>
  <si>
    <t>Part 2</t>
  </si>
  <si>
    <t>Additional wood (in comparison to the counterfactual) generated by increasing the rate of harvest of a naturally-regenerated hardwood forest in East Canada from every 100 years to every 50 years</t>
  </si>
  <si>
    <t>10b</t>
  </si>
  <si>
    <t>Additional wood (in comparison to the counterfactual) generated by increasing the rate of harvest of a naturally-regenerated hardwood forest in East Canada from every 100 years to every 80 years.</t>
  </si>
  <si>
    <t>Additional wood (in comparison to the counterfactual) generated by increasing the rate of harvest of a naturally-regenerated conifer forest in Pacific Canada from every 70 years to every 50 years.</t>
  </si>
  <si>
    <t>12a</t>
  </si>
  <si>
    <t>Additional wood (in comparison to the counterfactual) generated by increasing the rate of harvest of a naturally-regenerated conifer forest in boreal Interior-West Canada from every 100 years to every 50 years</t>
  </si>
  <si>
    <t>12b</t>
  </si>
  <si>
    <t>Additional wood (in comparison to the counterfactual) generated by increasing the rate of harvest of a naturally-regenerated conifer forest in boreal Interior-West Canada from every 100 years to every 80 years.</t>
  </si>
  <si>
    <t>13a</t>
  </si>
  <si>
    <t>Additional wood (in comparison to the counterfactual) generated by increasing the rate of harvest of a naturally-regenerated hardwood forest in South USA from every 70 years to every 60 years.</t>
  </si>
  <si>
    <t>13b</t>
  </si>
  <si>
    <t>Additional wood (in comparison to the counterfactual) generated by continuing harvesting a naturally-regenerated hardwood forest in South USA every 70 years.</t>
  </si>
  <si>
    <t>10Pa</t>
  </si>
  <si>
    <t>Additional wood (in comparison to the counterfactual) generated by increasing the rate of harvest of a hardwood plantation in East Canada by decreasing the rotation period up to 50%</t>
  </si>
  <si>
    <t>10Pb</t>
  </si>
  <si>
    <t>Additional wood (in comparison to the counterfactual) generated by increasing the rate of harvest of a hardwood plantation in East Canada by decreasing the rotation period up to 20%</t>
  </si>
  <si>
    <t>11P</t>
  </si>
  <si>
    <t>Additional wood (in comparison to the counterfactual) generated by increasing the rate of harvest of a conifer plantation in Pacific Canada by decreasing the rotation period up to 20%</t>
  </si>
  <si>
    <t>12Pa</t>
  </si>
  <si>
    <t>Additional wood (in comparison to the counterfactual) generated by increasing the rate of harvest of a conifer plantation in Boreal Canada by decreasing the rotation period up to 50%</t>
  </si>
  <si>
    <t>12Pb</t>
  </si>
  <si>
    <t>Additional wood (in comparison to the counterfactual) generated by increasing the rate of harvest of a conifer plantation in Boreal Canada by decreasing the rotation period up to 20%</t>
  </si>
  <si>
    <t>13Pa</t>
  </si>
  <si>
    <t>Additional wood (in comparison to the counterfactual) generated by increasing the rate of harvest of a hardwood plantation in South USA by decreasing the rotation period up to 50%</t>
  </si>
  <si>
    <t>13Pb</t>
  </si>
  <si>
    <t>Additional wood (in comparison to the counterfactual) generated by increasing the rate of harvest of a hardwood plantation in South USA by decreasing the rotation period up to 20%</t>
  </si>
  <si>
    <t>Part 3</t>
  </si>
  <si>
    <t>14a</t>
  </si>
  <si>
    <t>Additional wood (in comparison to the counterfactual) from intensively-managed pine plantation, in South USA. Continue harvesting every 25 years</t>
  </si>
  <si>
    <t>14b</t>
  </si>
  <si>
    <t>Additional wood (in comparison to the counterfactual) from intensively-managed pine plantation, in South USA.  Increased demand for pulpwood results in the rotation length reducing to 20 years.</t>
  </si>
  <si>
    <t>Pulpwood from South USA, causing indirect impact of Eucalyptus plantation replacing Brazilian rainforest.</t>
  </si>
  <si>
    <t>Pulpwood from South USA, causing indirect impact of Eucalyptus plantation replacing Brazilian abandoned degraded pasture land, which would otherwise revert to tropical savannah.</t>
  </si>
  <si>
    <t>Pulpwood from South USA, causing indirect impact of increasing the harvest rate of naturally-regenerated coniferous forest in Pacific Canada, from every 70 years to every 50 years.</t>
  </si>
  <si>
    <t>22a</t>
  </si>
  <si>
    <t xml:space="preserve">Additional wood (in comparison to the counterfactual) from the conversion of a naturally-regenerated coniferous forest in South USA that is harvested every 50 years, to an intensively-managed pine plantation that is harvested every 25 years </t>
  </si>
  <si>
    <t>22b</t>
  </si>
  <si>
    <t>Additional wood (in comparison to the counterfactual) from the conversion of a naturally-regenerated coniferous forest in South USA that is harvested every 50 years, to an intensively-managed pine plantation that is harvested every 20 years.</t>
  </si>
  <si>
    <t>23a</t>
  </si>
  <si>
    <t>Additional wood (in comparison to the counterfactual) from the conversion of a naturally-regenerated hardwood forest in South USA that is harvested every 70 years, to an intensively-managed pine plantation that is harvested every 25 years</t>
  </si>
  <si>
    <t>23b</t>
  </si>
  <si>
    <t>Additional wood (in comparison to the counterfactual) from the conversion of a naturally-regenerated hardwood forest in South USA that is harvested every 70 years, to an intensively-managed pine plantation that is harvested every 20 years</t>
  </si>
  <si>
    <t>24a</t>
  </si>
  <si>
    <t>Additional wood (in comparison to the counterfactual) from the conversion of a naturally-regenerated coniferous forest in South USA that is harvested every 50 years, to an SRC hardwood plantation that is coppiced every 3 years. Conversion takes 3 years</t>
  </si>
  <si>
    <t>24b</t>
  </si>
  <si>
    <t xml:space="preserve">Additional wood (in comparison to the counterfactual) from the conversion of a naturally-regenerated coniferous forest in South USA that is harvested every 50 years, to an SRC hardwood plantation that is coppiced every 3 years Conversion over 50 years </t>
  </si>
  <si>
    <t>25a</t>
  </si>
  <si>
    <t xml:space="preserve">Additional wood (in comparison to the counterfactual) from the conversion of a naturally-regenerated hardwood forest in South USA that is harvested every 70 years, to an SRC hardwood plantation that is coppiced every 3 years. Conversion takes 3 years </t>
  </si>
  <si>
    <t>25b</t>
  </si>
  <si>
    <t>Additional wood (in comparison to the counterfactual) from the conversion of a naturally-regenerated hardwood forest in South USA that is harvested every 70 years, to an SRC hardwood plantation that is coppiced every 3 years. Conversion takes 70 years.</t>
  </si>
  <si>
    <t>Part 4</t>
  </si>
  <si>
    <t>Top three changes which would encourage the practices described in the scenario to occur?</t>
  </si>
  <si>
    <t>Summary of overall view as determined in overview sheets from all sources of evidence</t>
  </si>
  <si>
    <t>Counterfactual description</t>
  </si>
  <si>
    <t>Leave all residues in the forest</t>
  </si>
  <si>
    <t>Continue harvesting the forest every 100 years</t>
  </si>
  <si>
    <t>Continue harvesting the forest every 70 years</t>
  </si>
  <si>
    <t>Reduce the rate of harvest to every 80 years</t>
  </si>
  <si>
    <t>Leave plantation in previous management</t>
  </si>
  <si>
    <t>Reduced frequency of harvest with low demand for wood</t>
  </si>
  <si>
    <r>
      <t>Reducing the frequency of harvest to every 35 year</t>
    </r>
    <r>
      <rPr>
        <sz val="11"/>
        <color theme="1"/>
        <rFont val="Calibri"/>
        <family val="2"/>
      </rPr>
      <t>s</t>
    </r>
  </si>
  <si>
    <t>Pulpwood produced in South USA used for non-bioenergy purposes</t>
  </si>
  <si>
    <t>Continue harvesting the forest every 50 years, and leaving to regenerate naturally</t>
  </si>
  <si>
    <t>Continue harvesting the forest every 70 years, and leaving to regenerate naturally</t>
  </si>
  <si>
    <t>Abandoned agricultural land left to revert to sub-tropical, moist, deciduous forest.</t>
  </si>
  <si>
    <t>Forest remains unmanaged</t>
  </si>
  <si>
    <t>Factor 1</t>
  </si>
  <si>
    <t>Factor 2</t>
  </si>
  <si>
    <t>Factor 3</t>
  </si>
  <si>
    <t xml:space="preserve">All twelve respondents felt the practices are either definitely not or sometimes occurring. </t>
  </si>
  <si>
    <t>The most common response is that this scenario is very unlikely/unlikely to occur. Four respondents felt it moderately likely.</t>
  </si>
  <si>
    <t xml:space="preserve">The majority of the 10 respondents felt the scenario is very unlikely to occur. </t>
  </si>
  <si>
    <t>The most common response is that this scenario is very unlikely/unlikely to occur. Four respondents felt the scenario moderately unlikely/moderately likely.</t>
  </si>
  <si>
    <t xml:space="preserve">All 12 respondents felt the counterfactual is definitely not or only sometimes accurate. </t>
  </si>
  <si>
    <t>The most common response is that the scenario is moderately likely/likely to occur. Four respondents felt the scenario is very likely to occur. A minority felt the scenario very unlikely.</t>
  </si>
  <si>
    <t>The most common view is that this scenario is likely to occur; however, almost an equal number felt the scenario very unlikely.</t>
  </si>
  <si>
    <t>The most common view is that the scenario very likely, but almost as many felt the scenario very unlikely/unlikely.</t>
  </si>
  <si>
    <t>The most common view is that the scenario is very likely, but almost as many felt the scenario very unlikely/unlikely.</t>
  </si>
  <si>
    <t xml:space="preserve">Four of the nine respondents answered "I don't know" with regard to whether this practice is already occurring. The remaining respondents did have a most common response of "Definitely not", but the high number of "I don't know" responses demonstrates the uncertainty for this question. </t>
  </si>
  <si>
    <t>The most common view of respondents (5 of the 10 respondents) is that the scenario is very unlikely/unlikely. Three people responded "I don't know."</t>
  </si>
  <si>
    <t xml:space="preserve">The majority of the 6 respondents felt this scenario is very unlikely to occur in the future at current fibre prices. </t>
  </si>
  <si>
    <t xml:space="preserve">The most common response is that the practices are not occurring.  There were three of the nine respondents who answered "I don't know". </t>
  </si>
  <si>
    <t>The majority (5 of 7 respondents) felt this scenario is very unlikely/unlikely. The remaining two respondents felt this scenario is moderately likely/likely</t>
  </si>
  <si>
    <t>The majority of the six respondents felt this scenario is very unlikely</t>
  </si>
  <si>
    <t>The most common view of the 10 respondents is that this scenario is very unlikely/unlikely. There was a minority of respondents who felt this scenario is moderately likely/likely</t>
  </si>
  <si>
    <t>Overall view from direct questions on likelihood</t>
  </si>
  <si>
    <t>Overall view as assessed on basis of responses to the questionnaire</t>
  </si>
  <si>
    <t>USA_text</t>
  </si>
  <si>
    <t xml:space="preserve">A full description of evidence found in the literature review and references for sources, is given in Section 4 of the report, and summarised in Section 4.7.  A full description of the evidence provided by SRTS modelling is in Section 6.5, and comments from the questionnaire are discussed in full in Section 8 and provided in Appendix 4 </t>
  </si>
  <si>
    <t>Canada_text</t>
  </si>
  <si>
    <t xml:space="preserve">A full description of evidence found in the literature review and references for sources, is given in Section 5 of the report, and summarised in Section 5.7.  Comments from the questionnaire are discussed in full in Section 8 and provided in Appendix 4 </t>
  </si>
  <si>
    <t>Responses to the questionnaire indicated that this scenario definitely does not occur now and is very unlikely in the future. The literature indicates that this scenario is definitely not occurring now (see Chapter 5 in report). It is unlikely that unmanaged forest would be brought back into production as a result of pellet demand because the Annual Allowable Cut is not achieved in many regions in Canada. It is more likely that this would be exploited before management of unmanaged forests is considered. The counterfactual is an accurate description sometimes; the majority of unmanaged forest is remote and with little infrastructure in Canada.</t>
  </si>
  <si>
    <t>Top three changes which would prevent the practices described in the scenario occurring?</t>
  </si>
  <si>
    <t xml:space="preserve">These percentages are based on the total number of don't knows and total number of responses.  The percentages of 'don’t knows' in the histograms produced in the likelihood sheets are weighted percentages, so are different to the percentages calculated here.    The percentages above were used as a flag in the internal analysis to highlight scenarios and questions where there was a high level of 'don't knows' and caution needed to be exercised in drawing conclusions from the responses. </t>
  </si>
  <si>
    <t>Responses to the questionnaire indicated no consensus now and that this scenario is very unlikely in the future. 
The no consensus view is influenced by the small number of responses and the high proportion of 'I don't know' responses to the questionnaire. The literature indicates that these scenarios are definitely not occurring now. It is unlikely that unmanaged forest would be brought back into production as a result of pellet demand because the Annual Allowable Cut is not achieved in many regions in Canada (see report Chapter 5). It is more likely that this would be exploited before management of unmanaged forests is considered. The counterfactual is considered by respondents to be an accurate description sometimes; the majority of unmanaged forest is remote and with little infrastructure in Canada.</t>
  </si>
  <si>
    <t xml:space="preserve">This is not occurring now: pellet demand does not drive the management of unmanaged forest. Small scale private forest owners will harvest for a variety of reasons and will be attracted by the return from saw timber. Pellet demand may make this marginally more attractive, but there is no evidence in the literature. </t>
  </si>
  <si>
    <t>Pellet demand would not cause forest that is set aside for conservation to be brought into production. Current prices are not sufficient to encourage family forestland to be harvested for pellets alone.</t>
  </si>
  <si>
    <t>Questionnaire: question</t>
  </si>
  <si>
    <t>Questionnaire: comments</t>
  </si>
  <si>
    <t xml:space="preserve">Respondents to the questionnaire said that this scenario is either definitely not occurring or sometimes occurring now. They qualified this by saying that ‘sometimes’ means rarely or occasionally, so the overall rank could be regarded as ‘rarely’.  Respondents thought it is very unlikely in the future The main reason for the opinion that this is unlikely in the future is that the financial return on pellets is insufficient to drive this change and would not compete with the return on planted pine for saw timber. The literature does not provide any evidence to contradict this. The counterfactual was not considered accurate in most locations in Southeastern USA. 
Conversion of agricultural land is not modelled in SRTS. </t>
  </si>
  <si>
    <t>Responses to the questionnaire indicated this scenario is sometimes occurring now but no consensus on the future (views were widespread). The lack of consensus in the questionnaire reflected a lack of consensus on the meaning of the term unmanaged forest. This was defined as “forest that has no management plan”. The responses to the questionnaire and the literature indicate that there are two types of forest that may be affected by this scenario: a) forests that are legally protected from harvest, via conservation easements or wetland or wilderness designation or similar, and b) forests that are owned by family forestland owners because they like owning forestland (for aesthetic or other purposes).  Neither category is being harvested now, but category a) are legally protected and will not be harvested under any circumstances, while category b) are the forests that might come into production if the price increases enough (see report Chapter 4). The counterfactual is thought to be an accurate description sometimes, but there were difficulties in agreeing with it because management will depend on forest owner objectives. There was little information on bringing private small scale forest back into management in the literature but surveys of small scale owners confirm the results to the questionnaire (in fact a number of respondents quoted this source as well). From the responses to the questionnaire there is a possibility that saw timber demand would drive harvest (management) of these forests but there is no evidence that pellet demand would. There was no evidence from SRTS modelling on this scenario.</t>
  </si>
  <si>
    <t>Likelihood screening score</t>
  </si>
  <si>
    <t>Converting likelihood scores to likelihoods</t>
  </si>
  <si>
    <t>Threshold</t>
  </si>
  <si>
    <t>Decimal places</t>
  </si>
  <si>
    <t>Likelihood score</t>
  </si>
  <si>
    <t>&lt; Maximum DPs</t>
  </si>
  <si>
    <t>Likelihoods</t>
  </si>
  <si>
    <t>Likelihood not ranked</t>
  </si>
  <si>
    <t>Factor not ranked</t>
  </si>
  <si>
    <t>Increased demand for pellet fibre provides sufficient financial return</t>
  </si>
  <si>
    <t>Ranked, but likelihood not estimated</t>
  </si>
  <si>
    <t>If you are not familiar with the type of forest included in these scenarios or the region is not relevant to you please mark ‘not applicable’ here and continue to the next scenario.Not applicable</t>
  </si>
  <si>
    <t>Scenario 26: Additional wood (in comparison to the counterfactual) from the conversion of abandoned agricultural land in USA that was previously annually ploughed, to an SRC hardwood plantation that is coppiced every 3 years.Is the practice described in the scenario already occurring?</t>
  </si>
  <si>
    <t>If your own land holding has been affected in the ways described by scenario 26 what percentage of your forest land do you think has been affected by this?Open-Ended Response</t>
  </si>
  <si>
    <t>Which of the following changes would encourage the practices described in the scenario 26 to occur? Please select up to the three most important factors.Increased demand for fibre for pellets results a sufficient financial return to warrant conversion of abandoned agricultural land - Top 3 factors  (1 is most important)</t>
  </si>
  <si>
    <t>Which of the following changes would prevent the practices described in scenario 26 from occurring in the future?  Please select up to the three most important factors.The market demand for fibre for pellets does not offer sufficient financial return - Top 3 factors  (1 is most important)</t>
  </si>
  <si>
    <t>Do you have any other comments on scenario 26 that are not captured elsewhere?Open-Ended Response</t>
  </si>
  <si>
    <t>Does the emergence of pellet demand in a housing recession increase or decrease the probability of scenario 26 happening? (A housing recession means there are reduced quantities of sawmill residues that can be turned into low carbon pellets so feedstock for pellet production has to come from other sources)Open-Ended Response</t>
  </si>
  <si>
    <t>What is your source of information in answering the questions about scenario 26? Please indicate below and provide additional information on the evidence.Expert Judgement</t>
  </si>
  <si>
    <t>CaseC</t>
  </si>
  <si>
    <t>CaseB</t>
  </si>
  <si>
    <t>CaseA</t>
  </si>
  <si>
    <t>Response_Q155_1</t>
  </si>
  <si>
    <t>Response_Q158_2</t>
  </si>
  <si>
    <t>Response_Q163_1</t>
  </si>
  <si>
    <t>Response_Q164_1</t>
  </si>
  <si>
    <t>Response_Q165_2</t>
  </si>
  <si>
    <t>Response_Q166_1</t>
  </si>
  <si>
    <t>Response_Q166_2</t>
  </si>
  <si>
    <t>Response_Q166_3</t>
  </si>
  <si>
    <t>DELETED</t>
  </si>
  <si>
    <t>Response_30cCaseC</t>
  </si>
  <si>
    <t>Response_30cCaseB</t>
  </si>
  <si>
    <t>Response_30cCaseA</t>
  </si>
  <si>
    <t>30 - Boreal Canada</t>
  </si>
  <si>
    <t>Response_30bCaseC</t>
  </si>
  <si>
    <t>Response_30bCaseB</t>
  </si>
  <si>
    <t>Response_30bCaseA</t>
  </si>
  <si>
    <t>30 - Pacific Canada</t>
  </si>
  <si>
    <t>Response_30aCaseC</t>
  </si>
  <si>
    <t>Response_30aCaseB</t>
  </si>
  <si>
    <t>Response_30aCaseA</t>
  </si>
  <si>
    <t>30 - East Canada</t>
  </si>
  <si>
    <t>Response_30dCaseC</t>
  </si>
  <si>
    <t>Response_30dCaseB</t>
  </si>
  <si>
    <t>Response_30dCaseA</t>
  </si>
  <si>
    <t>30 - South USA</t>
  </si>
  <si>
    <t>confidence</t>
  </si>
  <si>
    <t>Version Control Log</t>
  </si>
  <si>
    <t>Version</t>
  </si>
  <si>
    <t>Details</t>
  </si>
  <si>
    <t>Issue</t>
  </si>
  <si>
    <t>v3.41</t>
  </si>
  <si>
    <t>First final version, submitted for internal QA by Ricardo</t>
  </si>
  <si>
    <t>v3.52</t>
  </si>
  <si>
    <t>First issue to DECC</t>
  </si>
  <si>
    <t>v3.60</t>
  </si>
  <si>
    <t>Draft issued to DECC for submission to peer review</t>
  </si>
  <si>
    <t>v4.01</t>
  </si>
  <si>
    <t>Second issue to DECC</t>
  </si>
  <si>
    <t>Likelihood assessment from analysis of questionnaire responses</t>
  </si>
  <si>
    <t xml:space="preserve">The overall view in this box is an interpretation of the data in the histogram shown below.  An explanation of how it is derived is given in Section 3.3.1.3 of the user guide. </t>
  </si>
  <si>
    <t xml:space="preserve">This table summarises the most common view on likelihood expressed by each stakeholder group for the question above.  An explanation of how it is derived is given in Section 3.3.1.1 of the user guide. </t>
  </si>
  <si>
    <t xml:space="preserve">This histogram shows the views each stakeholder group as a percentage. Each stakeholder group is given 16.6% (i.e. a sixth of 100%) which is divided proportionally between the views expressed in that stakeholder group.  The histogram will only add up to 100% if there was at least one respondent providing a view in each of the stakeholder groups.  A full explanation is given in Section 3.3.1 of the user guide.  </t>
  </si>
  <si>
    <t>Analysis by stakeholder group</t>
  </si>
  <si>
    <r>
      <t xml:space="preserve">The </t>
    </r>
    <r>
      <rPr>
        <b/>
        <sz val="10"/>
        <color theme="1"/>
        <rFont val="Arial"/>
        <family val="2"/>
      </rPr>
      <t>likelihood screening score</t>
    </r>
    <r>
      <rPr>
        <sz val="10"/>
        <color theme="1"/>
        <rFont val="Arial"/>
        <family val="2"/>
      </rPr>
      <t xml:space="preserve"> evaluates whether a scenario is likely or unlikely based on the ratio of responses rating the scenario as likely (to some degree) or unlikely (to some degree).  It was used as an initial screening assessment to help identify scenarios where particular care should be taken in making the summary assessment as initial indications were that the scenario might be likely.  As the likelihood screening score is only considered a crude indicator however, the ranking it suggests is not taken into account in the overall view.  Intermediate data used in calculating the likelihood screening score is shown below.  The methodology used to calculate the likelihood screening score is described in Section 3.3.1.2 of the user guide.</t>
    </r>
  </si>
  <si>
    <t>Intermediate data used in calculating likelihood screening score</t>
  </si>
  <si>
    <t>No of stakeholder groups that responded</t>
  </si>
  <si>
    <t>I don't know as weighted percentage</t>
  </si>
  <si>
    <t>"Likely" as weighted percentage</t>
  </si>
  <si>
    <t>"Unlikely" as weighted percentage</t>
  </si>
  <si>
    <t>Intermedate data used in calculating likelihood sreening score</t>
  </si>
  <si>
    <t>Additional data used to assess confidence rating</t>
  </si>
  <si>
    <t>Number of respondents who are ' somewhat confident' in their answers but where all responses are "I don't know"</t>
  </si>
  <si>
    <t>Number of respondents who are 'confident' in their answers but where all responses are "I don't know"</t>
  </si>
  <si>
    <t>Number of respondents who are ' very confident' in their answers but where all responses are "I don't know"</t>
  </si>
  <si>
    <t xml:space="preserve">Summary of overall view on likelihood from questionnaire results.  For full determination of likelihood based on all evidence sources, see Summary 1. </t>
  </si>
  <si>
    <t>Cell references used in indirect formulae to pick up values from each likelihood sheet for top half of table</t>
  </si>
  <si>
    <t xml:space="preserve">Cell reference used in indirect formulae to pick up comment from each likelihood sheet </t>
  </si>
  <si>
    <t>This sheet intentionally left blank</t>
  </si>
  <si>
    <t>Exclusion of respondents who answered "I don't know" to all questions on these scenarios, to allow exclusion of their responses from confidence rating</t>
  </si>
  <si>
    <t>v4.02</t>
  </si>
  <si>
    <t>Second issue to DECC reformatted so all cells are unhidden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</si>
</sst>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00"/>
  </numFmts>
  <fonts count="39"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b/>
      <sz val="11"/>
      <color theme="1"/>
      <name val="Arial"/>
      <family val="2"/>
    </font>
    <font>
      <sz val="11"/>
      <color theme="8"/>
      <name val="Arial"/>
      <family val="2"/>
    </font>
    <font>
      <b/>
      <sz val="9"/>
      <color theme="1"/>
      <name val="Arial"/>
      <family val="2"/>
    </font>
    <font>
      <sz val="11"/>
      <color theme="1"/>
      <name val="Calibri"/>
      <family val="2"/>
      <scheme val="minor"/>
    </font>
    <font>
      <sz val="10"/>
      <name val="Microsoft Sans Serif"/>
      <family val="2"/>
    </font>
    <font>
      <i/>
      <sz val="11"/>
      <color theme="1"/>
      <name val="Arial"/>
      <family val="2"/>
    </font>
    <font>
      <sz val="11"/>
      <color rgb="FFFF0000"/>
      <name val="Arial"/>
      <family val="2"/>
    </font>
    <font>
      <b/>
      <sz val="11"/>
      <name val="Arial"/>
      <family val="2"/>
    </font>
    <font>
      <sz val="11"/>
      <name val="Arial"/>
      <family val="2"/>
    </font>
    <font>
      <b/>
      <sz val="11"/>
      <color rgb="FF0070C0"/>
      <name val="Arial"/>
      <family val="2"/>
    </font>
    <font>
      <sz val="11"/>
      <color rgb="FF0070C0"/>
      <name val="Arial"/>
      <family val="2"/>
    </font>
    <font>
      <sz val="11"/>
      <color theme="1"/>
      <name val="Calibri"/>
      <family val="2"/>
    </font>
    <font>
      <sz val="11"/>
      <color rgb="FFFF3300"/>
      <name val="Arial"/>
      <family val="2"/>
    </font>
    <font>
      <sz val="12"/>
      <color theme="1"/>
      <name val="Arial"/>
      <family val="2"/>
    </font>
    <font>
      <sz val="11"/>
      <name val="Calibri"/>
      <family val="2"/>
      <scheme val="minor"/>
    </font>
    <font>
      <sz val="10"/>
      <color theme="1"/>
      <name val="Arial"/>
      <family val="2"/>
    </font>
    <font>
      <b/>
      <sz val="11"/>
      <color indexed="8"/>
      <name val="Arial"/>
      <family val="2"/>
    </font>
    <font>
      <b/>
      <sz val="11"/>
      <color theme="8"/>
      <name val="Arial"/>
      <family val="2"/>
    </font>
    <font>
      <sz val="11"/>
      <color theme="0"/>
      <name val="Calibri"/>
      <family val="2"/>
      <scheme val="minor"/>
    </font>
    <font>
      <b/>
      <sz val="11"/>
      <color theme="4" tint="-0.249977111117893"/>
      <name val="Arial"/>
      <family val="2"/>
    </font>
    <font>
      <sz val="9"/>
      <color theme="1"/>
      <name val="Arial"/>
      <family val="2"/>
    </font>
    <font>
      <b/>
      <sz val="11"/>
      <color theme="1"/>
      <name val="Calibri"/>
      <family val="2"/>
      <scheme val="minor"/>
    </font>
    <font>
      <b/>
      <sz val="10"/>
      <color theme="1"/>
      <name val="Arial"/>
      <family val="2"/>
    </font>
    <font>
      <b/>
      <sz val="11"/>
      <color rgb="FFFFFFFF"/>
      <name val="Arial"/>
      <family val="2"/>
    </font>
    <font>
      <sz val="11"/>
      <color rgb="FF000000"/>
      <name val="Arial"/>
      <family val="2"/>
    </font>
    <font>
      <sz val="9"/>
      <name val="Arial"/>
      <family val="2"/>
    </font>
    <font>
      <sz val="18"/>
      <color theme="4" tint="-0.249977111117893"/>
      <name val="Arial"/>
      <family val="2"/>
    </font>
    <font>
      <b/>
      <sz val="11"/>
      <color rgb="FF000000"/>
      <name val="Arial"/>
      <family val="2"/>
    </font>
    <font>
      <i/>
      <sz val="11"/>
      <color rgb="FF000000"/>
      <name val="Arial"/>
      <family val="2"/>
    </font>
    <font>
      <sz val="11"/>
      <color theme="0" tint="-0.499984740745262"/>
      <name val="Arial"/>
      <family val="2"/>
    </font>
    <font>
      <sz val="9"/>
      <color theme="0" tint="-0.499984740745262"/>
      <name val="Arial"/>
      <family val="2"/>
    </font>
    <font>
      <b/>
      <sz val="36"/>
      <color theme="1"/>
      <name val="Arial"/>
      <family val="2"/>
    </font>
  </fonts>
  <fills count="38">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rgb="FFCC99FF"/>
        <bgColor indexed="64"/>
      </patternFill>
    </fill>
    <fill>
      <patternFill patternType="solid">
        <fgColor theme="0"/>
        <bgColor theme="4" tint="0.79998168889431442"/>
      </patternFill>
    </fill>
    <fill>
      <patternFill patternType="solid">
        <fgColor rgb="FFFF3300"/>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4" tint="0.59996337778862885"/>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7" tint="0.39997558519241921"/>
        <bgColor indexed="65"/>
      </patternFill>
    </fill>
    <fill>
      <patternFill patternType="solid">
        <fgColor rgb="FFFFCC66"/>
        <bgColor indexed="64"/>
      </patternFill>
    </fill>
    <fill>
      <patternFill patternType="solid">
        <fgColor theme="5" tint="0.79998168889431442"/>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2" tint="-9.9948118533890809E-2"/>
        <bgColor indexed="64"/>
      </patternFill>
    </fill>
    <fill>
      <patternFill patternType="solid">
        <fgColor rgb="FF5B9BD5"/>
        <bgColor indexed="64"/>
      </patternFill>
    </fill>
    <fill>
      <patternFill patternType="solid">
        <fgColor rgb="FFDEEAF6"/>
        <bgColor indexed="64"/>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medium">
        <color rgb="FF5B9BD5"/>
      </bottom>
      <diagonal/>
    </border>
    <border>
      <left/>
      <right style="medium">
        <color rgb="FF9CC2E5"/>
      </right>
      <top/>
      <bottom style="medium">
        <color rgb="FF9CC2E5"/>
      </bottom>
      <diagonal/>
    </border>
    <border>
      <left style="medium">
        <color rgb="FF5B9BD5"/>
      </left>
      <right/>
      <top style="medium">
        <color rgb="FF5B9BD5"/>
      </top>
      <bottom/>
      <diagonal/>
    </border>
    <border>
      <left/>
      <right/>
      <top style="medium">
        <color rgb="FF5B9BD5"/>
      </top>
      <bottom/>
      <diagonal/>
    </border>
    <border>
      <left/>
      <right style="medium">
        <color rgb="FF5B9BD5"/>
      </right>
      <top style="medium">
        <color rgb="FF5B9BD5"/>
      </top>
      <bottom/>
      <diagonal/>
    </border>
    <border>
      <left style="medium">
        <color rgb="FF5B9BD5"/>
      </left>
      <right/>
      <top/>
      <bottom style="medium">
        <color rgb="FF5B9BD5"/>
      </bottom>
      <diagonal/>
    </border>
    <border>
      <left/>
      <right style="medium">
        <color rgb="FF5B9BD5"/>
      </right>
      <top/>
      <bottom style="medium">
        <color rgb="FF5B9BD5"/>
      </bottom>
      <diagonal/>
    </border>
    <border>
      <left style="medium">
        <color rgb="FF9CC2E5"/>
      </left>
      <right style="medium">
        <color rgb="FF9CC2E5"/>
      </right>
      <top/>
      <bottom style="medium">
        <color rgb="FF9CC2E5"/>
      </bottom>
      <diagonal/>
    </border>
    <border>
      <left/>
      <right/>
      <top style="medium">
        <color rgb="FF5B9BD5"/>
      </top>
      <bottom style="medium">
        <color rgb="FF9CC2E5"/>
      </bottom>
      <diagonal/>
    </border>
    <border>
      <left/>
      <right style="medium">
        <color rgb="FF9CC2E5"/>
      </right>
      <top style="medium">
        <color rgb="FF5B9BD5"/>
      </top>
      <bottom style="medium">
        <color rgb="FF9CC2E5"/>
      </bottom>
      <diagonal/>
    </border>
    <border>
      <left/>
      <right/>
      <top style="medium">
        <color rgb="FF9CC2E5"/>
      </top>
      <bottom style="medium">
        <color rgb="FF9CC2E5"/>
      </bottom>
      <diagonal/>
    </border>
    <border>
      <left/>
      <right style="medium">
        <color rgb="FF9CC2E5"/>
      </right>
      <top style="medium">
        <color rgb="FF9CC2E5"/>
      </top>
      <bottom style="medium">
        <color rgb="FF9CC2E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1">
    <xf numFmtId="0" fontId="0" fillId="0" borderId="0"/>
    <xf numFmtId="9" fontId="6" fillId="0" borderId="0" applyFont="0" applyFill="0" applyBorder="0" applyAlignment="0" applyProtection="0"/>
    <xf numFmtId="0" fontId="10" fillId="0" borderId="0"/>
    <xf numFmtId="0" fontId="11" fillId="0" borderId="0"/>
    <xf numFmtId="0" fontId="6" fillId="0" borderId="0"/>
    <xf numFmtId="0" fontId="5" fillId="0" borderId="0"/>
    <xf numFmtId="0" fontId="4" fillId="0" borderId="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25" fillId="20" borderId="0" applyNumberFormat="0" applyBorder="0" applyAlignment="0" applyProtection="0"/>
    <xf numFmtId="0" fontId="1" fillId="0" borderId="0"/>
  </cellStyleXfs>
  <cellXfs count="563">
    <xf numFmtId="0" fontId="0" fillId="0" borderId="0" xfId="0"/>
    <xf numFmtId="0" fontId="0" fillId="0" borderId="0" xfId="0" applyBorder="1"/>
    <xf numFmtId="0" fontId="0" fillId="2" borderId="0" xfId="0" applyFill="1"/>
    <xf numFmtId="0" fontId="0" fillId="2" borderId="9" xfId="0" applyFill="1" applyBorder="1"/>
    <xf numFmtId="0" fontId="0" fillId="2" borderId="9" xfId="0" applyFont="1" applyFill="1" applyBorder="1"/>
    <xf numFmtId="0" fontId="0" fillId="0" borderId="9" xfId="0" applyBorder="1"/>
    <xf numFmtId="0" fontId="0" fillId="2" borderId="0" xfId="0" applyFill="1" applyBorder="1"/>
    <xf numFmtId="0" fontId="0" fillId="2" borderId="0" xfId="0" applyFill="1" applyAlignment="1">
      <alignment wrapText="1"/>
    </xf>
    <xf numFmtId="0" fontId="0" fillId="2" borderId="0" xfId="0" applyFill="1" applyAlignment="1">
      <alignment vertical="top" wrapText="1"/>
    </xf>
    <xf numFmtId="0" fontId="10" fillId="0" borderId="0" xfId="2"/>
    <xf numFmtId="0" fontId="11" fillId="0" borderId="0" xfId="3"/>
    <xf numFmtId="0" fontId="11" fillId="0" borderId="0" xfId="3" applyFill="1"/>
    <xf numFmtId="0" fontId="0" fillId="8" borderId="17" xfId="0" applyFill="1" applyBorder="1"/>
    <xf numFmtId="0" fontId="13" fillId="2" borderId="0" xfId="0" applyFont="1" applyFill="1" applyAlignment="1">
      <alignment vertical="top"/>
    </xf>
    <xf numFmtId="0" fontId="0" fillId="2" borderId="0" xfId="0" applyFill="1" applyAlignment="1">
      <alignment vertical="top"/>
    </xf>
    <xf numFmtId="0" fontId="13" fillId="2" borderId="0" xfId="0" applyFont="1" applyFill="1" applyAlignment="1">
      <alignment horizontal="center" vertical="top"/>
    </xf>
    <xf numFmtId="0" fontId="0" fillId="2" borderId="17" xfId="0" applyFill="1" applyBorder="1" applyAlignment="1">
      <alignment vertical="top"/>
    </xf>
    <xf numFmtId="0" fontId="7" fillId="2" borderId="0" xfId="0" applyFont="1" applyFill="1" applyBorder="1" applyAlignment="1">
      <alignment vertical="top" wrapText="1"/>
    </xf>
    <xf numFmtId="0" fontId="7" fillId="2" borderId="0" xfId="0" applyFont="1" applyFill="1" applyAlignment="1">
      <alignment horizontal="center" vertical="top"/>
    </xf>
    <xf numFmtId="0" fontId="0" fillId="2" borderId="0" xfId="0" applyFill="1" applyBorder="1" applyAlignment="1">
      <alignment vertical="top"/>
    </xf>
    <xf numFmtId="0" fontId="14" fillId="2" borderId="0" xfId="0" applyFont="1" applyFill="1" applyBorder="1" applyAlignment="1">
      <alignment vertical="top" wrapText="1"/>
    </xf>
    <xf numFmtId="0" fontId="0" fillId="2" borderId="0" xfId="0" applyFill="1" applyAlignment="1">
      <alignment horizontal="center" vertical="top"/>
    </xf>
    <xf numFmtId="0" fontId="0" fillId="0" borderId="0" xfId="0" applyFill="1" applyAlignment="1">
      <alignment vertical="top"/>
    </xf>
    <xf numFmtId="0" fontId="7" fillId="2" borderId="0" xfId="0" applyFont="1" applyFill="1" applyAlignment="1">
      <alignment vertical="top"/>
    </xf>
    <xf numFmtId="0" fontId="0" fillId="2" borderId="2" xfId="0" applyFill="1" applyBorder="1" applyAlignment="1">
      <alignment vertical="top"/>
    </xf>
    <xf numFmtId="0" fontId="0" fillId="2" borderId="2" xfId="0" applyFill="1" applyBorder="1" applyAlignment="1">
      <alignment horizontal="center" vertical="top"/>
    </xf>
    <xf numFmtId="0" fontId="0" fillId="2" borderId="3" xfId="0" applyFill="1" applyBorder="1" applyAlignment="1">
      <alignment vertical="top"/>
    </xf>
    <xf numFmtId="0" fontId="0" fillId="2" borderId="0" xfId="0" applyFill="1" applyBorder="1" applyAlignment="1">
      <alignment horizontal="center" vertical="top"/>
    </xf>
    <xf numFmtId="164" fontId="13" fillId="2" borderId="0" xfId="0" applyNumberFormat="1" applyFont="1" applyFill="1" applyBorder="1" applyAlignment="1">
      <alignment vertical="top"/>
    </xf>
    <xf numFmtId="164" fontId="0" fillId="2" borderId="0" xfId="0" applyNumberFormat="1" applyFill="1" applyBorder="1" applyAlignment="1">
      <alignment vertical="top"/>
    </xf>
    <xf numFmtId="0" fontId="13" fillId="2" borderId="0" xfId="0" applyFont="1" applyFill="1" applyBorder="1" applyAlignment="1">
      <alignment vertical="top"/>
    </xf>
    <xf numFmtId="0" fontId="7" fillId="2" borderId="0" xfId="0" applyFont="1" applyFill="1" applyBorder="1" applyAlignment="1">
      <alignment horizontal="center" vertical="top"/>
    </xf>
    <xf numFmtId="164" fontId="13" fillId="2" borderId="0" xfId="0" applyNumberFormat="1" applyFont="1" applyFill="1" applyBorder="1" applyAlignment="1">
      <alignment horizontal="center" vertical="top"/>
    </xf>
    <xf numFmtId="0" fontId="0" fillId="2" borderId="0" xfId="0" applyFont="1" applyFill="1" applyBorder="1" applyAlignment="1">
      <alignment horizontal="center" vertical="top"/>
    </xf>
    <xf numFmtId="0" fontId="0" fillId="2" borderId="0" xfId="0" applyFont="1" applyFill="1" applyBorder="1" applyAlignment="1">
      <alignment vertical="top"/>
    </xf>
    <xf numFmtId="9" fontId="0" fillId="2" borderId="0" xfId="0" applyNumberFormat="1" applyFill="1" applyBorder="1" applyAlignment="1">
      <alignment vertical="top"/>
    </xf>
    <xf numFmtId="9" fontId="0" fillId="2" borderId="0" xfId="0" applyNumberFormat="1" applyFill="1" applyAlignment="1">
      <alignment horizontal="center" vertical="top"/>
    </xf>
    <xf numFmtId="1" fontId="0" fillId="2" borderId="0" xfId="0" applyNumberFormat="1" applyFill="1" applyBorder="1" applyAlignment="1">
      <alignment horizontal="center" vertical="top"/>
    </xf>
    <xf numFmtId="164" fontId="15" fillId="2" borderId="0" xfId="0" applyNumberFormat="1" applyFont="1" applyFill="1" applyBorder="1" applyAlignment="1">
      <alignment vertical="top"/>
    </xf>
    <xf numFmtId="164" fontId="7" fillId="2" borderId="0" xfId="0" applyNumberFormat="1" applyFont="1" applyFill="1" applyBorder="1" applyAlignment="1">
      <alignment vertical="top"/>
    </xf>
    <xf numFmtId="9" fontId="0" fillId="2" borderId="0" xfId="1" applyFont="1" applyFill="1" applyBorder="1" applyAlignment="1">
      <alignment vertical="top"/>
    </xf>
    <xf numFmtId="9" fontId="0" fillId="2" borderId="0" xfId="1" applyFont="1" applyFill="1" applyBorder="1" applyAlignment="1">
      <alignment horizontal="center" vertical="top"/>
    </xf>
    <xf numFmtId="0" fontId="0" fillId="2" borderId="21" xfId="0" applyFill="1" applyBorder="1" applyAlignment="1">
      <alignment vertical="top"/>
    </xf>
    <xf numFmtId="0" fontId="16" fillId="2" borderId="0" xfId="0" applyFont="1" applyFill="1" applyBorder="1" applyAlignment="1">
      <alignment vertical="top" wrapText="1"/>
    </xf>
    <xf numFmtId="0" fontId="0" fillId="2" borderId="0" xfId="0" applyFill="1" applyBorder="1" applyAlignment="1">
      <alignment vertical="top" wrapText="1"/>
    </xf>
    <xf numFmtId="0" fontId="0" fillId="9" borderId="10" xfId="0" applyFill="1" applyBorder="1" applyAlignment="1">
      <alignment vertical="top"/>
    </xf>
    <xf numFmtId="0" fontId="0" fillId="9" borderId="17" xfId="0" applyFill="1" applyBorder="1" applyAlignment="1">
      <alignment horizontal="center" vertical="top"/>
    </xf>
    <xf numFmtId="0" fontId="0" fillId="9" borderId="17" xfId="0" applyFill="1" applyBorder="1" applyAlignment="1">
      <alignment vertical="top"/>
    </xf>
    <xf numFmtId="0" fontId="0" fillId="9" borderId="17" xfId="0" applyFill="1" applyBorder="1" applyAlignment="1">
      <alignment vertical="top" wrapText="1"/>
    </xf>
    <xf numFmtId="0" fontId="0" fillId="9" borderId="18" xfId="0" applyFill="1" applyBorder="1" applyAlignment="1">
      <alignment vertical="top"/>
    </xf>
    <xf numFmtId="164" fontId="0" fillId="2" borderId="0" xfId="0" applyNumberFormat="1" applyFont="1" applyFill="1" applyBorder="1" applyAlignment="1">
      <alignment horizontal="center" vertical="top"/>
    </xf>
    <xf numFmtId="0" fontId="7" fillId="2" borderId="0" xfId="0" applyFont="1" applyFill="1" applyBorder="1" applyAlignment="1">
      <alignment horizontal="center" vertical="top" wrapText="1"/>
    </xf>
    <xf numFmtId="9" fontId="7" fillId="2" borderId="0" xfId="1" applyFont="1" applyFill="1" applyBorder="1" applyAlignment="1">
      <alignment horizontal="center" vertical="top"/>
    </xf>
    <xf numFmtId="2" fontId="7" fillId="2" borderId="0" xfId="0" applyNumberFormat="1" applyFont="1" applyFill="1" applyBorder="1" applyAlignment="1">
      <alignment horizontal="center" vertical="top"/>
    </xf>
    <xf numFmtId="165" fontId="0" fillId="2" borderId="0" xfId="0" applyNumberFormat="1" applyFill="1" applyBorder="1" applyAlignment="1">
      <alignment horizontal="center" vertical="top"/>
    </xf>
    <xf numFmtId="0" fontId="8" fillId="2" borderId="0" xfId="0" applyFont="1" applyFill="1" applyBorder="1" applyAlignment="1">
      <alignment vertical="top"/>
    </xf>
    <xf numFmtId="0" fontId="7" fillId="2" borderId="0" xfId="0" applyFont="1" applyFill="1" applyBorder="1" applyAlignment="1">
      <alignment vertical="top"/>
    </xf>
    <xf numFmtId="0" fontId="0" fillId="2" borderId="0" xfId="0" applyFont="1" applyFill="1" applyBorder="1" applyAlignment="1">
      <alignment vertical="top" wrapText="1"/>
    </xf>
    <xf numFmtId="0" fontId="0" fillId="2" borderId="0" xfId="0" applyFont="1" applyFill="1" applyBorder="1" applyAlignment="1">
      <alignment horizontal="center" vertical="top" wrapText="1"/>
    </xf>
    <xf numFmtId="0" fontId="13" fillId="2" borderId="0" xfId="0" applyFont="1" applyFill="1" applyBorder="1" applyAlignment="1">
      <alignment horizontal="center" vertical="top"/>
    </xf>
    <xf numFmtId="0" fontId="12" fillId="2" borderId="0" xfId="0" applyFont="1" applyFill="1" applyBorder="1" applyAlignment="1">
      <alignment vertical="top"/>
    </xf>
    <xf numFmtId="0" fontId="10" fillId="2" borderId="0" xfId="2" applyFill="1" applyBorder="1" applyAlignment="1">
      <alignment horizontal="left" vertical="top"/>
    </xf>
    <xf numFmtId="0" fontId="0" fillId="2" borderId="0" xfId="2" applyFont="1" applyFill="1" applyBorder="1" applyAlignment="1">
      <alignment horizontal="left" vertical="top"/>
    </xf>
    <xf numFmtId="0" fontId="0" fillId="9" borderId="0" xfId="0" applyFill="1" applyBorder="1" applyAlignment="1">
      <alignment vertical="top"/>
    </xf>
    <xf numFmtId="0" fontId="0" fillId="9" borderId="11" xfId="0" applyFill="1" applyBorder="1" applyAlignment="1">
      <alignment vertical="top"/>
    </xf>
    <xf numFmtId="0" fontId="0" fillId="9" borderId="21" xfId="0" applyFill="1" applyBorder="1" applyAlignment="1">
      <alignment vertical="top"/>
    </xf>
    <xf numFmtId="0" fontId="17" fillId="2" borderId="0" xfId="0" applyFont="1" applyFill="1" applyAlignment="1">
      <alignment vertical="top"/>
    </xf>
    <xf numFmtId="0" fontId="0" fillId="9" borderId="12" xfId="0" applyFill="1" applyBorder="1" applyAlignment="1">
      <alignment vertical="top"/>
    </xf>
    <xf numFmtId="0" fontId="19" fillId="2" borderId="0" xfId="0" applyFont="1" applyFill="1" applyAlignment="1">
      <alignment vertical="top"/>
    </xf>
    <xf numFmtId="0" fontId="0" fillId="0" borderId="0" xfId="2" applyFont="1" applyFill="1" applyBorder="1" applyAlignment="1">
      <alignment horizontal="left" vertical="top"/>
    </xf>
    <xf numFmtId="0" fontId="0" fillId="0" borderId="0" xfId="0" applyFill="1" applyBorder="1" applyAlignment="1">
      <alignment vertical="top"/>
    </xf>
    <xf numFmtId="0" fontId="17" fillId="2" borderId="0" xfId="0" applyFont="1" applyFill="1" applyBorder="1" applyAlignment="1">
      <alignment vertical="top"/>
    </xf>
    <xf numFmtId="9" fontId="0" fillId="2" borderId="0" xfId="0" applyNumberFormat="1" applyFill="1" applyBorder="1" applyAlignment="1">
      <alignment horizontal="center" vertical="top"/>
    </xf>
    <xf numFmtId="0" fontId="7" fillId="9" borderId="17" xfId="0" applyFont="1" applyFill="1" applyBorder="1" applyAlignment="1">
      <alignment vertical="top"/>
    </xf>
    <xf numFmtId="0" fontId="0" fillId="2" borderId="3" xfId="0" applyFill="1" applyBorder="1" applyAlignment="1">
      <alignment horizontal="center" vertical="top"/>
    </xf>
    <xf numFmtId="0" fontId="18" fillId="0" borderId="0" xfId="0" applyFont="1" applyAlignment="1">
      <alignment horizontal="center"/>
    </xf>
    <xf numFmtId="0" fontId="17" fillId="2" borderId="0" xfId="0" applyFont="1" applyFill="1" applyAlignment="1">
      <alignment horizontal="center" vertical="top"/>
    </xf>
    <xf numFmtId="0" fontId="0" fillId="2" borderId="0" xfId="0" applyFill="1" applyAlignment="1">
      <alignment horizontal="center" vertical="top" wrapText="1"/>
    </xf>
    <xf numFmtId="0" fontId="15" fillId="3" borderId="0" xfId="0" applyFont="1" applyFill="1" applyAlignment="1">
      <alignment vertical="top"/>
    </xf>
    <xf numFmtId="0" fontId="15" fillId="3" borderId="0" xfId="0" applyFont="1" applyFill="1" applyAlignment="1">
      <alignment horizontal="center" vertical="top"/>
    </xf>
    <xf numFmtId="0" fontId="15" fillId="9" borderId="21" xfId="0" applyFont="1" applyFill="1" applyBorder="1" applyAlignment="1">
      <alignment vertical="top"/>
    </xf>
    <xf numFmtId="0" fontId="15" fillId="9" borderId="0" xfId="0" applyFont="1" applyFill="1" applyBorder="1" applyAlignment="1">
      <alignment vertical="top"/>
    </xf>
    <xf numFmtId="0" fontId="15" fillId="9" borderId="17" xfId="0" applyFont="1" applyFill="1" applyBorder="1" applyAlignment="1">
      <alignment vertical="top"/>
    </xf>
    <xf numFmtId="0" fontId="15" fillId="3" borderId="0" xfId="0" applyFont="1" applyFill="1" applyBorder="1" applyAlignment="1">
      <alignment vertical="top"/>
    </xf>
    <xf numFmtId="0" fontId="0" fillId="11" borderId="0" xfId="0" applyFill="1" applyAlignment="1">
      <alignment vertical="top"/>
    </xf>
    <xf numFmtId="0" fontId="0" fillId="11" borderId="0" xfId="0" applyFill="1" applyAlignment="1">
      <alignment horizontal="center" vertical="top"/>
    </xf>
    <xf numFmtId="0" fontId="7" fillId="10" borderId="0" xfId="0" applyFont="1" applyFill="1" applyBorder="1" applyAlignment="1">
      <alignment horizontal="left"/>
    </xf>
    <xf numFmtId="0" fontId="14" fillId="3" borderId="0" xfId="0" applyFont="1" applyFill="1" applyAlignment="1">
      <alignment vertical="top"/>
    </xf>
    <xf numFmtId="0" fontId="14" fillId="3" borderId="0" xfId="0" applyFont="1" applyFill="1" applyAlignment="1">
      <alignment horizontal="center" vertical="top"/>
    </xf>
    <xf numFmtId="0" fontId="14" fillId="2" borderId="0" xfId="0" applyFont="1" applyFill="1" applyAlignment="1">
      <alignment horizontal="center" vertical="top"/>
    </xf>
    <xf numFmtId="0" fontId="14" fillId="2" borderId="0" xfId="0" applyFont="1" applyFill="1" applyAlignment="1">
      <alignment vertical="top"/>
    </xf>
    <xf numFmtId="0" fontId="14" fillId="9" borderId="21" xfId="0" applyFont="1" applyFill="1" applyBorder="1" applyAlignment="1">
      <alignment vertical="top"/>
    </xf>
    <xf numFmtId="0" fontId="14" fillId="9" borderId="0" xfId="0" applyFont="1" applyFill="1" applyBorder="1" applyAlignment="1">
      <alignment vertical="top"/>
    </xf>
    <xf numFmtId="0" fontId="14" fillId="9" borderId="17" xfId="0" applyFont="1" applyFill="1" applyBorder="1" applyAlignment="1">
      <alignment vertical="top"/>
    </xf>
    <xf numFmtId="0" fontId="14" fillId="2" borderId="0" xfId="0" applyFont="1" applyFill="1" applyBorder="1" applyAlignment="1">
      <alignment vertical="top"/>
    </xf>
    <xf numFmtId="0" fontId="20" fillId="2" borderId="0" xfId="0" applyFont="1" applyFill="1" applyAlignment="1">
      <alignment vertical="top"/>
    </xf>
    <xf numFmtId="164" fontId="7" fillId="2" borderId="0" xfId="0" applyNumberFormat="1" applyFont="1" applyFill="1" applyBorder="1" applyAlignment="1">
      <alignment horizontal="center" vertical="top"/>
    </xf>
    <xf numFmtId="164" fontId="0" fillId="2" borderId="0" xfId="0" applyNumberFormat="1" applyFill="1" applyBorder="1" applyAlignment="1">
      <alignment horizontal="center" vertical="top"/>
    </xf>
    <xf numFmtId="0" fontId="8" fillId="2" borderId="0" xfId="0" applyFont="1" applyFill="1" applyAlignment="1">
      <alignment horizontal="center" vertical="top"/>
    </xf>
    <xf numFmtId="165" fontId="0" fillId="2" borderId="0" xfId="0" applyNumberFormat="1" applyFill="1" applyBorder="1" applyAlignment="1">
      <alignment vertical="top"/>
    </xf>
    <xf numFmtId="0" fontId="15" fillId="12" borderId="9" xfId="0" applyFont="1" applyFill="1" applyBorder="1" applyAlignment="1">
      <alignment vertical="top" wrapText="1"/>
    </xf>
    <xf numFmtId="0" fontId="0" fillId="9" borderId="0" xfId="0" applyFill="1" applyBorder="1" applyAlignment="1">
      <alignment vertical="top" wrapText="1"/>
    </xf>
    <xf numFmtId="0" fontId="0" fillId="9" borderId="21" xfId="0" applyFill="1" applyBorder="1" applyAlignment="1">
      <alignment vertical="top" wrapText="1"/>
    </xf>
    <xf numFmtId="0" fontId="7" fillId="13" borderId="0" xfId="0" applyFont="1" applyFill="1" applyBorder="1" applyAlignment="1">
      <alignment horizontal="left"/>
    </xf>
    <xf numFmtId="10" fontId="7" fillId="13" borderId="0" xfId="0" applyNumberFormat="1" applyFont="1" applyFill="1" applyBorder="1"/>
    <xf numFmtId="9" fontId="0" fillId="2" borderId="0" xfId="0" applyNumberFormat="1" applyFill="1" applyBorder="1" applyAlignment="1">
      <alignment horizontal="center"/>
    </xf>
    <xf numFmtId="0" fontId="0" fillId="2" borderId="0" xfId="2" applyFont="1" applyFill="1" applyBorder="1" applyAlignment="1">
      <alignment vertical="top"/>
    </xf>
    <xf numFmtId="0" fontId="6" fillId="2" borderId="0" xfId="2" applyFont="1" applyFill="1" applyBorder="1" applyAlignment="1">
      <alignment vertical="top"/>
    </xf>
    <xf numFmtId="164" fontId="7" fillId="10" borderId="0" xfId="0" applyNumberFormat="1" applyFont="1" applyFill="1" applyBorder="1" applyAlignment="1">
      <alignment horizontal="center"/>
    </xf>
    <xf numFmtId="0" fontId="7" fillId="10" borderId="0" xfId="0" applyFont="1" applyFill="1" applyBorder="1" applyAlignment="1">
      <alignment vertical="top" wrapText="1"/>
    </xf>
    <xf numFmtId="0" fontId="7" fillId="10" borderId="0" xfId="0" applyFont="1" applyFill="1" applyBorder="1" applyAlignment="1">
      <alignment horizontal="center" vertical="top" wrapText="1"/>
    </xf>
    <xf numFmtId="0" fontId="7" fillId="10" borderId="0" xfId="0" applyFont="1" applyFill="1" applyBorder="1" applyAlignment="1">
      <alignment horizontal="center"/>
    </xf>
    <xf numFmtId="0" fontId="7" fillId="5" borderId="0" xfId="0" applyFont="1" applyFill="1" applyBorder="1" applyAlignment="1">
      <alignment vertical="top" wrapText="1"/>
    </xf>
    <xf numFmtId="0" fontId="7" fillId="5" borderId="0" xfId="0" applyFont="1" applyFill="1" applyBorder="1" applyAlignment="1">
      <alignment horizontal="center" vertical="top" wrapText="1"/>
    </xf>
    <xf numFmtId="0" fontId="7" fillId="13" borderId="0" xfId="0" applyFont="1" applyFill="1" applyBorder="1" applyAlignment="1">
      <alignment horizontal="center"/>
    </xf>
    <xf numFmtId="0" fontId="7" fillId="13" borderId="0" xfId="0" applyFont="1" applyFill="1" applyBorder="1" applyAlignment="1">
      <alignment vertical="top" wrapText="1"/>
    </xf>
    <xf numFmtId="0" fontId="6" fillId="2" borderId="0" xfId="2" applyFont="1" applyFill="1" applyBorder="1" applyAlignment="1">
      <alignment horizontal="center" vertical="top"/>
    </xf>
    <xf numFmtId="1" fontId="0" fillId="2" borderId="0" xfId="0" applyNumberFormat="1" applyFont="1" applyFill="1" applyBorder="1" applyAlignment="1">
      <alignment horizontal="center" vertical="top"/>
    </xf>
    <xf numFmtId="9" fontId="6" fillId="2" borderId="0" xfId="1" applyFont="1" applyFill="1" applyBorder="1" applyAlignment="1">
      <alignment horizontal="center" vertical="top"/>
    </xf>
    <xf numFmtId="9" fontId="7" fillId="10" borderId="0" xfId="1" applyFont="1" applyFill="1" applyBorder="1" applyAlignment="1">
      <alignment horizontal="center"/>
    </xf>
    <xf numFmtId="9" fontId="7" fillId="13" borderId="0" xfId="1" applyFont="1" applyFill="1" applyBorder="1" applyAlignment="1">
      <alignment horizontal="center"/>
    </xf>
    <xf numFmtId="1" fontId="0" fillId="2" borderId="0" xfId="0" applyNumberFormat="1" applyFill="1" applyBorder="1" applyAlignment="1">
      <alignment horizontal="center" vertical="top" wrapText="1"/>
    </xf>
    <xf numFmtId="1" fontId="0" fillId="2" borderId="0" xfId="0" applyNumberFormat="1" applyFill="1" applyBorder="1" applyAlignment="1">
      <alignment horizontal="left" vertical="top" wrapText="1"/>
    </xf>
    <xf numFmtId="0" fontId="0" fillId="2" borderId="0" xfId="0" applyFill="1" applyBorder="1" applyAlignment="1">
      <alignment horizontal="center" vertical="top" wrapText="1"/>
    </xf>
    <xf numFmtId="0" fontId="0" fillId="2" borderId="0" xfId="0" applyFill="1" applyBorder="1" applyAlignment="1">
      <alignment wrapText="1"/>
    </xf>
    <xf numFmtId="0" fontId="0" fillId="2" borderId="0" xfId="0" applyFill="1" applyBorder="1" applyAlignment="1">
      <alignment horizontal="center" wrapText="1"/>
    </xf>
    <xf numFmtId="0" fontId="7" fillId="5" borderId="0" xfId="0" applyFont="1" applyFill="1" applyBorder="1" applyAlignment="1">
      <alignment horizontal="left" vertical="top" wrapText="1"/>
    </xf>
    <xf numFmtId="0" fontId="0" fillId="2" borderId="0" xfId="0" applyFill="1" applyAlignment="1">
      <alignment horizontal="left"/>
    </xf>
    <xf numFmtId="10" fontId="0" fillId="2" borderId="0" xfId="0" applyNumberFormat="1" applyFill="1"/>
    <xf numFmtId="0" fontId="15" fillId="2" borderId="0" xfId="0" applyFont="1" applyFill="1" applyAlignment="1">
      <alignment vertical="top"/>
    </xf>
    <xf numFmtId="0" fontId="14" fillId="0" borderId="0" xfId="0" applyFont="1" applyFill="1" applyBorder="1" applyAlignment="1">
      <alignment vertical="top"/>
    </xf>
    <xf numFmtId="0" fontId="15" fillId="0" borderId="0" xfId="0" applyFont="1" applyFill="1" applyBorder="1" applyAlignment="1">
      <alignment vertical="top"/>
    </xf>
    <xf numFmtId="0" fontId="7" fillId="0" borderId="0" xfId="0" applyFont="1" applyFill="1" applyBorder="1" applyAlignment="1">
      <alignment vertical="top"/>
    </xf>
    <xf numFmtId="0" fontId="0" fillId="0" borderId="0" xfId="0" applyFill="1" applyBorder="1" applyAlignment="1">
      <alignment horizontal="center" vertical="top"/>
    </xf>
    <xf numFmtId="0" fontId="0" fillId="0" borderId="0" xfId="0" applyFill="1" applyBorder="1" applyAlignment="1">
      <alignment vertical="top" wrapText="1"/>
    </xf>
    <xf numFmtId="0" fontId="8" fillId="0" borderId="0" xfId="0" applyFont="1" applyFill="1" applyBorder="1" applyAlignment="1">
      <alignment vertical="top"/>
    </xf>
    <xf numFmtId="9" fontId="0" fillId="2" borderId="0" xfId="1" applyFont="1" applyFill="1" applyAlignment="1">
      <alignment vertical="top"/>
    </xf>
    <xf numFmtId="9" fontId="7" fillId="2" borderId="0" xfId="0" applyNumberFormat="1" applyFont="1" applyFill="1" applyAlignment="1">
      <alignment vertical="top"/>
    </xf>
    <xf numFmtId="9" fontId="0" fillId="2" borderId="0" xfId="1" applyFont="1" applyFill="1" applyAlignment="1">
      <alignment horizontal="center" vertical="top"/>
    </xf>
    <xf numFmtId="0" fontId="15" fillId="2" borderId="0" xfId="0" applyFont="1" applyFill="1" applyBorder="1" applyAlignment="1">
      <alignment horizontal="center" vertical="top"/>
    </xf>
    <xf numFmtId="0" fontId="15" fillId="2" borderId="0" xfId="2" applyFont="1" applyFill="1" applyBorder="1" applyAlignment="1">
      <alignment vertical="top"/>
    </xf>
    <xf numFmtId="164" fontId="15" fillId="2" borderId="0" xfId="0" applyNumberFormat="1" applyFont="1" applyFill="1" applyBorder="1" applyAlignment="1">
      <alignment horizontal="center" vertical="top"/>
    </xf>
    <xf numFmtId="0" fontId="7" fillId="9" borderId="21" xfId="0" applyFont="1" applyFill="1" applyBorder="1" applyAlignment="1">
      <alignment vertical="top"/>
    </xf>
    <xf numFmtId="0" fontId="0" fillId="9" borderId="21" xfId="0" applyFill="1" applyBorder="1" applyAlignment="1">
      <alignment horizontal="center" vertical="top"/>
    </xf>
    <xf numFmtId="0" fontId="7" fillId="9" borderId="0" xfId="0" applyFont="1" applyFill="1" applyBorder="1" applyAlignment="1">
      <alignment vertical="top"/>
    </xf>
    <xf numFmtId="0" fontId="0" fillId="9" borderId="0" xfId="0" applyFill="1" applyBorder="1" applyAlignment="1">
      <alignment horizontal="center" vertical="top"/>
    </xf>
    <xf numFmtId="0" fontId="14" fillId="3" borderId="0" xfId="0" applyFont="1" applyFill="1" applyAlignment="1">
      <alignment horizontal="left" vertical="top"/>
    </xf>
    <xf numFmtId="0" fontId="0" fillId="17" borderId="0" xfId="0" applyFill="1" applyAlignment="1">
      <alignment horizontal="center" vertical="top"/>
    </xf>
    <xf numFmtId="0" fontId="7" fillId="11" borderId="0" xfId="0" applyFont="1" applyFill="1" applyAlignment="1">
      <alignment vertical="top"/>
    </xf>
    <xf numFmtId="0" fontId="7" fillId="11" borderId="0" xfId="0" applyFont="1" applyFill="1" applyAlignment="1">
      <alignment horizontal="center" vertical="top"/>
    </xf>
    <xf numFmtId="0" fontId="0" fillId="17" borderId="0" xfId="0" applyFill="1" applyAlignment="1">
      <alignment vertical="top"/>
    </xf>
    <xf numFmtId="0" fontId="7" fillId="17" borderId="0" xfId="0" applyFont="1" applyFill="1" applyAlignment="1">
      <alignment vertical="top"/>
    </xf>
    <xf numFmtId="0" fontId="7" fillId="17" borderId="0" xfId="0" applyFont="1" applyFill="1" applyBorder="1" applyAlignment="1">
      <alignment horizontal="center" vertical="top" wrapText="1"/>
    </xf>
    <xf numFmtId="0" fontId="5" fillId="0" borderId="0" xfId="2" applyFont="1"/>
    <xf numFmtId="164" fontId="15" fillId="2" borderId="0" xfId="0" applyNumberFormat="1" applyFont="1" applyFill="1" applyAlignment="1">
      <alignment horizontal="left" vertical="center" wrapText="1"/>
    </xf>
    <xf numFmtId="0" fontId="12" fillId="18" borderId="9" xfId="0" applyFont="1" applyFill="1" applyBorder="1" applyAlignment="1">
      <alignment horizontal="center" vertical="center" wrapText="1"/>
    </xf>
    <xf numFmtId="0" fontId="7" fillId="19" borderId="9" xfId="0" applyFont="1" applyFill="1" applyBorder="1" applyAlignment="1">
      <alignment wrapText="1"/>
    </xf>
    <xf numFmtId="0" fontId="7" fillId="2" borderId="0" xfId="0" applyFont="1" applyFill="1"/>
    <xf numFmtId="0" fontId="23" fillId="2" borderId="2" xfId="0" applyFont="1" applyFill="1" applyBorder="1" applyAlignment="1">
      <alignment vertical="top"/>
    </xf>
    <xf numFmtId="0" fontId="16" fillId="7" borderId="19" xfId="0" applyFont="1" applyFill="1" applyBorder="1" applyAlignment="1">
      <alignment vertical="top"/>
    </xf>
    <xf numFmtId="2" fontId="17" fillId="7" borderId="22" xfId="0" applyNumberFormat="1" applyFont="1" applyFill="1" applyBorder="1" applyAlignment="1">
      <alignment vertical="top"/>
    </xf>
    <xf numFmtId="0" fontId="17" fillId="7" borderId="20" xfId="0" applyFont="1" applyFill="1" applyBorder="1" applyAlignment="1">
      <alignment vertical="top"/>
    </xf>
    <xf numFmtId="0" fontId="0" fillId="2" borderId="9" xfId="0" applyFill="1" applyBorder="1" applyAlignment="1">
      <alignment vertical="top"/>
    </xf>
    <xf numFmtId="0" fontId="0" fillId="2" borderId="9" xfId="0" applyFont="1" applyFill="1" applyBorder="1" applyAlignment="1">
      <alignment vertical="top" wrapText="1"/>
    </xf>
    <xf numFmtId="0" fontId="24" fillId="3" borderId="0" xfId="4" applyFont="1" applyFill="1"/>
    <xf numFmtId="0" fontId="7" fillId="2" borderId="0" xfId="4" applyFont="1" applyFill="1"/>
    <xf numFmtId="0" fontId="24" fillId="3" borderId="22" xfId="4" applyFont="1" applyFill="1" applyBorder="1"/>
    <xf numFmtId="0" fontId="6" fillId="2" borderId="0" xfId="4" applyFill="1"/>
    <xf numFmtId="0" fontId="6" fillId="9" borderId="9" xfId="4" applyFill="1" applyBorder="1" applyAlignment="1">
      <alignment vertical="top" wrapText="1"/>
    </xf>
    <xf numFmtId="0" fontId="6" fillId="2" borderId="0" xfId="4" applyFill="1" applyBorder="1"/>
    <xf numFmtId="0" fontId="12" fillId="18" borderId="9" xfId="4" applyFont="1" applyFill="1" applyBorder="1" applyAlignment="1">
      <alignment horizontal="center" vertical="center" wrapText="1"/>
    </xf>
    <xf numFmtId="0" fontId="6" fillId="2" borderId="9" xfId="4" applyFont="1" applyFill="1" applyBorder="1" applyAlignment="1">
      <alignment vertical="top" wrapText="1"/>
    </xf>
    <xf numFmtId="0" fontId="27" fillId="0" borderId="0" xfId="0" applyFont="1"/>
    <xf numFmtId="1" fontId="27" fillId="0" borderId="9" xfId="0" applyNumberFormat="1" applyFont="1" applyBorder="1"/>
    <xf numFmtId="0" fontId="27" fillId="0" borderId="0" xfId="0" applyFont="1" applyAlignment="1">
      <alignment horizontal="left" vertical="top"/>
    </xf>
    <xf numFmtId="0" fontId="9" fillId="22" borderId="9" xfId="0" applyFont="1" applyFill="1" applyBorder="1" applyAlignment="1">
      <alignment wrapText="1"/>
    </xf>
    <xf numFmtId="1" fontId="27" fillId="22" borderId="18" xfId="0" applyNumberFormat="1" applyFont="1" applyFill="1" applyBorder="1"/>
    <xf numFmtId="0" fontId="18" fillId="0" borderId="0" xfId="0" applyFont="1" applyAlignment="1">
      <alignment vertical="center" wrapText="1"/>
    </xf>
    <xf numFmtId="0" fontId="22" fillId="0" borderId="9" xfId="0" applyFont="1" applyBorder="1" applyAlignment="1">
      <alignment horizontal="left" vertical="top" wrapText="1"/>
    </xf>
    <xf numFmtId="1" fontId="7" fillId="10" borderId="0" xfId="0" applyNumberFormat="1" applyFont="1" applyFill="1" applyBorder="1" applyAlignment="1">
      <alignment horizontal="center"/>
    </xf>
    <xf numFmtId="1" fontId="0" fillId="2" borderId="0" xfId="0" applyNumberFormat="1" applyFill="1" applyAlignment="1">
      <alignment horizontal="center" vertical="top"/>
    </xf>
    <xf numFmtId="1" fontId="7" fillId="2" borderId="0" xfId="0" applyNumberFormat="1" applyFont="1" applyFill="1" applyBorder="1" applyAlignment="1">
      <alignment horizontal="center" vertical="top" wrapText="1"/>
    </xf>
    <xf numFmtId="1" fontId="15" fillId="3" borderId="0" xfId="0" applyNumberFormat="1" applyFont="1" applyFill="1" applyAlignment="1">
      <alignment horizontal="center" vertical="top"/>
    </xf>
    <xf numFmtId="1" fontId="0" fillId="11" borderId="0" xfId="0" applyNumberFormat="1" applyFill="1" applyAlignment="1">
      <alignment vertical="top"/>
    </xf>
    <xf numFmtId="1" fontId="7" fillId="10" borderId="0" xfId="0" applyNumberFormat="1" applyFont="1" applyFill="1" applyBorder="1" applyAlignment="1">
      <alignment horizontal="center" vertical="top" wrapText="1"/>
    </xf>
    <xf numFmtId="1" fontId="0" fillId="17" borderId="0" xfId="0" applyNumberFormat="1" applyFill="1" applyAlignment="1">
      <alignment horizontal="center" vertical="top"/>
    </xf>
    <xf numFmtId="1" fontId="0" fillId="11" borderId="0" xfId="0" applyNumberFormat="1" applyFill="1" applyAlignment="1">
      <alignment horizontal="center" vertical="top"/>
    </xf>
    <xf numFmtId="1" fontId="0" fillId="2" borderId="0" xfId="0" applyNumberFormat="1" applyFill="1" applyAlignment="1">
      <alignment horizontal="center" vertical="top" wrapText="1"/>
    </xf>
    <xf numFmtId="1" fontId="7" fillId="10" borderId="0" xfId="0" applyNumberFormat="1" applyFont="1" applyFill="1" applyBorder="1" applyAlignment="1">
      <alignment horizontal="left"/>
    </xf>
    <xf numFmtId="1" fontId="0" fillId="2" borderId="0" xfId="0" applyNumberFormat="1" applyFill="1" applyAlignment="1">
      <alignment vertical="top"/>
    </xf>
    <xf numFmtId="1" fontId="7" fillId="2" borderId="0" xfId="0" applyNumberFormat="1" applyFont="1" applyFill="1" applyBorder="1" applyAlignment="1">
      <alignment vertical="top" wrapText="1"/>
    </xf>
    <xf numFmtId="1" fontId="7" fillId="2" borderId="0" xfId="0" applyNumberFormat="1" applyFont="1" applyFill="1" applyBorder="1" applyAlignment="1">
      <alignment horizontal="center" vertical="top"/>
    </xf>
    <xf numFmtId="1" fontId="15" fillId="3" borderId="0" xfId="0" applyNumberFormat="1" applyFont="1" applyFill="1" applyAlignment="1">
      <alignment vertical="top"/>
    </xf>
    <xf numFmtId="1" fontId="0" fillId="17" borderId="0" xfId="0" applyNumberFormat="1" applyFill="1" applyAlignment="1">
      <alignment vertical="top"/>
    </xf>
    <xf numFmtId="1" fontId="7" fillId="10" borderId="0" xfId="0" applyNumberFormat="1" applyFont="1" applyFill="1" applyBorder="1" applyAlignment="1">
      <alignment vertical="top" wrapText="1"/>
    </xf>
    <xf numFmtId="1" fontId="0" fillId="2" borderId="0" xfId="0" applyNumberFormat="1" applyFill="1" applyAlignment="1">
      <alignment vertical="top" wrapText="1"/>
    </xf>
    <xf numFmtId="0" fontId="14" fillId="3" borderId="0" xfId="0" applyFont="1" applyFill="1" applyBorder="1" applyAlignment="1">
      <alignment vertical="top"/>
    </xf>
    <xf numFmtId="0" fontId="9" fillId="0" borderId="0" xfId="0" applyFont="1"/>
    <xf numFmtId="0" fontId="27" fillId="0" borderId="9" xfId="0" applyFont="1" applyBorder="1" applyAlignment="1">
      <alignment horizontal="left" vertical="top" wrapText="1"/>
    </xf>
    <xf numFmtId="0" fontId="7" fillId="2" borderId="0" xfId="0" applyFont="1" applyFill="1" applyBorder="1" applyAlignment="1">
      <alignment horizontal="left"/>
    </xf>
    <xf numFmtId="9" fontId="7" fillId="2" borderId="0" xfId="0" applyNumberFormat="1" applyFont="1" applyFill="1" applyBorder="1" applyAlignment="1">
      <alignment horizontal="center"/>
    </xf>
    <xf numFmtId="0" fontId="7" fillId="13" borderId="0" xfId="0" applyFont="1" applyFill="1" applyBorder="1" applyAlignment="1">
      <alignment horizontal="center" vertical="top" wrapText="1"/>
    </xf>
    <xf numFmtId="0" fontId="15" fillId="7" borderId="13" xfId="0" applyFont="1" applyFill="1" applyBorder="1" applyAlignment="1">
      <alignment vertical="top"/>
    </xf>
    <xf numFmtId="0" fontId="15" fillId="2" borderId="21" xfId="0" applyFont="1" applyFill="1" applyBorder="1" applyAlignment="1">
      <alignment vertical="top"/>
    </xf>
    <xf numFmtId="0" fontId="0" fillId="2" borderId="16" xfId="0" applyFill="1" applyBorder="1" applyAlignment="1">
      <alignment vertical="top"/>
    </xf>
    <xf numFmtId="0" fontId="14" fillId="7" borderId="11" xfId="0" applyFont="1" applyFill="1" applyBorder="1" applyAlignment="1">
      <alignment vertical="top"/>
    </xf>
    <xf numFmtId="164" fontId="15" fillId="2" borderId="0" xfId="2" applyNumberFormat="1" applyFont="1" applyFill="1" applyBorder="1" applyAlignment="1">
      <alignment horizontal="center" vertical="top"/>
    </xf>
    <xf numFmtId="164" fontId="15" fillId="2" borderId="0" xfId="0" applyNumberFormat="1" applyFont="1" applyFill="1" applyAlignment="1">
      <alignment horizontal="center"/>
    </xf>
    <xf numFmtId="0" fontId="0" fillId="0" borderId="17" xfId="0" applyFill="1" applyBorder="1"/>
    <xf numFmtId="0" fontId="16" fillId="0" borderId="0" xfId="2" applyFont="1" applyBorder="1" applyAlignment="1">
      <alignment horizontal="center" vertical="top" wrapText="1"/>
    </xf>
    <xf numFmtId="0" fontId="17" fillId="2" borderId="0" xfId="0" applyFont="1" applyFill="1" applyBorder="1" applyAlignment="1">
      <alignment vertical="top" wrapText="1"/>
    </xf>
    <xf numFmtId="0" fontId="17" fillId="2" borderId="0" xfId="0" applyFont="1" applyFill="1" applyBorder="1" applyAlignment="1">
      <alignment horizontal="center" vertical="top" wrapText="1"/>
    </xf>
    <xf numFmtId="0" fontId="16" fillId="2" borderId="0" xfId="0" applyFont="1" applyFill="1" applyBorder="1" applyAlignment="1">
      <alignment vertical="top"/>
    </xf>
    <xf numFmtId="0" fontId="6" fillId="2" borderId="0" xfId="4" applyFill="1" applyBorder="1" applyAlignment="1">
      <alignment wrapText="1"/>
    </xf>
    <xf numFmtId="0" fontId="6" fillId="2" borderId="10" xfId="4" applyFill="1" applyBorder="1" applyAlignment="1">
      <alignment vertical="top" wrapText="1"/>
    </xf>
    <xf numFmtId="0" fontId="6" fillId="2" borderId="9" xfId="4" applyFill="1" applyBorder="1" applyAlignment="1">
      <alignment vertical="top" wrapText="1"/>
    </xf>
    <xf numFmtId="0" fontId="7" fillId="7" borderId="22" xfId="4" applyFont="1" applyFill="1" applyBorder="1" applyAlignment="1">
      <alignment vertical="top" wrapText="1"/>
    </xf>
    <xf numFmtId="0" fontId="0" fillId="2" borderId="9" xfId="0" applyFill="1" applyBorder="1" applyAlignment="1">
      <alignment horizontal="left" vertical="top" wrapText="1"/>
    </xf>
    <xf numFmtId="0" fontId="0" fillId="2" borderId="9" xfId="0" applyFill="1" applyBorder="1" applyAlignment="1">
      <alignment vertical="top" wrapText="1"/>
    </xf>
    <xf numFmtId="0" fontId="0" fillId="2" borderId="9" xfId="0" applyFill="1" applyBorder="1" applyAlignment="1">
      <alignment horizontal="left" vertical="top" wrapText="1"/>
    </xf>
    <xf numFmtId="0" fontId="22" fillId="2" borderId="0" xfId="0" applyFont="1" applyFill="1" applyAlignment="1">
      <alignment vertical="top" wrapText="1"/>
    </xf>
    <xf numFmtId="0" fontId="29" fillId="19" borderId="9" xfId="0" applyFont="1" applyFill="1" applyBorder="1" applyAlignment="1">
      <alignment vertical="top" wrapText="1"/>
    </xf>
    <xf numFmtId="0" fontId="22" fillId="2" borderId="9" xfId="0" applyFont="1" applyFill="1" applyBorder="1" applyAlignment="1">
      <alignment vertical="top" wrapText="1"/>
    </xf>
    <xf numFmtId="0" fontId="24" fillId="3" borderId="0" xfId="4" applyFont="1" applyFill="1" applyAlignment="1">
      <alignment wrapText="1"/>
    </xf>
    <xf numFmtId="0" fontId="24" fillId="3" borderId="22" xfId="4" applyFont="1" applyFill="1" applyBorder="1" applyAlignment="1">
      <alignment wrapText="1"/>
    </xf>
    <xf numFmtId="0" fontId="7" fillId="7" borderId="22" xfId="4" applyFont="1" applyFill="1" applyBorder="1" applyAlignment="1">
      <alignment horizontal="center" vertical="top" wrapText="1"/>
    </xf>
    <xf numFmtId="0" fontId="24" fillId="3" borderId="12" xfId="4" applyFont="1" applyFill="1" applyBorder="1" applyAlignment="1">
      <alignment wrapText="1"/>
    </xf>
    <xf numFmtId="0" fontId="25" fillId="21" borderId="22" xfId="19" applyFill="1" applyBorder="1" applyAlignment="1">
      <alignment vertical="top" wrapText="1"/>
    </xf>
    <xf numFmtId="0" fontId="6" fillId="2" borderId="0" xfId="4" applyFill="1" applyAlignment="1">
      <alignment wrapText="1"/>
    </xf>
    <xf numFmtId="0" fontId="7" fillId="19" borderId="9" xfId="0" applyFont="1" applyFill="1" applyBorder="1" applyAlignment="1">
      <alignment vertical="top" wrapText="1"/>
    </xf>
    <xf numFmtId="0" fontId="22" fillId="0" borderId="9" xfId="0" applyFont="1" applyBorder="1" applyAlignment="1">
      <alignment wrapText="1"/>
    </xf>
    <xf numFmtId="0" fontId="22" fillId="2" borderId="9" xfId="0" applyFont="1" applyFill="1" applyBorder="1" applyAlignment="1">
      <alignment vertical="top"/>
    </xf>
    <xf numFmtId="9" fontId="22" fillId="2" borderId="9" xfId="0" applyNumberFormat="1" applyFont="1" applyFill="1" applyBorder="1" applyAlignment="1">
      <alignment horizontal="left" vertical="top"/>
    </xf>
    <xf numFmtId="0" fontId="7" fillId="19" borderId="9" xfId="0" applyFont="1" applyFill="1" applyBorder="1" applyAlignment="1">
      <alignment vertical="top"/>
    </xf>
    <xf numFmtId="9" fontId="0" fillId="2" borderId="9" xfId="0" applyNumberFormat="1" applyFill="1" applyBorder="1" applyAlignment="1">
      <alignment horizontal="left" vertical="top" wrapText="1"/>
    </xf>
    <xf numFmtId="0" fontId="0" fillId="2" borderId="9" xfId="0" applyFill="1" applyBorder="1" applyAlignment="1">
      <alignment vertical="center" wrapText="1"/>
    </xf>
    <xf numFmtId="0" fontId="7" fillId="19" borderId="9" xfId="0" applyFont="1" applyFill="1" applyBorder="1" applyAlignment="1">
      <alignment vertical="center" wrapText="1"/>
    </xf>
    <xf numFmtId="0" fontId="0" fillId="2" borderId="0" xfId="0" applyFill="1" applyAlignment="1">
      <alignment vertical="center" wrapText="1"/>
    </xf>
    <xf numFmtId="0" fontId="0" fillId="2" borderId="0" xfId="0" applyFill="1" applyAlignment="1">
      <alignment horizontal="left" vertical="top" wrapText="1"/>
    </xf>
    <xf numFmtId="0" fontId="24" fillId="3" borderId="22" xfId="4" applyFont="1" applyFill="1" applyBorder="1" applyAlignment="1">
      <alignment vertical="top" wrapText="1"/>
    </xf>
    <xf numFmtId="0" fontId="9" fillId="7" borderId="9" xfId="0" applyFont="1" applyFill="1" applyBorder="1" applyAlignment="1">
      <alignment horizontal="left" vertical="top" wrapText="1"/>
    </xf>
    <xf numFmtId="0" fontId="9" fillId="7" borderId="9" xfId="0" applyFont="1" applyFill="1" applyBorder="1" applyAlignment="1">
      <alignment vertical="top" wrapText="1"/>
    </xf>
    <xf numFmtId="0" fontId="9" fillId="15" borderId="9" xfId="0" applyFont="1" applyFill="1" applyBorder="1" applyAlignment="1">
      <alignment wrapText="1"/>
    </xf>
    <xf numFmtId="1" fontId="27" fillId="15" borderId="18" xfId="0" applyNumberFormat="1" applyFont="1" applyFill="1" applyBorder="1"/>
    <xf numFmtId="9" fontId="27" fillId="0" borderId="9" xfId="1" applyFont="1" applyFill="1" applyBorder="1"/>
    <xf numFmtId="0" fontId="6" fillId="2" borderId="9" xfId="4" applyFill="1" applyBorder="1" applyAlignment="1">
      <alignment horizontal="center" vertical="center" wrapText="1"/>
    </xf>
    <xf numFmtId="9" fontId="6" fillId="2" borderId="9" xfId="1" applyFill="1" applyBorder="1" applyAlignment="1">
      <alignment horizontal="center" vertical="center" wrapText="1"/>
    </xf>
    <xf numFmtId="0" fontId="6" fillId="9" borderId="9" xfId="4" applyFill="1" applyBorder="1" applyAlignment="1">
      <alignment horizontal="center" vertical="center" wrapText="1"/>
    </xf>
    <xf numFmtId="0" fontId="24" fillId="3" borderId="22" xfId="4" applyFont="1" applyFill="1" applyBorder="1" applyAlignment="1">
      <alignment horizontal="center" vertical="center" wrapText="1"/>
    </xf>
    <xf numFmtId="0" fontId="21" fillId="9" borderId="9" xfId="7" applyFont="1" applyFill="1" applyBorder="1" applyAlignment="1">
      <alignment horizontal="center" vertical="center" wrapText="1"/>
    </xf>
    <xf numFmtId="0" fontId="4" fillId="35" borderId="10" xfId="7" applyFill="1" applyBorder="1" applyAlignment="1">
      <alignment horizontal="center" vertical="center" wrapText="1"/>
    </xf>
    <xf numFmtId="0" fontId="4" fillId="35" borderId="17" xfId="7" applyFill="1" applyBorder="1" applyAlignment="1">
      <alignment horizontal="center" vertical="center" wrapText="1"/>
    </xf>
    <xf numFmtId="0" fontId="15" fillId="9" borderId="9" xfId="4" applyFont="1" applyFill="1" applyBorder="1" applyAlignment="1">
      <alignment horizontal="center" vertical="center" wrapText="1"/>
    </xf>
    <xf numFmtId="0" fontId="4" fillId="35" borderId="18" xfId="7" applyFill="1" applyBorder="1" applyAlignment="1">
      <alignment horizontal="center" vertical="center" wrapText="1"/>
    </xf>
    <xf numFmtId="0" fontId="6" fillId="9" borderId="10" xfId="4" applyFill="1" applyBorder="1" applyAlignment="1">
      <alignment horizontal="center" vertical="center" wrapText="1"/>
    </xf>
    <xf numFmtId="0" fontId="4" fillId="9" borderId="17" xfId="7" applyFill="1" applyBorder="1" applyAlignment="1">
      <alignment horizontal="center" vertical="center" wrapText="1"/>
    </xf>
    <xf numFmtId="0" fontId="6" fillId="9" borderId="18" xfId="4" applyFill="1" applyBorder="1" applyAlignment="1">
      <alignment horizontal="center" vertical="center" wrapText="1"/>
    </xf>
    <xf numFmtId="0" fontId="25" fillId="21" borderId="22" xfId="19" applyFill="1" applyBorder="1" applyAlignment="1">
      <alignment horizontal="center" vertical="center" wrapText="1"/>
    </xf>
    <xf numFmtId="0" fontId="7" fillId="2" borderId="1" xfId="0" applyFont="1" applyFill="1" applyBorder="1" applyAlignment="1">
      <alignment vertical="top"/>
    </xf>
    <xf numFmtId="0" fontId="7" fillId="0" borderId="0" xfId="0" applyFont="1"/>
    <xf numFmtId="0" fontId="15" fillId="2" borderId="0" xfId="0" applyFont="1" applyFill="1" applyBorder="1" applyAlignment="1">
      <alignment vertical="top"/>
    </xf>
    <xf numFmtId="0" fontId="6" fillId="2" borderId="19" xfId="4" applyFill="1" applyBorder="1" applyAlignment="1">
      <alignment horizontal="left" vertical="top" wrapText="1"/>
    </xf>
    <xf numFmtId="0" fontId="6" fillId="2" borderId="19" xfId="4" applyFill="1" applyBorder="1" applyAlignment="1">
      <alignment vertical="top" wrapText="1"/>
    </xf>
    <xf numFmtId="0" fontId="6" fillId="9" borderId="19" xfId="4" applyFill="1" applyBorder="1" applyAlignment="1">
      <alignment horizontal="left" vertical="top" wrapText="1"/>
    </xf>
    <xf numFmtId="0" fontId="6" fillId="2" borderId="0" xfId="4" applyFill="1" applyBorder="1" applyAlignment="1">
      <alignment wrapText="1"/>
    </xf>
    <xf numFmtId="0" fontId="17" fillId="2" borderId="0" xfId="0" applyFont="1" applyFill="1" applyBorder="1" applyAlignment="1">
      <alignment vertical="top" wrapText="1"/>
    </xf>
    <xf numFmtId="0" fontId="7" fillId="2" borderId="0" xfId="0" applyFont="1" applyFill="1" applyBorder="1" applyAlignment="1">
      <alignment horizontal="left" vertical="top"/>
    </xf>
    <xf numFmtId="0" fontId="16" fillId="2" borderId="0" xfId="0" applyFont="1" applyFill="1" applyBorder="1" applyAlignment="1">
      <alignment vertical="top" wrapText="1"/>
    </xf>
    <xf numFmtId="0" fontId="24" fillId="3" borderId="0" xfId="4" applyFont="1" applyFill="1" applyAlignment="1"/>
    <xf numFmtId="0" fontId="16" fillId="2" borderId="0" xfId="0" applyFont="1" applyFill="1" applyBorder="1" applyAlignment="1">
      <alignment horizontal="center" vertical="top" wrapText="1"/>
    </xf>
    <xf numFmtId="0" fontId="17" fillId="2" borderId="0" xfId="0" applyFont="1" applyFill="1" applyBorder="1" applyAlignment="1">
      <alignment horizontal="left" vertical="top" wrapText="1"/>
    </xf>
    <xf numFmtId="0" fontId="3" fillId="0" borderId="0" xfId="2" applyFont="1"/>
    <xf numFmtId="0" fontId="0" fillId="9" borderId="19" xfId="4" applyFont="1" applyFill="1" applyBorder="1" applyAlignment="1">
      <alignment horizontal="left" vertical="top" wrapText="1"/>
    </xf>
    <xf numFmtId="0" fontId="15" fillId="2" borderId="19" xfId="19" applyFont="1" applyFill="1" applyBorder="1" applyAlignment="1">
      <alignment vertical="top" wrapText="1"/>
    </xf>
    <xf numFmtId="9" fontId="6" fillId="2" borderId="19" xfId="4" applyNumberFormat="1" applyFill="1" applyBorder="1" applyAlignment="1">
      <alignment horizontal="left" vertical="top" wrapText="1"/>
    </xf>
    <xf numFmtId="0" fontId="9" fillId="7" borderId="9" xfId="0" applyFont="1" applyFill="1" applyBorder="1" applyAlignment="1">
      <alignment horizontal="left" vertical="top"/>
    </xf>
    <xf numFmtId="1" fontId="27" fillId="0" borderId="9" xfId="0" applyNumberFormat="1" applyFont="1" applyBorder="1" applyAlignment="1">
      <alignment horizontal="left" vertical="top" wrapText="1"/>
    </xf>
    <xf numFmtId="0" fontId="9" fillId="2" borderId="0" xfId="0" applyFont="1" applyFill="1"/>
    <xf numFmtId="0" fontId="27" fillId="0" borderId="9" xfId="0" applyFont="1" applyBorder="1" applyAlignment="1">
      <alignment horizontal="left" vertical="top"/>
    </xf>
    <xf numFmtId="0" fontId="27" fillId="2" borderId="19" xfId="4" applyFont="1" applyFill="1" applyBorder="1" applyAlignment="1">
      <alignment horizontal="left" vertical="top"/>
    </xf>
    <xf numFmtId="0" fontId="27" fillId="2" borderId="9" xfId="4" applyFont="1" applyFill="1" applyBorder="1" applyAlignment="1">
      <alignment horizontal="left" vertical="top"/>
    </xf>
    <xf numFmtId="0" fontId="6" fillId="9" borderId="9" xfId="4" applyFill="1" applyBorder="1" applyAlignment="1">
      <alignment horizontal="center" vertical="center" wrapText="1"/>
    </xf>
    <xf numFmtId="0" fontId="0" fillId="2" borderId="0" xfId="0" applyFill="1" applyAlignment="1">
      <alignment horizontal="center" vertical="center"/>
    </xf>
    <xf numFmtId="0" fontId="27" fillId="7" borderId="11" xfId="4" applyFont="1" applyFill="1" applyBorder="1" applyAlignment="1">
      <alignment horizontal="center" vertical="top"/>
    </xf>
    <xf numFmtId="0" fontId="27" fillId="7" borderId="12" xfId="4" applyFont="1" applyFill="1" applyBorder="1" applyAlignment="1">
      <alignment horizontal="center" vertical="top"/>
    </xf>
    <xf numFmtId="0" fontId="15" fillId="2" borderId="0" xfId="0" applyFont="1" applyFill="1" applyAlignment="1">
      <alignment horizontal="center" vertical="top"/>
    </xf>
    <xf numFmtId="0" fontId="15" fillId="2" borderId="0" xfId="0" applyFont="1" applyFill="1"/>
    <xf numFmtId="0" fontId="15" fillId="2" borderId="0" xfId="0" applyFont="1" applyFill="1" applyBorder="1" applyAlignment="1">
      <alignment vertical="top" wrapText="1"/>
    </xf>
    <xf numFmtId="0" fontId="32" fillId="0" borderId="0" xfId="0" applyFont="1"/>
    <xf numFmtId="0" fontId="6" fillId="2" borderId="9" xfId="4" applyFill="1" applyBorder="1" applyAlignment="1">
      <alignment vertical="top" wrapText="1"/>
    </xf>
    <xf numFmtId="0" fontId="6" fillId="2" borderId="9" xfId="4" applyFill="1" applyBorder="1" applyAlignment="1">
      <alignment vertical="center" wrapText="1"/>
    </xf>
    <xf numFmtId="0" fontId="27" fillId="0" borderId="0" xfId="0" applyFont="1" applyAlignment="1">
      <alignment horizontal="left" vertical="top" wrapText="1"/>
    </xf>
    <xf numFmtId="0" fontId="31" fillId="37" borderId="31" xfId="0" applyFont="1" applyFill="1" applyBorder="1" applyAlignment="1">
      <alignment vertical="center"/>
    </xf>
    <xf numFmtId="0" fontId="31" fillId="37" borderId="25" xfId="0" applyFont="1" applyFill="1" applyBorder="1" applyAlignment="1">
      <alignment horizontal="center" vertical="center" wrapText="1"/>
    </xf>
    <xf numFmtId="0" fontId="31" fillId="37" borderId="25" xfId="0" applyFont="1" applyFill="1" applyBorder="1" applyAlignment="1">
      <alignment vertical="center" wrapText="1"/>
    </xf>
    <xf numFmtId="0" fontId="31" fillId="0" borderId="31" xfId="0" applyFont="1" applyBorder="1" applyAlignment="1">
      <alignment vertical="center"/>
    </xf>
    <xf numFmtId="0" fontId="31" fillId="0" borderId="25" xfId="0" applyFont="1" applyBorder="1" applyAlignment="1">
      <alignment horizontal="center" vertical="center" wrapText="1"/>
    </xf>
    <xf numFmtId="0" fontId="31" fillId="0" borderId="25" xfId="0" applyFont="1" applyBorder="1" applyAlignment="1">
      <alignment vertical="center" wrapText="1"/>
    </xf>
    <xf numFmtId="0" fontId="6" fillId="37" borderId="25" xfId="0" applyFont="1" applyFill="1" applyBorder="1" applyAlignment="1">
      <alignment vertical="center" wrapText="1"/>
    </xf>
    <xf numFmtId="0" fontId="6" fillId="0" borderId="25" xfId="0" applyFont="1" applyBorder="1" applyAlignment="1">
      <alignment vertical="center" wrapText="1"/>
    </xf>
    <xf numFmtId="0" fontId="0" fillId="0" borderId="0" xfId="0" applyAlignment="1">
      <alignment horizontal="left" vertical="top" wrapText="1"/>
    </xf>
    <xf numFmtId="0" fontId="6" fillId="9" borderId="19" xfId="4" applyFill="1" applyBorder="1" applyAlignment="1">
      <alignment horizontal="center" vertical="center" wrapText="1"/>
    </xf>
    <xf numFmtId="0" fontId="6" fillId="2" borderId="19" xfId="4" applyFill="1" applyBorder="1" applyAlignment="1">
      <alignment horizontal="center" vertical="center" wrapText="1"/>
    </xf>
    <xf numFmtId="0" fontId="21" fillId="2" borderId="19" xfId="7" applyFont="1" applyFill="1" applyBorder="1" applyAlignment="1">
      <alignment horizontal="center" vertical="center" wrapText="1"/>
    </xf>
    <xf numFmtId="0" fontId="4" fillId="35" borderId="19" xfId="11" applyFill="1" applyBorder="1" applyAlignment="1">
      <alignment horizontal="center" vertical="center" wrapText="1"/>
    </xf>
    <xf numFmtId="0" fontId="0" fillId="2" borderId="21" xfId="0" applyFill="1" applyBorder="1"/>
    <xf numFmtId="0" fontId="7" fillId="2" borderId="21" xfId="4" applyFont="1" applyFill="1" applyBorder="1"/>
    <xf numFmtId="0" fontId="6" fillId="2" borderId="21" xfId="4" applyFill="1" applyBorder="1"/>
    <xf numFmtId="0" fontId="2" fillId="0" borderId="0" xfId="2" applyFont="1" applyFill="1"/>
    <xf numFmtId="0" fontId="0" fillId="0" borderId="0" xfId="0" applyAlignment="1">
      <alignment horizontal="center"/>
    </xf>
    <xf numFmtId="0" fontId="7" fillId="0" borderId="0" xfId="0" applyFont="1" applyBorder="1"/>
    <xf numFmtId="0" fontId="7" fillId="0" borderId="9" xfId="0" applyFont="1" applyBorder="1"/>
    <xf numFmtId="0" fontId="7" fillId="0" borderId="9" xfId="0" applyFont="1" applyBorder="1" applyAlignment="1"/>
    <xf numFmtId="0" fontId="0" fillId="0" borderId="18" xfId="0" applyBorder="1"/>
    <xf numFmtId="164" fontId="15" fillId="2" borderId="0" xfId="0" applyNumberFormat="1" applyFont="1" applyFill="1" applyBorder="1" applyAlignment="1">
      <alignment horizontal="left" vertical="top"/>
    </xf>
    <xf numFmtId="0" fontId="15" fillId="2" borderId="0" xfId="0" applyFont="1" applyFill="1" applyAlignment="1">
      <alignment vertical="top" wrapText="1"/>
    </xf>
    <xf numFmtId="0" fontId="15" fillId="7" borderId="12" xfId="0" applyFont="1" applyFill="1" applyBorder="1" applyAlignment="1">
      <alignment vertical="top"/>
    </xf>
    <xf numFmtId="164" fontId="0" fillId="2" borderId="14" xfId="0" applyNumberFormat="1" applyFill="1" applyBorder="1" applyAlignment="1">
      <alignment vertical="top"/>
    </xf>
    <xf numFmtId="0" fontId="0" fillId="2" borderId="14" xfId="0" applyFill="1" applyBorder="1" applyAlignment="1">
      <alignment vertical="top"/>
    </xf>
    <xf numFmtId="0" fontId="15" fillId="2" borderId="23" xfId="0" applyFont="1" applyFill="1" applyBorder="1" applyAlignment="1">
      <alignment vertical="top"/>
    </xf>
    <xf numFmtId="0" fontId="15" fillId="2" borderId="15" xfId="0" applyFont="1" applyFill="1" applyBorder="1" applyAlignment="1">
      <alignment vertical="top"/>
    </xf>
    <xf numFmtId="0" fontId="0" fillId="2" borderId="15" xfId="0" applyFill="1" applyBorder="1" applyAlignment="1">
      <alignment vertical="top"/>
    </xf>
    <xf numFmtId="164" fontId="0" fillId="2" borderId="15" xfId="0" applyNumberFormat="1" applyFill="1" applyBorder="1" applyAlignment="1">
      <alignment vertical="top"/>
    </xf>
    <xf numFmtId="164" fontId="0" fillId="2" borderId="16" xfId="0" applyNumberFormat="1" applyFill="1" applyBorder="1" applyAlignment="1">
      <alignment vertical="top"/>
    </xf>
    <xf numFmtId="166" fontId="7" fillId="2" borderId="0" xfId="0" applyNumberFormat="1" applyFont="1" applyFill="1" applyBorder="1" applyAlignment="1">
      <alignment vertical="top"/>
    </xf>
    <xf numFmtId="0" fontId="14" fillId="13" borderId="0" xfId="0" applyFont="1" applyFill="1" applyBorder="1" applyAlignment="1">
      <alignment horizontal="center" vertical="top" wrapText="1"/>
    </xf>
    <xf numFmtId="0" fontId="14" fillId="13" borderId="0" xfId="0" applyFont="1" applyFill="1" applyBorder="1" applyAlignment="1">
      <alignment vertical="top" wrapText="1"/>
    </xf>
    <xf numFmtId="0" fontId="14" fillId="13" borderId="0" xfId="0" applyFont="1" applyFill="1" applyBorder="1" applyAlignment="1">
      <alignment vertical="top"/>
    </xf>
    <xf numFmtId="0" fontId="14" fillId="10" borderId="0" xfId="0" applyFont="1" applyFill="1" applyBorder="1" applyAlignment="1">
      <alignment horizontal="center" vertical="top" wrapText="1"/>
    </xf>
    <xf numFmtId="0" fontId="14" fillId="10" borderId="0" xfId="0" applyFont="1" applyFill="1" applyBorder="1" applyAlignment="1">
      <alignment vertical="top" wrapText="1"/>
    </xf>
    <xf numFmtId="0" fontId="17" fillId="2" borderId="0" xfId="0" applyFont="1" applyFill="1" applyBorder="1" applyAlignment="1">
      <alignment horizontal="center" vertical="top"/>
    </xf>
    <xf numFmtId="0" fontId="15" fillId="2" borderId="21" xfId="0" applyFont="1" applyFill="1" applyBorder="1" applyAlignment="1">
      <alignment horizontal="left" vertical="top"/>
    </xf>
    <xf numFmtId="0" fontId="15" fillId="2" borderId="23" xfId="0" applyFont="1" applyFill="1" applyBorder="1" applyAlignment="1">
      <alignment horizontal="left" vertical="top"/>
    </xf>
    <xf numFmtId="0" fontId="14" fillId="7" borderId="11" xfId="0" applyFont="1" applyFill="1" applyBorder="1" applyAlignment="1">
      <alignment horizontal="left" vertical="top"/>
    </xf>
    <xf numFmtId="0" fontId="1" fillId="0" borderId="0" xfId="20"/>
    <xf numFmtId="0" fontId="1" fillId="0" borderId="0" xfId="20" applyFont="1"/>
    <xf numFmtId="0" fontId="1" fillId="0" borderId="0" xfId="20" applyFill="1"/>
    <xf numFmtId="0" fontId="1" fillId="0" borderId="9" xfId="20" applyBorder="1"/>
    <xf numFmtId="0" fontId="1" fillId="0" borderId="9" xfId="20" applyBorder="1" applyAlignment="1">
      <alignment horizontal="center" vertical="center" wrapText="1"/>
    </xf>
    <xf numFmtId="0" fontId="1" fillId="0" borderId="9" xfId="20" applyFont="1" applyFill="1" applyBorder="1"/>
    <xf numFmtId="0" fontId="1" fillId="0" borderId="9" xfId="20" applyFill="1" applyBorder="1"/>
    <xf numFmtId="0" fontId="1" fillId="0" borderId="9" xfId="20" quotePrefix="1" applyBorder="1"/>
    <xf numFmtId="0" fontId="1" fillId="0" borderId="19" xfId="20" applyFont="1" applyBorder="1" applyAlignment="1">
      <alignment vertical="center" wrapText="1"/>
    </xf>
    <xf numFmtId="0" fontId="1" fillId="0" borderId="9" xfId="20" applyBorder="1" applyAlignment="1">
      <alignment vertical="center" wrapText="1"/>
    </xf>
    <xf numFmtId="0" fontId="33" fillId="2" borderId="0" xfId="0" applyFont="1" applyFill="1"/>
    <xf numFmtId="0" fontId="17" fillId="2" borderId="0" xfId="0" applyFont="1" applyFill="1" applyBorder="1" applyAlignment="1">
      <alignment vertical="top" wrapText="1"/>
    </xf>
    <xf numFmtId="0" fontId="17" fillId="2" borderId="0" xfId="0" applyFont="1" applyFill="1" applyBorder="1" applyAlignment="1">
      <alignment horizontal="left" vertical="top"/>
    </xf>
    <xf numFmtId="0" fontId="34" fillId="37" borderId="31" xfId="0" applyFont="1" applyFill="1" applyBorder="1" applyAlignment="1">
      <alignment horizontal="left" vertical="center"/>
    </xf>
    <xf numFmtId="0" fontId="35" fillId="37" borderId="31" xfId="0" applyFont="1" applyFill="1" applyBorder="1" applyAlignment="1">
      <alignment vertical="center"/>
    </xf>
    <xf numFmtId="0" fontId="34" fillId="0" borderId="31" xfId="0" applyFont="1" applyBorder="1" applyAlignment="1">
      <alignment horizontal="left" vertical="center"/>
    </xf>
    <xf numFmtId="0" fontId="35" fillId="0" borderId="31" xfId="0" applyFont="1" applyBorder="1" applyAlignment="1">
      <alignment vertical="center"/>
    </xf>
    <xf numFmtId="0" fontId="14" fillId="9" borderId="14" xfId="0" applyFont="1" applyFill="1" applyBorder="1" applyAlignment="1">
      <alignment vertical="top"/>
    </xf>
    <xf numFmtId="0" fontId="0" fillId="9" borderId="14" xfId="0" applyFill="1" applyBorder="1" applyAlignment="1">
      <alignment vertical="top"/>
    </xf>
    <xf numFmtId="0" fontId="7" fillId="2" borderId="11" xfId="0" applyFont="1" applyFill="1" applyBorder="1" applyAlignment="1">
      <alignment vertical="top"/>
    </xf>
    <xf numFmtId="0" fontId="0" fillId="2" borderId="12" xfId="0" applyFill="1" applyBorder="1" applyAlignment="1">
      <alignment vertical="top"/>
    </xf>
    <xf numFmtId="0" fontId="0" fillId="2" borderId="13" xfId="0" applyFill="1" applyBorder="1" applyAlignment="1">
      <alignment vertical="top"/>
    </xf>
    <xf numFmtId="1" fontId="0" fillId="2" borderId="14" xfId="0" applyNumberFormat="1" applyFill="1" applyBorder="1" applyAlignment="1">
      <alignment vertical="top"/>
    </xf>
    <xf numFmtId="9" fontId="0" fillId="2" borderId="14" xfId="1" applyNumberFormat="1" applyFont="1" applyFill="1" applyBorder="1" applyAlignment="1">
      <alignment vertical="top"/>
    </xf>
    <xf numFmtId="9" fontId="15" fillId="2" borderId="14" xfId="1" applyNumberFormat="1" applyFont="1" applyFill="1" applyBorder="1" applyAlignment="1">
      <alignment vertical="top"/>
    </xf>
    <xf numFmtId="0" fontId="0" fillId="2" borderId="23" xfId="0" applyFill="1" applyBorder="1" applyAlignment="1">
      <alignment vertical="top"/>
    </xf>
    <xf numFmtId="0" fontId="0" fillId="2" borderId="15" xfId="0" applyFont="1" applyFill="1" applyBorder="1" applyAlignment="1">
      <alignment horizontal="center" vertical="top" wrapText="1"/>
    </xf>
    <xf numFmtId="9" fontId="15" fillId="2" borderId="16" xfId="1" applyNumberFormat="1" applyFont="1" applyFill="1" applyBorder="1" applyAlignment="1">
      <alignment vertical="top"/>
    </xf>
    <xf numFmtId="0" fontId="23" fillId="2" borderId="11" xfId="0" applyFont="1" applyFill="1" applyBorder="1" applyAlignment="1">
      <alignment vertical="top"/>
    </xf>
    <xf numFmtId="9" fontId="0" fillId="2" borderId="14" xfId="1" applyFont="1" applyFill="1" applyBorder="1" applyAlignment="1">
      <alignment vertical="top"/>
    </xf>
    <xf numFmtId="9" fontId="15" fillId="2" borderId="14" xfId="1" applyFont="1" applyFill="1" applyBorder="1" applyAlignment="1">
      <alignment vertical="top"/>
    </xf>
    <xf numFmtId="9" fontId="15" fillId="2" borderId="16" xfId="1" applyFont="1" applyFill="1" applyBorder="1" applyAlignment="1">
      <alignment vertical="top"/>
    </xf>
    <xf numFmtId="0" fontId="0" fillId="2" borderId="14" xfId="0" applyFill="1" applyBorder="1" applyAlignment="1">
      <alignment vertical="top" wrapText="1"/>
    </xf>
    <xf numFmtId="1" fontId="0" fillId="9" borderId="17" xfId="0" applyNumberFormat="1" applyFill="1" applyBorder="1" applyAlignment="1">
      <alignment vertical="top"/>
    </xf>
    <xf numFmtId="9" fontId="0" fillId="9" borderId="17" xfId="0" applyNumberFormat="1" applyFill="1" applyBorder="1" applyAlignment="1">
      <alignment vertical="top"/>
    </xf>
    <xf numFmtId="9" fontId="0" fillId="9" borderId="17" xfId="0" applyNumberFormat="1" applyFill="1" applyBorder="1" applyAlignment="1">
      <alignment vertical="top" wrapText="1"/>
    </xf>
    <xf numFmtId="0" fontId="0" fillId="9" borderId="13" xfId="0" applyFill="1" applyBorder="1" applyAlignment="1">
      <alignment vertical="top"/>
    </xf>
    <xf numFmtId="0" fontId="0" fillId="9" borderId="14" xfId="0" applyFill="1" applyBorder="1" applyAlignment="1">
      <alignment vertical="top" wrapText="1"/>
    </xf>
    <xf numFmtId="0" fontId="7" fillId="9" borderId="14" xfId="0" applyFont="1" applyFill="1" applyBorder="1" applyAlignment="1">
      <alignment vertical="top"/>
    </xf>
    <xf numFmtId="0" fontId="15" fillId="9" borderId="14" xfId="0" applyFont="1" applyFill="1" applyBorder="1" applyAlignment="1">
      <alignment vertical="top"/>
    </xf>
    <xf numFmtId="0" fontId="0" fillId="9" borderId="14" xfId="0" applyFill="1" applyBorder="1" applyAlignment="1">
      <alignment horizontal="center" vertical="top"/>
    </xf>
    <xf numFmtId="1" fontId="0" fillId="9" borderId="21" xfId="0" applyNumberFormat="1" applyFill="1" applyBorder="1" applyAlignment="1">
      <alignment vertical="top"/>
    </xf>
    <xf numFmtId="9" fontId="0" fillId="9" borderId="21" xfId="0" applyNumberFormat="1" applyFill="1" applyBorder="1" applyAlignment="1">
      <alignment vertical="top"/>
    </xf>
    <xf numFmtId="9" fontId="0" fillId="9" borderId="21" xfId="0" applyNumberFormat="1" applyFill="1" applyBorder="1" applyAlignment="1">
      <alignment vertical="top" wrapText="1"/>
    </xf>
    <xf numFmtId="9" fontId="0" fillId="2" borderId="0" xfId="1" applyFont="1" applyFill="1" applyAlignment="1">
      <alignment vertical="top" wrapText="1"/>
    </xf>
    <xf numFmtId="0" fontId="15" fillId="2" borderId="11" xfId="0" applyFont="1" applyFill="1" applyBorder="1" applyAlignment="1">
      <alignment vertical="top"/>
    </xf>
    <xf numFmtId="0" fontId="0" fillId="2" borderId="12" xfId="0" applyFill="1" applyBorder="1" applyAlignment="1">
      <alignment horizontal="center" vertical="top"/>
    </xf>
    <xf numFmtId="0" fontId="0" fillId="2" borderId="15" xfId="0" applyFill="1" applyBorder="1" applyAlignment="1">
      <alignment horizontal="center" vertical="top"/>
    </xf>
    <xf numFmtId="0" fontId="0" fillId="2" borderId="13" xfId="0" applyFont="1" applyFill="1" applyBorder="1" applyAlignment="1">
      <alignment vertical="top" wrapText="1"/>
    </xf>
    <xf numFmtId="0" fontId="15" fillId="2" borderId="14" xfId="0" applyFont="1" applyFill="1" applyBorder="1" applyAlignment="1">
      <alignment vertical="top"/>
    </xf>
    <xf numFmtId="0" fontId="0" fillId="2" borderId="16" xfId="0" applyFont="1" applyFill="1" applyBorder="1" applyAlignment="1">
      <alignment vertical="top"/>
    </xf>
    <xf numFmtId="0" fontId="0" fillId="0" borderId="0" xfId="0" applyFill="1" applyAlignment="1">
      <alignment horizontal="center" vertical="top"/>
    </xf>
    <xf numFmtId="0" fontId="0" fillId="0" borderId="0" xfId="0" applyFill="1"/>
    <xf numFmtId="0" fontId="15" fillId="0" borderId="0" xfId="0" applyFont="1" applyFill="1" applyAlignment="1">
      <alignment vertical="top"/>
    </xf>
    <xf numFmtId="0" fontId="0" fillId="0" borderId="17" xfId="0" applyFill="1" applyBorder="1" applyAlignment="1">
      <alignment vertical="top"/>
    </xf>
    <xf numFmtId="1" fontId="0" fillId="0" borderId="0" xfId="0" applyNumberFormat="1" applyFill="1" applyAlignment="1">
      <alignment horizontal="center" vertical="top"/>
    </xf>
    <xf numFmtId="1" fontId="0" fillId="0" borderId="0" xfId="0" applyNumberFormat="1" applyFill="1" applyAlignment="1">
      <alignment vertical="top"/>
    </xf>
    <xf numFmtId="0" fontId="0" fillId="0" borderId="0" xfId="0" applyFill="1" applyBorder="1" applyAlignment="1">
      <alignment horizontal="left"/>
    </xf>
    <xf numFmtId="10" fontId="0" fillId="0" borderId="0" xfId="0" applyNumberFormat="1" applyFill="1" applyBorder="1"/>
    <xf numFmtId="0" fontId="0" fillId="0" borderId="21" xfId="0" applyFill="1" applyBorder="1" applyAlignment="1">
      <alignment vertical="top"/>
    </xf>
    <xf numFmtId="0" fontId="0" fillId="0" borderId="14" xfId="0" applyFill="1" applyBorder="1" applyAlignment="1">
      <alignment vertical="top"/>
    </xf>
    <xf numFmtId="0" fontId="0" fillId="0" borderId="21" xfId="0" applyFill="1" applyBorder="1"/>
    <xf numFmtId="0" fontId="0" fillId="0" borderId="0" xfId="0" applyFill="1" applyBorder="1"/>
    <xf numFmtId="0" fontId="0" fillId="0" borderId="14" xfId="0" applyFill="1" applyBorder="1"/>
    <xf numFmtId="0" fontId="36" fillId="9" borderId="1" xfId="0" applyFont="1" applyFill="1" applyBorder="1"/>
    <xf numFmtId="0" fontId="36" fillId="9" borderId="2" xfId="0" applyFont="1" applyFill="1" applyBorder="1"/>
    <xf numFmtId="0" fontId="36" fillId="9" borderId="3" xfId="0" applyFont="1" applyFill="1" applyBorder="1"/>
    <xf numFmtId="0" fontId="37" fillId="9" borderId="6" xfId="0" applyFont="1" applyFill="1" applyBorder="1" applyAlignment="1">
      <alignment horizontal="left" vertical="top"/>
    </xf>
    <xf numFmtId="0" fontId="37" fillId="9" borderId="7" xfId="0" applyFont="1" applyFill="1" applyBorder="1"/>
    <xf numFmtId="0" fontId="37" fillId="9" borderId="8" xfId="0" applyFont="1" applyFill="1" applyBorder="1"/>
    <xf numFmtId="0" fontId="36" fillId="9" borderId="36" xfId="0" applyFont="1" applyFill="1" applyBorder="1"/>
    <xf numFmtId="0" fontId="36" fillId="9" borderId="37" xfId="0" applyFont="1" applyFill="1" applyBorder="1"/>
    <xf numFmtId="0" fontId="38" fillId="0" borderId="0" xfId="0" applyFont="1"/>
    <xf numFmtId="0" fontId="15" fillId="0" borderId="0" xfId="0" applyFont="1"/>
    <xf numFmtId="0" fontId="15" fillId="16" borderId="9" xfId="0" applyFont="1" applyFill="1" applyBorder="1"/>
    <xf numFmtId="0" fontId="15" fillId="0" borderId="9" xfId="0" applyFont="1" applyBorder="1"/>
    <xf numFmtId="0" fontId="21" fillId="0" borderId="9" xfId="2" applyFont="1" applyBorder="1"/>
    <xf numFmtId="0" fontId="21" fillId="0" borderId="0" xfId="2" applyFont="1"/>
    <xf numFmtId="0" fontId="15" fillId="0" borderId="9" xfId="0" applyFont="1" applyBorder="1" applyAlignment="1">
      <alignment horizontal="center" vertical="center"/>
    </xf>
    <xf numFmtId="0" fontId="15" fillId="0" borderId="0" xfId="0" applyFont="1" applyAlignment="1"/>
    <xf numFmtId="0" fontId="21" fillId="0" borderId="9" xfId="2" applyFont="1" applyBorder="1" applyAlignment="1">
      <alignment vertical="top"/>
    </xf>
    <xf numFmtId="0" fontId="15" fillId="0" borderId="0" xfId="0" applyFont="1" applyAlignment="1">
      <alignment vertical="top" wrapText="1"/>
    </xf>
    <xf numFmtId="0" fontId="15" fillId="0" borderId="9" xfId="0" applyFont="1" applyBorder="1" applyAlignment="1">
      <alignment vertical="top"/>
    </xf>
    <xf numFmtId="0" fontId="15" fillId="0" borderId="19" xfId="0" applyFont="1" applyBorder="1" applyAlignment="1">
      <alignment vertical="top"/>
    </xf>
    <xf numFmtId="0" fontId="15" fillId="0" borderId="9" xfId="0" applyFont="1" applyBorder="1" applyAlignment="1">
      <alignment vertical="top" wrapText="1"/>
    </xf>
    <xf numFmtId="0" fontId="15" fillId="0" borderId="9" xfId="0" applyFont="1" applyFill="1" applyBorder="1" applyAlignment="1"/>
    <xf numFmtId="0" fontId="15" fillId="0" borderId="9" xfId="0" applyFont="1" applyBorder="1" applyAlignment="1"/>
    <xf numFmtId="0" fontId="15" fillId="4" borderId="19" xfId="0" applyFont="1" applyFill="1" applyBorder="1"/>
    <xf numFmtId="0" fontId="15" fillId="0" borderId="9" xfId="0" applyFont="1" applyBorder="1" applyAlignment="1">
      <alignment horizontal="center" vertical="center" wrapText="1"/>
    </xf>
    <xf numFmtId="0" fontId="15" fillId="14" borderId="9" xfId="0" applyFont="1" applyFill="1" applyBorder="1"/>
    <xf numFmtId="0" fontId="15" fillId="6" borderId="9" xfId="0" applyFont="1" applyFill="1" applyBorder="1"/>
    <xf numFmtId="0" fontId="15" fillId="0" borderId="9" xfId="0" applyFont="1" applyFill="1" applyBorder="1" applyAlignment="1">
      <alignment horizontal="center"/>
    </xf>
    <xf numFmtId="0" fontId="15" fillId="0" borderId="9" xfId="0" applyFont="1" applyBorder="1" applyAlignment="1">
      <alignment horizontal="center" wrapText="1"/>
    </xf>
    <xf numFmtId="0" fontId="15" fillId="0" borderId="9" xfId="0" applyFont="1" applyBorder="1" applyAlignment="1">
      <alignment wrapText="1"/>
    </xf>
    <xf numFmtId="0" fontId="21" fillId="7" borderId="7" xfId="2" applyFont="1" applyFill="1" applyBorder="1" applyAlignment="1">
      <alignment horizontal="left" vertical="top" wrapText="1"/>
    </xf>
    <xf numFmtId="0" fontId="21" fillId="7" borderId="0" xfId="2" applyFont="1" applyFill="1" applyBorder="1" applyAlignment="1">
      <alignment horizontal="left" vertical="top" wrapText="1"/>
    </xf>
    <xf numFmtId="0" fontId="31" fillId="0" borderId="34" xfId="0" applyFont="1" applyBorder="1" applyAlignment="1">
      <alignment horizontal="left" vertical="center" wrapText="1" indent="1"/>
    </xf>
    <xf numFmtId="0" fontId="31" fillId="0" borderId="35" xfId="0" applyFont="1" applyBorder="1" applyAlignment="1">
      <alignment horizontal="left" vertical="center" wrapText="1" indent="1"/>
    </xf>
    <xf numFmtId="0" fontId="31" fillId="37" borderId="32" xfId="0" applyFont="1" applyFill="1" applyBorder="1" applyAlignment="1">
      <alignment horizontal="left" vertical="center" indent="1"/>
    </xf>
    <xf numFmtId="0" fontId="31" fillId="37" borderId="33" xfId="0" applyFont="1" applyFill="1" applyBorder="1" applyAlignment="1">
      <alignment horizontal="left" vertical="center" indent="1"/>
    </xf>
    <xf numFmtId="0" fontId="31" fillId="0" borderId="34" xfId="0" applyFont="1" applyBorder="1" applyAlignment="1">
      <alignment horizontal="left" vertical="center" indent="1"/>
    </xf>
    <xf numFmtId="0" fontId="31" fillId="0" borderId="35" xfId="0" applyFont="1" applyBorder="1" applyAlignment="1">
      <alignment horizontal="left" vertical="center" indent="1"/>
    </xf>
    <xf numFmtId="0" fontId="31" fillId="37" borderId="34" xfId="0" applyFont="1" applyFill="1" applyBorder="1" applyAlignment="1">
      <alignment horizontal="left" vertical="center" wrapText="1" indent="1"/>
    </xf>
    <xf numFmtId="0" fontId="31" fillId="37" borderId="35" xfId="0" applyFont="1" applyFill="1" applyBorder="1" applyAlignment="1">
      <alignment horizontal="left" vertical="center" wrapText="1" indent="1"/>
    </xf>
    <xf numFmtId="0" fontId="30" fillId="36" borderId="26" xfId="0" applyFont="1" applyFill="1" applyBorder="1" applyAlignment="1">
      <alignment vertical="center" wrapText="1"/>
    </xf>
    <xf numFmtId="0" fontId="30" fillId="36" borderId="29" xfId="0" applyFont="1" applyFill="1" applyBorder="1" applyAlignment="1">
      <alignment vertical="center" wrapText="1"/>
    </xf>
    <xf numFmtId="0" fontId="30" fillId="36" borderId="27" xfId="0" applyFont="1" applyFill="1" applyBorder="1" applyAlignment="1">
      <alignment horizontal="center" vertical="center" wrapText="1"/>
    </xf>
    <xf numFmtId="0" fontId="30" fillId="36" borderId="24" xfId="0" applyFont="1" applyFill="1" applyBorder="1" applyAlignment="1">
      <alignment horizontal="center" vertical="center" wrapText="1"/>
    </xf>
    <xf numFmtId="0" fontId="30" fillId="36" borderId="27" xfId="0" applyFont="1" applyFill="1" applyBorder="1" applyAlignment="1">
      <alignment vertical="center" wrapText="1"/>
    </xf>
    <xf numFmtId="0" fontId="30" fillId="36" borderId="24" xfId="0" applyFont="1" applyFill="1" applyBorder="1" applyAlignment="1">
      <alignment vertical="center" wrapText="1"/>
    </xf>
    <xf numFmtId="0" fontId="30" fillId="36" borderId="28" xfId="0" applyFont="1" applyFill="1" applyBorder="1" applyAlignment="1">
      <alignment vertical="center" wrapText="1"/>
    </xf>
    <xf numFmtId="0" fontId="30" fillId="36" borderId="30" xfId="0" applyFont="1" applyFill="1" applyBorder="1" applyAlignment="1">
      <alignment vertical="center" wrapText="1"/>
    </xf>
    <xf numFmtId="0" fontId="30" fillId="36" borderId="28" xfId="0" applyFont="1" applyFill="1" applyBorder="1" applyAlignment="1">
      <alignment horizontal="center" vertical="center" wrapText="1"/>
    </xf>
    <xf numFmtId="0" fontId="30" fillId="36" borderId="30" xfId="0" applyFont="1" applyFill="1" applyBorder="1" applyAlignment="1">
      <alignment horizontal="center" vertical="center" wrapText="1"/>
    </xf>
    <xf numFmtId="0" fontId="9" fillId="7" borderId="9" xfId="0" applyFont="1" applyFill="1" applyBorder="1" applyAlignment="1">
      <alignment horizontal="center"/>
    </xf>
    <xf numFmtId="0" fontId="9" fillId="15" borderId="19" xfId="0" applyFont="1" applyFill="1" applyBorder="1" applyAlignment="1">
      <alignment horizontal="center"/>
    </xf>
    <xf numFmtId="0" fontId="9" fillId="15" borderId="22" xfId="0" applyFont="1" applyFill="1" applyBorder="1" applyAlignment="1">
      <alignment horizontal="center"/>
    </xf>
    <xf numFmtId="0" fontId="9" fillId="15" borderId="20" xfId="0" applyFont="1" applyFill="1" applyBorder="1" applyAlignment="1">
      <alignment horizontal="center"/>
    </xf>
    <xf numFmtId="0" fontId="9" fillId="22" borderId="19" xfId="0" applyFont="1" applyFill="1" applyBorder="1" applyAlignment="1">
      <alignment horizontal="center"/>
    </xf>
    <xf numFmtId="0" fontId="9" fillId="22" borderId="22" xfId="0" applyFont="1" applyFill="1" applyBorder="1" applyAlignment="1">
      <alignment horizontal="center"/>
    </xf>
    <xf numFmtId="0" fontId="9" fillId="22" borderId="20" xfId="0" applyFont="1" applyFill="1" applyBorder="1" applyAlignment="1">
      <alignment horizontal="center"/>
    </xf>
    <xf numFmtId="0" fontId="27" fillId="7" borderId="11" xfId="4" applyFont="1" applyFill="1" applyBorder="1" applyAlignment="1">
      <alignment horizontal="center" vertical="top"/>
    </xf>
    <xf numFmtId="0" fontId="27" fillId="7" borderId="12" xfId="4" applyFont="1" applyFill="1" applyBorder="1" applyAlignment="1">
      <alignment horizontal="center" vertical="top"/>
    </xf>
    <xf numFmtId="0" fontId="27" fillId="7" borderId="13" xfId="4" applyFont="1" applyFill="1" applyBorder="1" applyAlignment="1">
      <alignment horizontal="center" vertical="top"/>
    </xf>
    <xf numFmtId="0" fontId="27" fillId="0" borderId="0" xfId="0" applyFont="1" applyAlignment="1">
      <alignment horizontal="left" vertical="top" wrapText="1"/>
    </xf>
    <xf numFmtId="0" fontId="6" fillId="2" borderId="9" xfId="4" applyFill="1" applyBorder="1" applyAlignment="1">
      <alignment vertical="top" wrapText="1"/>
    </xf>
    <xf numFmtId="0" fontId="7" fillId="7" borderId="22" xfId="4" applyFont="1" applyFill="1" applyBorder="1" applyAlignment="1">
      <alignment vertical="top" wrapText="1"/>
    </xf>
    <xf numFmtId="0" fontId="6" fillId="2" borderId="10" xfId="4" applyFont="1" applyFill="1" applyBorder="1" applyAlignment="1">
      <alignment vertical="top" wrapText="1"/>
    </xf>
    <xf numFmtId="0" fontId="6" fillId="2" borderId="10" xfId="4" applyFill="1" applyBorder="1" applyAlignment="1">
      <alignment vertical="top" wrapText="1"/>
    </xf>
    <xf numFmtId="0" fontId="6" fillId="2" borderId="11" xfId="4" applyFill="1" applyBorder="1" applyAlignment="1">
      <alignment horizontal="left" vertical="top" wrapText="1"/>
    </xf>
    <xf numFmtId="0" fontId="6" fillId="2" borderId="12" xfId="4" applyFill="1" applyBorder="1" applyAlignment="1">
      <alignment horizontal="left" vertical="top" wrapText="1"/>
    </xf>
    <xf numFmtId="0" fontId="6" fillId="2" borderId="13" xfId="4" applyFill="1" applyBorder="1" applyAlignment="1">
      <alignment horizontal="left" vertical="top" wrapText="1"/>
    </xf>
    <xf numFmtId="0" fontId="6" fillId="2" borderId="21" xfId="4" applyFill="1" applyBorder="1" applyAlignment="1">
      <alignment horizontal="left" vertical="top" wrapText="1"/>
    </xf>
    <xf numFmtId="0" fontId="6" fillId="2" borderId="0" xfId="4" applyFill="1" applyBorder="1" applyAlignment="1">
      <alignment horizontal="left" vertical="top" wrapText="1"/>
    </xf>
    <xf numFmtId="0" fontId="6" fillId="2" borderId="14" xfId="4" applyFill="1" applyBorder="1" applyAlignment="1">
      <alignment horizontal="left" vertical="top" wrapText="1"/>
    </xf>
    <xf numFmtId="0" fontId="6" fillId="2" borderId="23" xfId="4" applyFill="1" applyBorder="1" applyAlignment="1">
      <alignment horizontal="left" vertical="top" wrapText="1"/>
    </xf>
    <xf numFmtId="0" fontId="6" fillId="2" borderId="15" xfId="4" applyFill="1" applyBorder="1" applyAlignment="1">
      <alignment horizontal="left" vertical="top" wrapText="1"/>
    </xf>
    <xf numFmtId="0" fontId="6" fillId="2" borderId="16" xfId="4" applyFill="1" applyBorder="1" applyAlignment="1">
      <alignment horizontal="left" vertical="top" wrapText="1"/>
    </xf>
    <xf numFmtId="0" fontId="0" fillId="2" borderId="11" xfId="4" applyFont="1" applyFill="1" applyBorder="1" applyAlignment="1">
      <alignment horizontal="left" vertical="top" wrapText="1"/>
    </xf>
    <xf numFmtId="0" fontId="6" fillId="2" borderId="9" xfId="4" applyFill="1" applyBorder="1" applyAlignment="1">
      <alignment horizontal="left" vertical="top" wrapText="1"/>
    </xf>
    <xf numFmtId="0" fontId="21" fillId="2" borderId="10" xfId="7" applyFont="1" applyFill="1" applyBorder="1" applyAlignment="1">
      <alignment horizontal="center" vertical="center" wrapText="1"/>
    </xf>
    <xf numFmtId="0" fontId="21" fillId="2" borderId="17" xfId="7" applyFont="1" applyFill="1" applyBorder="1" applyAlignment="1">
      <alignment horizontal="center" vertical="center" wrapText="1"/>
    </xf>
    <xf numFmtId="0" fontId="21" fillId="2" borderId="18" xfId="7" applyFont="1" applyFill="1" applyBorder="1" applyAlignment="1">
      <alignment horizontal="center" vertical="center" wrapText="1"/>
    </xf>
    <xf numFmtId="0" fontId="6" fillId="2" borderId="11" xfId="4" applyFill="1" applyBorder="1" applyAlignment="1">
      <alignment vertical="top" wrapText="1"/>
    </xf>
    <xf numFmtId="0" fontId="6" fillId="2" borderId="12" xfId="4" applyFill="1" applyBorder="1" applyAlignment="1">
      <alignment vertical="top" wrapText="1"/>
    </xf>
    <xf numFmtId="0" fontId="6" fillId="2" borderId="13" xfId="4" applyFill="1" applyBorder="1" applyAlignment="1">
      <alignment vertical="top" wrapText="1"/>
    </xf>
    <xf numFmtId="0" fontId="6" fillId="2" borderId="23" xfId="4" applyFill="1" applyBorder="1" applyAlignment="1">
      <alignment vertical="top" wrapText="1"/>
    </xf>
    <xf numFmtId="0" fontId="6" fillId="2" borderId="15" xfId="4" applyFill="1" applyBorder="1" applyAlignment="1">
      <alignment vertical="top" wrapText="1"/>
    </xf>
    <xf numFmtId="0" fontId="6" fillId="2" borderId="16" xfId="4" applyFill="1" applyBorder="1" applyAlignment="1">
      <alignment vertical="top" wrapText="1"/>
    </xf>
    <xf numFmtId="0" fontId="6" fillId="2" borderId="19" xfId="4" applyFill="1" applyBorder="1" applyAlignment="1">
      <alignment vertical="top" wrapText="1"/>
    </xf>
    <xf numFmtId="0" fontId="6" fillId="2" borderId="22" xfId="4" applyFill="1" applyBorder="1" applyAlignment="1">
      <alignment vertical="top" wrapText="1"/>
    </xf>
    <xf numFmtId="0" fontId="6" fillId="2" borderId="20" xfId="4" applyFill="1" applyBorder="1" applyAlignment="1">
      <alignment vertical="top" wrapText="1"/>
    </xf>
    <xf numFmtId="0" fontId="0" fillId="2" borderId="12" xfId="4" applyFont="1" applyFill="1" applyBorder="1" applyAlignment="1">
      <alignment horizontal="center" vertical="top" wrapText="1"/>
    </xf>
    <xf numFmtId="0" fontId="6" fillId="2" borderId="12" xfId="4" applyFill="1" applyBorder="1" applyAlignment="1">
      <alignment horizontal="center" vertical="top" wrapText="1"/>
    </xf>
    <xf numFmtId="0" fontId="6" fillId="2" borderId="0" xfId="4" applyFill="1" applyBorder="1" applyAlignment="1">
      <alignment horizontal="center" vertical="top" wrapText="1"/>
    </xf>
    <xf numFmtId="0" fontId="6" fillId="2" borderId="15" xfId="4" applyFill="1" applyBorder="1" applyAlignment="1">
      <alignment horizontal="center" vertical="top" wrapText="1"/>
    </xf>
    <xf numFmtId="0" fontId="6" fillId="2" borderId="17" xfId="4" applyFill="1" applyBorder="1" applyAlignment="1">
      <alignment vertical="top" wrapText="1"/>
    </xf>
    <xf numFmtId="0" fontId="6" fillId="2" borderId="18" xfId="4" applyFill="1" applyBorder="1" applyAlignment="1">
      <alignment vertical="top" wrapText="1"/>
    </xf>
    <xf numFmtId="0" fontId="24" fillId="3" borderId="0" xfId="4" applyFont="1" applyFill="1" applyAlignment="1">
      <alignment horizontal="left" wrapText="1"/>
    </xf>
    <xf numFmtId="0" fontId="6" fillId="9" borderId="9" xfId="4" applyFill="1" applyBorder="1" applyAlignment="1">
      <alignment horizontal="center" vertical="center" wrapText="1"/>
    </xf>
    <xf numFmtId="0" fontId="6" fillId="2" borderId="11" xfId="4" applyFill="1" applyBorder="1" applyAlignment="1">
      <alignment horizontal="center" vertical="top" wrapText="1"/>
    </xf>
    <xf numFmtId="0" fontId="6" fillId="2" borderId="13" xfId="4" applyFill="1" applyBorder="1" applyAlignment="1">
      <alignment horizontal="center" vertical="top" wrapText="1"/>
    </xf>
    <xf numFmtId="0" fontId="6" fillId="2" borderId="23" xfId="4" applyFill="1" applyBorder="1" applyAlignment="1">
      <alignment horizontal="center" vertical="top" wrapText="1"/>
    </xf>
    <xf numFmtId="0" fontId="6" fillId="2" borderId="16" xfId="4" applyFill="1" applyBorder="1" applyAlignment="1">
      <alignment horizontal="center" vertical="top" wrapText="1"/>
    </xf>
    <xf numFmtId="0" fontId="26" fillId="21" borderId="22" xfId="19" applyFont="1" applyFill="1" applyBorder="1" applyAlignment="1">
      <alignment vertical="top" wrapText="1"/>
    </xf>
    <xf numFmtId="0" fontId="0" fillId="2" borderId="11" xfId="4" applyFont="1" applyFill="1" applyBorder="1" applyAlignment="1">
      <alignment vertical="top" wrapText="1"/>
    </xf>
    <xf numFmtId="0" fontId="0" fillId="2" borderId="12" xfId="4" applyFont="1" applyFill="1" applyBorder="1" applyAlignment="1">
      <alignment vertical="top" wrapText="1"/>
    </xf>
    <xf numFmtId="0" fontId="0" fillId="2" borderId="13" xfId="4" applyFont="1" applyFill="1" applyBorder="1" applyAlignment="1">
      <alignment vertical="top" wrapText="1"/>
    </xf>
    <xf numFmtId="0" fontId="0" fillId="2" borderId="21" xfId="4" applyFont="1" applyFill="1" applyBorder="1" applyAlignment="1">
      <alignment vertical="top" wrapText="1"/>
    </xf>
    <xf numFmtId="0" fontId="0" fillId="2" borderId="0" xfId="4" applyFont="1" applyFill="1" applyBorder="1" applyAlignment="1">
      <alignment vertical="top" wrapText="1"/>
    </xf>
    <xf numFmtId="0" fontId="0" fillId="2" borderId="14" xfId="4" applyFont="1" applyFill="1" applyBorder="1" applyAlignment="1">
      <alignment vertical="top" wrapText="1"/>
    </xf>
    <xf numFmtId="0" fontId="0" fillId="2" borderId="23" xfId="4" applyFont="1" applyFill="1" applyBorder="1" applyAlignment="1">
      <alignment vertical="top" wrapText="1"/>
    </xf>
    <xf numFmtId="0" fontId="0" fillId="2" borderId="15" xfId="4" applyFont="1" applyFill="1" applyBorder="1" applyAlignment="1">
      <alignment vertical="top" wrapText="1"/>
    </xf>
    <xf numFmtId="0" fontId="0" fillId="2" borderId="16" xfId="4" applyFont="1" applyFill="1" applyBorder="1" applyAlignment="1">
      <alignment vertical="top" wrapText="1"/>
    </xf>
    <xf numFmtId="0" fontId="6" fillId="2" borderId="10" xfId="4" applyFill="1" applyBorder="1" applyAlignment="1">
      <alignment horizontal="center" vertical="center" wrapText="1"/>
    </xf>
    <xf numFmtId="0" fontId="6" fillId="2" borderId="17" xfId="4" applyFill="1" applyBorder="1" applyAlignment="1">
      <alignment horizontal="center" vertical="center" wrapText="1"/>
    </xf>
    <xf numFmtId="0" fontId="6" fillId="2" borderId="18" xfId="4" applyFill="1" applyBorder="1" applyAlignment="1">
      <alignment horizontal="center" vertical="center" wrapText="1"/>
    </xf>
    <xf numFmtId="0" fontId="4" fillId="9" borderId="10" xfId="7" applyFill="1" applyBorder="1" applyAlignment="1">
      <alignment horizontal="center" vertical="center" wrapText="1"/>
    </xf>
    <xf numFmtId="0" fontId="4" fillId="9" borderId="17" xfId="7" applyFill="1" applyBorder="1" applyAlignment="1">
      <alignment horizontal="center" vertical="center" wrapText="1"/>
    </xf>
    <xf numFmtId="0" fontId="4" fillId="9" borderId="18" xfId="7" applyFill="1" applyBorder="1" applyAlignment="1">
      <alignment horizontal="center" vertical="center" wrapText="1"/>
    </xf>
    <xf numFmtId="0" fontId="24" fillId="3" borderId="0" xfId="4" applyFont="1" applyFill="1" applyAlignment="1">
      <alignment horizontal="left" vertical="top" wrapText="1"/>
    </xf>
    <xf numFmtId="0" fontId="17" fillId="2" borderId="0" xfId="0" applyFont="1" applyFill="1" applyBorder="1" applyAlignment="1">
      <alignment vertical="top" wrapText="1"/>
    </xf>
    <xf numFmtId="0" fontId="17" fillId="2" borderId="0" xfId="0" applyFont="1" applyFill="1" applyBorder="1" applyAlignment="1">
      <alignment horizontal="left" vertical="top"/>
    </xf>
    <xf numFmtId="0" fontId="7" fillId="2" borderId="0" xfId="0" applyFont="1" applyFill="1" applyBorder="1" applyAlignment="1">
      <alignment horizontal="left" vertical="top"/>
    </xf>
    <xf numFmtId="0" fontId="16" fillId="2" borderId="0" xfId="0" applyFont="1" applyFill="1" applyBorder="1" applyAlignment="1">
      <alignment vertical="top" wrapText="1"/>
    </xf>
    <xf numFmtId="0" fontId="16" fillId="2" borderId="0" xfId="0" applyFont="1" applyFill="1" applyBorder="1" applyAlignment="1">
      <alignment horizontal="left" vertical="top"/>
    </xf>
    <xf numFmtId="0" fontId="15" fillId="2" borderId="0" xfId="0" applyFont="1" applyFill="1" applyAlignment="1">
      <alignment horizontal="left" vertical="top" wrapText="1"/>
    </xf>
    <xf numFmtId="0" fontId="15" fillId="2" borderId="0" xfId="0" applyFont="1" applyFill="1" applyAlignment="1">
      <alignment vertical="top" wrapText="1"/>
    </xf>
    <xf numFmtId="0" fontId="7" fillId="2" borderId="1" xfId="0" applyFont="1" applyFill="1" applyBorder="1" applyAlignment="1">
      <alignment vertical="top"/>
    </xf>
    <xf numFmtId="0" fontId="7" fillId="2" borderId="2" xfId="0" applyFont="1" applyFill="1" applyBorder="1" applyAlignment="1">
      <alignment vertical="top"/>
    </xf>
    <xf numFmtId="0" fontId="0" fillId="15" borderId="11" xfId="0" applyFill="1" applyBorder="1" applyAlignment="1">
      <alignment vertical="top" wrapText="1"/>
    </xf>
    <xf numFmtId="0" fontId="0" fillId="15" borderId="13" xfId="0" applyFill="1" applyBorder="1" applyAlignment="1">
      <alignment vertical="top" wrapText="1"/>
    </xf>
    <xf numFmtId="0" fontId="0" fillId="15" borderId="21" xfId="0" applyFill="1" applyBorder="1" applyAlignment="1">
      <alignment vertical="top" wrapText="1"/>
    </xf>
    <xf numFmtId="0" fontId="0" fillId="15" borderId="14" xfId="0" applyFill="1" applyBorder="1" applyAlignment="1">
      <alignment vertical="top" wrapText="1"/>
    </xf>
    <xf numFmtId="0" fontId="0" fillId="15" borderId="23" xfId="0" applyFill="1" applyBorder="1" applyAlignment="1">
      <alignment vertical="top" wrapText="1"/>
    </xf>
    <xf numFmtId="0" fontId="0" fillId="15" borderId="16" xfId="0" applyFill="1" applyBorder="1" applyAlignment="1">
      <alignment vertical="top" wrapText="1"/>
    </xf>
    <xf numFmtId="0" fontId="15" fillId="2" borderId="4" xfId="0" applyFont="1" applyFill="1" applyBorder="1" applyAlignment="1">
      <alignment horizontal="left" vertical="top"/>
    </xf>
    <xf numFmtId="0" fontId="15" fillId="2" borderId="0" xfId="0" applyFont="1" applyFill="1" applyBorder="1" applyAlignment="1">
      <alignment horizontal="left" vertical="top"/>
    </xf>
    <xf numFmtId="0" fontId="15" fillId="2" borderId="5" xfId="0" applyFont="1" applyFill="1" applyBorder="1" applyAlignment="1">
      <alignment horizontal="left" vertical="top"/>
    </xf>
    <xf numFmtId="0" fontId="15" fillId="2" borderId="6" xfId="0" applyFont="1" applyFill="1" applyBorder="1" applyAlignment="1">
      <alignment horizontal="left" vertical="top"/>
    </xf>
    <xf numFmtId="0" fontId="15" fillId="2" borderId="7" xfId="0" applyFont="1" applyFill="1" applyBorder="1" applyAlignment="1">
      <alignment horizontal="left" vertical="top"/>
    </xf>
    <xf numFmtId="0" fontId="15" fillId="2" borderId="8" xfId="0" applyFont="1" applyFill="1" applyBorder="1" applyAlignment="1">
      <alignment horizontal="left" vertical="top"/>
    </xf>
    <xf numFmtId="0" fontId="15" fillId="2" borderId="4" xfId="0" applyFont="1" applyFill="1" applyBorder="1" applyAlignment="1">
      <alignment horizontal="left" vertical="top" wrapText="1"/>
    </xf>
    <xf numFmtId="0" fontId="15" fillId="2" borderId="0" xfId="0" applyFont="1" applyFill="1" applyBorder="1" applyAlignment="1">
      <alignment horizontal="left" vertical="top" wrapText="1"/>
    </xf>
    <xf numFmtId="0" fontId="15" fillId="2" borderId="5" xfId="0" applyFont="1" applyFill="1" applyBorder="1" applyAlignment="1">
      <alignment horizontal="left" vertical="top" wrapText="1"/>
    </xf>
    <xf numFmtId="0" fontId="15" fillId="2" borderId="6" xfId="0" applyFont="1" applyFill="1" applyBorder="1" applyAlignment="1">
      <alignment horizontal="left" vertical="top" wrapText="1"/>
    </xf>
    <xf numFmtId="0" fontId="15" fillId="2" borderId="7" xfId="0" applyFont="1" applyFill="1" applyBorder="1" applyAlignment="1">
      <alignment horizontal="left" vertical="top" wrapText="1"/>
    </xf>
    <xf numFmtId="0" fontId="15" fillId="2" borderId="8" xfId="0" applyFont="1" applyFill="1" applyBorder="1" applyAlignment="1">
      <alignment horizontal="left" vertical="top" wrapText="1"/>
    </xf>
    <xf numFmtId="0" fontId="0" fillId="15" borderId="12" xfId="0" applyFill="1" applyBorder="1" applyAlignment="1">
      <alignment vertical="top" wrapText="1"/>
    </xf>
    <xf numFmtId="0" fontId="0" fillId="15" borderId="0" xfId="0" applyFill="1" applyBorder="1" applyAlignment="1">
      <alignment vertical="top" wrapText="1"/>
    </xf>
    <xf numFmtId="0" fontId="0" fillId="15" borderId="15" xfId="0" applyFill="1" applyBorder="1" applyAlignment="1">
      <alignment vertical="top" wrapText="1"/>
    </xf>
    <xf numFmtId="0" fontId="22" fillId="15" borderId="11" xfId="0" applyFont="1" applyFill="1" applyBorder="1" applyAlignment="1">
      <alignment horizontal="left" vertical="top" wrapText="1"/>
    </xf>
    <xf numFmtId="0" fontId="22" fillId="15" borderId="12" xfId="0" applyFont="1" applyFill="1" applyBorder="1" applyAlignment="1">
      <alignment horizontal="left" vertical="top" wrapText="1"/>
    </xf>
    <xf numFmtId="0" fontId="22" fillId="15" borderId="13" xfId="0" applyFont="1" applyFill="1" applyBorder="1" applyAlignment="1">
      <alignment horizontal="left" vertical="top" wrapText="1"/>
    </xf>
    <xf numFmtId="0" fontId="22" fillId="15" borderId="21" xfId="0" applyFont="1" applyFill="1" applyBorder="1" applyAlignment="1">
      <alignment horizontal="left" vertical="top" wrapText="1"/>
    </xf>
    <xf numFmtId="0" fontId="22" fillId="15" borderId="0" xfId="0" applyFont="1" applyFill="1" applyBorder="1" applyAlignment="1">
      <alignment horizontal="left" vertical="top" wrapText="1"/>
    </xf>
    <xf numFmtId="0" fontId="22" fillId="15" borderId="14" xfId="0" applyFont="1" applyFill="1" applyBorder="1" applyAlignment="1">
      <alignment horizontal="left" vertical="top" wrapText="1"/>
    </xf>
    <xf numFmtId="0" fontId="22" fillId="15" borderId="23" xfId="0" applyFont="1" applyFill="1" applyBorder="1" applyAlignment="1">
      <alignment horizontal="left" vertical="top" wrapText="1"/>
    </xf>
    <xf numFmtId="0" fontId="22" fillId="15" borderId="15" xfId="0" applyFont="1" applyFill="1" applyBorder="1" applyAlignment="1">
      <alignment horizontal="left" vertical="top" wrapText="1"/>
    </xf>
    <xf numFmtId="0" fontId="22" fillId="15" borderId="16" xfId="0" applyFont="1" applyFill="1" applyBorder="1" applyAlignment="1">
      <alignment horizontal="left" vertical="top" wrapText="1"/>
    </xf>
    <xf numFmtId="0" fontId="15" fillId="0" borderId="9" xfId="0" applyFont="1" applyBorder="1" applyAlignment="1">
      <alignment horizontal="center" vertical="center" wrapText="1"/>
    </xf>
    <xf numFmtId="0" fontId="15" fillId="0" borderId="9" xfId="0" applyFont="1" applyBorder="1" applyAlignment="1">
      <alignment horizontal="center" vertical="center"/>
    </xf>
    <xf numFmtId="0" fontId="15" fillId="0" borderId="9" xfId="0" applyFont="1" applyFill="1" applyBorder="1" applyAlignment="1">
      <alignment horizontal="center" vertical="center"/>
    </xf>
    <xf numFmtId="0" fontId="1" fillId="0" borderId="19" xfId="20" applyBorder="1" applyAlignment="1">
      <alignment horizontal="center" vertical="center" wrapText="1"/>
    </xf>
    <xf numFmtId="0" fontId="1" fillId="0" borderId="22" xfId="20" applyBorder="1" applyAlignment="1">
      <alignment horizontal="center" vertical="center" wrapText="1"/>
    </xf>
    <xf numFmtId="0" fontId="1" fillId="0" borderId="20" xfId="20" applyBorder="1" applyAlignment="1">
      <alignment horizontal="center" vertical="center" wrapText="1"/>
    </xf>
    <xf numFmtId="0" fontId="1" fillId="0" borderId="19" xfId="20" applyFill="1" applyBorder="1" applyAlignment="1">
      <alignment horizontal="center" vertical="center" wrapText="1"/>
    </xf>
    <xf numFmtId="0" fontId="1" fillId="0" borderId="22" xfId="20" applyFill="1" applyBorder="1" applyAlignment="1">
      <alignment horizontal="center" vertical="center" wrapText="1"/>
    </xf>
    <xf numFmtId="0" fontId="1" fillId="0" borderId="20" xfId="20" applyFill="1" applyBorder="1" applyAlignment="1">
      <alignment horizontal="center" vertical="center" wrapText="1"/>
    </xf>
  </cellXfs>
  <cellStyles count="21">
    <cellStyle name="20% - Accent1 2" xfId="7"/>
    <cellStyle name="20% - Accent2 2" xfId="9"/>
    <cellStyle name="20% - Accent3 2" xfId="10"/>
    <cellStyle name="20% - Accent4 2" xfId="11"/>
    <cellStyle name="20% - Accent5 2" xfId="12"/>
    <cellStyle name="20% - Accent6 2" xfId="14"/>
    <cellStyle name="40% - Accent1 2" xfId="8"/>
    <cellStyle name="40% - Accent2 2" xfId="16"/>
    <cellStyle name="40% - Accent3 2" xfId="15"/>
    <cellStyle name="40% - Accent4 2" xfId="17"/>
    <cellStyle name="40% - Accent5 2" xfId="18"/>
    <cellStyle name="40% - Accent6 2" xfId="13"/>
    <cellStyle name="60% - Accent4 2" xfId="19"/>
    <cellStyle name="Normal" xfId="0" builtinId="0"/>
    <cellStyle name="Normal 2" xfId="2"/>
    <cellStyle name="Normal 2 2" xfId="3"/>
    <cellStyle name="Normal 2 3" xfId="4"/>
    <cellStyle name="Normal 3" xfId="5"/>
    <cellStyle name="Normal 4" xfId="6"/>
    <cellStyle name="Normal 5" xfId="20"/>
    <cellStyle name="Percent" xfId="1" builtinId="5"/>
  </cellStyles>
  <dxfs count="30">
    <dxf>
      <font>
        <color auto="1"/>
      </font>
      <fill>
        <patternFill>
          <bgColor theme="9" tint="-0.24994659260841701"/>
        </patternFill>
      </fill>
    </dxf>
    <dxf>
      <font>
        <color theme="1"/>
      </font>
      <fill>
        <patternFill>
          <bgColor theme="9" tint="-0.24994659260841701"/>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rgb="FFFF9B57"/>
        </patternFill>
      </fill>
    </dxf>
    <dxf>
      <fill>
        <patternFill>
          <bgColor theme="7" tint="0.59996337778862885"/>
        </patternFill>
      </fill>
    </dxf>
    <dxf>
      <fill>
        <patternFill>
          <bgColor rgb="FFFD9D9D"/>
        </patternFill>
      </fill>
    </dxf>
    <dxf>
      <fill>
        <patternFill>
          <bgColor rgb="FFFF4B4B"/>
        </patternFill>
      </fill>
    </dxf>
    <dxf>
      <fill>
        <patternFill>
          <bgColor rgb="FFFF4B4B"/>
        </patternFill>
      </fill>
    </dxf>
    <dxf>
      <font>
        <color theme="0"/>
      </font>
      <fill>
        <patternFill>
          <bgColor rgb="FF9A1608"/>
        </patternFill>
      </fill>
    </dxf>
    <dxf>
      <font>
        <color theme="0"/>
      </font>
      <fill>
        <patternFill>
          <bgColor rgb="FF970E03"/>
        </patternFill>
      </fill>
    </dxf>
    <dxf>
      <fill>
        <patternFill>
          <bgColor theme="9" tint="-0.24994659260841701"/>
        </patternFill>
      </fill>
    </dxf>
    <dxf>
      <fill>
        <patternFill>
          <bgColor rgb="FFFF8837"/>
        </patternFill>
      </fill>
    </dxf>
    <dxf>
      <font>
        <color theme="0"/>
      </font>
      <fill>
        <patternFill>
          <bgColor rgb="FFC00000"/>
        </patternFill>
      </fill>
    </dxf>
    <dxf>
      <fill>
        <patternFill>
          <bgColor theme="9" tint="0.39994506668294322"/>
        </patternFill>
      </fill>
    </dxf>
    <dxf>
      <fill>
        <patternFill>
          <bgColor rgb="FFFF4F4F"/>
        </patternFill>
      </fill>
    </dxf>
    <dxf>
      <fill>
        <patternFill>
          <bgColor rgb="FFFF4F4F"/>
        </patternFill>
      </fill>
    </dxf>
    <dxf>
      <font>
        <color theme="0"/>
      </font>
      <fill>
        <patternFill>
          <bgColor rgb="FFC00000"/>
        </patternFill>
      </fill>
    </dxf>
    <dxf>
      <fill>
        <patternFill>
          <bgColor theme="7" tint="0.59996337778862885"/>
        </patternFill>
      </fill>
    </dxf>
    <dxf>
      <fill>
        <patternFill>
          <bgColor rgb="FFFF505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ill>
        <patternFill>
          <bgColor rgb="FFFF505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colors>
    <mruColors>
      <color rgb="FF6699FF"/>
      <color rgb="FFFF5050"/>
      <color rgb="FFFFCC66"/>
      <color rgb="FFCCCCFF"/>
      <color rgb="FFFFFFFF"/>
      <color rgb="FF6666FF"/>
      <color rgb="FFCC99FF"/>
      <color rgb="FFFF3300"/>
      <color rgb="FF008000"/>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0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0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0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2.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13.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14.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15.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16.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7.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8.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19.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2.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23.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24.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25.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26.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27.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28.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29.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0.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31.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32.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33.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34.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35.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36.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39.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1.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42.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43.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44.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45.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47.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48.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49.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0.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51.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52.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53.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54.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55.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56.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57.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2.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63.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64.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65.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66.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67.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68.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69.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2.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73.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74.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75.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76.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77.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78.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79.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82.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83.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84.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85.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86.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87.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88.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89.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92.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93.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94.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95.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96.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97.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98.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99.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0.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201.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202.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203.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204.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205.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206.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209.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211.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212.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213.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214.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215.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217.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218.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219.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2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0.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221.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222.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223.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224.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225.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226.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227.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2.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233.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234.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235.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236.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237.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238.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239.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2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2.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243.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244.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245.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246.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247.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248.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49.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2.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53.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54.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55.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56.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57.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58.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59.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2.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63.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64.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65.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66.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67.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68.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69.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0.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71.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72.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73.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74.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75.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76.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79.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1.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82.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83.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84.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85.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87.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88.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89.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0.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91.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92.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93.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94.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95.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96.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97.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2.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303.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304.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305.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306.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307.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308.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309.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312.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313.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314.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315.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316.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317.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318.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319.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3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22.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323.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324.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325.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326.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327.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328.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329.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3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32.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333.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334.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335.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336.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337.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338.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339.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3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40.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341.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342.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343.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344.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345.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346.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349.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3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9.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4.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5.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7.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8.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9.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1.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2.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3.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4.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5.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6.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7.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2.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93.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4.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5.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6.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7.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8.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9.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likelihood'!$B$54</c:f>
          <c:strCache>
            <c:ptCount val="1"/>
            <c:pt idx="0">
              <c:v>Forest owners/managers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4358976678211456E-2"/>
          <c:y val="0.19836010498687665"/>
          <c:w val="0.90741367371914783"/>
          <c:h val="0.655016062992126"/>
        </c:manualLayout>
      </c:layout>
      <c:barChart>
        <c:barDir val="col"/>
        <c:grouping val="clustered"/>
        <c:varyColors val="0"/>
        <c:ser>
          <c:idx val="0"/>
          <c:order val="0"/>
          <c:spPr>
            <a:solidFill>
              <a:schemeClr val="accent1"/>
            </a:solidFill>
            <a:ln>
              <a:noFill/>
            </a:ln>
            <a:effectLst/>
          </c:spPr>
          <c:invertIfNegative val="0"/>
          <c:cat>
            <c:strRef>
              <c:f>'S26 likelihood'!$G$72:$G$76</c:f>
              <c:strCache>
                <c:ptCount val="5"/>
                <c:pt idx="0">
                  <c:v>Definitely not</c:v>
                </c:pt>
                <c:pt idx="1">
                  <c:v>Sometimes</c:v>
                </c:pt>
                <c:pt idx="2">
                  <c:v>Most of the time</c:v>
                </c:pt>
                <c:pt idx="3">
                  <c:v>Yes, always</c:v>
                </c:pt>
                <c:pt idx="4">
                  <c:v>I don’t know</c:v>
                </c:pt>
              </c:strCache>
            </c:strRef>
          </c:cat>
          <c:val>
            <c:numRef>
              <c:f>'S26 likelihood'!$I$72:$I$76</c:f>
              <c:numCache>
                <c:formatCode>0%</c:formatCode>
                <c:ptCount val="5"/>
                <c:pt idx="0">
                  <c:v>1</c:v>
                </c:pt>
                <c:pt idx="1">
                  <c:v>0</c:v>
                </c:pt>
                <c:pt idx="2">
                  <c:v>0</c:v>
                </c:pt>
                <c:pt idx="3">
                  <c:v>0</c:v>
                </c:pt>
                <c:pt idx="4">
                  <c:v>0</c:v>
                </c:pt>
              </c:numCache>
            </c:numRef>
          </c:val>
        </c:ser>
        <c:dLbls>
          <c:showLegendKey val="0"/>
          <c:showVal val="0"/>
          <c:showCatName val="0"/>
          <c:showSerName val="0"/>
          <c:showPercent val="0"/>
          <c:showBubbleSize val="0"/>
        </c:dLbls>
        <c:gapWidth val="219"/>
        <c:overlap val="-27"/>
        <c:axId val="134619136"/>
        <c:axId val="134620672"/>
      </c:barChart>
      <c:catAx>
        <c:axId val="134619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4620672"/>
        <c:crosses val="autoZero"/>
        <c:auto val="0"/>
        <c:lblAlgn val="ctr"/>
        <c:lblOffset val="100"/>
        <c:tickLblSkip val="1"/>
        <c:noMultiLvlLbl val="0"/>
      </c:catAx>
      <c:valAx>
        <c:axId val="134620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619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likelihood'!$BQ$153:$BQ$159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likelihood'!$BS$153:$BS$159</c:f>
              <c:numCache>
                <c:formatCode>0%</c:formatCode>
                <c:ptCount val="7"/>
                <c:pt idx="0">
                  <c:v>0</c:v>
                </c:pt>
                <c:pt idx="1">
                  <c:v>0.5</c:v>
                </c:pt>
                <c:pt idx="2">
                  <c:v>0</c:v>
                </c:pt>
                <c:pt idx="3">
                  <c:v>0</c:v>
                </c:pt>
                <c:pt idx="4">
                  <c:v>0</c:v>
                </c:pt>
                <c:pt idx="5">
                  <c:v>0</c:v>
                </c:pt>
                <c:pt idx="6">
                  <c:v>0.5</c:v>
                </c:pt>
              </c:numCache>
            </c:numRef>
          </c:val>
        </c:ser>
        <c:dLbls>
          <c:showLegendKey val="0"/>
          <c:showVal val="0"/>
          <c:showCatName val="0"/>
          <c:showSerName val="0"/>
          <c:showPercent val="0"/>
          <c:showBubbleSize val="0"/>
        </c:dLbls>
        <c:gapWidth val="219"/>
        <c:overlap val="-27"/>
        <c:axId val="138491776"/>
        <c:axId val="138493312"/>
      </c:barChart>
      <c:catAx>
        <c:axId val="13849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493312"/>
        <c:crosses val="autoZero"/>
        <c:auto val="1"/>
        <c:lblAlgn val="ctr"/>
        <c:lblOffset val="100"/>
        <c:tickLblSkip val="1"/>
        <c:noMultiLvlLbl val="0"/>
      </c:catAx>
      <c:valAx>
        <c:axId val="1384933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49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likelihood'!$AI$279</c:f>
              <c:strCache>
                <c:ptCount val="1"/>
                <c:pt idx="0">
                  <c:v>Forest owners/managers</c:v>
                </c:pt>
              </c:strCache>
            </c:strRef>
          </c:tx>
          <c:invertIfNegative val="0"/>
          <c:cat>
            <c:strRef>
              <c:f>'S30a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likelihood'!$AI$280:$AI$286</c:f>
              <c:numCache>
                <c:formatCode>0%</c:formatCode>
                <c:ptCount val="7"/>
                <c:pt idx="0">
                  <c:v>8.3333333333333329E-2</c:v>
                </c:pt>
                <c:pt idx="1">
                  <c:v>4.1666666666666664E-2</c:v>
                </c:pt>
                <c:pt idx="2">
                  <c:v>0</c:v>
                </c:pt>
                <c:pt idx="3">
                  <c:v>4.1666666666666664E-2</c:v>
                </c:pt>
                <c:pt idx="4">
                  <c:v>0</c:v>
                </c:pt>
                <c:pt idx="5">
                  <c:v>0</c:v>
                </c:pt>
                <c:pt idx="6">
                  <c:v>0</c:v>
                </c:pt>
              </c:numCache>
            </c:numRef>
          </c:val>
        </c:ser>
        <c:ser>
          <c:idx val="1"/>
          <c:order val="1"/>
          <c:tx>
            <c:strRef>
              <c:f>'S30a likelihood'!$AJ$279</c:f>
              <c:strCache>
                <c:ptCount val="1"/>
                <c:pt idx="0">
                  <c:v>Pellet producers</c:v>
                </c:pt>
              </c:strCache>
            </c:strRef>
          </c:tx>
          <c:invertIfNegative val="0"/>
          <c:cat>
            <c:strRef>
              <c:f>'S30a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likelihood'!$AJ$280:$AJ$286</c:f>
              <c:numCache>
                <c:formatCode>0%</c:formatCode>
                <c:ptCount val="7"/>
                <c:pt idx="0">
                  <c:v>0.1111111111111111</c:v>
                </c:pt>
                <c:pt idx="1">
                  <c:v>0</c:v>
                </c:pt>
                <c:pt idx="2">
                  <c:v>0</c:v>
                </c:pt>
                <c:pt idx="3">
                  <c:v>0</c:v>
                </c:pt>
                <c:pt idx="4">
                  <c:v>0</c:v>
                </c:pt>
                <c:pt idx="5">
                  <c:v>5.5555555555555552E-2</c:v>
                </c:pt>
                <c:pt idx="6">
                  <c:v>0</c:v>
                </c:pt>
              </c:numCache>
            </c:numRef>
          </c:val>
        </c:ser>
        <c:ser>
          <c:idx val="2"/>
          <c:order val="2"/>
          <c:tx>
            <c:strRef>
              <c:f>'S30a likelihood'!$AK$279</c:f>
              <c:strCache>
                <c:ptCount val="1"/>
                <c:pt idx="0">
                  <c:v>Pellet users</c:v>
                </c:pt>
              </c:strCache>
            </c:strRef>
          </c:tx>
          <c:invertIfNegative val="0"/>
          <c:cat>
            <c:strRef>
              <c:f>'S30a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likelihood'!$AK$280:$AK$286</c:f>
              <c:numCache>
                <c:formatCode>0%</c:formatCode>
                <c:ptCount val="7"/>
                <c:pt idx="0">
                  <c:v>8.3333333333333329E-2</c:v>
                </c:pt>
                <c:pt idx="1">
                  <c:v>0</c:v>
                </c:pt>
                <c:pt idx="2">
                  <c:v>0</c:v>
                </c:pt>
                <c:pt idx="3">
                  <c:v>0</c:v>
                </c:pt>
                <c:pt idx="4">
                  <c:v>8.3333333333333329E-2</c:v>
                </c:pt>
                <c:pt idx="5">
                  <c:v>0</c:v>
                </c:pt>
                <c:pt idx="6">
                  <c:v>0</c:v>
                </c:pt>
              </c:numCache>
            </c:numRef>
          </c:val>
        </c:ser>
        <c:ser>
          <c:idx val="3"/>
          <c:order val="3"/>
          <c:tx>
            <c:strRef>
              <c:f>'S30a likelihood'!$AL$279</c:f>
              <c:strCache>
                <c:ptCount val="1"/>
                <c:pt idx="0">
                  <c:v>Non-bioenergy wood users</c:v>
                </c:pt>
              </c:strCache>
            </c:strRef>
          </c:tx>
          <c:invertIfNegative val="0"/>
          <c:cat>
            <c:strRef>
              <c:f>'S30a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likelihood'!$AL$280:$AL$286</c:f>
              <c:numCache>
                <c:formatCode>0%</c:formatCode>
                <c:ptCount val="7"/>
                <c:pt idx="0">
                  <c:v>0</c:v>
                </c:pt>
                <c:pt idx="1">
                  <c:v>8.3333333333333329E-2</c:v>
                </c:pt>
                <c:pt idx="2">
                  <c:v>0</c:v>
                </c:pt>
                <c:pt idx="3">
                  <c:v>0</c:v>
                </c:pt>
                <c:pt idx="4">
                  <c:v>8.3333333333333329E-2</c:v>
                </c:pt>
                <c:pt idx="5">
                  <c:v>0</c:v>
                </c:pt>
                <c:pt idx="6">
                  <c:v>0</c:v>
                </c:pt>
              </c:numCache>
            </c:numRef>
          </c:val>
        </c:ser>
        <c:ser>
          <c:idx val="4"/>
          <c:order val="4"/>
          <c:tx>
            <c:strRef>
              <c:f>'S30a likelihood'!$AM$279</c:f>
              <c:strCache>
                <c:ptCount val="1"/>
                <c:pt idx="0">
                  <c:v>Policy makers and academia</c:v>
                </c:pt>
              </c:strCache>
            </c:strRef>
          </c:tx>
          <c:invertIfNegative val="0"/>
          <c:cat>
            <c:strRef>
              <c:f>'S30a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likelihood'!$AM$280:$AM$286</c:f>
              <c:numCache>
                <c:formatCode>0%</c:formatCode>
                <c:ptCount val="7"/>
                <c:pt idx="0">
                  <c:v>0</c:v>
                </c:pt>
                <c:pt idx="1">
                  <c:v>0</c:v>
                </c:pt>
                <c:pt idx="2">
                  <c:v>0</c:v>
                </c:pt>
                <c:pt idx="3">
                  <c:v>0</c:v>
                </c:pt>
                <c:pt idx="4">
                  <c:v>0</c:v>
                </c:pt>
                <c:pt idx="5">
                  <c:v>0</c:v>
                </c:pt>
                <c:pt idx="6">
                  <c:v>0</c:v>
                </c:pt>
              </c:numCache>
            </c:numRef>
          </c:val>
        </c:ser>
        <c:ser>
          <c:idx val="5"/>
          <c:order val="5"/>
          <c:tx>
            <c:strRef>
              <c:f>'S30a likelihood'!$AN$279</c:f>
              <c:strCache>
                <c:ptCount val="1"/>
                <c:pt idx="0">
                  <c:v>NGOs</c:v>
                </c:pt>
              </c:strCache>
            </c:strRef>
          </c:tx>
          <c:invertIfNegative val="0"/>
          <c:cat>
            <c:strRef>
              <c:f>'S30a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likelihood'!$AN$280:$AN$286</c:f>
              <c:numCache>
                <c:formatCode>0%</c:formatCode>
                <c:ptCount val="7"/>
                <c:pt idx="0">
                  <c:v>0</c:v>
                </c:pt>
                <c:pt idx="1">
                  <c:v>0</c:v>
                </c:pt>
                <c:pt idx="2">
                  <c:v>0</c:v>
                </c:pt>
                <c:pt idx="3">
                  <c:v>0</c:v>
                </c:pt>
                <c:pt idx="4">
                  <c:v>0.16666666666666666</c:v>
                </c:pt>
                <c:pt idx="5">
                  <c:v>0</c:v>
                </c:pt>
                <c:pt idx="6">
                  <c:v>0</c:v>
                </c:pt>
              </c:numCache>
            </c:numRef>
          </c:val>
        </c:ser>
        <c:dLbls>
          <c:showLegendKey val="0"/>
          <c:showVal val="0"/>
          <c:showCatName val="0"/>
          <c:showSerName val="0"/>
          <c:showPercent val="0"/>
          <c:showBubbleSize val="0"/>
        </c:dLbls>
        <c:gapWidth val="150"/>
        <c:overlap val="100"/>
        <c:axId val="145034624"/>
        <c:axId val="145048704"/>
      </c:barChart>
      <c:catAx>
        <c:axId val="14503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048704"/>
        <c:crosses val="autoZero"/>
        <c:auto val="1"/>
        <c:lblAlgn val="ctr"/>
        <c:lblOffset val="100"/>
        <c:noMultiLvlLbl val="0"/>
      </c:catAx>
      <c:valAx>
        <c:axId val="145048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0346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likelihood'!$AI$279</c:f>
              <c:strCache>
                <c:ptCount val="1"/>
                <c:pt idx="0">
                  <c:v>Forest owners/managers</c:v>
                </c:pt>
              </c:strCache>
            </c:strRef>
          </c:tx>
          <c:invertIfNegative val="0"/>
          <c:cat>
            <c:strRef>
              <c:f>'S30a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likelihood'!$AI$280:$AI$286</c:f>
              <c:numCache>
                <c:formatCode>0%</c:formatCode>
                <c:ptCount val="7"/>
                <c:pt idx="0">
                  <c:v>8.3333333333333329E-2</c:v>
                </c:pt>
                <c:pt idx="1">
                  <c:v>4.1666666666666664E-2</c:v>
                </c:pt>
                <c:pt idx="2">
                  <c:v>0</c:v>
                </c:pt>
                <c:pt idx="3">
                  <c:v>4.1666666666666664E-2</c:v>
                </c:pt>
                <c:pt idx="4">
                  <c:v>0</c:v>
                </c:pt>
                <c:pt idx="5">
                  <c:v>0</c:v>
                </c:pt>
                <c:pt idx="6">
                  <c:v>0</c:v>
                </c:pt>
              </c:numCache>
            </c:numRef>
          </c:val>
        </c:ser>
        <c:ser>
          <c:idx val="1"/>
          <c:order val="1"/>
          <c:tx>
            <c:strRef>
              <c:f>'S30a likelihood'!$AJ$279</c:f>
              <c:strCache>
                <c:ptCount val="1"/>
                <c:pt idx="0">
                  <c:v>Pellet producers</c:v>
                </c:pt>
              </c:strCache>
            </c:strRef>
          </c:tx>
          <c:invertIfNegative val="0"/>
          <c:cat>
            <c:strRef>
              <c:f>'S30a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likelihood'!$AJ$280:$AJ$286</c:f>
              <c:numCache>
                <c:formatCode>0%</c:formatCode>
                <c:ptCount val="7"/>
                <c:pt idx="0">
                  <c:v>0.1111111111111111</c:v>
                </c:pt>
                <c:pt idx="1">
                  <c:v>0</c:v>
                </c:pt>
                <c:pt idx="2">
                  <c:v>0</c:v>
                </c:pt>
                <c:pt idx="3">
                  <c:v>0</c:v>
                </c:pt>
                <c:pt idx="4">
                  <c:v>0</c:v>
                </c:pt>
                <c:pt idx="5">
                  <c:v>5.5555555555555552E-2</c:v>
                </c:pt>
                <c:pt idx="6">
                  <c:v>0</c:v>
                </c:pt>
              </c:numCache>
            </c:numRef>
          </c:val>
        </c:ser>
        <c:ser>
          <c:idx val="2"/>
          <c:order val="2"/>
          <c:tx>
            <c:strRef>
              <c:f>'S30a likelihood'!$AK$279</c:f>
              <c:strCache>
                <c:ptCount val="1"/>
                <c:pt idx="0">
                  <c:v>Pellet users</c:v>
                </c:pt>
              </c:strCache>
            </c:strRef>
          </c:tx>
          <c:invertIfNegative val="0"/>
          <c:cat>
            <c:strRef>
              <c:f>'S30a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likelihood'!$AK$280:$AK$286</c:f>
              <c:numCache>
                <c:formatCode>0%</c:formatCode>
                <c:ptCount val="7"/>
                <c:pt idx="0">
                  <c:v>8.3333333333333329E-2</c:v>
                </c:pt>
                <c:pt idx="1">
                  <c:v>0</c:v>
                </c:pt>
                <c:pt idx="2">
                  <c:v>0</c:v>
                </c:pt>
                <c:pt idx="3">
                  <c:v>0</c:v>
                </c:pt>
                <c:pt idx="4">
                  <c:v>8.3333333333333329E-2</c:v>
                </c:pt>
                <c:pt idx="5">
                  <c:v>0</c:v>
                </c:pt>
                <c:pt idx="6">
                  <c:v>0</c:v>
                </c:pt>
              </c:numCache>
            </c:numRef>
          </c:val>
        </c:ser>
        <c:ser>
          <c:idx val="3"/>
          <c:order val="3"/>
          <c:tx>
            <c:strRef>
              <c:f>'S30a likelihood'!$AL$279</c:f>
              <c:strCache>
                <c:ptCount val="1"/>
                <c:pt idx="0">
                  <c:v>Non-bioenergy wood users</c:v>
                </c:pt>
              </c:strCache>
            </c:strRef>
          </c:tx>
          <c:invertIfNegative val="0"/>
          <c:cat>
            <c:strRef>
              <c:f>'S30a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likelihood'!$AL$280:$AL$286</c:f>
              <c:numCache>
                <c:formatCode>0%</c:formatCode>
                <c:ptCount val="7"/>
                <c:pt idx="0">
                  <c:v>0</c:v>
                </c:pt>
                <c:pt idx="1">
                  <c:v>8.3333333333333329E-2</c:v>
                </c:pt>
                <c:pt idx="2">
                  <c:v>0</c:v>
                </c:pt>
                <c:pt idx="3">
                  <c:v>0</c:v>
                </c:pt>
                <c:pt idx="4">
                  <c:v>8.3333333333333329E-2</c:v>
                </c:pt>
                <c:pt idx="5">
                  <c:v>0</c:v>
                </c:pt>
                <c:pt idx="6">
                  <c:v>0</c:v>
                </c:pt>
              </c:numCache>
            </c:numRef>
          </c:val>
        </c:ser>
        <c:ser>
          <c:idx val="4"/>
          <c:order val="4"/>
          <c:tx>
            <c:strRef>
              <c:f>'S30a likelihood'!$AM$279</c:f>
              <c:strCache>
                <c:ptCount val="1"/>
                <c:pt idx="0">
                  <c:v>Policy makers and academia</c:v>
                </c:pt>
              </c:strCache>
            </c:strRef>
          </c:tx>
          <c:invertIfNegative val="0"/>
          <c:cat>
            <c:strRef>
              <c:f>'S30a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likelihood'!$AM$280:$AM$286</c:f>
              <c:numCache>
                <c:formatCode>0%</c:formatCode>
                <c:ptCount val="7"/>
                <c:pt idx="0">
                  <c:v>0</c:v>
                </c:pt>
                <c:pt idx="1">
                  <c:v>0</c:v>
                </c:pt>
                <c:pt idx="2">
                  <c:v>0</c:v>
                </c:pt>
                <c:pt idx="3">
                  <c:v>0</c:v>
                </c:pt>
                <c:pt idx="4">
                  <c:v>0</c:v>
                </c:pt>
                <c:pt idx="5">
                  <c:v>0</c:v>
                </c:pt>
                <c:pt idx="6">
                  <c:v>0</c:v>
                </c:pt>
              </c:numCache>
            </c:numRef>
          </c:val>
        </c:ser>
        <c:ser>
          <c:idx val="5"/>
          <c:order val="5"/>
          <c:tx>
            <c:strRef>
              <c:f>'S30a likelihood'!$AN$279</c:f>
              <c:strCache>
                <c:ptCount val="1"/>
                <c:pt idx="0">
                  <c:v>NGOs</c:v>
                </c:pt>
              </c:strCache>
            </c:strRef>
          </c:tx>
          <c:invertIfNegative val="0"/>
          <c:cat>
            <c:strRef>
              <c:f>'S30a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likelihood'!$AN$280:$AN$286</c:f>
              <c:numCache>
                <c:formatCode>0%</c:formatCode>
                <c:ptCount val="7"/>
                <c:pt idx="0">
                  <c:v>0</c:v>
                </c:pt>
                <c:pt idx="1">
                  <c:v>0</c:v>
                </c:pt>
                <c:pt idx="2">
                  <c:v>0</c:v>
                </c:pt>
                <c:pt idx="3">
                  <c:v>0</c:v>
                </c:pt>
                <c:pt idx="4">
                  <c:v>0.16666666666666666</c:v>
                </c:pt>
                <c:pt idx="5">
                  <c:v>0</c:v>
                </c:pt>
                <c:pt idx="6">
                  <c:v>0</c:v>
                </c:pt>
              </c:numCache>
            </c:numRef>
          </c:val>
        </c:ser>
        <c:dLbls>
          <c:showLegendKey val="0"/>
          <c:showVal val="0"/>
          <c:showCatName val="0"/>
          <c:showSerName val="0"/>
          <c:showPercent val="0"/>
          <c:showBubbleSize val="0"/>
        </c:dLbls>
        <c:gapWidth val="150"/>
        <c:overlap val="100"/>
        <c:axId val="145101568"/>
        <c:axId val="145103104"/>
      </c:barChart>
      <c:catAx>
        <c:axId val="14510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103104"/>
        <c:crosses val="autoZero"/>
        <c:auto val="1"/>
        <c:lblAlgn val="ctr"/>
        <c:lblOffset val="100"/>
        <c:noMultiLvlLbl val="0"/>
      </c:catAx>
      <c:valAx>
        <c:axId val="145103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01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likelihood'!$BB$72:$BB$78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likelihood'!$BD$72:$BD$78</c:f>
              <c:numCache>
                <c:formatCode>0%</c:formatCode>
                <c:ptCount val="7"/>
                <c:pt idx="0">
                  <c:v>0.5</c:v>
                </c:pt>
                <c:pt idx="1">
                  <c:v>0.25</c:v>
                </c:pt>
                <c:pt idx="2">
                  <c:v>0</c:v>
                </c:pt>
                <c:pt idx="3">
                  <c:v>0.25</c:v>
                </c:pt>
                <c:pt idx="4">
                  <c:v>0</c:v>
                </c:pt>
                <c:pt idx="5">
                  <c:v>0</c:v>
                </c:pt>
                <c:pt idx="6">
                  <c:v>0</c:v>
                </c:pt>
              </c:numCache>
            </c:numRef>
          </c:val>
        </c:ser>
        <c:dLbls>
          <c:showLegendKey val="0"/>
          <c:showVal val="0"/>
          <c:showCatName val="0"/>
          <c:showSerName val="0"/>
          <c:showPercent val="0"/>
          <c:showBubbleSize val="0"/>
        </c:dLbls>
        <c:gapWidth val="219"/>
        <c:overlap val="-27"/>
        <c:axId val="145143680"/>
        <c:axId val="145145216"/>
      </c:barChart>
      <c:catAx>
        <c:axId val="14514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145216"/>
        <c:crosses val="autoZero"/>
        <c:auto val="1"/>
        <c:lblAlgn val="ctr"/>
        <c:lblOffset val="100"/>
        <c:tickLblSkip val="1"/>
        <c:noMultiLvlLbl val="0"/>
      </c:catAx>
      <c:valAx>
        <c:axId val="1451452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43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likelihood'!$BB$99:$BB$105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likelihood'!$BD$99:$BD$105</c:f>
              <c:numCache>
                <c:formatCode>0%</c:formatCode>
                <c:ptCount val="7"/>
                <c:pt idx="0">
                  <c:v>0.66666666666666663</c:v>
                </c:pt>
                <c:pt idx="1">
                  <c:v>0</c:v>
                </c:pt>
                <c:pt idx="2">
                  <c:v>0</c:v>
                </c:pt>
                <c:pt idx="3">
                  <c:v>0</c:v>
                </c:pt>
                <c:pt idx="4">
                  <c:v>0</c:v>
                </c:pt>
                <c:pt idx="5">
                  <c:v>0.33333333333333331</c:v>
                </c:pt>
                <c:pt idx="6">
                  <c:v>0</c:v>
                </c:pt>
              </c:numCache>
            </c:numRef>
          </c:val>
        </c:ser>
        <c:dLbls>
          <c:showLegendKey val="0"/>
          <c:showVal val="0"/>
          <c:showCatName val="0"/>
          <c:showSerName val="0"/>
          <c:showPercent val="0"/>
          <c:showBubbleSize val="0"/>
        </c:dLbls>
        <c:gapWidth val="219"/>
        <c:overlap val="-27"/>
        <c:axId val="145165312"/>
        <c:axId val="145175296"/>
      </c:barChart>
      <c:catAx>
        <c:axId val="145165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175296"/>
        <c:crosses val="autoZero"/>
        <c:auto val="1"/>
        <c:lblAlgn val="ctr"/>
        <c:lblOffset val="100"/>
        <c:tickLblSkip val="1"/>
        <c:noMultiLvlLbl val="0"/>
      </c:catAx>
      <c:valAx>
        <c:axId val="145175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65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likelihood'!$BB$126:$BB$132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likelihood'!$BD$126:$BD$132</c:f>
              <c:numCache>
                <c:formatCode>0%</c:formatCode>
                <c:ptCount val="7"/>
                <c:pt idx="0">
                  <c:v>0</c:v>
                </c:pt>
                <c:pt idx="1">
                  <c:v>0.5</c:v>
                </c:pt>
                <c:pt idx="2">
                  <c:v>0</c:v>
                </c:pt>
                <c:pt idx="3">
                  <c:v>0</c:v>
                </c:pt>
                <c:pt idx="4">
                  <c:v>0.5</c:v>
                </c:pt>
                <c:pt idx="5">
                  <c:v>0</c:v>
                </c:pt>
                <c:pt idx="6">
                  <c:v>0</c:v>
                </c:pt>
              </c:numCache>
            </c:numRef>
          </c:val>
        </c:ser>
        <c:dLbls>
          <c:showLegendKey val="0"/>
          <c:showVal val="0"/>
          <c:showCatName val="0"/>
          <c:showSerName val="0"/>
          <c:showPercent val="0"/>
          <c:showBubbleSize val="0"/>
        </c:dLbls>
        <c:gapWidth val="219"/>
        <c:overlap val="-27"/>
        <c:axId val="145199488"/>
        <c:axId val="145201024"/>
      </c:barChart>
      <c:catAx>
        <c:axId val="14519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201024"/>
        <c:crosses val="autoZero"/>
        <c:auto val="1"/>
        <c:lblAlgn val="ctr"/>
        <c:lblOffset val="100"/>
        <c:tickLblSkip val="1"/>
        <c:noMultiLvlLbl val="0"/>
      </c:catAx>
      <c:valAx>
        <c:axId val="1452010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99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likelihood'!$BB$153:$BB$159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likelihood'!$BD$153:$BD$159</c:f>
              <c:numCache>
                <c:formatCode>0%</c:formatCode>
                <c:ptCount val="7"/>
                <c:pt idx="0">
                  <c:v>0</c:v>
                </c:pt>
                <c:pt idx="1">
                  <c:v>0</c:v>
                </c:pt>
                <c:pt idx="2">
                  <c:v>0.5</c:v>
                </c:pt>
                <c:pt idx="3">
                  <c:v>0</c:v>
                </c:pt>
                <c:pt idx="4">
                  <c:v>0</c:v>
                </c:pt>
                <c:pt idx="5">
                  <c:v>0.5</c:v>
                </c:pt>
                <c:pt idx="6">
                  <c:v>0</c:v>
                </c:pt>
              </c:numCache>
            </c:numRef>
          </c:val>
        </c:ser>
        <c:dLbls>
          <c:showLegendKey val="0"/>
          <c:showVal val="0"/>
          <c:showCatName val="0"/>
          <c:showSerName val="0"/>
          <c:showPercent val="0"/>
          <c:showBubbleSize val="0"/>
        </c:dLbls>
        <c:gapWidth val="219"/>
        <c:overlap val="-27"/>
        <c:axId val="145225216"/>
        <c:axId val="145226752"/>
      </c:barChart>
      <c:catAx>
        <c:axId val="14522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226752"/>
        <c:crosses val="autoZero"/>
        <c:auto val="1"/>
        <c:lblAlgn val="ctr"/>
        <c:lblOffset val="100"/>
        <c:tickLblSkip val="1"/>
        <c:noMultiLvlLbl val="0"/>
      </c:catAx>
      <c:valAx>
        <c:axId val="1452267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225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likelihood'!$BB$180:$BB$186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likelihood'!$BD$180:$BD$186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5443456"/>
        <c:axId val="145473920"/>
      </c:barChart>
      <c:catAx>
        <c:axId val="14544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473920"/>
        <c:crosses val="autoZero"/>
        <c:auto val="1"/>
        <c:lblAlgn val="ctr"/>
        <c:lblOffset val="100"/>
        <c:tickLblSkip val="1"/>
        <c:noMultiLvlLbl val="0"/>
      </c:catAx>
      <c:valAx>
        <c:axId val="1454739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43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likelihood'!$BB$207:$BB$213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likelihood'!$BD$207:$BD$213</c:f>
              <c:numCache>
                <c:formatCode>0%</c:formatCode>
                <c:ptCount val="7"/>
                <c:pt idx="0">
                  <c:v>0</c:v>
                </c:pt>
                <c:pt idx="1">
                  <c:v>0</c:v>
                </c:pt>
                <c:pt idx="2">
                  <c:v>0</c:v>
                </c:pt>
                <c:pt idx="3">
                  <c:v>0</c:v>
                </c:pt>
                <c:pt idx="4">
                  <c:v>0</c:v>
                </c:pt>
                <c:pt idx="5">
                  <c:v>1</c:v>
                </c:pt>
                <c:pt idx="6">
                  <c:v>0</c:v>
                </c:pt>
              </c:numCache>
            </c:numRef>
          </c:val>
        </c:ser>
        <c:dLbls>
          <c:showLegendKey val="0"/>
          <c:showVal val="0"/>
          <c:showCatName val="0"/>
          <c:showSerName val="0"/>
          <c:showPercent val="0"/>
          <c:showBubbleSize val="0"/>
        </c:dLbls>
        <c:gapWidth val="219"/>
        <c:overlap val="-27"/>
        <c:axId val="145494400"/>
        <c:axId val="145495936"/>
      </c:barChart>
      <c:catAx>
        <c:axId val="14549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495936"/>
        <c:crosses val="autoZero"/>
        <c:auto val="1"/>
        <c:lblAlgn val="ctr"/>
        <c:lblOffset val="100"/>
        <c:tickLblSkip val="1"/>
        <c:noMultiLvlLbl val="0"/>
      </c:catAx>
      <c:valAx>
        <c:axId val="1454959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494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likelihood'!$BB$234:$BB$240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likelihood'!$BD$234:$BD$240</c:f>
              <c:numCache>
                <c:formatCode>0%</c:formatCode>
                <c:ptCount val="7"/>
                <c:pt idx="0">
                  <c:v>0.26666666666666666</c:v>
                </c:pt>
                <c:pt idx="1">
                  <c:v>0.13333333333333333</c:v>
                </c:pt>
                <c:pt idx="2">
                  <c:v>6.6666666666666666E-2</c:v>
                </c:pt>
                <c:pt idx="3">
                  <c:v>6.6666666666666666E-2</c:v>
                </c:pt>
                <c:pt idx="4">
                  <c:v>6.6666666666666666E-2</c:v>
                </c:pt>
                <c:pt idx="5">
                  <c:v>0.4</c:v>
                </c:pt>
                <c:pt idx="6">
                  <c:v>0</c:v>
                </c:pt>
              </c:numCache>
            </c:numRef>
          </c:val>
        </c:ser>
        <c:dLbls>
          <c:showLegendKey val="0"/>
          <c:showVal val="0"/>
          <c:showCatName val="0"/>
          <c:showSerName val="0"/>
          <c:showPercent val="0"/>
          <c:showBubbleSize val="0"/>
        </c:dLbls>
        <c:gapWidth val="219"/>
        <c:overlap val="-27"/>
        <c:axId val="145528320"/>
        <c:axId val="145529856"/>
      </c:barChart>
      <c:catAx>
        <c:axId val="14552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529856"/>
        <c:crosses val="autoZero"/>
        <c:auto val="1"/>
        <c:lblAlgn val="ctr"/>
        <c:lblOffset val="100"/>
        <c:tickLblSkip val="1"/>
        <c:noMultiLvlLbl val="0"/>
      </c:catAx>
      <c:valAx>
        <c:axId val="1455298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8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likelihood'!$AX$247</c:f>
              <c:strCache>
                <c:ptCount val="1"/>
                <c:pt idx="0">
                  <c:v>Forest owners/managers</c:v>
                </c:pt>
              </c:strCache>
            </c:strRef>
          </c:tx>
          <c:spPr>
            <a:solidFill>
              <a:schemeClr val="accent1"/>
            </a:solidFill>
            <a:ln>
              <a:noFill/>
            </a:ln>
            <a:effectLst/>
          </c:spPr>
          <c:invertIfNegative val="0"/>
          <c:cat>
            <c:strRef>
              <c:f>'S30a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likelihood'!$AX$248:$AX$254</c:f>
              <c:numCache>
                <c:formatCode>General</c:formatCode>
                <c:ptCount val="7"/>
                <c:pt idx="0">
                  <c:v>2</c:v>
                </c:pt>
                <c:pt idx="1">
                  <c:v>1</c:v>
                </c:pt>
                <c:pt idx="2">
                  <c:v>0</c:v>
                </c:pt>
                <c:pt idx="3">
                  <c:v>1</c:v>
                </c:pt>
                <c:pt idx="4">
                  <c:v>0</c:v>
                </c:pt>
                <c:pt idx="5">
                  <c:v>0</c:v>
                </c:pt>
                <c:pt idx="6">
                  <c:v>0</c:v>
                </c:pt>
              </c:numCache>
            </c:numRef>
          </c:val>
        </c:ser>
        <c:ser>
          <c:idx val="1"/>
          <c:order val="1"/>
          <c:tx>
            <c:strRef>
              <c:f>'S30a likelihood'!$AY$247</c:f>
              <c:strCache>
                <c:ptCount val="1"/>
                <c:pt idx="0">
                  <c:v>Pellet producers</c:v>
                </c:pt>
              </c:strCache>
            </c:strRef>
          </c:tx>
          <c:spPr>
            <a:solidFill>
              <a:schemeClr val="accent2"/>
            </a:solidFill>
            <a:ln>
              <a:noFill/>
            </a:ln>
            <a:effectLst/>
          </c:spPr>
          <c:invertIfNegative val="0"/>
          <c:cat>
            <c:strRef>
              <c:f>'S30a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likelihood'!$AY$248:$AY$254</c:f>
              <c:numCache>
                <c:formatCode>0</c:formatCode>
                <c:ptCount val="7"/>
                <c:pt idx="0">
                  <c:v>2</c:v>
                </c:pt>
                <c:pt idx="1">
                  <c:v>0</c:v>
                </c:pt>
                <c:pt idx="2">
                  <c:v>0</c:v>
                </c:pt>
                <c:pt idx="3">
                  <c:v>0</c:v>
                </c:pt>
                <c:pt idx="4">
                  <c:v>0</c:v>
                </c:pt>
                <c:pt idx="5">
                  <c:v>1</c:v>
                </c:pt>
                <c:pt idx="6">
                  <c:v>0</c:v>
                </c:pt>
              </c:numCache>
            </c:numRef>
          </c:val>
        </c:ser>
        <c:ser>
          <c:idx val="2"/>
          <c:order val="2"/>
          <c:tx>
            <c:strRef>
              <c:f>'S30a likelihood'!$AZ$247</c:f>
              <c:strCache>
                <c:ptCount val="1"/>
                <c:pt idx="0">
                  <c:v>Pellet users</c:v>
                </c:pt>
              </c:strCache>
            </c:strRef>
          </c:tx>
          <c:spPr>
            <a:solidFill>
              <a:schemeClr val="accent3"/>
            </a:solidFill>
            <a:ln>
              <a:noFill/>
            </a:ln>
            <a:effectLst/>
          </c:spPr>
          <c:invertIfNegative val="0"/>
          <c:cat>
            <c:strRef>
              <c:f>'S30a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likelihood'!$AZ$248:$AZ$254</c:f>
              <c:numCache>
                <c:formatCode>General</c:formatCode>
                <c:ptCount val="7"/>
                <c:pt idx="0">
                  <c:v>0</c:v>
                </c:pt>
                <c:pt idx="1">
                  <c:v>1</c:v>
                </c:pt>
                <c:pt idx="2">
                  <c:v>0</c:v>
                </c:pt>
                <c:pt idx="3">
                  <c:v>0</c:v>
                </c:pt>
                <c:pt idx="4">
                  <c:v>1</c:v>
                </c:pt>
                <c:pt idx="5">
                  <c:v>0</c:v>
                </c:pt>
                <c:pt idx="6">
                  <c:v>0</c:v>
                </c:pt>
              </c:numCache>
            </c:numRef>
          </c:val>
        </c:ser>
        <c:ser>
          <c:idx val="3"/>
          <c:order val="3"/>
          <c:tx>
            <c:strRef>
              <c:f>'S30a likelihood'!$BA$247</c:f>
              <c:strCache>
                <c:ptCount val="1"/>
                <c:pt idx="0">
                  <c:v>Non-bioenergy wood users</c:v>
                </c:pt>
              </c:strCache>
            </c:strRef>
          </c:tx>
          <c:spPr>
            <a:solidFill>
              <a:schemeClr val="accent4"/>
            </a:solidFill>
            <a:ln>
              <a:noFill/>
            </a:ln>
            <a:effectLst/>
          </c:spPr>
          <c:invertIfNegative val="0"/>
          <c:cat>
            <c:strRef>
              <c:f>'S30a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likelihood'!$BA$248:$BA$254</c:f>
              <c:numCache>
                <c:formatCode>General</c:formatCode>
                <c:ptCount val="7"/>
                <c:pt idx="0">
                  <c:v>0</c:v>
                </c:pt>
                <c:pt idx="1">
                  <c:v>0</c:v>
                </c:pt>
                <c:pt idx="2">
                  <c:v>1</c:v>
                </c:pt>
                <c:pt idx="3">
                  <c:v>0</c:v>
                </c:pt>
                <c:pt idx="4">
                  <c:v>0</c:v>
                </c:pt>
                <c:pt idx="5">
                  <c:v>1</c:v>
                </c:pt>
                <c:pt idx="6">
                  <c:v>0</c:v>
                </c:pt>
              </c:numCache>
            </c:numRef>
          </c:val>
        </c:ser>
        <c:ser>
          <c:idx val="4"/>
          <c:order val="4"/>
          <c:tx>
            <c:strRef>
              <c:f>'S30a likelihood'!$BB$247</c:f>
              <c:strCache>
                <c:ptCount val="1"/>
                <c:pt idx="0">
                  <c:v>Policy makers and academia</c:v>
                </c:pt>
              </c:strCache>
            </c:strRef>
          </c:tx>
          <c:spPr>
            <a:solidFill>
              <a:schemeClr val="accent5"/>
            </a:solidFill>
            <a:ln>
              <a:noFill/>
            </a:ln>
            <a:effectLst/>
          </c:spPr>
          <c:invertIfNegative val="0"/>
          <c:cat>
            <c:strRef>
              <c:f>'S30a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likelihood'!$BB$248:$BB$254</c:f>
              <c:numCache>
                <c:formatCode>0</c:formatCode>
                <c:ptCount val="7"/>
                <c:pt idx="0">
                  <c:v>0</c:v>
                </c:pt>
                <c:pt idx="1">
                  <c:v>0</c:v>
                </c:pt>
                <c:pt idx="2">
                  <c:v>0</c:v>
                </c:pt>
                <c:pt idx="3">
                  <c:v>0</c:v>
                </c:pt>
                <c:pt idx="4">
                  <c:v>0</c:v>
                </c:pt>
                <c:pt idx="5">
                  <c:v>0</c:v>
                </c:pt>
                <c:pt idx="6">
                  <c:v>0</c:v>
                </c:pt>
              </c:numCache>
            </c:numRef>
          </c:val>
        </c:ser>
        <c:ser>
          <c:idx val="5"/>
          <c:order val="5"/>
          <c:tx>
            <c:strRef>
              <c:f>'S30a likelihood'!$BC$247</c:f>
              <c:strCache>
                <c:ptCount val="1"/>
                <c:pt idx="0">
                  <c:v>NGOs</c:v>
                </c:pt>
              </c:strCache>
            </c:strRef>
          </c:tx>
          <c:spPr>
            <a:solidFill>
              <a:schemeClr val="accent6"/>
            </a:solidFill>
            <a:ln>
              <a:noFill/>
            </a:ln>
            <a:effectLst/>
          </c:spPr>
          <c:invertIfNegative val="0"/>
          <c:cat>
            <c:strRef>
              <c:f>'S30a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likelihood'!$BC$248:$BC$254</c:f>
              <c:numCache>
                <c:formatCode>General</c:formatCode>
                <c:ptCount val="7"/>
                <c:pt idx="0">
                  <c:v>0</c:v>
                </c:pt>
                <c:pt idx="1">
                  <c:v>0</c:v>
                </c:pt>
                <c:pt idx="2">
                  <c:v>0</c:v>
                </c:pt>
                <c:pt idx="3">
                  <c:v>0</c:v>
                </c:pt>
                <c:pt idx="4">
                  <c:v>0</c:v>
                </c:pt>
                <c:pt idx="5">
                  <c:v>4</c:v>
                </c:pt>
                <c:pt idx="6">
                  <c:v>0</c:v>
                </c:pt>
              </c:numCache>
            </c:numRef>
          </c:val>
        </c:ser>
        <c:dLbls>
          <c:showLegendKey val="0"/>
          <c:showVal val="0"/>
          <c:showCatName val="0"/>
          <c:showSerName val="0"/>
          <c:showPercent val="0"/>
          <c:showBubbleSize val="0"/>
        </c:dLbls>
        <c:gapWidth val="150"/>
        <c:overlap val="100"/>
        <c:axId val="146107008"/>
        <c:axId val="146116992"/>
      </c:barChart>
      <c:catAx>
        <c:axId val="14610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6116992"/>
        <c:crosses val="autoZero"/>
        <c:auto val="1"/>
        <c:lblAlgn val="ctr"/>
        <c:lblOffset val="100"/>
        <c:noMultiLvlLbl val="0"/>
      </c:catAx>
      <c:valAx>
        <c:axId val="146116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0700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likelihood'!$B$135</c:f>
          <c:strCache>
            <c:ptCount val="1"/>
            <c:pt idx="0">
              <c:v>Non-bioenergy wood users</c:v>
            </c:pt>
          </c:strCache>
        </c:strRef>
      </c:tx>
      <c:layout>
        <c:manualLayout>
          <c:xMode val="edge"/>
          <c:yMode val="edge"/>
          <c:x val="0.27968954167925908"/>
          <c:y val="3.07354608564545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likelihood'!$G$153:$G$157</c:f>
              <c:strCache>
                <c:ptCount val="5"/>
                <c:pt idx="0">
                  <c:v>Definitely not</c:v>
                </c:pt>
                <c:pt idx="1">
                  <c:v>Sometimes</c:v>
                </c:pt>
                <c:pt idx="2">
                  <c:v>Most of the time</c:v>
                </c:pt>
                <c:pt idx="3">
                  <c:v>Yes, always</c:v>
                </c:pt>
                <c:pt idx="4">
                  <c:v>I don’t know</c:v>
                </c:pt>
              </c:strCache>
            </c:strRef>
          </c:cat>
          <c:val>
            <c:numRef>
              <c:f>'S26 likelihood'!$I$153:$I$157</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219"/>
        <c:overlap val="-27"/>
        <c:axId val="138517504"/>
        <c:axId val="138527488"/>
      </c:barChart>
      <c:catAx>
        <c:axId val="138517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527488"/>
        <c:crosses val="autoZero"/>
        <c:auto val="1"/>
        <c:lblAlgn val="ctr"/>
        <c:lblOffset val="100"/>
        <c:tickLblSkip val="1"/>
        <c:noMultiLvlLbl val="0"/>
      </c:catAx>
      <c:valAx>
        <c:axId val="1385274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51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likelihood'!$AX$279</c:f>
              <c:strCache>
                <c:ptCount val="1"/>
                <c:pt idx="0">
                  <c:v>Forest owners/managers</c:v>
                </c:pt>
              </c:strCache>
            </c:strRef>
          </c:tx>
          <c:invertIfNegative val="0"/>
          <c:cat>
            <c:strRef>
              <c:f>'S30a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likelihood'!$AX$280:$AX$286</c:f>
              <c:numCache>
                <c:formatCode>0%</c:formatCode>
                <c:ptCount val="7"/>
                <c:pt idx="0">
                  <c:v>8.3333333333333329E-2</c:v>
                </c:pt>
                <c:pt idx="1">
                  <c:v>4.1666666666666664E-2</c:v>
                </c:pt>
                <c:pt idx="2">
                  <c:v>0</c:v>
                </c:pt>
                <c:pt idx="3">
                  <c:v>4.1666666666666664E-2</c:v>
                </c:pt>
                <c:pt idx="4">
                  <c:v>0</c:v>
                </c:pt>
                <c:pt idx="5">
                  <c:v>0</c:v>
                </c:pt>
                <c:pt idx="6">
                  <c:v>0</c:v>
                </c:pt>
              </c:numCache>
            </c:numRef>
          </c:val>
        </c:ser>
        <c:ser>
          <c:idx val="1"/>
          <c:order val="1"/>
          <c:tx>
            <c:strRef>
              <c:f>'S30a likelihood'!$AY$279</c:f>
              <c:strCache>
                <c:ptCount val="1"/>
                <c:pt idx="0">
                  <c:v>Pellet producers</c:v>
                </c:pt>
              </c:strCache>
            </c:strRef>
          </c:tx>
          <c:invertIfNegative val="0"/>
          <c:cat>
            <c:strRef>
              <c:f>'S30a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likelihood'!$AY$280:$AY$286</c:f>
              <c:numCache>
                <c:formatCode>0%</c:formatCode>
                <c:ptCount val="7"/>
                <c:pt idx="0">
                  <c:v>0.1111111111111111</c:v>
                </c:pt>
                <c:pt idx="1">
                  <c:v>0</c:v>
                </c:pt>
                <c:pt idx="2">
                  <c:v>0</c:v>
                </c:pt>
                <c:pt idx="3">
                  <c:v>0</c:v>
                </c:pt>
                <c:pt idx="4">
                  <c:v>0</c:v>
                </c:pt>
                <c:pt idx="5">
                  <c:v>5.5555555555555552E-2</c:v>
                </c:pt>
                <c:pt idx="6">
                  <c:v>0</c:v>
                </c:pt>
              </c:numCache>
            </c:numRef>
          </c:val>
        </c:ser>
        <c:ser>
          <c:idx val="2"/>
          <c:order val="2"/>
          <c:tx>
            <c:strRef>
              <c:f>'S30a likelihood'!$AZ$279</c:f>
              <c:strCache>
                <c:ptCount val="1"/>
                <c:pt idx="0">
                  <c:v>Pellet users</c:v>
                </c:pt>
              </c:strCache>
            </c:strRef>
          </c:tx>
          <c:invertIfNegative val="0"/>
          <c:cat>
            <c:strRef>
              <c:f>'S30a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likelihood'!$AZ$280:$AZ$286</c:f>
              <c:numCache>
                <c:formatCode>0%</c:formatCode>
                <c:ptCount val="7"/>
                <c:pt idx="0">
                  <c:v>0</c:v>
                </c:pt>
                <c:pt idx="1">
                  <c:v>8.3333333333333329E-2</c:v>
                </c:pt>
                <c:pt idx="2">
                  <c:v>0</c:v>
                </c:pt>
                <c:pt idx="3">
                  <c:v>0</c:v>
                </c:pt>
                <c:pt idx="4">
                  <c:v>8.3333333333333329E-2</c:v>
                </c:pt>
                <c:pt idx="5">
                  <c:v>0</c:v>
                </c:pt>
                <c:pt idx="6">
                  <c:v>0</c:v>
                </c:pt>
              </c:numCache>
            </c:numRef>
          </c:val>
        </c:ser>
        <c:ser>
          <c:idx val="3"/>
          <c:order val="3"/>
          <c:tx>
            <c:strRef>
              <c:f>'S30a likelihood'!$BA$279</c:f>
              <c:strCache>
                <c:ptCount val="1"/>
                <c:pt idx="0">
                  <c:v>Non-bioenergy wood users</c:v>
                </c:pt>
              </c:strCache>
            </c:strRef>
          </c:tx>
          <c:invertIfNegative val="0"/>
          <c:cat>
            <c:strRef>
              <c:f>'S30a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likelihood'!$BA$280:$BA$286</c:f>
              <c:numCache>
                <c:formatCode>0%</c:formatCode>
                <c:ptCount val="7"/>
                <c:pt idx="0">
                  <c:v>0</c:v>
                </c:pt>
                <c:pt idx="1">
                  <c:v>0</c:v>
                </c:pt>
                <c:pt idx="2">
                  <c:v>8.3333333333333329E-2</c:v>
                </c:pt>
                <c:pt idx="3">
                  <c:v>0</c:v>
                </c:pt>
                <c:pt idx="4">
                  <c:v>0</c:v>
                </c:pt>
                <c:pt idx="5">
                  <c:v>8.3333333333333329E-2</c:v>
                </c:pt>
                <c:pt idx="6">
                  <c:v>0</c:v>
                </c:pt>
              </c:numCache>
            </c:numRef>
          </c:val>
        </c:ser>
        <c:ser>
          <c:idx val="4"/>
          <c:order val="4"/>
          <c:tx>
            <c:strRef>
              <c:f>'S30a likelihood'!$BB$279</c:f>
              <c:strCache>
                <c:ptCount val="1"/>
                <c:pt idx="0">
                  <c:v>Policy makers and academia</c:v>
                </c:pt>
              </c:strCache>
            </c:strRef>
          </c:tx>
          <c:invertIfNegative val="0"/>
          <c:cat>
            <c:strRef>
              <c:f>'S30a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likelihood'!$BB$280:$BB$286</c:f>
              <c:numCache>
                <c:formatCode>0%</c:formatCode>
                <c:ptCount val="7"/>
                <c:pt idx="0">
                  <c:v>0</c:v>
                </c:pt>
                <c:pt idx="1">
                  <c:v>0</c:v>
                </c:pt>
                <c:pt idx="2">
                  <c:v>0</c:v>
                </c:pt>
                <c:pt idx="3">
                  <c:v>0</c:v>
                </c:pt>
                <c:pt idx="4">
                  <c:v>0</c:v>
                </c:pt>
                <c:pt idx="5">
                  <c:v>0</c:v>
                </c:pt>
                <c:pt idx="6">
                  <c:v>0</c:v>
                </c:pt>
              </c:numCache>
            </c:numRef>
          </c:val>
        </c:ser>
        <c:ser>
          <c:idx val="5"/>
          <c:order val="5"/>
          <c:tx>
            <c:strRef>
              <c:f>'S30a likelihood'!$BC$279</c:f>
              <c:strCache>
                <c:ptCount val="1"/>
                <c:pt idx="0">
                  <c:v>NGOs</c:v>
                </c:pt>
              </c:strCache>
            </c:strRef>
          </c:tx>
          <c:invertIfNegative val="0"/>
          <c:cat>
            <c:strRef>
              <c:f>'S30a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likelihood'!$BC$280:$BC$286</c:f>
              <c:numCache>
                <c:formatCode>0%</c:formatCode>
                <c:ptCount val="7"/>
                <c:pt idx="0">
                  <c:v>0</c:v>
                </c:pt>
                <c:pt idx="1">
                  <c:v>0</c:v>
                </c:pt>
                <c:pt idx="2">
                  <c:v>0</c:v>
                </c:pt>
                <c:pt idx="3">
                  <c:v>0</c:v>
                </c:pt>
                <c:pt idx="4">
                  <c:v>0</c:v>
                </c:pt>
                <c:pt idx="5">
                  <c:v>0.16666666666666666</c:v>
                </c:pt>
                <c:pt idx="6">
                  <c:v>0</c:v>
                </c:pt>
              </c:numCache>
            </c:numRef>
          </c:val>
        </c:ser>
        <c:dLbls>
          <c:showLegendKey val="0"/>
          <c:showVal val="0"/>
          <c:showCatName val="0"/>
          <c:showSerName val="0"/>
          <c:showPercent val="0"/>
          <c:showBubbleSize val="0"/>
        </c:dLbls>
        <c:gapWidth val="150"/>
        <c:overlap val="100"/>
        <c:axId val="145887232"/>
        <c:axId val="145888768"/>
      </c:barChart>
      <c:catAx>
        <c:axId val="14588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888768"/>
        <c:crosses val="autoZero"/>
        <c:auto val="1"/>
        <c:lblAlgn val="ctr"/>
        <c:lblOffset val="100"/>
        <c:noMultiLvlLbl val="0"/>
      </c:catAx>
      <c:valAx>
        <c:axId val="145888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8872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likelihood'!$AX$279</c:f>
              <c:strCache>
                <c:ptCount val="1"/>
                <c:pt idx="0">
                  <c:v>Forest owners/managers</c:v>
                </c:pt>
              </c:strCache>
            </c:strRef>
          </c:tx>
          <c:invertIfNegative val="0"/>
          <c:cat>
            <c:strRef>
              <c:f>'S30a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likelihood'!$AX$280:$AX$286</c:f>
              <c:numCache>
                <c:formatCode>0%</c:formatCode>
                <c:ptCount val="7"/>
                <c:pt idx="0">
                  <c:v>8.3333333333333329E-2</c:v>
                </c:pt>
                <c:pt idx="1">
                  <c:v>4.1666666666666664E-2</c:v>
                </c:pt>
                <c:pt idx="2">
                  <c:v>0</c:v>
                </c:pt>
                <c:pt idx="3">
                  <c:v>4.1666666666666664E-2</c:v>
                </c:pt>
                <c:pt idx="4">
                  <c:v>0</c:v>
                </c:pt>
                <c:pt idx="5">
                  <c:v>0</c:v>
                </c:pt>
                <c:pt idx="6">
                  <c:v>0</c:v>
                </c:pt>
              </c:numCache>
            </c:numRef>
          </c:val>
        </c:ser>
        <c:ser>
          <c:idx val="1"/>
          <c:order val="1"/>
          <c:tx>
            <c:strRef>
              <c:f>'S30a likelihood'!$AY$279</c:f>
              <c:strCache>
                <c:ptCount val="1"/>
                <c:pt idx="0">
                  <c:v>Pellet producers</c:v>
                </c:pt>
              </c:strCache>
            </c:strRef>
          </c:tx>
          <c:invertIfNegative val="0"/>
          <c:cat>
            <c:strRef>
              <c:f>'S30a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likelihood'!$AY$280:$AY$286</c:f>
              <c:numCache>
                <c:formatCode>0%</c:formatCode>
                <c:ptCount val="7"/>
                <c:pt idx="0">
                  <c:v>0.1111111111111111</c:v>
                </c:pt>
                <c:pt idx="1">
                  <c:v>0</c:v>
                </c:pt>
                <c:pt idx="2">
                  <c:v>0</c:v>
                </c:pt>
                <c:pt idx="3">
                  <c:v>0</c:v>
                </c:pt>
                <c:pt idx="4">
                  <c:v>0</c:v>
                </c:pt>
                <c:pt idx="5">
                  <c:v>5.5555555555555552E-2</c:v>
                </c:pt>
                <c:pt idx="6">
                  <c:v>0</c:v>
                </c:pt>
              </c:numCache>
            </c:numRef>
          </c:val>
        </c:ser>
        <c:ser>
          <c:idx val="2"/>
          <c:order val="2"/>
          <c:tx>
            <c:strRef>
              <c:f>'S30a likelihood'!$AZ$279</c:f>
              <c:strCache>
                <c:ptCount val="1"/>
                <c:pt idx="0">
                  <c:v>Pellet users</c:v>
                </c:pt>
              </c:strCache>
            </c:strRef>
          </c:tx>
          <c:invertIfNegative val="0"/>
          <c:cat>
            <c:strRef>
              <c:f>'S30a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likelihood'!$AZ$280:$AZ$286</c:f>
              <c:numCache>
                <c:formatCode>0%</c:formatCode>
                <c:ptCount val="7"/>
                <c:pt idx="0">
                  <c:v>0</c:v>
                </c:pt>
                <c:pt idx="1">
                  <c:v>8.3333333333333329E-2</c:v>
                </c:pt>
                <c:pt idx="2">
                  <c:v>0</c:v>
                </c:pt>
                <c:pt idx="3">
                  <c:v>0</c:v>
                </c:pt>
                <c:pt idx="4">
                  <c:v>8.3333333333333329E-2</c:v>
                </c:pt>
                <c:pt idx="5">
                  <c:v>0</c:v>
                </c:pt>
                <c:pt idx="6">
                  <c:v>0</c:v>
                </c:pt>
              </c:numCache>
            </c:numRef>
          </c:val>
        </c:ser>
        <c:ser>
          <c:idx val="3"/>
          <c:order val="3"/>
          <c:tx>
            <c:strRef>
              <c:f>'S30a likelihood'!$BA$279</c:f>
              <c:strCache>
                <c:ptCount val="1"/>
                <c:pt idx="0">
                  <c:v>Non-bioenergy wood users</c:v>
                </c:pt>
              </c:strCache>
            </c:strRef>
          </c:tx>
          <c:invertIfNegative val="0"/>
          <c:cat>
            <c:strRef>
              <c:f>'S30a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likelihood'!$BA$280:$BA$286</c:f>
              <c:numCache>
                <c:formatCode>0%</c:formatCode>
                <c:ptCount val="7"/>
                <c:pt idx="0">
                  <c:v>0</c:v>
                </c:pt>
                <c:pt idx="1">
                  <c:v>0</c:v>
                </c:pt>
                <c:pt idx="2">
                  <c:v>8.3333333333333329E-2</c:v>
                </c:pt>
                <c:pt idx="3">
                  <c:v>0</c:v>
                </c:pt>
                <c:pt idx="4">
                  <c:v>0</c:v>
                </c:pt>
                <c:pt idx="5">
                  <c:v>8.3333333333333329E-2</c:v>
                </c:pt>
                <c:pt idx="6">
                  <c:v>0</c:v>
                </c:pt>
              </c:numCache>
            </c:numRef>
          </c:val>
        </c:ser>
        <c:ser>
          <c:idx val="4"/>
          <c:order val="4"/>
          <c:tx>
            <c:strRef>
              <c:f>'S30a likelihood'!$BB$279</c:f>
              <c:strCache>
                <c:ptCount val="1"/>
                <c:pt idx="0">
                  <c:v>Policy makers and academia</c:v>
                </c:pt>
              </c:strCache>
            </c:strRef>
          </c:tx>
          <c:invertIfNegative val="0"/>
          <c:cat>
            <c:strRef>
              <c:f>'S30a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likelihood'!$BB$280:$BB$286</c:f>
              <c:numCache>
                <c:formatCode>0%</c:formatCode>
                <c:ptCount val="7"/>
                <c:pt idx="0">
                  <c:v>0</c:v>
                </c:pt>
                <c:pt idx="1">
                  <c:v>0</c:v>
                </c:pt>
                <c:pt idx="2">
                  <c:v>0</c:v>
                </c:pt>
                <c:pt idx="3">
                  <c:v>0</c:v>
                </c:pt>
                <c:pt idx="4">
                  <c:v>0</c:v>
                </c:pt>
                <c:pt idx="5">
                  <c:v>0</c:v>
                </c:pt>
                <c:pt idx="6">
                  <c:v>0</c:v>
                </c:pt>
              </c:numCache>
            </c:numRef>
          </c:val>
        </c:ser>
        <c:ser>
          <c:idx val="5"/>
          <c:order val="5"/>
          <c:tx>
            <c:strRef>
              <c:f>'S30a likelihood'!$BC$279</c:f>
              <c:strCache>
                <c:ptCount val="1"/>
                <c:pt idx="0">
                  <c:v>NGOs</c:v>
                </c:pt>
              </c:strCache>
            </c:strRef>
          </c:tx>
          <c:invertIfNegative val="0"/>
          <c:cat>
            <c:strRef>
              <c:f>'S30a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likelihood'!$BC$280:$BC$286</c:f>
              <c:numCache>
                <c:formatCode>0%</c:formatCode>
                <c:ptCount val="7"/>
                <c:pt idx="0">
                  <c:v>0</c:v>
                </c:pt>
                <c:pt idx="1">
                  <c:v>0</c:v>
                </c:pt>
                <c:pt idx="2">
                  <c:v>0</c:v>
                </c:pt>
                <c:pt idx="3">
                  <c:v>0</c:v>
                </c:pt>
                <c:pt idx="4">
                  <c:v>0</c:v>
                </c:pt>
                <c:pt idx="5">
                  <c:v>0.16666666666666666</c:v>
                </c:pt>
                <c:pt idx="6">
                  <c:v>0</c:v>
                </c:pt>
              </c:numCache>
            </c:numRef>
          </c:val>
        </c:ser>
        <c:dLbls>
          <c:showLegendKey val="0"/>
          <c:showVal val="0"/>
          <c:showCatName val="0"/>
          <c:showSerName val="0"/>
          <c:showPercent val="0"/>
          <c:showBubbleSize val="0"/>
        </c:dLbls>
        <c:gapWidth val="150"/>
        <c:overlap val="100"/>
        <c:axId val="145945728"/>
        <c:axId val="145947264"/>
      </c:barChart>
      <c:catAx>
        <c:axId val="14594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5947264"/>
        <c:crosses val="autoZero"/>
        <c:auto val="1"/>
        <c:lblAlgn val="ctr"/>
        <c:lblOffset val="100"/>
        <c:noMultiLvlLbl val="0"/>
      </c:catAx>
      <c:valAx>
        <c:axId val="145947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945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likelihood'!$Z$72:$Z$78</c:f>
              <c:numCache>
                <c:formatCode>0%</c:formatCode>
                <c:ptCount val="7"/>
                <c:pt idx="0">
                  <c:v>0.4</c:v>
                </c:pt>
                <c:pt idx="1">
                  <c:v>0</c:v>
                </c:pt>
                <c:pt idx="2">
                  <c:v>0</c:v>
                </c:pt>
                <c:pt idx="3">
                  <c:v>0.2</c:v>
                </c:pt>
                <c:pt idx="4">
                  <c:v>0</c:v>
                </c:pt>
                <c:pt idx="5">
                  <c:v>0</c:v>
                </c:pt>
                <c:pt idx="6">
                  <c:v>0.4</c:v>
                </c:pt>
              </c:numCache>
            </c:numRef>
          </c:val>
        </c:ser>
        <c:dLbls>
          <c:showLegendKey val="0"/>
          <c:showVal val="0"/>
          <c:showCatName val="0"/>
          <c:showSerName val="0"/>
          <c:showPercent val="0"/>
          <c:showBubbleSize val="0"/>
        </c:dLbls>
        <c:gapWidth val="219"/>
        <c:overlap val="-27"/>
        <c:axId val="145991936"/>
        <c:axId val="145993728"/>
      </c:barChart>
      <c:catAx>
        <c:axId val="14599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993728"/>
        <c:crosses val="autoZero"/>
        <c:auto val="1"/>
        <c:lblAlgn val="ctr"/>
        <c:lblOffset val="100"/>
        <c:tickLblSkip val="1"/>
        <c:noMultiLvlLbl val="0"/>
      </c:catAx>
      <c:valAx>
        <c:axId val="145993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991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likelihood'!$Z$99:$Z$105</c:f>
              <c:numCache>
                <c:formatCode>0%</c:formatCode>
                <c:ptCount val="7"/>
                <c:pt idx="0">
                  <c:v>0</c:v>
                </c:pt>
                <c:pt idx="1">
                  <c:v>0</c:v>
                </c:pt>
                <c:pt idx="2">
                  <c:v>0</c:v>
                </c:pt>
                <c:pt idx="3">
                  <c:v>0.5</c:v>
                </c:pt>
                <c:pt idx="4">
                  <c:v>0.5</c:v>
                </c:pt>
                <c:pt idx="5">
                  <c:v>0</c:v>
                </c:pt>
                <c:pt idx="6">
                  <c:v>0</c:v>
                </c:pt>
              </c:numCache>
            </c:numRef>
          </c:val>
        </c:ser>
        <c:dLbls>
          <c:showLegendKey val="0"/>
          <c:showVal val="0"/>
          <c:showCatName val="0"/>
          <c:showSerName val="0"/>
          <c:showPercent val="0"/>
          <c:showBubbleSize val="0"/>
        </c:dLbls>
        <c:gapWidth val="219"/>
        <c:overlap val="-27"/>
        <c:axId val="146001280"/>
        <c:axId val="146146432"/>
      </c:barChart>
      <c:catAx>
        <c:axId val="146001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6146432"/>
        <c:crosses val="autoZero"/>
        <c:auto val="1"/>
        <c:lblAlgn val="ctr"/>
        <c:lblOffset val="100"/>
        <c:tickLblSkip val="1"/>
        <c:noMultiLvlLbl val="0"/>
      </c:catAx>
      <c:valAx>
        <c:axId val="1461464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001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likelihood'!$Z$126:$Z$132</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46178816"/>
        <c:axId val="146180352"/>
      </c:barChart>
      <c:catAx>
        <c:axId val="14617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6180352"/>
        <c:crosses val="autoZero"/>
        <c:auto val="1"/>
        <c:lblAlgn val="ctr"/>
        <c:lblOffset val="100"/>
        <c:tickLblSkip val="1"/>
        <c:noMultiLvlLbl val="0"/>
      </c:catAx>
      <c:valAx>
        <c:axId val="1461803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78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likelihood'!$Z$153:$Z$159</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46200448"/>
        <c:axId val="146201984"/>
      </c:barChart>
      <c:catAx>
        <c:axId val="14620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6201984"/>
        <c:crosses val="autoZero"/>
        <c:auto val="1"/>
        <c:lblAlgn val="ctr"/>
        <c:lblOffset val="100"/>
        <c:tickLblSkip val="1"/>
        <c:noMultiLvlLbl val="0"/>
      </c:catAx>
      <c:valAx>
        <c:axId val="1462019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200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likelihood'!$Z$180:$Z$186</c:f>
              <c:numCache>
                <c:formatCode>0%</c:formatCode>
                <c:ptCount val="7"/>
                <c:pt idx="0">
                  <c:v>0.5</c:v>
                </c:pt>
                <c:pt idx="1">
                  <c:v>0</c:v>
                </c:pt>
                <c:pt idx="2">
                  <c:v>0</c:v>
                </c:pt>
                <c:pt idx="3">
                  <c:v>0.5</c:v>
                </c:pt>
                <c:pt idx="4">
                  <c:v>0</c:v>
                </c:pt>
                <c:pt idx="5">
                  <c:v>0</c:v>
                </c:pt>
                <c:pt idx="6">
                  <c:v>0</c:v>
                </c:pt>
              </c:numCache>
            </c:numRef>
          </c:val>
        </c:ser>
        <c:dLbls>
          <c:showLegendKey val="0"/>
          <c:showVal val="0"/>
          <c:showCatName val="0"/>
          <c:showSerName val="0"/>
          <c:showPercent val="0"/>
          <c:showBubbleSize val="0"/>
        </c:dLbls>
        <c:gapWidth val="219"/>
        <c:overlap val="-27"/>
        <c:axId val="146500608"/>
        <c:axId val="146506496"/>
      </c:barChart>
      <c:catAx>
        <c:axId val="146500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6506496"/>
        <c:crosses val="autoZero"/>
        <c:auto val="1"/>
        <c:lblAlgn val="ctr"/>
        <c:lblOffset val="100"/>
        <c:tickLblSkip val="1"/>
        <c:noMultiLvlLbl val="0"/>
      </c:catAx>
      <c:valAx>
        <c:axId val="1465064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500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likelihood'!$Z$207:$Z$213</c:f>
              <c:numCache>
                <c:formatCode>0%</c:formatCode>
                <c:ptCount val="7"/>
                <c:pt idx="0">
                  <c:v>0</c:v>
                </c:pt>
                <c:pt idx="1">
                  <c:v>0</c:v>
                </c:pt>
                <c:pt idx="2">
                  <c:v>0</c:v>
                </c:pt>
                <c:pt idx="3">
                  <c:v>0</c:v>
                </c:pt>
                <c:pt idx="4">
                  <c:v>0</c:v>
                </c:pt>
                <c:pt idx="5">
                  <c:v>1</c:v>
                </c:pt>
                <c:pt idx="6">
                  <c:v>0</c:v>
                </c:pt>
              </c:numCache>
            </c:numRef>
          </c:val>
        </c:ser>
        <c:dLbls>
          <c:showLegendKey val="0"/>
          <c:showVal val="0"/>
          <c:showCatName val="0"/>
          <c:showSerName val="0"/>
          <c:showPercent val="0"/>
          <c:showBubbleSize val="0"/>
        </c:dLbls>
        <c:gapWidth val="219"/>
        <c:overlap val="-27"/>
        <c:axId val="146534400"/>
        <c:axId val="146535936"/>
      </c:barChart>
      <c:catAx>
        <c:axId val="14653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6535936"/>
        <c:crosses val="autoZero"/>
        <c:auto val="1"/>
        <c:lblAlgn val="ctr"/>
        <c:lblOffset val="100"/>
        <c:tickLblSkip val="1"/>
        <c:noMultiLvlLbl val="0"/>
      </c:catAx>
      <c:valAx>
        <c:axId val="1465359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6534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likelihood'!$Z$234:$Z$240</c:f>
              <c:numCache>
                <c:formatCode>0%</c:formatCode>
                <c:ptCount val="7"/>
                <c:pt idx="0">
                  <c:v>0.17647058823529413</c:v>
                </c:pt>
                <c:pt idx="1">
                  <c:v>0</c:v>
                </c:pt>
                <c:pt idx="2">
                  <c:v>0</c:v>
                </c:pt>
                <c:pt idx="3">
                  <c:v>0.29411764705882354</c:v>
                </c:pt>
                <c:pt idx="4">
                  <c:v>0.17647058823529413</c:v>
                </c:pt>
                <c:pt idx="5">
                  <c:v>0.23529411764705882</c:v>
                </c:pt>
                <c:pt idx="6">
                  <c:v>0.11764705882352941</c:v>
                </c:pt>
              </c:numCache>
            </c:numRef>
          </c:val>
        </c:ser>
        <c:dLbls>
          <c:showLegendKey val="0"/>
          <c:showVal val="0"/>
          <c:showCatName val="0"/>
          <c:showSerName val="0"/>
          <c:showPercent val="0"/>
          <c:showBubbleSize val="0"/>
        </c:dLbls>
        <c:gapWidth val="219"/>
        <c:overlap val="-27"/>
        <c:axId val="146240640"/>
        <c:axId val="146242176"/>
      </c:barChart>
      <c:catAx>
        <c:axId val="14624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6242176"/>
        <c:crosses val="autoZero"/>
        <c:auto val="1"/>
        <c:lblAlgn val="ctr"/>
        <c:lblOffset val="100"/>
        <c:tickLblSkip val="1"/>
        <c:noMultiLvlLbl val="0"/>
      </c:catAx>
      <c:valAx>
        <c:axId val="1462421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240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likelihood'!$T$247</c:f>
              <c:strCache>
                <c:ptCount val="1"/>
                <c:pt idx="0">
                  <c:v>Forest owners/managers</c:v>
                </c:pt>
              </c:strCache>
            </c:strRef>
          </c:tx>
          <c:spPr>
            <a:solidFill>
              <a:schemeClr val="accent1"/>
            </a:solidFill>
            <a:ln>
              <a:noFill/>
            </a:ln>
            <a:effectLst/>
          </c:spPr>
          <c:invertIfNegative val="0"/>
          <c:cat>
            <c:strRef>
              <c:f>'S30a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likelihood'!$T$248:$T$254</c:f>
              <c:numCache>
                <c:formatCode>General</c:formatCode>
                <c:ptCount val="7"/>
                <c:pt idx="0">
                  <c:v>2</c:v>
                </c:pt>
                <c:pt idx="1">
                  <c:v>0</c:v>
                </c:pt>
                <c:pt idx="2">
                  <c:v>0</c:v>
                </c:pt>
                <c:pt idx="3">
                  <c:v>1</c:v>
                </c:pt>
                <c:pt idx="4">
                  <c:v>0</c:v>
                </c:pt>
                <c:pt idx="5">
                  <c:v>0</c:v>
                </c:pt>
                <c:pt idx="6">
                  <c:v>2</c:v>
                </c:pt>
              </c:numCache>
            </c:numRef>
          </c:val>
        </c:ser>
        <c:ser>
          <c:idx val="1"/>
          <c:order val="1"/>
          <c:tx>
            <c:strRef>
              <c:f>'S30a likelihood'!$U$247</c:f>
              <c:strCache>
                <c:ptCount val="1"/>
                <c:pt idx="0">
                  <c:v>Pellet producers</c:v>
                </c:pt>
              </c:strCache>
            </c:strRef>
          </c:tx>
          <c:spPr>
            <a:solidFill>
              <a:schemeClr val="accent2"/>
            </a:solidFill>
            <a:ln>
              <a:noFill/>
            </a:ln>
            <a:effectLst/>
          </c:spPr>
          <c:invertIfNegative val="0"/>
          <c:cat>
            <c:strRef>
              <c:f>'S30a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likelihood'!$U$248:$U$254</c:f>
              <c:numCache>
                <c:formatCode>0</c:formatCode>
                <c:ptCount val="7"/>
                <c:pt idx="0">
                  <c:v>0</c:v>
                </c:pt>
                <c:pt idx="1">
                  <c:v>0</c:v>
                </c:pt>
                <c:pt idx="2">
                  <c:v>0</c:v>
                </c:pt>
                <c:pt idx="3">
                  <c:v>1</c:v>
                </c:pt>
                <c:pt idx="4">
                  <c:v>1</c:v>
                </c:pt>
                <c:pt idx="5">
                  <c:v>0</c:v>
                </c:pt>
                <c:pt idx="6">
                  <c:v>0</c:v>
                </c:pt>
              </c:numCache>
            </c:numRef>
          </c:val>
        </c:ser>
        <c:ser>
          <c:idx val="2"/>
          <c:order val="2"/>
          <c:tx>
            <c:strRef>
              <c:f>'S30a likelihood'!$V$247</c:f>
              <c:strCache>
                <c:ptCount val="1"/>
                <c:pt idx="0">
                  <c:v>Pellet users</c:v>
                </c:pt>
              </c:strCache>
            </c:strRef>
          </c:tx>
          <c:spPr>
            <a:solidFill>
              <a:schemeClr val="accent3"/>
            </a:solidFill>
            <a:ln>
              <a:noFill/>
            </a:ln>
            <a:effectLst/>
          </c:spPr>
          <c:invertIfNegative val="0"/>
          <c:cat>
            <c:strRef>
              <c:f>'S30a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likelihood'!$V$248:$V$254</c:f>
              <c:numCache>
                <c:formatCode>General</c:formatCode>
                <c:ptCount val="7"/>
                <c:pt idx="0">
                  <c:v>0</c:v>
                </c:pt>
                <c:pt idx="1">
                  <c:v>0</c:v>
                </c:pt>
                <c:pt idx="2">
                  <c:v>0</c:v>
                </c:pt>
                <c:pt idx="3">
                  <c:v>0</c:v>
                </c:pt>
                <c:pt idx="4">
                  <c:v>2</c:v>
                </c:pt>
                <c:pt idx="5">
                  <c:v>0</c:v>
                </c:pt>
                <c:pt idx="6">
                  <c:v>0</c:v>
                </c:pt>
              </c:numCache>
            </c:numRef>
          </c:val>
        </c:ser>
        <c:ser>
          <c:idx val="3"/>
          <c:order val="3"/>
          <c:tx>
            <c:strRef>
              <c:f>'S30a likelihood'!$W$247</c:f>
              <c:strCache>
                <c:ptCount val="1"/>
                <c:pt idx="0">
                  <c:v>Non-bioenergy wood users</c:v>
                </c:pt>
              </c:strCache>
            </c:strRef>
          </c:tx>
          <c:spPr>
            <a:solidFill>
              <a:schemeClr val="accent4"/>
            </a:solidFill>
            <a:ln>
              <a:noFill/>
            </a:ln>
            <a:effectLst/>
          </c:spPr>
          <c:invertIfNegative val="0"/>
          <c:cat>
            <c:strRef>
              <c:f>'S30a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likelihood'!$W$248:$W$254</c:f>
              <c:numCache>
                <c:formatCode>General</c:formatCode>
                <c:ptCount val="7"/>
                <c:pt idx="0">
                  <c:v>0</c:v>
                </c:pt>
                <c:pt idx="1">
                  <c:v>0</c:v>
                </c:pt>
                <c:pt idx="2">
                  <c:v>0</c:v>
                </c:pt>
                <c:pt idx="3">
                  <c:v>2</c:v>
                </c:pt>
                <c:pt idx="4">
                  <c:v>0</c:v>
                </c:pt>
                <c:pt idx="5">
                  <c:v>0</c:v>
                </c:pt>
                <c:pt idx="6">
                  <c:v>0</c:v>
                </c:pt>
              </c:numCache>
            </c:numRef>
          </c:val>
        </c:ser>
        <c:ser>
          <c:idx val="4"/>
          <c:order val="4"/>
          <c:tx>
            <c:strRef>
              <c:f>'S30a likelihood'!$X$247</c:f>
              <c:strCache>
                <c:ptCount val="1"/>
                <c:pt idx="0">
                  <c:v>Policy makers and academia</c:v>
                </c:pt>
              </c:strCache>
            </c:strRef>
          </c:tx>
          <c:spPr>
            <a:solidFill>
              <a:schemeClr val="accent5"/>
            </a:solidFill>
            <a:ln>
              <a:noFill/>
            </a:ln>
            <a:effectLst/>
          </c:spPr>
          <c:invertIfNegative val="0"/>
          <c:cat>
            <c:strRef>
              <c:f>'S30a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likelihood'!$X$248:$X$254</c:f>
              <c:numCache>
                <c:formatCode>0</c:formatCode>
                <c:ptCount val="7"/>
                <c:pt idx="0">
                  <c:v>1</c:v>
                </c:pt>
                <c:pt idx="1">
                  <c:v>0</c:v>
                </c:pt>
                <c:pt idx="2">
                  <c:v>0</c:v>
                </c:pt>
                <c:pt idx="3">
                  <c:v>1</c:v>
                </c:pt>
                <c:pt idx="4">
                  <c:v>0</c:v>
                </c:pt>
                <c:pt idx="5">
                  <c:v>0</c:v>
                </c:pt>
                <c:pt idx="6">
                  <c:v>0</c:v>
                </c:pt>
              </c:numCache>
            </c:numRef>
          </c:val>
        </c:ser>
        <c:ser>
          <c:idx val="5"/>
          <c:order val="5"/>
          <c:tx>
            <c:strRef>
              <c:f>'S30a likelihood'!$Y$247</c:f>
              <c:strCache>
                <c:ptCount val="1"/>
                <c:pt idx="0">
                  <c:v>NGOs</c:v>
                </c:pt>
              </c:strCache>
            </c:strRef>
          </c:tx>
          <c:spPr>
            <a:solidFill>
              <a:schemeClr val="accent6"/>
            </a:solidFill>
            <a:ln>
              <a:noFill/>
            </a:ln>
            <a:effectLst/>
          </c:spPr>
          <c:invertIfNegative val="0"/>
          <c:cat>
            <c:strRef>
              <c:f>'S30a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likelihood'!$Y$248:$Y$254</c:f>
              <c:numCache>
                <c:formatCode>General</c:formatCode>
                <c:ptCount val="7"/>
                <c:pt idx="0">
                  <c:v>0</c:v>
                </c:pt>
                <c:pt idx="1">
                  <c:v>0</c:v>
                </c:pt>
                <c:pt idx="2">
                  <c:v>0</c:v>
                </c:pt>
                <c:pt idx="3">
                  <c:v>0</c:v>
                </c:pt>
                <c:pt idx="4">
                  <c:v>0</c:v>
                </c:pt>
                <c:pt idx="5">
                  <c:v>4</c:v>
                </c:pt>
                <c:pt idx="6">
                  <c:v>0</c:v>
                </c:pt>
              </c:numCache>
            </c:numRef>
          </c:val>
        </c:ser>
        <c:dLbls>
          <c:showLegendKey val="0"/>
          <c:showVal val="0"/>
          <c:showCatName val="0"/>
          <c:showSerName val="0"/>
          <c:showPercent val="0"/>
          <c:showBubbleSize val="0"/>
        </c:dLbls>
        <c:gapWidth val="150"/>
        <c:overlap val="100"/>
        <c:axId val="146364672"/>
        <c:axId val="146374656"/>
      </c:barChart>
      <c:catAx>
        <c:axId val="1463646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6374656"/>
        <c:crosses val="autoZero"/>
        <c:auto val="1"/>
        <c:lblAlgn val="ctr"/>
        <c:lblOffset val="100"/>
        <c:noMultiLvlLbl val="0"/>
      </c:catAx>
      <c:valAx>
        <c:axId val="146374656"/>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364672"/>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likelihood'!$BQ$180:$BQ$186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likelihood'!$BS$180:$BS$186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7965952"/>
        <c:axId val="137967488"/>
      </c:barChart>
      <c:catAx>
        <c:axId val="137965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7967488"/>
        <c:crosses val="autoZero"/>
        <c:auto val="1"/>
        <c:lblAlgn val="ctr"/>
        <c:lblOffset val="100"/>
        <c:tickLblSkip val="1"/>
        <c:noMultiLvlLbl val="0"/>
      </c:catAx>
      <c:valAx>
        <c:axId val="1379674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65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likelihood'!$T$279</c:f>
              <c:strCache>
                <c:ptCount val="1"/>
                <c:pt idx="0">
                  <c:v>Forest owners/managers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likelihood'!$T$280:$T$286</c:f>
              <c:numCache>
                <c:formatCode>0%</c:formatCode>
                <c:ptCount val="7"/>
                <c:pt idx="0">
                  <c:v>6.6666666666666666E-2</c:v>
                </c:pt>
                <c:pt idx="1">
                  <c:v>0</c:v>
                </c:pt>
                <c:pt idx="2">
                  <c:v>0</c:v>
                </c:pt>
                <c:pt idx="3">
                  <c:v>3.3333333333333333E-2</c:v>
                </c:pt>
                <c:pt idx="4">
                  <c:v>0</c:v>
                </c:pt>
                <c:pt idx="5">
                  <c:v>0</c:v>
                </c:pt>
                <c:pt idx="6">
                  <c:v>6.6666666666666666E-2</c:v>
                </c:pt>
              </c:numCache>
            </c:numRef>
          </c:val>
        </c:ser>
        <c:ser>
          <c:idx val="1"/>
          <c:order val="1"/>
          <c:tx>
            <c:strRef>
              <c:f>'S30a likelihood'!$U$279</c:f>
              <c:strCache>
                <c:ptCount val="1"/>
                <c:pt idx="0">
                  <c:v>Pellet producers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likelihood'!$U$280:$U$286</c:f>
              <c:numCache>
                <c:formatCode>0%</c:formatCode>
                <c:ptCount val="7"/>
                <c:pt idx="0">
                  <c:v>0</c:v>
                </c:pt>
                <c:pt idx="1">
                  <c:v>0</c:v>
                </c:pt>
                <c:pt idx="2">
                  <c:v>0</c:v>
                </c:pt>
                <c:pt idx="3">
                  <c:v>8.3333333333333329E-2</c:v>
                </c:pt>
                <c:pt idx="4">
                  <c:v>8.3333333333333329E-2</c:v>
                </c:pt>
                <c:pt idx="5">
                  <c:v>0</c:v>
                </c:pt>
                <c:pt idx="6">
                  <c:v>0</c:v>
                </c:pt>
              </c:numCache>
            </c:numRef>
          </c:val>
        </c:ser>
        <c:ser>
          <c:idx val="2"/>
          <c:order val="2"/>
          <c:tx>
            <c:strRef>
              <c:f>'S30a likelihood'!$V$279</c:f>
              <c:strCache>
                <c:ptCount val="1"/>
                <c:pt idx="0">
                  <c:v>Pellet users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likelihood'!$V$280:$V$286</c:f>
              <c:numCache>
                <c:formatCode>0%</c:formatCode>
                <c:ptCount val="7"/>
                <c:pt idx="0">
                  <c:v>0</c:v>
                </c:pt>
                <c:pt idx="1">
                  <c:v>0</c:v>
                </c:pt>
                <c:pt idx="2">
                  <c:v>0</c:v>
                </c:pt>
                <c:pt idx="3">
                  <c:v>0</c:v>
                </c:pt>
                <c:pt idx="4">
                  <c:v>0.16666666666666666</c:v>
                </c:pt>
                <c:pt idx="5">
                  <c:v>0</c:v>
                </c:pt>
                <c:pt idx="6">
                  <c:v>0</c:v>
                </c:pt>
              </c:numCache>
            </c:numRef>
          </c:val>
        </c:ser>
        <c:ser>
          <c:idx val="3"/>
          <c:order val="3"/>
          <c:tx>
            <c:strRef>
              <c:f>'S30a likelihood'!$W$279</c:f>
              <c:strCache>
                <c:ptCount val="1"/>
                <c:pt idx="0">
                  <c:v>Non-bioenergy wood users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likelihood'!$W$280:$W$286</c:f>
              <c:numCache>
                <c:formatCode>0%</c:formatCode>
                <c:ptCount val="7"/>
                <c:pt idx="0">
                  <c:v>0</c:v>
                </c:pt>
                <c:pt idx="1">
                  <c:v>0</c:v>
                </c:pt>
                <c:pt idx="2">
                  <c:v>0</c:v>
                </c:pt>
                <c:pt idx="3">
                  <c:v>0.16666666666666666</c:v>
                </c:pt>
                <c:pt idx="4">
                  <c:v>0</c:v>
                </c:pt>
                <c:pt idx="5">
                  <c:v>0</c:v>
                </c:pt>
                <c:pt idx="6">
                  <c:v>0</c:v>
                </c:pt>
              </c:numCache>
            </c:numRef>
          </c:val>
        </c:ser>
        <c:ser>
          <c:idx val="4"/>
          <c:order val="4"/>
          <c:tx>
            <c:strRef>
              <c:f>'S30a likelihood'!$X$279</c:f>
              <c:strCache>
                <c:ptCount val="1"/>
                <c:pt idx="0">
                  <c:v>Policy makers and academia</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likelihood'!$X$280:$X$286</c:f>
              <c:numCache>
                <c:formatCode>0%</c:formatCode>
                <c:ptCount val="7"/>
                <c:pt idx="0">
                  <c:v>8.3333333333333329E-2</c:v>
                </c:pt>
                <c:pt idx="1">
                  <c:v>0</c:v>
                </c:pt>
                <c:pt idx="2">
                  <c:v>0</c:v>
                </c:pt>
                <c:pt idx="3">
                  <c:v>8.3333333333333329E-2</c:v>
                </c:pt>
                <c:pt idx="4">
                  <c:v>0</c:v>
                </c:pt>
                <c:pt idx="5">
                  <c:v>0</c:v>
                </c:pt>
                <c:pt idx="6">
                  <c:v>0</c:v>
                </c:pt>
              </c:numCache>
            </c:numRef>
          </c:val>
        </c:ser>
        <c:ser>
          <c:idx val="5"/>
          <c:order val="5"/>
          <c:tx>
            <c:strRef>
              <c:f>'S30a likelihood'!$Y$279</c:f>
              <c:strCache>
                <c:ptCount val="1"/>
                <c:pt idx="0">
                  <c:v>NGOs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likelihood'!$Y$280:$Y$286</c:f>
              <c:numCache>
                <c:formatCode>0%</c:formatCode>
                <c:ptCount val="7"/>
                <c:pt idx="0">
                  <c:v>0</c:v>
                </c:pt>
                <c:pt idx="1">
                  <c:v>0</c:v>
                </c:pt>
                <c:pt idx="2">
                  <c:v>0</c:v>
                </c:pt>
                <c:pt idx="3">
                  <c:v>0</c:v>
                </c:pt>
                <c:pt idx="4">
                  <c:v>0</c:v>
                </c:pt>
                <c:pt idx="5">
                  <c:v>0.16666666666666666</c:v>
                </c:pt>
                <c:pt idx="6">
                  <c:v>0</c:v>
                </c:pt>
              </c:numCache>
            </c:numRef>
          </c:val>
        </c:ser>
        <c:dLbls>
          <c:showLegendKey val="0"/>
          <c:showVal val="0"/>
          <c:showCatName val="0"/>
          <c:showSerName val="0"/>
          <c:showPercent val="0"/>
          <c:showBubbleSize val="0"/>
        </c:dLbls>
        <c:gapWidth val="150"/>
        <c:overlap val="100"/>
        <c:axId val="146410880"/>
        <c:axId val="146420864"/>
      </c:barChart>
      <c:catAx>
        <c:axId val="146410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6420864"/>
        <c:crosses val="autoZero"/>
        <c:auto val="1"/>
        <c:lblAlgn val="ctr"/>
        <c:lblOffset val="100"/>
        <c:noMultiLvlLbl val="0"/>
      </c:catAx>
      <c:valAx>
        <c:axId val="146420864"/>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10880"/>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likelihood'!$T$279</c:f>
              <c:strCache>
                <c:ptCount val="1"/>
                <c:pt idx="0">
                  <c:v>Forest owners/managers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likelihood'!$T$280:$T$286</c:f>
              <c:numCache>
                <c:formatCode>0%</c:formatCode>
                <c:ptCount val="7"/>
                <c:pt idx="0">
                  <c:v>6.6666666666666666E-2</c:v>
                </c:pt>
                <c:pt idx="1">
                  <c:v>0</c:v>
                </c:pt>
                <c:pt idx="2">
                  <c:v>0</c:v>
                </c:pt>
                <c:pt idx="3">
                  <c:v>3.3333333333333333E-2</c:v>
                </c:pt>
                <c:pt idx="4">
                  <c:v>0</c:v>
                </c:pt>
                <c:pt idx="5">
                  <c:v>0</c:v>
                </c:pt>
                <c:pt idx="6">
                  <c:v>6.6666666666666666E-2</c:v>
                </c:pt>
              </c:numCache>
            </c:numRef>
          </c:val>
        </c:ser>
        <c:ser>
          <c:idx val="1"/>
          <c:order val="1"/>
          <c:tx>
            <c:strRef>
              <c:f>'S30a likelihood'!$U$279</c:f>
              <c:strCache>
                <c:ptCount val="1"/>
                <c:pt idx="0">
                  <c:v>Pellet producers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likelihood'!$U$280:$U$286</c:f>
              <c:numCache>
                <c:formatCode>0%</c:formatCode>
                <c:ptCount val="7"/>
                <c:pt idx="0">
                  <c:v>0</c:v>
                </c:pt>
                <c:pt idx="1">
                  <c:v>0</c:v>
                </c:pt>
                <c:pt idx="2">
                  <c:v>0</c:v>
                </c:pt>
                <c:pt idx="3">
                  <c:v>8.3333333333333329E-2</c:v>
                </c:pt>
                <c:pt idx="4">
                  <c:v>8.3333333333333329E-2</c:v>
                </c:pt>
                <c:pt idx="5">
                  <c:v>0</c:v>
                </c:pt>
                <c:pt idx="6">
                  <c:v>0</c:v>
                </c:pt>
              </c:numCache>
            </c:numRef>
          </c:val>
        </c:ser>
        <c:ser>
          <c:idx val="2"/>
          <c:order val="2"/>
          <c:tx>
            <c:strRef>
              <c:f>'S30a likelihood'!$V$279</c:f>
              <c:strCache>
                <c:ptCount val="1"/>
                <c:pt idx="0">
                  <c:v>Pellet users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likelihood'!$V$280:$V$286</c:f>
              <c:numCache>
                <c:formatCode>0%</c:formatCode>
                <c:ptCount val="7"/>
                <c:pt idx="0">
                  <c:v>0</c:v>
                </c:pt>
                <c:pt idx="1">
                  <c:v>0</c:v>
                </c:pt>
                <c:pt idx="2">
                  <c:v>0</c:v>
                </c:pt>
                <c:pt idx="3">
                  <c:v>0</c:v>
                </c:pt>
                <c:pt idx="4">
                  <c:v>0.16666666666666666</c:v>
                </c:pt>
                <c:pt idx="5">
                  <c:v>0</c:v>
                </c:pt>
                <c:pt idx="6">
                  <c:v>0</c:v>
                </c:pt>
              </c:numCache>
            </c:numRef>
          </c:val>
        </c:ser>
        <c:ser>
          <c:idx val="3"/>
          <c:order val="3"/>
          <c:tx>
            <c:strRef>
              <c:f>'S30a likelihood'!$W$279</c:f>
              <c:strCache>
                <c:ptCount val="1"/>
                <c:pt idx="0">
                  <c:v>Non-bioenergy wood users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likelihood'!$W$280:$W$286</c:f>
              <c:numCache>
                <c:formatCode>0%</c:formatCode>
                <c:ptCount val="7"/>
                <c:pt idx="0">
                  <c:v>0</c:v>
                </c:pt>
                <c:pt idx="1">
                  <c:v>0</c:v>
                </c:pt>
                <c:pt idx="2">
                  <c:v>0</c:v>
                </c:pt>
                <c:pt idx="3">
                  <c:v>0.16666666666666666</c:v>
                </c:pt>
                <c:pt idx="4">
                  <c:v>0</c:v>
                </c:pt>
                <c:pt idx="5">
                  <c:v>0</c:v>
                </c:pt>
                <c:pt idx="6">
                  <c:v>0</c:v>
                </c:pt>
              </c:numCache>
            </c:numRef>
          </c:val>
        </c:ser>
        <c:ser>
          <c:idx val="4"/>
          <c:order val="4"/>
          <c:tx>
            <c:strRef>
              <c:f>'S30a likelihood'!$X$279</c:f>
              <c:strCache>
                <c:ptCount val="1"/>
                <c:pt idx="0">
                  <c:v>Policy makers and academia</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likelihood'!$X$280:$X$286</c:f>
              <c:numCache>
                <c:formatCode>0%</c:formatCode>
                <c:ptCount val="7"/>
                <c:pt idx="0">
                  <c:v>8.3333333333333329E-2</c:v>
                </c:pt>
                <c:pt idx="1">
                  <c:v>0</c:v>
                </c:pt>
                <c:pt idx="2">
                  <c:v>0</c:v>
                </c:pt>
                <c:pt idx="3">
                  <c:v>8.3333333333333329E-2</c:v>
                </c:pt>
                <c:pt idx="4">
                  <c:v>0</c:v>
                </c:pt>
                <c:pt idx="5">
                  <c:v>0</c:v>
                </c:pt>
                <c:pt idx="6">
                  <c:v>0</c:v>
                </c:pt>
              </c:numCache>
            </c:numRef>
          </c:val>
        </c:ser>
        <c:ser>
          <c:idx val="5"/>
          <c:order val="5"/>
          <c:tx>
            <c:strRef>
              <c:f>'S30a likelihood'!$Y$279</c:f>
              <c:strCache>
                <c:ptCount val="1"/>
                <c:pt idx="0">
                  <c:v>NGOs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likelihood'!$Y$280:$Y$286</c:f>
              <c:numCache>
                <c:formatCode>0%</c:formatCode>
                <c:ptCount val="7"/>
                <c:pt idx="0">
                  <c:v>0</c:v>
                </c:pt>
                <c:pt idx="1">
                  <c:v>0</c:v>
                </c:pt>
                <c:pt idx="2">
                  <c:v>0</c:v>
                </c:pt>
                <c:pt idx="3">
                  <c:v>0</c:v>
                </c:pt>
                <c:pt idx="4">
                  <c:v>0</c:v>
                </c:pt>
                <c:pt idx="5">
                  <c:v>0.16666666666666666</c:v>
                </c:pt>
                <c:pt idx="6">
                  <c:v>0</c:v>
                </c:pt>
              </c:numCache>
            </c:numRef>
          </c:val>
        </c:ser>
        <c:dLbls>
          <c:showLegendKey val="0"/>
          <c:showVal val="0"/>
          <c:showCatName val="0"/>
          <c:showSerName val="0"/>
          <c:showPercent val="0"/>
          <c:showBubbleSize val="0"/>
        </c:dLbls>
        <c:gapWidth val="150"/>
        <c:overlap val="100"/>
        <c:axId val="146465536"/>
        <c:axId val="146467072"/>
      </c:barChart>
      <c:catAx>
        <c:axId val="1464655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6467072"/>
        <c:crosses val="autoZero"/>
        <c:auto val="1"/>
        <c:lblAlgn val="ctr"/>
        <c:lblOffset val="100"/>
        <c:noMultiLvlLbl val="0"/>
      </c:catAx>
      <c:valAx>
        <c:axId val="146467072"/>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465536"/>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likelihood'!$DP$72:$DP$76</c:f>
              <c:strCache>
                <c:ptCount val="5"/>
                <c:pt idx="0">
                  <c:v>Definitely not</c:v>
                </c:pt>
                <c:pt idx="1">
                  <c:v>Sometimes</c:v>
                </c:pt>
                <c:pt idx="2">
                  <c:v>Most of the time</c:v>
                </c:pt>
                <c:pt idx="3">
                  <c:v>Yes, always</c:v>
                </c:pt>
                <c:pt idx="4">
                  <c:v>I don’t know</c:v>
                </c:pt>
              </c:strCache>
            </c:strRef>
          </c:cat>
          <c:val>
            <c:numRef>
              <c:f>'S30a likelihood'!$DR$72:$DR$76</c:f>
              <c:numCache>
                <c:formatCode>0%</c:formatCode>
                <c:ptCount val="5"/>
                <c:pt idx="0">
                  <c:v>0.2</c:v>
                </c:pt>
                <c:pt idx="1">
                  <c:v>0.4</c:v>
                </c:pt>
                <c:pt idx="2">
                  <c:v>0.2</c:v>
                </c:pt>
                <c:pt idx="3">
                  <c:v>0</c:v>
                </c:pt>
                <c:pt idx="4">
                  <c:v>0.2</c:v>
                </c:pt>
              </c:numCache>
            </c:numRef>
          </c:val>
        </c:ser>
        <c:dLbls>
          <c:showLegendKey val="0"/>
          <c:showVal val="0"/>
          <c:showCatName val="0"/>
          <c:showSerName val="0"/>
          <c:showPercent val="0"/>
          <c:showBubbleSize val="0"/>
        </c:dLbls>
        <c:gapWidth val="219"/>
        <c:overlap val="-27"/>
        <c:axId val="148653952"/>
        <c:axId val="148655488"/>
      </c:barChart>
      <c:catAx>
        <c:axId val="148653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8655488"/>
        <c:crosses val="autoZero"/>
        <c:auto val="1"/>
        <c:lblAlgn val="ctr"/>
        <c:lblOffset val="100"/>
        <c:tickLblSkip val="1"/>
        <c:noMultiLvlLbl val="0"/>
      </c:catAx>
      <c:valAx>
        <c:axId val="1486554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53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likelihood'!$DP$99:$DP$103</c:f>
              <c:strCache>
                <c:ptCount val="5"/>
                <c:pt idx="0">
                  <c:v>Definitely not</c:v>
                </c:pt>
                <c:pt idx="1">
                  <c:v>Sometimes</c:v>
                </c:pt>
                <c:pt idx="2">
                  <c:v>Most of the time</c:v>
                </c:pt>
                <c:pt idx="3">
                  <c:v>Yes, always</c:v>
                </c:pt>
                <c:pt idx="4">
                  <c:v>I don’t know</c:v>
                </c:pt>
              </c:strCache>
            </c:strRef>
          </c:cat>
          <c:val>
            <c:numRef>
              <c:f>'S30a likelihood'!$DR$99:$DR$103</c:f>
              <c:numCache>
                <c:formatCode>0%</c:formatCode>
                <c:ptCount val="5"/>
                <c:pt idx="0">
                  <c:v>0</c:v>
                </c:pt>
                <c:pt idx="1">
                  <c:v>0.5</c:v>
                </c:pt>
                <c:pt idx="2">
                  <c:v>0.5</c:v>
                </c:pt>
                <c:pt idx="3">
                  <c:v>0</c:v>
                </c:pt>
                <c:pt idx="4">
                  <c:v>0</c:v>
                </c:pt>
              </c:numCache>
            </c:numRef>
          </c:val>
        </c:ser>
        <c:dLbls>
          <c:showLegendKey val="0"/>
          <c:showVal val="0"/>
          <c:showCatName val="0"/>
          <c:showSerName val="0"/>
          <c:showPercent val="0"/>
          <c:showBubbleSize val="0"/>
        </c:dLbls>
        <c:gapWidth val="219"/>
        <c:overlap val="-27"/>
        <c:axId val="148691968"/>
        <c:axId val="148693760"/>
      </c:barChart>
      <c:catAx>
        <c:axId val="14869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8693760"/>
        <c:crosses val="autoZero"/>
        <c:auto val="1"/>
        <c:lblAlgn val="ctr"/>
        <c:lblOffset val="100"/>
        <c:tickLblSkip val="1"/>
        <c:noMultiLvlLbl val="0"/>
      </c:catAx>
      <c:valAx>
        <c:axId val="1486937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91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likelihood'!$DP$126:$DP$130</c:f>
              <c:strCache>
                <c:ptCount val="5"/>
                <c:pt idx="0">
                  <c:v>Definitely not</c:v>
                </c:pt>
                <c:pt idx="1">
                  <c:v>Sometimes</c:v>
                </c:pt>
                <c:pt idx="2">
                  <c:v>Most of the time</c:v>
                </c:pt>
                <c:pt idx="3">
                  <c:v>Yes, always</c:v>
                </c:pt>
                <c:pt idx="4">
                  <c:v>I don’t know</c:v>
                </c:pt>
              </c:strCache>
            </c:strRef>
          </c:cat>
          <c:val>
            <c:numRef>
              <c:f>'S30a likelihood'!$DR$126:$DR$130</c:f>
              <c:numCache>
                <c:formatCode>0%</c:formatCode>
                <c:ptCount val="5"/>
                <c:pt idx="0">
                  <c:v>0</c:v>
                </c:pt>
                <c:pt idx="1">
                  <c:v>0.5</c:v>
                </c:pt>
                <c:pt idx="2">
                  <c:v>0.5</c:v>
                </c:pt>
                <c:pt idx="3">
                  <c:v>0</c:v>
                </c:pt>
                <c:pt idx="4">
                  <c:v>0</c:v>
                </c:pt>
              </c:numCache>
            </c:numRef>
          </c:val>
        </c:ser>
        <c:dLbls>
          <c:showLegendKey val="0"/>
          <c:showVal val="0"/>
          <c:showCatName val="0"/>
          <c:showSerName val="0"/>
          <c:showPercent val="0"/>
          <c:showBubbleSize val="0"/>
        </c:dLbls>
        <c:gapWidth val="219"/>
        <c:overlap val="-27"/>
        <c:axId val="148795776"/>
        <c:axId val="148797312"/>
      </c:barChart>
      <c:catAx>
        <c:axId val="14879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8797312"/>
        <c:crosses val="autoZero"/>
        <c:auto val="1"/>
        <c:lblAlgn val="ctr"/>
        <c:lblOffset val="100"/>
        <c:tickLblSkip val="1"/>
        <c:noMultiLvlLbl val="0"/>
      </c:catAx>
      <c:valAx>
        <c:axId val="1487973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795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likelihood'!$DP$153:$DP$157</c:f>
              <c:strCache>
                <c:ptCount val="5"/>
                <c:pt idx="0">
                  <c:v>Definitely not</c:v>
                </c:pt>
                <c:pt idx="1">
                  <c:v>Sometimes</c:v>
                </c:pt>
                <c:pt idx="2">
                  <c:v>Most of the time</c:v>
                </c:pt>
                <c:pt idx="3">
                  <c:v>Yes, always</c:v>
                </c:pt>
                <c:pt idx="4">
                  <c:v>I don’t know</c:v>
                </c:pt>
              </c:strCache>
            </c:strRef>
          </c:cat>
          <c:val>
            <c:numRef>
              <c:f>'S30a likelihood'!$DR$153:$DR$157</c:f>
              <c:numCache>
                <c:formatCode>0%</c:formatCode>
                <c:ptCount val="5"/>
                <c:pt idx="0">
                  <c:v>0</c:v>
                </c:pt>
                <c:pt idx="1">
                  <c:v>0</c:v>
                </c:pt>
                <c:pt idx="2">
                  <c:v>0.5</c:v>
                </c:pt>
                <c:pt idx="3">
                  <c:v>0.5</c:v>
                </c:pt>
                <c:pt idx="4">
                  <c:v>0</c:v>
                </c:pt>
              </c:numCache>
            </c:numRef>
          </c:val>
        </c:ser>
        <c:dLbls>
          <c:showLegendKey val="0"/>
          <c:showVal val="0"/>
          <c:showCatName val="0"/>
          <c:showSerName val="0"/>
          <c:showPercent val="0"/>
          <c:showBubbleSize val="0"/>
        </c:dLbls>
        <c:gapWidth val="219"/>
        <c:overlap val="-27"/>
        <c:axId val="148821504"/>
        <c:axId val="148823040"/>
      </c:barChart>
      <c:catAx>
        <c:axId val="14882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8823040"/>
        <c:crosses val="autoZero"/>
        <c:auto val="1"/>
        <c:lblAlgn val="ctr"/>
        <c:lblOffset val="100"/>
        <c:tickLblSkip val="1"/>
        <c:noMultiLvlLbl val="0"/>
      </c:catAx>
      <c:valAx>
        <c:axId val="1488230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821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likelihood'!$DP$180:$DP$184</c:f>
              <c:strCache>
                <c:ptCount val="5"/>
                <c:pt idx="0">
                  <c:v>Definitely not</c:v>
                </c:pt>
                <c:pt idx="1">
                  <c:v>Sometimes</c:v>
                </c:pt>
                <c:pt idx="2">
                  <c:v>Most of the time</c:v>
                </c:pt>
                <c:pt idx="3">
                  <c:v>Yes, always</c:v>
                </c:pt>
                <c:pt idx="4">
                  <c:v>I don’t know</c:v>
                </c:pt>
              </c:strCache>
            </c:strRef>
          </c:cat>
          <c:val>
            <c:numRef>
              <c:f>'S30a likelihood'!$DR$180:$DR$184</c:f>
              <c:numCache>
                <c:formatCode>0%</c:formatCode>
                <c:ptCount val="5"/>
                <c:pt idx="0">
                  <c:v>0.66666666666666663</c:v>
                </c:pt>
                <c:pt idx="1">
                  <c:v>0.33333333333333331</c:v>
                </c:pt>
                <c:pt idx="2">
                  <c:v>0</c:v>
                </c:pt>
                <c:pt idx="3">
                  <c:v>0</c:v>
                </c:pt>
                <c:pt idx="4">
                  <c:v>0</c:v>
                </c:pt>
              </c:numCache>
            </c:numRef>
          </c:val>
        </c:ser>
        <c:dLbls>
          <c:showLegendKey val="0"/>
          <c:showVal val="0"/>
          <c:showCatName val="0"/>
          <c:showSerName val="0"/>
          <c:showPercent val="0"/>
          <c:showBubbleSize val="0"/>
        </c:dLbls>
        <c:gapWidth val="219"/>
        <c:overlap val="-27"/>
        <c:axId val="149895808"/>
        <c:axId val="149909888"/>
      </c:barChart>
      <c:catAx>
        <c:axId val="14989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9909888"/>
        <c:crosses val="autoZero"/>
        <c:auto val="1"/>
        <c:lblAlgn val="ctr"/>
        <c:lblOffset val="100"/>
        <c:tickLblSkip val="1"/>
        <c:noMultiLvlLbl val="0"/>
      </c:catAx>
      <c:valAx>
        <c:axId val="1499098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895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likelihood'!$DP$207:$DP$211</c:f>
              <c:strCache>
                <c:ptCount val="5"/>
                <c:pt idx="0">
                  <c:v>Definitely not</c:v>
                </c:pt>
                <c:pt idx="1">
                  <c:v>Sometimes</c:v>
                </c:pt>
                <c:pt idx="2">
                  <c:v>Most of the time</c:v>
                </c:pt>
                <c:pt idx="3">
                  <c:v>Yes, always</c:v>
                </c:pt>
                <c:pt idx="4">
                  <c:v>I don’t know</c:v>
                </c:pt>
              </c:strCache>
            </c:strRef>
          </c:cat>
          <c:val>
            <c:numRef>
              <c:f>'S30a likelihood'!$DR$207:$DR$211</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219"/>
        <c:overlap val="-27"/>
        <c:axId val="149942272"/>
        <c:axId val="149943808"/>
      </c:barChart>
      <c:catAx>
        <c:axId val="14994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9943808"/>
        <c:crosses val="autoZero"/>
        <c:auto val="1"/>
        <c:lblAlgn val="ctr"/>
        <c:lblOffset val="100"/>
        <c:tickLblSkip val="1"/>
        <c:noMultiLvlLbl val="0"/>
      </c:catAx>
      <c:valAx>
        <c:axId val="1499438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9942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likelihood'!$DP$234:$DP$238</c:f>
              <c:strCache>
                <c:ptCount val="5"/>
                <c:pt idx="0">
                  <c:v>Definitely not</c:v>
                </c:pt>
                <c:pt idx="1">
                  <c:v>Sometimes</c:v>
                </c:pt>
                <c:pt idx="2">
                  <c:v>Most of the time</c:v>
                </c:pt>
                <c:pt idx="3">
                  <c:v>Yes, always</c:v>
                </c:pt>
                <c:pt idx="4">
                  <c:v>I don’t know</c:v>
                </c:pt>
              </c:strCache>
            </c:strRef>
          </c:cat>
          <c:val>
            <c:numRef>
              <c:f>'S30a likelihood'!$DR$234:$DR$238</c:f>
              <c:numCache>
                <c:formatCode>0%</c:formatCode>
                <c:ptCount val="5"/>
                <c:pt idx="0">
                  <c:v>0.16666666666666666</c:v>
                </c:pt>
                <c:pt idx="1">
                  <c:v>0.5</c:v>
                </c:pt>
                <c:pt idx="2">
                  <c:v>0.22222222222222221</c:v>
                </c:pt>
                <c:pt idx="3">
                  <c:v>5.5555555555555552E-2</c:v>
                </c:pt>
                <c:pt idx="4">
                  <c:v>5.5555555555555552E-2</c:v>
                </c:pt>
              </c:numCache>
            </c:numRef>
          </c:val>
        </c:ser>
        <c:dLbls>
          <c:showLegendKey val="0"/>
          <c:showVal val="0"/>
          <c:showCatName val="0"/>
          <c:showSerName val="0"/>
          <c:showPercent val="0"/>
          <c:showBubbleSize val="0"/>
        </c:dLbls>
        <c:gapWidth val="219"/>
        <c:overlap val="-27"/>
        <c:axId val="149984384"/>
        <c:axId val="149985920"/>
      </c:barChart>
      <c:catAx>
        <c:axId val="14998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9985920"/>
        <c:crosses val="autoZero"/>
        <c:auto val="1"/>
        <c:lblAlgn val="ctr"/>
        <c:lblOffset val="100"/>
        <c:tickLblSkip val="1"/>
        <c:noMultiLvlLbl val="0"/>
      </c:catAx>
      <c:valAx>
        <c:axId val="1499859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984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likelihood'!$Z$72:$Z$78</c:f>
              <c:numCache>
                <c:formatCode>0%</c:formatCode>
                <c:ptCount val="7"/>
                <c:pt idx="0">
                  <c:v>0.4</c:v>
                </c:pt>
                <c:pt idx="1">
                  <c:v>0</c:v>
                </c:pt>
                <c:pt idx="2">
                  <c:v>0</c:v>
                </c:pt>
                <c:pt idx="3">
                  <c:v>0.2</c:v>
                </c:pt>
                <c:pt idx="4">
                  <c:v>0</c:v>
                </c:pt>
                <c:pt idx="5">
                  <c:v>0</c:v>
                </c:pt>
                <c:pt idx="6">
                  <c:v>0.4</c:v>
                </c:pt>
              </c:numCache>
            </c:numRef>
          </c:val>
        </c:ser>
        <c:dLbls>
          <c:showLegendKey val="0"/>
          <c:showVal val="0"/>
          <c:showCatName val="0"/>
          <c:showSerName val="0"/>
          <c:showPercent val="0"/>
          <c:showBubbleSize val="0"/>
        </c:dLbls>
        <c:gapWidth val="219"/>
        <c:overlap val="-27"/>
        <c:axId val="149997824"/>
        <c:axId val="150147072"/>
      </c:barChart>
      <c:catAx>
        <c:axId val="14999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0147072"/>
        <c:crosses val="autoZero"/>
        <c:auto val="1"/>
        <c:lblAlgn val="ctr"/>
        <c:lblOffset val="100"/>
        <c:tickLblSkip val="1"/>
        <c:noMultiLvlLbl val="0"/>
      </c:catAx>
      <c:valAx>
        <c:axId val="1501470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997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likelihood'!$B$162</c:f>
          <c:strCache>
            <c:ptCount val="1"/>
            <c:pt idx="0">
              <c:v>Policy makers and academia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likelihood'!$G$180:$G$184</c:f>
              <c:strCache>
                <c:ptCount val="5"/>
                <c:pt idx="0">
                  <c:v>Definitely not</c:v>
                </c:pt>
                <c:pt idx="1">
                  <c:v>Sometimes</c:v>
                </c:pt>
                <c:pt idx="2">
                  <c:v>Most of the time</c:v>
                </c:pt>
                <c:pt idx="3">
                  <c:v>Yes, always</c:v>
                </c:pt>
                <c:pt idx="4">
                  <c:v>I don’t know</c:v>
                </c:pt>
              </c:strCache>
            </c:strRef>
          </c:cat>
          <c:val>
            <c:numRef>
              <c:f>'S26 likelihood'!$I$180:$I$184</c:f>
              <c:numCache>
                <c:formatCode>0%</c:formatCode>
                <c:ptCount val="5"/>
                <c:pt idx="0">
                  <c:v>0.5</c:v>
                </c:pt>
                <c:pt idx="1">
                  <c:v>0.5</c:v>
                </c:pt>
                <c:pt idx="2">
                  <c:v>0</c:v>
                </c:pt>
                <c:pt idx="3">
                  <c:v>0</c:v>
                </c:pt>
                <c:pt idx="4">
                  <c:v>0</c:v>
                </c:pt>
              </c:numCache>
            </c:numRef>
          </c:val>
        </c:ser>
        <c:dLbls>
          <c:showLegendKey val="0"/>
          <c:showVal val="0"/>
          <c:showCatName val="0"/>
          <c:showSerName val="0"/>
          <c:showPercent val="0"/>
          <c:showBubbleSize val="0"/>
        </c:dLbls>
        <c:gapWidth val="219"/>
        <c:overlap val="-27"/>
        <c:axId val="137995776"/>
        <c:axId val="137997312"/>
      </c:barChart>
      <c:catAx>
        <c:axId val="13799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7997312"/>
        <c:crosses val="autoZero"/>
        <c:auto val="1"/>
        <c:lblAlgn val="ctr"/>
        <c:lblOffset val="100"/>
        <c:tickLblSkip val="1"/>
        <c:noMultiLvlLbl val="0"/>
      </c:catAx>
      <c:valAx>
        <c:axId val="1379973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95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likelihood'!$Z$99:$Z$105</c:f>
              <c:numCache>
                <c:formatCode>0%</c:formatCode>
                <c:ptCount val="7"/>
                <c:pt idx="0">
                  <c:v>0</c:v>
                </c:pt>
                <c:pt idx="1">
                  <c:v>0</c:v>
                </c:pt>
                <c:pt idx="2">
                  <c:v>0</c:v>
                </c:pt>
                <c:pt idx="3">
                  <c:v>0.5</c:v>
                </c:pt>
                <c:pt idx="4">
                  <c:v>0.5</c:v>
                </c:pt>
                <c:pt idx="5">
                  <c:v>0</c:v>
                </c:pt>
                <c:pt idx="6">
                  <c:v>0</c:v>
                </c:pt>
              </c:numCache>
            </c:numRef>
          </c:val>
        </c:ser>
        <c:dLbls>
          <c:showLegendKey val="0"/>
          <c:showVal val="0"/>
          <c:showCatName val="0"/>
          <c:showSerName val="0"/>
          <c:showPercent val="0"/>
          <c:showBubbleSize val="0"/>
        </c:dLbls>
        <c:gapWidth val="219"/>
        <c:overlap val="-27"/>
        <c:axId val="150162816"/>
        <c:axId val="150176896"/>
      </c:barChart>
      <c:catAx>
        <c:axId val="150162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0176896"/>
        <c:crosses val="autoZero"/>
        <c:auto val="1"/>
        <c:lblAlgn val="ctr"/>
        <c:lblOffset val="100"/>
        <c:tickLblSkip val="1"/>
        <c:noMultiLvlLbl val="0"/>
      </c:catAx>
      <c:valAx>
        <c:axId val="1501768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162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likelihood'!$Z$126:$Z$132</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50209280"/>
        <c:axId val="150210816"/>
      </c:barChart>
      <c:catAx>
        <c:axId val="150209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0210816"/>
        <c:crosses val="autoZero"/>
        <c:auto val="1"/>
        <c:lblAlgn val="ctr"/>
        <c:lblOffset val="100"/>
        <c:tickLblSkip val="1"/>
        <c:noMultiLvlLbl val="0"/>
      </c:catAx>
      <c:valAx>
        <c:axId val="1502108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209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likelihood'!$Z$153:$Z$159</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50251392"/>
        <c:axId val="150252928"/>
      </c:barChart>
      <c:catAx>
        <c:axId val="1502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0252928"/>
        <c:crosses val="autoZero"/>
        <c:auto val="1"/>
        <c:lblAlgn val="ctr"/>
        <c:lblOffset val="100"/>
        <c:tickLblSkip val="1"/>
        <c:noMultiLvlLbl val="0"/>
      </c:catAx>
      <c:valAx>
        <c:axId val="1502529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25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likelihood'!$Z$180:$Z$186</c:f>
              <c:numCache>
                <c:formatCode>0%</c:formatCode>
                <c:ptCount val="7"/>
                <c:pt idx="0">
                  <c:v>0.5</c:v>
                </c:pt>
                <c:pt idx="1">
                  <c:v>0</c:v>
                </c:pt>
                <c:pt idx="2">
                  <c:v>0</c:v>
                </c:pt>
                <c:pt idx="3">
                  <c:v>0.5</c:v>
                </c:pt>
                <c:pt idx="4">
                  <c:v>0</c:v>
                </c:pt>
                <c:pt idx="5">
                  <c:v>0</c:v>
                </c:pt>
                <c:pt idx="6">
                  <c:v>0</c:v>
                </c:pt>
              </c:numCache>
            </c:numRef>
          </c:val>
        </c:ser>
        <c:dLbls>
          <c:showLegendKey val="0"/>
          <c:showVal val="0"/>
          <c:showCatName val="0"/>
          <c:showSerName val="0"/>
          <c:showPercent val="0"/>
          <c:showBubbleSize val="0"/>
        </c:dLbls>
        <c:gapWidth val="219"/>
        <c:overlap val="-27"/>
        <c:axId val="150264832"/>
        <c:axId val="150274816"/>
      </c:barChart>
      <c:catAx>
        <c:axId val="15026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0274816"/>
        <c:crosses val="autoZero"/>
        <c:auto val="1"/>
        <c:lblAlgn val="ctr"/>
        <c:lblOffset val="100"/>
        <c:tickLblSkip val="1"/>
        <c:noMultiLvlLbl val="0"/>
      </c:catAx>
      <c:valAx>
        <c:axId val="1502748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264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likelihood'!$Z$207:$Z$213</c:f>
              <c:numCache>
                <c:formatCode>0%</c:formatCode>
                <c:ptCount val="7"/>
                <c:pt idx="0">
                  <c:v>0</c:v>
                </c:pt>
                <c:pt idx="1">
                  <c:v>0</c:v>
                </c:pt>
                <c:pt idx="2">
                  <c:v>0</c:v>
                </c:pt>
                <c:pt idx="3">
                  <c:v>0</c:v>
                </c:pt>
                <c:pt idx="4">
                  <c:v>0</c:v>
                </c:pt>
                <c:pt idx="5">
                  <c:v>1</c:v>
                </c:pt>
                <c:pt idx="6">
                  <c:v>0</c:v>
                </c:pt>
              </c:numCache>
            </c:numRef>
          </c:val>
        </c:ser>
        <c:dLbls>
          <c:showLegendKey val="0"/>
          <c:showVal val="0"/>
          <c:showCatName val="0"/>
          <c:showSerName val="0"/>
          <c:showPercent val="0"/>
          <c:showBubbleSize val="0"/>
        </c:dLbls>
        <c:gapWidth val="219"/>
        <c:overlap val="-27"/>
        <c:axId val="150311296"/>
        <c:axId val="150312832"/>
      </c:barChart>
      <c:catAx>
        <c:axId val="15031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0312832"/>
        <c:crosses val="autoZero"/>
        <c:auto val="1"/>
        <c:lblAlgn val="ctr"/>
        <c:lblOffset val="100"/>
        <c:tickLblSkip val="1"/>
        <c:noMultiLvlLbl val="0"/>
      </c:catAx>
      <c:valAx>
        <c:axId val="150312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0311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likelihood'!$Z$234:$Z$240</c:f>
              <c:numCache>
                <c:formatCode>0%</c:formatCode>
                <c:ptCount val="7"/>
                <c:pt idx="0">
                  <c:v>0.17647058823529413</c:v>
                </c:pt>
                <c:pt idx="1">
                  <c:v>0</c:v>
                </c:pt>
                <c:pt idx="2">
                  <c:v>0</c:v>
                </c:pt>
                <c:pt idx="3">
                  <c:v>0.29411764705882354</c:v>
                </c:pt>
                <c:pt idx="4">
                  <c:v>0.17647058823529413</c:v>
                </c:pt>
                <c:pt idx="5">
                  <c:v>0.23529411764705882</c:v>
                </c:pt>
                <c:pt idx="6">
                  <c:v>0.11764705882352941</c:v>
                </c:pt>
              </c:numCache>
            </c:numRef>
          </c:val>
        </c:ser>
        <c:dLbls>
          <c:showLegendKey val="0"/>
          <c:showVal val="0"/>
          <c:showCatName val="0"/>
          <c:showSerName val="0"/>
          <c:showPercent val="0"/>
          <c:showBubbleSize val="0"/>
        </c:dLbls>
        <c:gapWidth val="219"/>
        <c:overlap val="-27"/>
        <c:axId val="172037632"/>
        <c:axId val="172039168"/>
      </c:barChart>
      <c:catAx>
        <c:axId val="1720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2039168"/>
        <c:crosses val="autoZero"/>
        <c:auto val="1"/>
        <c:lblAlgn val="ctr"/>
        <c:lblOffset val="100"/>
        <c:tickLblSkip val="1"/>
        <c:noMultiLvlLbl val="0"/>
      </c:catAx>
      <c:valAx>
        <c:axId val="1720391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0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likelihood'!$T$247</c:f>
              <c:strCache>
                <c:ptCount val="1"/>
                <c:pt idx="0">
                  <c:v>Forest owners/managers</c:v>
                </c:pt>
              </c:strCache>
            </c:strRef>
          </c:tx>
          <c:spPr>
            <a:solidFill>
              <a:schemeClr val="accent1"/>
            </a:solidFill>
            <a:ln>
              <a:noFill/>
            </a:ln>
            <a:effectLst/>
          </c:spPr>
          <c:invertIfNegative val="0"/>
          <c:cat>
            <c:strRef>
              <c:f>'S30a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likelihood'!$T$248:$T$254</c:f>
              <c:numCache>
                <c:formatCode>General</c:formatCode>
                <c:ptCount val="7"/>
                <c:pt idx="0">
                  <c:v>2</c:v>
                </c:pt>
                <c:pt idx="1">
                  <c:v>0</c:v>
                </c:pt>
                <c:pt idx="2">
                  <c:v>0</c:v>
                </c:pt>
                <c:pt idx="3">
                  <c:v>1</c:v>
                </c:pt>
                <c:pt idx="4">
                  <c:v>0</c:v>
                </c:pt>
                <c:pt idx="5">
                  <c:v>0</c:v>
                </c:pt>
                <c:pt idx="6">
                  <c:v>2</c:v>
                </c:pt>
              </c:numCache>
            </c:numRef>
          </c:val>
        </c:ser>
        <c:ser>
          <c:idx val="1"/>
          <c:order val="1"/>
          <c:tx>
            <c:strRef>
              <c:f>'S30a likelihood'!$U$247</c:f>
              <c:strCache>
                <c:ptCount val="1"/>
                <c:pt idx="0">
                  <c:v>Pellet producers</c:v>
                </c:pt>
              </c:strCache>
            </c:strRef>
          </c:tx>
          <c:spPr>
            <a:solidFill>
              <a:schemeClr val="accent2"/>
            </a:solidFill>
            <a:ln>
              <a:noFill/>
            </a:ln>
            <a:effectLst/>
          </c:spPr>
          <c:invertIfNegative val="0"/>
          <c:cat>
            <c:strRef>
              <c:f>'S30a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likelihood'!$U$248:$U$254</c:f>
              <c:numCache>
                <c:formatCode>0</c:formatCode>
                <c:ptCount val="7"/>
                <c:pt idx="0">
                  <c:v>0</c:v>
                </c:pt>
                <c:pt idx="1">
                  <c:v>0</c:v>
                </c:pt>
                <c:pt idx="2">
                  <c:v>0</c:v>
                </c:pt>
                <c:pt idx="3">
                  <c:v>1</c:v>
                </c:pt>
                <c:pt idx="4">
                  <c:v>1</c:v>
                </c:pt>
                <c:pt idx="5">
                  <c:v>0</c:v>
                </c:pt>
                <c:pt idx="6">
                  <c:v>0</c:v>
                </c:pt>
              </c:numCache>
            </c:numRef>
          </c:val>
        </c:ser>
        <c:ser>
          <c:idx val="2"/>
          <c:order val="2"/>
          <c:tx>
            <c:strRef>
              <c:f>'S30a likelihood'!$V$247</c:f>
              <c:strCache>
                <c:ptCount val="1"/>
                <c:pt idx="0">
                  <c:v>Pellet users</c:v>
                </c:pt>
              </c:strCache>
            </c:strRef>
          </c:tx>
          <c:spPr>
            <a:solidFill>
              <a:schemeClr val="accent3"/>
            </a:solidFill>
            <a:ln>
              <a:noFill/>
            </a:ln>
            <a:effectLst/>
          </c:spPr>
          <c:invertIfNegative val="0"/>
          <c:cat>
            <c:strRef>
              <c:f>'S30a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likelihood'!$V$248:$V$254</c:f>
              <c:numCache>
                <c:formatCode>General</c:formatCode>
                <c:ptCount val="7"/>
                <c:pt idx="0">
                  <c:v>0</c:v>
                </c:pt>
                <c:pt idx="1">
                  <c:v>0</c:v>
                </c:pt>
                <c:pt idx="2">
                  <c:v>0</c:v>
                </c:pt>
                <c:pt idx="3">
                  <c:v>0</c:v>
                </c:pt>
                <c:pt idx="4">
                  <c:v>2</c:v>
                </c:pt>
                <c:pt idx="5">
                  <c:v>0</c:v>
                </c:pt>
                <c:pt idx="6">
                  <c:v>0</c:v>
                </c:pt>
              </c:numCache>
            </c:numRef>
          </c:val>
        </c:ser>
        <c:ser>
          <c:idx val="3"/>
          <c:order val="3"/>
          <c:tx>
            <c:strRef>
              <c:f>'S30a likelihood'!$W$247</c:f>
              <c:strCache>
                <c:ptCount val="1"/>
                <c:pt idx="0">
                  <c:v>Non-bioenergy wood users</c:v>
                </c:pt>
              </c:strCache>
            </c:strRef>
          </c:tx>
          <c:spPr>
            <a:solidFill>
              <a:schemeClr val="accent4"/>
            </a:solidFill>
            <a:ln>
              <a:noFill/>
            </a:ln>
            <a:effectLst/>
          </c:spPr>
          <c:invertIfNegative val="0"/>
          <c:cat>
            <c:strRef>
              <c:f>'S30a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likelihood'!$W$248:$W$254</c:f>
              <c:numCache>
                <c:formatCode>General</c:formatCode>
                <c:ptCount val="7"/>
                <c:pt idx="0">
                  <c:v>0</c:v>
                </c:pt>
                <c:pt idx="1">
                  <c:v>0</c:v>
                </c:pt>
                <c:pt idx="2">
                  <c:v>0</c:v>
                </c:pt>
                <c:pt idx="3">
                  <c:v>2</c:v>
                </c:pt>
                <c:pt idx="4">
                  <c:v>0</c:v>
                </c:pt>
                <c:pt idx="5">
                  <c:v>0</c:v>
                </c:pt>
                <c:pt idx="6">
                  <c:v>0</c:v>
                </c:pt>
              </c:numCache>
            </c:numRef>
          </c:val>
        </c:ser>
        <c:ser>
          <c:idx val="4"/>
          <c:order val="4"/>
          <c:tx>
            <c:strRef>
              <c:f>'S30a likelihood'!$X$247</c:f>
              <c:strCache>
                <c:ptCount val="1"/>
                <c:pt idx="0">
                  <c:v>Policy makers and academia</c:v>
                </c:pt>
              </c:strCache>
            </c:strRef>
          </c:tx>
          <c:spPr>
            <a:solidFill>
              <a:schemeClr val="accent5"/>
            </a:solidFill>
            <a:ln>
              <a:noFill/>
            </a:ln>
            <a:effectLst/>
          </c:spPr>
          <c:invertIfNegative val="0"/>
          <c:cat>
            <c:strRef>
              <c:f>'S30a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likelihood'!$X$248:$X$254</c:f>
              <c:numCache>
                <c:formatCode>0</c:formatCode>
                <c:ptCount val="7"/>
                <c:pt idx="0">
                  <c:v>1</c:v>
                </c:pt>
                <c:pt idx="1">
                  <c:v>0</c:v>
                </c:pt>
                <c:pt idx="2">
                  <c:v>0</c:v>
                </c:pt>
                <c:pt idx="3">
                  <c:v>1</c:v>
                </c:pt>
                <c:pt idx="4">
                  <c:v>0</c:v>
                </c:pt>
                <c:pt idx="5">
                  <c:v>0</c:v>
                </c:pt>
                <c:pt idx="6">
                  <c:v>0</c:v>
                </c:pt>
              </c:numCache>
            </c:numRef>
          </c:val>
        </c:ser>
        <c:ser>
          <c:idx val="5"/>
          <c:order val="5"/>
          <c:tx>
            <c:strRef>
              <c:f>'S30a likelihood'!$Y$247</c:f>
              <c:strCache>
                <c:ptCount val="1"/>
                <c:pt idx="0">
                  <c:v>NGOs</c:v>
                </c:pt>
              </c:strCache>
            </c:strRef>
          </c:tx>
          <c:spPr>
            <a:solidFill>
              <a:schemeClr val="accent6"/>
            </a:solidFill>
            <a:ln>
              <a:noFill/>
            </a:ln>
            <a:effectLst/>
          </c:spPr>
          <c:invertIfNegative val="0"/>
          <c:cat>
            <c:strRef>
              <c:f>'S30a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likelihood'!$Y$248:$Y$254</c:f>
              <c:numCache>
                <c:formatCode>General</c:formatCode>
                <c:ptCount val="7"/>
                <c:pt idx="0">
                  <c:v>0</c:v>
                </c:pt>
                <c:pt idx="1">
                  <c:v>0</c:v>
                </c:pt>
                <c:pt idx="2">
                  <c:v>0</c:v>
                </c:pt>
                <c:pt idx="3">
                  <c:v>0</c:v>
                </c:pt>
                <c:pt idx="4">
                  <c:v>0</c:v>
                </c:pt>
                <c:pt idx="5">
                  <c:v>4</c:v>
                </c:pt>
                <c:pt idx="6">
                  <c:v>0</c:v>
                </c:pt>
              </c:numCache>
            </c:numRef>
          </c:val>
        </c:ser>
        <c:dLbls>
          <c:showLegendKey val="0"/>
          <c:showVal val="0"/>
          <c:showCatName val="0"/>
          <c:showSerName val="0"/>
          <c:showPercent val="0"/>
          <c:showBubbleSize val="0"/>
        </c:dLbls>
        <c:gapWidth val="150"/>
        <c:overlap val="100"/>
        <c:axId val="172087936"/>
        <c:axId val="172102016"/>
      </c:barChart>
      <c:catAx>
        <c:axId val="1720879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2102016"/>
        <c:crosses val="autoZero"/>
        <c:auto val="1"/>
        <c:lblAlgn val="ctr"/>
        <c:lblOffset val="100"/>
        <c:noMultiLvlLbl val="0"/>
      </c:catAx>
      <c:valAx>
        <c:axId val="172102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087936"/>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likelihood'!$T$279</c:f>
              <c:strCache>
                <c:ptCount val="1"/>
                <c:pt idx="0">
                  <c:v>Forest owners/managers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likelihood'!$T$280:$T$286</c:f>
              <c:numCache>
                <c:formatCode>0%</c:formatCode>
                <c:ptCount val="7"/>
                <c:pt idx="0">
                  <c:v>6.6666666666666666E-2</c:v>
                </c:pt>
                <c:pt idx="1">
                  <c:v>0</c:v>
                </c:pt>
                <c:pt idx="2">
                  <c:v>0</c:v>
                </c:pt>
                <c:pt idx="3">
                  <c:v>3.3333333333333333E-2</c:v>
                </c:pt>
                <c:pt idx="4">
                  <c:v>0</c:v>
                </c:pt>
                <c:pt idx="5">
                  <c:v>0</c:v>
                </c:pt>
                <c:pt idx="6">
                  <c:v>6.6666666666666666E-2</c:v>
                </c:pt>
              </c:numCache>
            </c:numRef>
          </c:val>
        </c:ser>
        <c:ser>
          <c:idx val="1"/>
          <c:order val="1"/>
          <c:tx>
            <c:strRef>
              <c:f>'S30a likelihood'!$U$279</c:f>
              <c:strCache>
                <c:ptCount val="1"/>
                <c:pt idx="0">
                  <c:v>Pellet producers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likelihood'!$U$280:$U$286</c:f>
              <c:numCache>
                <c:formatCode>0%</c:formatCode>
                <c:ptCount val="7"/>
                <c:pt idx="0">
                  <c:v>0</c:v>
                </c:pt>
                <c:pt idx="1">
                  <c:v>0</c:v>
                </c:pt>
                <c:pt idx="2">
                  <c:v>0</c:v>
                </c:pt>
                <c:pt idx="3">
                  <c:v>8.3333333333333329E-2</c:v>
                </c:pt>
                <c:pt idx="4">
                  <c:v>8.3333333333333329E-2</c:v>
                </c:pt>
                <c:pt idx="5">
                  <c:v>0</c:v>
                </c:pt>
                <c:pt idx="6">
                  <c:v>0</c:v>
                </c:pt>
              </c:numCache>
            </c:numRef>
          </c:val>
        </c:ser>
        <c:ser>
          <c:idx val="2"/>
          <c:order val="2"/>
          <c:tx>
            <c:strRef>
              <c:f>'S30a likelihood'!$V$279</c:f>
              <c:strCache>
                <c:ptCount val="1"/>
                <c:pt idx="0">
                  <c:v>Pellet users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likelihood'!$V$280:$V$286</c:f>
              <c:numCache>
                <c:formatCode>0%</c:formatCode>
                <c:ptCount val="7"/>
                <c:pt idx="0">
                  <c:v>0</c:v>
                </c:pt>
                <c:pt idx="1">
                  <c:v>0</c:v>
                </c:pt>
                <c:pt idx="2">
                  <c:v>0</c:v>
                </c:pt>
                <c:pt idx="3">
                  <c:v>0</c:v>
                </c:pt>
                <c:pt idx="4">
                  <c:v>0.16666666666666666</c:v>
                </c:pt>
                <c:pt idx="5">
                  <c:v>0</c:v>
                </c:pt>
                <c:pt idx="6">
                  <c:v>0</c:v>
                </c:pt>
              </c:numCache>
            </c:numRef>
          </c:val>
        </c:ser>
        <c:ser>
          <c:idx val="3"/>
          <c:order val="3"/>
          <c:tx>
            <c:strRef>
              <c:f>'S30a likelihood'!$W$279</c:f>
              <c:strCache>
                <c:ptCount val="1"/>
                <c:pt idx="0">
                  <c:v>Non-bioenergy wood users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likelihood'!$W$280:$W$286</c:f>
              <c:numCache>
                <c:formatCode>0%</c:formatCode>
                <c:ptCount val="7"/>
                <c:pt idx="0">
                  <c:v>0</c:v>
                </c:pt>
                <c:pt idx="1">
                  <c:v>0</c:v>
                </c:pt>
                <c:pt idx="2">
                  <c:v>0</c:v>
                </c:pt>
                <c:pt idx="3">
                  <c:v>0.16666666666666666</c:v>
                </c:pt>
                <c:pt idx="4">
                  <c:v>0</c:v>
                </c:pt>
                <c:pt idx="5">
                  <c:v>0</c:v>
                </c:pt>
                <c:pt idx="6">
                  <c:v>0</c:v>
                </c:pt>
              </c:numCache>
            </c:numRef>
          </c:val>
        </c:ser>
        <c:ser>
          <c:idx val="4"/>
          <c:order val="4"/>
          <c:tx>
            <c:strRef>
              <c:f>'S30a likelihood'!$X$279</c:f>
              <c:strCache>
                <c:ptCount val="1"/>
                <c:pt idx="0">
                  <c:v>Policy makers and academia</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likelihood'!$X$280:$X$286</c:f>
              <c:numCache>
                <c:formatCode>0%</c:formatCode>
                <c:ptCount val="7"/>
                <c:pt idx="0">
                  <c:v>8.3333333333333329E-2</c:v>
                </c:pt>
                <c:pt idx="1">
                  <c:v>0</c:v>
                </c:pt>
                <c:pt idx="2">
                  <c:v>0</c:v>
                </c:pt>
                <c:pt idx="3">
                  <c:v>8.3333333333333329E-2</c:v>
                </c:pt>
                <c:pt idx="4">
                  <c:v>0</c:v>
                </c:pt>
                <c:pt idx="5">
                  <c:v>0</c:v>
                </c:pt>
                <c:pt idx="6">
                  <c:v>0</c:v>
                </c:pt>
              </c:numCache>
            </c:numRef>
          </c:val>
        </c:ser>
        <c:ser>
          <c:idx val="5"/>
          <c:order val="5"/>
          <c:tx>
            <c:strRef>
              <c:f>'S30a likelihood'!$Y$279</c:f>
              <c:strCache>
                <c:ptCount val="1"/>
                <c:pt idx="0">
                  <c:v>NGOs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likelihood'!$Y$280:$Y$286</c:f>
              <c:numCache>
                <c:formatCode>0%</c:formatCode>
                <c:ptCount val="7"/>
                <c:pt idx="0">
                  <c:v>0</c:v>
                </c:pt>
                <c:pt idx="1">
                  <c:v>0</c:v>
                </c:pt>
                <c:pt idx="2">
                  <c:v>0</c:v>
                </c:pt>
                <c:pt idx="3">
                  <c:v>0</c:v>
                </c:pt>
                <c:pt idx="4">
                  <c:v>0</c:v>
                </c:pt>
                <c:pt idx="5">
                  <c:v>0.16666666666666666</c:v>
                </c:pt>
                <c:pt idx="6">
                  <c:v>0</c:v>
                </c:pt>
              </c:numCache>
            </c:numRef>
          </c:val>
        </c:ser>
        <c:dLbls>
          <c:showLegendKey val="0"/>
          <c:showVal val="0"/>
          <c:showCatName val="0"/>
          <c:showSerName val="0"/>
          <c:showPercent val="0"/>
          <c:showBubbleSize val="0"/>
        </c:dLbls>
        <c:gapWidth val="150"/>
        <c:overlap val="100"/>
        <c:axId val="172138496"/>
        <c:axId val="172140032"/>
      </c:barChart>
      <c:catAx>
        <c:axId val="1721384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2140032"/>
        <c:crosses val="autoZero"/>
        <c:auto val="1"/>
        <c:lblAlgn val="ctr"/>
        <c:lblOffset val="100"/>
        <c:noMultiLvlLbl val="0"/>
      </c:catAx>
      <c:valAx>
        <c:axId val="172140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1384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likelihood'!$T$279</c:f>
              <c:strCache>
                <c:ptCount val="1"/>
                <c:pt idx="0">
                  <c:v>Forest owners/managers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likelihood'!$T$280:$T$286</c:f>
              <c:numCache>
                <c:formatCode>0%</c:formatCode>
                <c:ptCount val="7"/>
                <c:pt idx="0">
                  <c:v>6.6666666666666666E-2</c:v>
                </c:pt>
                <c:pt idx="1">
                  <c:v>0</c:v>
                </c:pt>
                <c:pt idx="2">
                  <c:v>0</c:v>
                </c:pt>
                <c:pt idx="3">
                  <c:v>3.3333333333333333E-2</c:v>
                </c:pt>
                <c:pt idx="4">
                  <c:v>0</c:v>
                </c:pt>
                <c:pt idx="5">
                  <c:v>0</c:v>
                </c:pt>
                <c:pt idx="6">
                  <c:v>6.6666666666666666E-2</c:v>
                </c:pt>
              </c:numCache>
            </c:numRef>
          </c:val>
        </c:ser>
        <c:ser>
          <c:idx val="1"/>
          <c:order val="1"/>
          <c:tx>
            <c:strRef>
              <c:f>'S30a likelihood'!$U$279</c:f>
              <c:strCache>
                <c:ptCount val="1"/>
                <c:pt idx="0">
                  <c:v>Pellet producers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likelihood'!$U$280:$U$286</c:f>
              <c:numCache>
                <c:formatCode>0%</c:formatCode>
                <c:ptCount val="7"/>
                <c:pt idx="0">
                  <c:v>0</c:v>
                </c:pt>
                <c:pt idx="1">
                  <c:v>0</c:v>
                </c:pt>
                <c:pt idx="2">
                  <c:v>0</c:v>
                </c:pt>
                <c:pt idx="3">
                  <c:v>8.3333333333333329E-2</c:v>
                </c:pt>
                <c:pt idx="4">
                  <c:v>8.3333333333333329E-2</c:v>
                </c:pt>
                <c:pt idx="5">
                  <c:v>0</c:v>
                </c:pt>
                <c:pt idx="6">
                  <c:v>0</c:v>
                </c:pt>
              </c:numCache>
            </c:numRef>
          </c:val>
        </c:ser>
        <c:ser>
          <c:idx val="2"/>
          <c:order val="2"/>
          <c:tx>
            <c:strRef>
              <c:f>'S30a likelihood'!$V$279</c:f>
              <c:strCache>
                <c:ptCount val="1"/>
                <c:pt idx="0">
                  <c:v>Pellet users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likelihood'!$V$280:$V$286</c:f>
              <c:numCache>
                <c:formatCode>0%</c:formatCode>
                <c:ptCount val="7"/>
                <c:pt idx="0">
                  <c:v>0</c:v>
                </c:pt>
                <c:pt idx="1">
                  <c:v>0</c:v>
                </c:pt>
                <c:pt idx="2">
                  <c:v>0</c:v>
                </c:pt>
                <c:pt idx="3">
                  <c:v>0</c:v>
                </c:pt>
                <c:pt idx="4">
                  <c:v>0.16666666666666666</c:v>
                </c:pt>
                <c:pt idx="5">
                  <c:v>0</c:v>
                </c:pt>
                <c:pt idx="6">
                  <c:v>0</c:v>
                </c:pt>
              </c:numCache>
            </c:numRef>
          </c:val>
        </c:ser>
        <c:ser>
          <c:idx val="3"/>
          <c:order val="3"/>
          <c:tx>
            <c:strRef>
              <c:f>'S30a likelihood'!$W$279</c:f>
              <c:strCache>
                <c:ptCount val="1"/>
                <c:pt idx="0">
                  <c:v>Non-bioenergy wood users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likelihood'!$W$280:$W$286</c:f>
              <c:numCache>
                <c:formatCode>0%</c:formatCode>
                <c:ptCount val="7"/>
                <c:pt idx="0">
                  <c:v>0</c:v>
                </c:pt>
                <c:pt idx="1">
                  <c:v>0</c:v>
                </c:pt>
                <c:pt idx="2">
                  <c:v>0</c:v>
                </c:pt>
                <c:pt idx="3">
                  <c:v>0.16666666666666666</c:v>
                </c:pt>
                <c:pt idx="4">
                  <c:v>0</c:v>
                </c:pt>
                <c:pt idx="5">
                  <c:v>0</c:v>
                </c:pt>
                <c:pt idx="6">
                  <c:v>0</c:v>
                </c:pt>
              </c:numCache>
            </c:numRef>
          </c:val>
        </c:ser>
        <c:ser>
          <c:idx val="4"/>
          <c:order val="4"/>
          <c:tx>
            <c:strRef>
              <c:f>'S30a likelihood'!$X$279</c:f>
              <c:strCache>
                <c:ptCount val="1"/>
                <c:pt idx="0">
                  <c:v>Policy makers and academia</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likelihood'!$X$280:$X$286</c:f>
              <c:numCache>
                <c:formatCode>0%</c:formatCode>
                <c:ptCount val="7"/>
                <c:pt idx="0">
                  <c:v>8.3333333333333329E-2</c:v>
                </c:pt>
                <c:pt idx="1">
                  <c:v>0</c:v>
                </c:pt>
                <c:pt idx="2">
                  <c:v>0</c:v>
                </c:pt>
                <c:pt idx="3">
                  <c:v>8.3333333333333329E-2</c:v>
                </c:pt>
                <c:pt idx="4">
                  <c:v>0</c:v>
                </c:pt>
                <c:pt idx="5">
                  <c:v>0</c:v>
                </c:pt>
                <c:pt idx="6">
                  <c:v>0</c:v>
                </c:pt>
              </c:numCache>
            </c:numRef>
          </c:val>
        </c:ser>
        <c:ser>
          <c:idx val="5"/>
          <c:order val="5"/>
          <c:tx>
            <c:strRef>
              <c:f>'S30a likelihood'!$Y$279</c:f>
              <c:strCache>
                <c:ptCount val="1"/>
                <c:pt idx="0">
                  <c:v>NGOs</c:v>
                </c:pt>
              </c:strCache>
            </c:strRef>
          </c:tx>
          <c:invertIfNegative val="0"/>
          <c:cat>
            <c:strRef>
              <c:f>'S30a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likelihood'!$Y$280:$Y$286</c:f>
              <c:numCache>
                <c:formatCode>0%</c:formatCode>
                <c:ptCount val="7"/>
                <c:pt idx="0">
                  <c:v>0</c:v>
                </c:pt>
                <c:pt idx="1">
                  <c:v>0</c:v>
                </c:pt>
                <c:pt idx="2">
                  <c:v>0</c:v>
                </c:pt>
                <c:pt idx="3">
                  <c:v>0</c:v>
                </c:pt>
                <c:pt idx="4">
                  <c:v>0</c:v>
                </c:pt>
                <c:pt idx="5">
                  <c:v>0.16666666666666666</c:v>
                </c:pt>
                <c:pt idx="6">
                  <c:v>0</c:v>
                </c:pt>
              </c:numCache>
            </c:numRef>
          </c:val>
        </c:ser>
        <c:dLbls>
          <c:showLegendKey val="0"/>
          <c:showVal val="0"/>
          <c:showCatName val="0"/>
          <c:showSerName val="0"/>
          <c:showPercent val="0"/>
          <c:showBubbleSize val="0"/>
        </c:dLbls>
        <c:gapWidth val="150"/>
        <c:overlap val="100"/>
        <c:axId val="172189184"/>
        <c:axId val="172190720"/>
      </c:barChart>
      <c:catAx>
        <c:axId val="1721891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2190720"/>
        <c:crosses val="autoZero"/>
        <c:auto val="1"/>
        <c:lblAlgn val="ctr"/>
        <c:lblOffset val="100"/>
        <c:noMultiLvlLbl val="0"/>
      </c:catAx>
      <c:valAx>
        <c:axId val="172190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1891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likelihood'!$DL$247</c:f>
              <c:strCache>
                <c:ptCount val="1"/>
                <c:pt idx="0">
                  <c:v>Forest owners/managers</c:v>
                </c:pt>
              </c:strCache>
            </c:strRef>
          </c:tx>
          <c:spPr>
            <a:solidFill>
              <a:schemeClr val="accent1"/>
            </a:solidFill>
            <a:ln>
              <a:noFill/>
            </a:ln>
            <a:effectLst/>
          </c:spPr>
          <c:invertIfNegative val="0"/>
          <c:cat>
            <c:strRef>
              <c:f>'S30a likelihood'!$DK$248:$DK$252</c:f>
              <c:strCache>
                <c:ptCount val="5"/>
                <c:pt idx="0">
                  <c:v>Definitely not</c:v>
                </c:pt>
                <c:pt idx="1">
                  <c:v>Sometimes</c:v>
                </c:pt>
                <c:pt idx="2">
                  <c:v>Most of the time</c:v>
                </c:pt>
                <c:pt idx="3">
                  <c:v>Yes, always</c:v>
                </c:pt>
                <c:pt idx="4">
                  <c:v>I don’t know</c:v>
                </c:pt>
              </c:strCache>
            </c:strRef>
          </c:cat>
          <c:val>
            <c:numRef>
              <c:f>'S30a likelihood'!$DL$248:$DL$252</c:f>
              <c:numCache>
                <c:formatCode>General</c:formatCode>
                <c:ptCount val="5"/>
                <c:pt idx="0">
                  <c:v>1</c:v>
                </c:pt>
                <c:pt idx="1">
                  <c:v>2</c:v>
                </c:pt>
                <c:pt idx="2">
                  <c:v>1</c:v>
                </c:pt>
                <c:pt idx="3">
                  <c:v>0</c:v>
                </c:pt>
                <c:pt idx="4">
                  <c:v>1</c:v>
                </c:pt>
              </c:numCache>
            </c:numRef>
          </c:val>
        </c:ser>
        <c:ser>
          <c:idx val="1"/>
          <c:order val="1"/>
          <c:tx>
            <c:strRef>
              <c:f>'S30a likelihood'!$DM$247</c:f>
              <c:strCache>
                <c:ptCount val="1"/>
                <c:pt idx="0">
                  <c:v>Pellet producers</c:v>
                </c:pt>
              </c:strCache>
            </c:strRef>
          </c:tx>
          <c:spPr>
            <a:solidFill>
              <a:schemeClr val="accent2"/>
            </a:solidFill>
            <a:ln>
              <a:noFill/>
            </a:ln>
            <a:effectLst/>
          </c:spPr>
          <c:invertIfNegative val="0"/>
          <c:cat>
            <c:strRef>
              <c:f>'S30a likelihood'!$DK$248:$DK$252</c:f>
              <c:strCache>
                <c:ptCount val="5"/>
                <c:pt idx="0">
                  <c:v>Definitely not</c:v>
                </c:pt>
                <c:pt idx="1">
                  <c:v>Sometimes</c:v>
                </c:pt>
                <c:pt idx="2">
                  <c:v>Most of the time</c:v>
                </c:pt>
                <c:pt idx="3">
                  <c:v>Yes, always</c:v>
                </c:pt>
                <c:pt idx="4">
                  <c:v>I don’t know</c:v>
                </c:pt>
              </c:strCache>
            </c:strRef>
          </c:cat>
          <c:val>
            <c:numRef>
              <c:f>'S30a likelihood'!$DM$248:$DM$252</c:f>
              <c:numCache>
                <c:formatCode>0</c:formatCode>
                <c:ptCount val="5"/>
                <c:pt idx="0">
                  <c:v>0</c:v>
                </c:pt>
                <c:pt idx="1">
                  <c:v>1</c:v>
                </c:pt>
                <c:pt idx="2">
                  <c:v>1</c:v>
                </c:pt>
                <c:pt idx="3">
                  <c:v>0</c:v>
                </c:pt>
                <c:pt idx="4">
                  <c:v>0</c:v>
                </c:pt>
              </c:numCache>
            </c:numRef>
          </c:val>
        </c:ser>
        <c:ser>
          <c:idx val="2"/>
          <c:order val="2"/>
          <c:tx>
            <c:strRef>
              <c:f>'S30a likelihood'!$DN$247</c:f>
              <c:strCache>
                <c:ptCount val="1"/>
                <c:pt idx="0">
                  <c:v>Pellet users</c:v>
                </c:pt>
              </c:strCache>
            </c:strRef>
          </c:tx>
          <c:spPr>
            <a:solidFill>
              <a:schemeClr val="accent3"/>
            </a:solidFill>
            <a:ln>
              <a:noFill/>
            </a:ln>
            <a:effectLst/>
          </c:spPr>
          <c:invertIfNegative val="0"/>
          <c:cat>
            <c:strRef>
              <c:f>'S30a likelihood'!$DK$248:$DK$252</c:f>
              <c:strCache>
                <c:ptCount val="5"/>
                <c:pt idx="0">
                  <c:v>Definitely not</c:v>
                </c:pt>
                <c:pt idx="1">
                  <c:v>Sometimes</c:v>
                </c:pt>
                <c:pt idx="2">
                  <c:v>Most of the time</c:v>
                </c:pt>
                <c:pt idx="3">
                  <c:v>Yes, always</c:v>
                </c:pt>
                <c:pt idx="4">
                  <c:v>I don’t know</c:v>
                </c:pt>
              </c:strCache>
            </c:strRef>
          </c:cat>
          <c:val>
            <c:numRef>
              <c:f>'S30a likelihood'!$DN$248:$DN$252</c:f>
              <c:numCache>
                <c:formatCode>General</c:formatCode>
                <c:ptCount val="5"/>
                <c:pt idx="0">
                  <c:v>0</c:v>
                </c:pt>
                <c:pt idx="1">
                  <c:v>1</c:v>
                </c:pt>
                <c:pt idx="2">
                  <c:v>1</c:v>
                </c:pt>
                <c:pt idx="3">
                  <c:v>0</c:v>
                </c:pt>
                <c:pt idx="4">
                  <c:v>0</c:v>
                </c:pt>
              </c:numCache>
            </c:numRef>
          </c:val>
        </c:ser>
        <c:ser>
          <c:idx val="3"/>
          <c:order val="3"/>
          <c:tx>
            <c:strRef>
              <c:f>'S30a likelihood'!$DO$247</c:f>
              <c:strCache>
                <c:ptCount val="1"/>
                <c:pt idx="0">
                  <c:v>Non-bioenergy wood users</c:v>
                </c:pt>
              </c:strCache>
            </c:strRef>
          </c:tx>
          <c:spPr>
            <a:solidFill>
              <a:schemeClr val="accent4"/>
            </a:solidFill>
            <a:ln>
              <a:noFill/>
            </a:ln>
            <a:effectLst/>
          </c:spPr>
          <c:invertIfNegative val="0"/>
          <c:cat>
            <c:strRef>
              <c:f>'S30a likelihood'!$DK$248:$DK$252</c:f>
              <c:strCache>
                <c:ptCount val="5"/>
                <c:pt idx="0">
                  <c:v>Definitely not</c:v>
                </c:pt>
                <c:pt idx="1">
                  <c:v>Sometimes</c:v>
                </c:pt>
                <c:pt idx="2">
                  <c:v>Most of the time</c:v>
                </c:pt>
                <c:pt idx="3">
                  <c:v>Yes, always</c:v>
                </c:pt>
                <c:pt idx="4">
                  <c:v>I don’t know</c:v>
                </c:pt>
              </c:strCache>
            </c:strRef>
          </c:cat>
          <c:val>
            <c:numRef>
              <c:f>'S30a likelihood'!$DO$248:$DO$252</c:f>
              <c:numCache>
                <c:formatCode>General</c:formatCode>
                <c:ptCount val="5"/>
                <c:pt idx="0">
                  <c:v>0</c:v>
                </c:pt>
                <c:pt idx="1">
                  <c:v>0</c:v>
                </c:pt>
                <c:pt idx="2">
                  <c:v>1</c:v>
                </c:pt>
                <c:pt idx="3">
                  <c:v>1</c:v>
                </c:pt>
                <c:pt idx="4">
                  <c:v>0</c:v>
                </c:pt>
              </c:numCache>
            </c:numRef>
          </c:val>
        </c:ser>
        <c:ser>
          <c:idx val="4"/>
          <c:order val="4"/>
          <c:tx>
            <c:strRef>
              <c:f>'S30a likelihood'!$DP$247</c:f>
              <c:strCache>
                <c:ptCount val="1"/>
                <c:pt idx="0">
                  <c:v>Policy makers and academia</c:v>
                </c:pt>
              </c:strCache>
            </c:strRef>
          </c:tx>
          <c:spPr>
            <a:solidFill>
              <a:schemeClr val="accent5"/>
            </a:solidFill>
            <a:ln>
              <a:noFill/>
            </a:ln>
            <a:effectLst/>
          </c:spPr>
          <c:invertIfNegative val="0"/>
          <c:cat>
            <c:strRef>
              <c:f>'S30a likelihood'!$DK$248:$DK$252</c:f>
              <c:strCache>
                <c:ptCount val="5"/>
                <c:pt idx="0">
                  <c:v>Definitely not</c:v>
                </c:pt>
                <c:pt idx="1">
                  <c:v>Sometimes</c:v>
                </c:pt>
                <c:pt idx="2">
                  <c:v>Most of the time</c:v>
                </c:pt>
                <c:pt idx="3">
                  <c:v>Yes, always</c:v>
                </c:pt>
                <c:pt idx="4">
                  <c:v>I don’t know</c:v>
                </c:pt>
              </c:strCache>
            </c:strRef>
          </c:cat>
          <c:val>
            <c:numRef>
              <c:f>'S30a likelihood'!$DP$248:$DP$252</c:f>
              <c:numCache>
                <c:formatCode>0</c:formatCode>
                <c:ptCount val="5"/>
                <c:pt idx="0">
                  <c:v>2</c:v>
                </c:pt>
                <c:pt idx="1">
                  <c:v>1</c:v>
                </c:pt>
                <c:pt idx="2">
                  <c:v>0</c:v>
                </c:pt>
                <c:pt idx="3">
                  <c:v>0</c:v>
                </c:pt>
                <c:pt idx="4">
                  <c:v>0</c:v>
                </c:pt>
              </c:numCache>
            </c:numRef>
          </c:val>
        </c:ser>
        <c:ser>
          <c:idx val="5"/>
          <c:order val="5"/>
          <c:tx>
            <c:strRef>
              <c:f>'S30a likelihood'!$DQ$247</c:f>
              <c:strCache>
                <c:ptCount val="1"/>
                <c:pt idx="0">
                  <c:v>NGOs</c:v>
                </c:pt>
              </c:strCache>
            </c:strRef>
          </c:tx>
          <c:spPr>
            <a:solidFill>
              <a:schemeClr val="accent6"/>
            </a:solidFill>
            <a:ln>
              <a:noFill/>
            </a:ln>
            <a:effectLst/>
          </c:spPr>
          <c:invertIfNegative val="0"/>
          <c:cat>
            <c:strRef>
              <c:f>'S30a likelihood'!$DK$248:$DK$252</c:f>
              <c:strCache>
                <c:ptCount val="5"/>
                <c:pt idx="0">
                  <c:v>Definitely not</c:v>
                </c:pt>
                <c:pt idx="1">
                  <c:v>Sometimes</c:v>
                </c:pt>
                <c:pt idx="2">
                  <c:v>Most of the time</c:v>
                </c:pt>
                <c:pt idx="3">
                  <c:v>Yes, always</c:v>
                </c:pt>
                <c:pt idx="4">
                  <c:v>I don’t know</c:v>
                </c:pt>
              </c:strCache>
            </c:strRef>
          </c:cat>
          <c:val>
            <c:numRef>
              <c:f>'S30a likelihood'!$DQ$248:$DQ$252</c:f>
              <c:numCache>
                <c:formatCode>General</c:formatCode>
                <c:ptCount val="5"/>
                <c:pt idx="0">
                  <c:v>0</c:v>
                </c:pt>
                <c:pt idx="1">
                  <c:v>4</c:v>
                </c:pt>
                <c:pt idx="2">
                  <c:v>0</c:v>
                </c:pt>
                <c:pt idx="3">
                  <c:v>0</c:v>
                </c:pt>
                <c:pt idx="4">
                  <c:v>0</c:v>
                </c:pt>
              </c:numCache>
            </c:numRef>
          </c:val>
        </c:ser>
        <c:dLbls>
          <c:showLegendKey val="0"/>
          <c:showVal val="0"/>
          <c:showCatName val="0"/>
          <c:showSerName val="0"/>
          <c:showPercent val="0"/>
          <c:showBubbleSize val="0"/>
        </c:dLbls>
        <c:gapWidth val="150"/>
        <c:overlap val="100"/>
        <c:axId val="172296448"/>
        <c:axId val="172302336"/>
      </c:barChart>
      <c:catAx>
        <c:axId val="1722964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2302336"/>
        <c:crosses val="autoZero"/>
        <c:auto val="1"/>
        <c:lblAlgn val="ctr"/>
        <c:lblOffset val="100"/>
        <c:noMultiLvlLbl val="0"/>
      </c:catAx>
      <c:valAx>
        <c:axId val="172302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722964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likelihood'!$B$189</c:f>
          <c:strCache>
            <c:ptCount val="1"/>
            <c:pt idx="0">
              <c:v>NGOs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likelihood'!$G$207:$G$211</c:f>
              <c:strCache>
                <c:ptCount val="5"/>
                <c:pt idx="0">
                  <c:v>Definitely not</c:v>
                </c:pt>
                <c:pt idx="1">
                  <c:v>Sometimes</c:v>
                </c:pt>
                <c:pt idx="2">
                  <c:v>Most of the time</c:v>
                </c:pt>
                <c:pt idx="3">
                  <c:v>Yes, always</c:v>
                </c:pt>
                <c:pt idx="4">
                  <c:v>I don’t know</c:v>
                </c:pt>
              </c:strCache>
            </c:strRef>
          </c:cat>
          <c:val>
            <c:numRef>
              <c:f>'S26 likelihood'!$I$207:$I$211</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38013312"/>
        <c:axId val="138031488"/>
      </c:barChart>
      <c:catAx>
        <c:axId val="138013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031488"/>
        <c:crosses val="autoZero"/>
        <c:auto val="1"/>
        <c:lblAlgn val="ctr"/>
        <c:lblOffset val="100"/>
        <c:tickLblSkip val="1"/>
        <c:noMultiLvlLbl val="0"/>
      </c:catAx>
      <c:valAx>
        <c:axId val="1380314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013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likelihood'!$DL$279</c:f>
              <c:strCache>
                <c:ptCount val="1"/>
                <c:pt idx="0">
                  <c:v>Forest owners/managers</c:v>
                </c:pt>
              </c:strCache>
            </c:strRef>
          </c:tx>
          <c:invertIfNegative val="0"/>
          <c:cat>
            <c:strRef>
              <c:f>'S30a likelihood'!$DK$280:$DK$284</c:f>
              <c:strCache>
                <c:ptCount val="5"/>
                <c:pt idx="0">
                  <c:v>Definitely not</c:v>
                </c:pt>
                <c:pt idx="1">
                  <c:v>Sometimes</c:v>
                </c:pt>
                <c:pt idx="2">
                  <c:v>Most of the time</c:v>
                </c:pt>
                <c:pt idx="3">
                  <c:v>Yes, always</c:v>
                </c:pt>
                <c:pt idx="4">
                  <c:v>I don’t know</c:v>
                </c:pt>
              </c:strCache>
            </c:strRef>
          </c:cat>
          <c:val>
            <c:numRef>
              <c:f>'S30a likelihood'!$DL$280:$DL$284</c:f>
              <c:numCache>
                <c:formatCode>0%</c:formatCode>
                <c:ptCount val="5"/>
                <c:pt idx="0">
                  <c:v>3.3333333333333333E-2</c:v>
                </c:pt>
                <c:pt idx="1">
                  <c:v>6.6666666666666666E-2</c:v>
                </c:pt>
                <c:pt idx="2">
                  <c:v>3.3333333333333333E-2</c:v>
                </c:pt>
                <c:pt idx="3">
                  <c:v>0</c:v>
                </c:pt>
                <c:pt idx="4">
                  <c:v>3.3333333333333333E-2</c:v>
                </c:pt>
              </c:numCache>
            </c:numRef>
          </c:val>
        </c:ser>
        <c:ser>
          <c:idx val="1"/>
          <c:order val="1"/>
          <c:tx>
            <c:strRef>
              <c:f>'S30a likelihood'!$DM$279</c:f>
              <c:strCache>
                <c:ptCount val="1"/>
                <c:pt idx="0">
                  <c:v>Pellet producers</c:v>
                </c:pt>
              </c:strCache>
            </c:strRef>
          </c:tx>
          <c:invertIfNegative val="0"/>
          <c:cat>
            <c:strRef>
              <c:f>'S30a likelihood'!$DK$280:$DK$284</c:f>
              <c:strCache>
                <c:ptCount val="5"/>
                <c:pt idx="0">
                  <c:v>Definitely not</c:v>
                </c:pt>
                <c:pt idx="1">
                  <c:v>Sometimes</c:v>
                </c:pt>
                <c:pt idx="2">
                  <c:v>Most of the time</c:v>
                </c:pt>
                <c:pt idx="3">
                  <c:v>Yes, always</c:v>
                </c:pt>
                <c:pt idx="4">
                  <c:v>I don’t know</c:v>
                </c:pt>
              </c:strCache>
            </c:strRef>
          </c:cat>
          <c:val>
            <c:numRef>
              <c:f>'S30a likelihood'!$DM$280:$DM$284</c:f>
              <c:numCache>
                <c:formatCode>0%</c:formatCode>
                <c:ptCount val="5"/>
                <c:pt idx="0">
                  <c:v>0</c:v>
                </c:pt>
                <c:pt idx="1">
                  <c:v>8.3333333333333329E-2</c:v>
                </c:pt>
                <c:pt idx="2">
                  <c:v>8.3333333333333329E-2</c:v>
                </c:pt>
                <c:pt idx="3">
                  <c:v>0</c:v>
                </c:pt>
                <c:pt idx="4">
                  <c:v>0</c:v>
                </c:pt>
              </c:numCache>
            </c:numRef>
          </c:val>
        </c:ser>
        <c:ser>
          <c:idx val="2"/>
          <c:order val="2"/>
          <c:tx>
            <c:strRef>
              <c:f>'S30a likelihood'!$DN$279</c:f>
              <c:strCache>
                <c:ptCount val="1"/>
                <c:pt idx="0">
                  <c:v>Pellet users</c:v>
                </c:pt>
              </c:strCache>
            </c:strRef>
          </c:tx>
          <c:invertIfNegative val="0"/>
          <c:cat>
            <c:strRef>
              <c:f>'S30a likelihood'!$DK$280:$DK$284</c:f>
              <c:strCache>
                <c:ptCount val="5"/>
                <c:pt idx="0">
                  <c:v>Definitely not</c:v>
                </c:pt>
                <c:pt idx="1">
                  <c:v>Sometimes</c:v>
                </c:pt>
                <c:pt idx="2">
                  <c:v>Most of the time</c:v>
                </c:pt>
                <c:pt idx="3">
                  <c:v>Yes, always</c:v>
                </c:pt>
                <c:pt idx="4">
                  <c:v>I don’t know</c:v>
                </c:pt>
              </c:strCache>
            </c:strRef>
          </c:cat>
          <c:val>
            <c:numRef>
              <c:f>'S30a likelihood'!$DN$280:$DN$284</c:f>
              <c:numCache>
                <c:formatCode>0%</c:formatCode>
                <c:ptCount val="5"/>
                <c:pt idx="0">
                  <c:v>0</c:v>
                </c:pt>
                <c:pt idx="1">
                  <c:v>8.3333333333333329E-2</c:v>
                </c:pt>
                <c:pt idx="2">
                  <c:v>8.3333333333333329E-2</c:v>
                </c:pt>
                <c:pt idx="3">
                  <c:v>0</c:v>
                </c:pt>
                <c:pt idx="4">
                  <c:v>0</c:v>
                </c:pt>
              </c:numCache>
            </c:numRef>
          </c:val>
        </c:ser>
        <c:ser>
          <c:idx val="3"/>
          <c:order val="3"/>
          <c:tx>
            <c:strRef>
              <c:f>'S30a likelihood'!$DO$279</c:f>
              <c:strCache>
                <c:ptCount val="1"/>
                <c:pt idx="0">
                  <c:v>Non-bioenergy wood users</c:v>
                </c:pt>
              </c:strCache>
            </c:strRef>
          </c:tx>
          <c:invertIfNegative val="0"/>
          <c:cat>
            <c:strRef>
              <c:f>'S30a likelihood'!$DK$280:$DK$284</c:f>
              <c:strCache>
                <c:ptCount val="5"/>
                <c:pt idx="0">
                  <c:v>Definitely not</c:v>
                </c:pt>
                <c:pt idx="1">
                  <c:v>Sometimes</c:v>
                </c:pt>
                <c:pt idx="2">
                  <c:v>Most of the time</c:v>
                </c:pt>
                <c:pt idx="3">
                  <c:v>Yes, always</c:v>
                </c:pt>
                <c:pt idx="4">
                  <c:v>I don’t know</c:v>
                </c:pt>
              </c:strCache>
            </c:strRef>
          </c:cat>
          <c:val>
            <c:numRef>
              <c:f>'S30a likelihood'!$DO$280:$DO$284</c:f>
              <c:numCache>
                <c:formatCode>0%</c:formatCode>
                <c:ptCount val="5"/>
                <c:pt idx="0">
                  <c:v>0</c:v>
                </c:pt>
                <c:pt idx="1">
                  <c:v>0</c:v>
                </c:pt>
                <c:pt idx="2">
                  <c:v>8.3333333333333329E-2</c:v>
                </c:pt>
                <c:pt idx="3">
                  <c:v>8.3333333333333329E-2</c:v>
                </c:pt>
                <c:pt idx="4">
                  <c:v>0</c:v>
                </c:pt>
              </c:numCache>
            </c:numRef>
          </c:val>
        </c:ser>
        <c:ser>
          <c:idx val="4"/>
          <c:order val="4"/>
          <c:tx>
            <c:strRef>
              <c:f>'S30a likelihood'!$DP$279</c:f>
              <c:strCache>
                <c:ptCount val="1"/>
                <c:pt idx="0">
                  <c:v>Policy makers and academia</c:v>
                </c:pt>
              </c:strCache>
            </c:strRef>
          </c:tx>
          <c:invertIfNegative val="0"/>
          <c:cat>
            <c:strRef>
              <c:f>'S30a likelihood'!$DK$280:$DK$284</c:f>
              <c:strCache>
                <c:ptCount val="5"/>
                <c:pt idx="0">
                  <c:v>Definitely not</c:v>
                </c:pt>
                <c:pt idx="1">
                  <c:v>Sometimes</c:v>
                </c:pt>
                <c:pt idx="2">
                  <c:v>Most of the time</c:v>
                </c:pt>
                <c:pt idx="3">
                  <c:v>Yes, always</c:v>
                </c:pt>
                <c:pt idx="4">
                  <c:v>I don’t know</c:v>
                </c:pt>
              </c:strCache>
            </c:strRef>
          </c:cat>
          <c:val>
            <c:numRef>
              <c:f>'S30a likelihood'!$DP$280:$DP$284</c:f>
              <c:numCache>
                <c:formatCode>0%</c:formatCode>
                <c:ptCount val="5"/>
                <c:pt idx="0">
                  <c:v>0.1111111111111111</c:v>
                </c:pt>
                <c:pt idx="1">
                  <c:v>5.5555555555555552E-2</c:v>
                </c:pt>
                <c:pt idx="2">
                  <c:v>0</c:v>
                </c:pt>
                <c:pt idx="3">
                  <c:v>0</c:v>
                </c:pt>
                <c:pt idx="4">
                  <c:v>0</c:v>
                </c:pt>
              </c:numCache>
            </c:numRef>
          </c:val>
        </c:ser>
        <c:ser>
          <c:idx val="5"/>
          <c:order val="5"/>
          <c:tx>
            <c:strRef>
              <c:f>'S30a likelihood'!$DQ$279</c:f>
              <c:strCache>
                <c:ptCount val="1"/>
                <c:pt idx="0">
                  <c:v>NGOs</c:v>
                </c:pt>
              </c:strCache>
            </c:strRef>
          </c:tx>
          <c:invertIfNegative val="0"/>
          <c:cat>
            <c:strRef>
              <c:f>'S30a likelihood'!$DK$280:$DK$284</c:f>
              <c:strCache>
                <c:ptCount val="5"/>
                <c:pt idx="0">
                  <c:v>Definitely not</c:v>
                </c:pt>
                <c:pt idx="1">
                  <c:v>Sometimes</c:v>
                </c:pt>
                <c:pt idx="2">
                  <c:v>Most of the time</c:v>
                </c:pt>
                <c:pt idx="3">
                  <c:v>Yes, always</c:v>
                </c:pt>
                <c:pt idx="4">
                  <c:v>I don’t know</c:v>
                </c:pt>
              </c:strCache>
            </c:strRef>
          </c:cat>
          <c:val>
            <c:numRef>
              <c:f>'S30a likelihood'!$DQ$280:$DQ$284</c:f>
              <c:numCache>
                <c:formatCode>0%</c:formatCode>
                <c:ptCount val="5"/>
                <c:pt idx="0">
                  <c:v>0</c:v>
                </c:pt>
                <c:pt idx="1">
                  <c:v>0.16666666666666666</c:v>
                </c:pt>
                <c:pt idx="2">
                  <c:v>0</c:v>
                </c:pt>
                <c:pt idx="3">
                  <c:v>0</c:v>
                </c:pt>
                <c:pt idx="4">
                  <c:v>0</c:v>
                </c:pt>
              </c:numCache>
            </c:numRef>
          </c:val>
        </c:ser>
        <c:dLbls>
          <c:showLegendKey val="0"/>
          <c:showVal val="0"/>
          <c:showCatName val="0"/>
          <c:showSerName val="0"/>
          <c:showPercent val="0"/>
          <c:showBubbleSize val="0"/>
        </c:dLbls>
        <c:gapWidth val="55"/>
        <c:overlap val="100"/>
        <c:axId val="172350848"/>
        <c:axId val="172356736"/>
      </c:barChart>
      <c:catAx>
        <c:axId val="17235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2356736"/>
        <c:crosses val="autoZero"/>
        <c:auto val="1"/>
        <c:lblAlgn val="ctr"/>
        <c:lblOffset val="100"/>
        <c:noMultiLvlLbl val="0"/>
      </c:catAx>
      <c:valAx>
        <c:axId val="172356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723508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likelihood'!$B$54</c:f>
          <c:strCache>
            <c:ptCount val="1"/>
            <c:pt idx="0">
              <c:v>Forest owners/managers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4358976678211456E-2"/>
          <c:y val="0.19836010498687665"/>
          <c:w val="0.90741367371914783"/>
          <c:h val="0.655016062992126"/>
        </c:manualLayout>
      </c:layout>
      <c:barChart>
        <c:barDir val="col"/>
        <c:grouping val="clustered"/>
        <c:varyColors val="0"/>
        <c:ser>
          <c:idx val="0"/>
          <c:order val="0"/>
          <c:spPr>
            <a:solidFill>
              <a:schemeClr val="accent1"/>
            </a:solidFill>
            <a:ln>
              <a:noFill/>
            </a:ln>
            <a:effectLst/>
          </c:spPr>
          <c:invertIfNegative val="0"/>
          <c:cat>
            <c:strRef>
              <c:f>'S30b likelihood'!$G$72:$G$76</c:f>
              <c:strCache>
                <c:ptCount val="5"/>
                <c:pt idx="0">
                  <c:v>Definitely not</c:v>
                </c:pt>
                <c:pt idx="1">
                  <c:v>Sometimes</c:v>
                </c:pt>
                <c:pt idx="2">
                  <c:v>Most of the time</c:v>
                </c:pt>
                <c:pt idx="3">
                  <c:v>Yes, always</c:v>
                </c:pt>
                <c:pt idx="4">
                  <c:v>I don’t know</c:v>
                </c:pt>
              </c:strCache>
            </c:strRef>
          </c:cat>
          <c:val>
            <c:numRef>
              <c:f>'S30b likelihood'!$I$72:$I$76</c:f>
              <c:numCache>
                <c:formatCode>0%</c:formatCode>
                <c:ptCount val="5"/>
                <c:pt idx="0">
                  <c:v>0.25</c:v>
                </c:pt>
                <c:pt idx="1">
                  <c:v>0</c:v>
                </c:pt>
                <c:pt idx="2">
                  <c:v>0</c:v>
                </c:pt>
                <c:pt idx="3">
                  <c:v>0</c:v>
                </c:pt>
                <c:pt idx="4">
                  <c:v>0.75</c:v>
                </c:pt>
              </c:numCache>
            </c:numRef>
          </c:val>
        </c:ser>
        <c:dLbls>
          <c:showLegendKey val="0"/>
          <c:showVal val="0"/>
          <c:showCatName val="0"/>
          <c:showSerName val="0"/>
          <c:showPercent val="0"/>
          <c:showBubbleSize val="0"/>
        </c:dLbls>
        <c:gapWidth val="219"/>
        <c:overlap val="-27"/>
        <c:axId val="1661568"/>
        <c:axId val="130687360"/>
      </c:barChart>
      <c:catAx>
        <c:axId val="16615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0687360"/>
        <c:crosses val="autoZero"/>
        <c:auto val="0"/>
        <c:lblAlgn val="ctr"/>
        <c:lblOffset val="100"/>
        <c:tickLblSkip val="1"/>
        <c:noMultiLvlLbl val="0"/>
      </c:catAx>
      <c:valAx>
        <c:axId val="1306873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1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likelihood'!$B$81</c:f>
          <c:strCache>
            <c:ptCount val="1"/>
            <c:pt idx="0">
              <c:v>Pellet producers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likelihood'!$G$99:$G$103</c:f>
              <c:strCache>
                <c:ptCount val="5"/>
                <c:pt idx="0">
                  <c:v>Definitely not</c:v>
                </c:pt>
                <c:pt idx="1">
                  <c:v>Sometimes</c:v>
                </c:pt>
                <c:pt idx="2">
                  <c:v>Most of the time</c:v>
                </c:pt>
                <c:pt idx="3">
                  <c:v>Yes, always</c:v>
                </c:pt>
                <c:pt idx="4">
                  <c:v>I don’t know</c:v>
                </c:pt>
              </c:strCache>
            </c:strRef>
          </c:cat>
          <c:val>
            <c:numRef>
              <c:f>'S30b likelihood'!$I$99:$I$103</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43187328"/>
        <c:axId val="171979904"/>
      </c:barChart>
      <c:catAx>
        <c:axId val="14318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1979904"/>
        <c:crosses val="autoZero"/>
        <c:auto val="1"/>
        <c:lblAlgn val="ctr"/>
        <c:lblOffset val="100"/>
        <c:tickLblSkip val="1"/>
        <c:noMultiLvlLbl val="0"/>
      </c:catAx>
      <c:valAx>
        <c:axId val="1719799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187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likelihood'!$B$108</c:f>
          <c:strCache>
            <c:ptCount val="1"/>
            <c:pt idx="0">
              <c:v>Pellet users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likelihood'!$G$126:$G$130</c:f>
              <c:strCache>
                <c:ptCount val="5"/>
                <c:pt idx="0">
                  <c:v>Definitely not</c:v>
                </c:pt>
                <c:pt idx="1">
                  <c:v>Sometimes</c:v>
                </c:pt>
                <c:pt idx="2">
                  <c:v>Most of the time</c:v>
                </c:pt>
                <c:pt idx="3">
                  <c:v>Yes, always</c:v>
                </c:pt>
                <c:pt idx="4">
                  <c:v>I don’t know</c:v>
                </c:pt>
              </c:strCache>
            </c:strRef>
          </c:cat>
          <c:val>
            <c:numRef>
              <c:f>'S30b likelihood'!$I$126:$I$130</c:f>
              <c:numCache>
                <c:formatCode>0%</c:formatCode>
                <c:ptCount val="5"/>
                <c:pt idx="0">
                  <c:v>1</c:v>
                </c:pt>
                <c:pt idx="1">
                  <c:v>0</c:v>
                </c:pt>
                <c:pt idx="2">
                  <c:v>0</c:v>
                </c:pt>
                <c:pt idx="3">
                  <c:v>0</c:v>
                </c:pt>
                <c:pt idx="4">
                  <c:v>0</c:v>
                </c:pt>
              </c:numCache>
            </c:numRef>
          </c:val>
        </c:ser>
        <c:dLbls>
          <c:showLegendKey val="0"/>
          <c:showVal val="0"/>
          <c:showCatName val="0"/>
          <c:showSerName val="0"/>
          <c:showPercent val="0"/>
          <c:showBubbleSize val="0"/>
        </c:dLbls>
        <c:gapWidth val="219"/>
        <c:overlap val="-27"/>
        <c:axId val="1729280"/>
        <c:axId val="1730816"/>
      </c:barChart>
      <c:catAx>
        <c:axId val="1729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30816"/>
        <c:crosses val="autoZero"/>
        <c:auto val="1"/>
        <c:lblAlgn val="ctr"/>
        <c:lblOffset val="100"/>
        <c:tickLblSkip val="1"/>
        <c:noMultiLvlLbl val="0"/>
      </c:catAx>
      <c:valAx>
        <c:axId val="17308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9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285969007374033E-2"/>
          <c:y val="0.21013864133923571"/>
          <c:w val="0.88492496601529258"/>
          <c:h val="0.55709476178167172"/>
        </c:manualLayout>
      </c:layout>
      <c:barChart>
        <c:barDir val="col"/>
        <c:grouping val="clustered"/>
        <c:varyColors val="0"/>
        <c:ser>
          <c:idx val="0"/>
          <c:order val="0"/>
          <c:spPr>
            <a:solidFill>
              <a:schemeClr val="accent1"/>
            </a:solidFill>
            <a:ln>
              <a:noFill/>
            </a:ln>
            <a:effectLst/>
          </c:spPr>
          <c:invertIfNegative val="0"/>
          <c:cat>
            <c:strRef>
              <c:f>'S30b likelihood'!$G$234:$G$238</c:f>
              <c:strCache>
                <c:ptCount val="5"/>
                <c:pt idx="0">
                  <c:v>Definitely not</c:v>
                </c:pt>
                <c:pt idx="1">
                  <c:v>Sometimes</c:v>
                </c:pt>
                <c:pt idx="2">
                  <c:v>Most of the time</c:v>
                </c:pt>
                <c:pt idx="3">
                  <c:v>Yes, always</c:v>
                </c:pt>
                <c:pt idx="4">
                  <c:v>I don’t know</c:v>
                </c:pt>
              </c:strCache>
            </c:strRef>
          </c:cat>
          <c:val>
            <c:numRef>
              <c:f>'S30b likelihood'!$I$234:$I$238</c:f>
              <c:numCache>
                <c:formatCode>0%</c:formatCode>
                <c:ptCount val="5"/>
                <c:pt idx="0">
                  <c:v>0.33333333333333331</c:v>
                </c:pt>
                <c:pt idx="1">
                  <c:v>0.1111111111111111</c:v>
                </c:pt>
                <c:pt idx="2">
                  <c:v>0.1111111111111111</c:v>
                </c:pt>
                <c:pt idx="3">
                  <c:v>0</c:v>
                </c:pt>
                <c:pt idx="4">
                  <c:v>0.44444444444444442</c:v>
                </c:pt>
              </c:numCache>
            </c:numRef>
          </c:val>
        </c:ser>
        <c:dLbls>
          <c:showLegendKey val="0"/>
          <c:showVal val="0"/>
          <c:showCatName val="0"/>
          <c:showSerName val="0"/>
          <c:showPercent val="0"/>
          <c:showBubbleSize val="0"/>
        </c:dLbls>
        <c:gapWidth val="219"/>
        <c:overlap val="-27"/>
        <c:axId val="1759104"/>
        <c:axId val="1760640"/>
      </c:barChart>
      <c:catAx>
        <c:axId val="17591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60640"/>
        <c:crosses val="autoZero"/>
        <c:auto val="1"/>
        <c:lblAlgn val="ctr"/>
        <c:lblOffset val="100"/>
        <c:tickLblSkip val="1"/>
        <c:noMultiLvlLbl val="0"/>
      </c:catAx>
      <c:valAx>
        <c:axId val="17606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9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likelihood'!$C$247</c:f>
              <c:strCache>
                <c:ptCount val="1"/>
                <c:pt idx="0">
                  <c:v>Forest owners/managers</c:v>
                </c:pt>
              </c:strCache>
            </c:strRef>
          </c:tx>
          <c:spPr>
            <a:solidFill>
              <a:schemeClr val="accent1"/>
            </a:solidFill>
            <a:ln>
              <a:noFill/>
            </a:ln>
            <a:effectLst/>
          </c:spPr>
          <c:invertIfNegative val="0"/>
          <c:cat>
            <c:strRef>
              <c:f>'S30b likelihood'!$B$248:$B$252</c:f>
              <c:strCache>
                <c:ptCount val="5"/>
                <c:pt idx="0">
                  <c:v>Definitely not</c:v>
                </c:pt>
                <c:pt idx="1">
                  <c:v>Sometimes</c:v>
                </c:pt>
                <c:pt idx="2">
                  <c:v>Most of the time</c:v>
                </c:pt>
                <c:pt idx="3">
                  <c:v>Yes, always</c:v>
                </c:pt>
                <c:pt idx="4">
                  <c:v>I don’t know</c:v>
                </c:pt>
              </c:strCache>
            </c:strRef>
          </c:cat>
          <c:val>
            <c:numRef>
              <c:f>'S30b likelihood'!$C$248:$C$252</c:f>
              <c:numCache>
                <c:formatCode>General</c:formatCode>
                <c:ptCount val="5"/>
                <c:pt idx="0">
                  <c:v>1</c:v>
                </c:pt>
                <c:pt idx="1">
                  <c:v>0</c:v>
                </c:pt>
                <c:pt idx="2">
                  <c:v>0</c:v>
                </c:pt>
                <c:pt idx="3">
                  <c:v>0</c:v>
                </c:pt>
                <c:pt idx="4">
                  <c:v>3</c:v>
                </c:pt>
              </c:numCache>
            </c:numRef>
          </c:val>
        </c:ser>
        <c:ser>
          <c:idx val="1"/>
          <c:order val="1"/>
          <c:tx>
            <c:strRef>
              <c:f>'S30b likelihood'!$D$247</c:f>
              <c:strCache>
                <c:ptCount val="1"/>
                <c:pt idx="0">
                  <c:v>Pellet producers</c:v>
                </c:pt>
              </c:strCache>
            </c:strRef>
          </c:tx>
          <c:spPr>
            <a:solidFill>
              <a:schemeClr val="accent2"/>
            </a:solidFill>
            <a:ln>
              <a:noFill/>
            </a:ln>
            <a:effectLst/>
          </c:spPr>
          <c:invertIfNegative val="0"/>
          <c:cat>
            <c:strRef>
              <c:f>'S30b likelihood'!$B$248:$B$252</c:f>
              <c:strCache>
                <c:ptCount val="5"/>
                <c:pt idx="0">
                  <c:v>Definitely not</c:v>
                </c:pt>
                <c:pt idx="1">
                  <c:v>Sometimes</c:v>
                </c:pt>
                <c:pt idx="2">
                  <c:v>Most of the time</c:v>
                </c:pt>
                <c:pt idx="3">
                  <c:v>Yes, always</c:v>
                </c:pt>
                <c:pt idx="4">
                  <c:v>I don’t know</c:v>
                </c:pt>
              </c:strCache>
            </c:strRef>
          </c:cat>
          <c:val>
            <c:numRef>
              <c:f>'S30b likelihood'!$D$248:$D$252</c:f>
              <c:numCache>
                <c:formatCode>0</c:formatCode>
                <c:ptCount val="5"/>
                <c:pt idx="0">
                  <c:v>0</c:v>
                </c:pt>
                <c:pt idx="1">
                  <c:v>0</c:v>
                </c:pt>
                <c:pt idx="2">
                  <c:v>0</c:v>
                </c:pt>
                <c:pt idx="3">
                  <c:v>0</c:v>
                </c:pt>
                <c:pt idx="4">
                  <c:v>0</c:v>
                </c:pt>
              </c:numCache>
            </c:numRef>
          </c:val>
        </c:ser>
        <c:ser>
          <c:idx val="2"/>
          <c:order val="2"/>
          <c:tx>
            <c:strRef>
              <c:f>'S30b likelihood'!$E$247</c:f>
              <c:strCache>
                <c:ptCount val="1"/>
                <c:pt idx="0">
                  <c:v>Pellet users</c:v>
                </c:pt>
              </c:strCache>
            </c:strRef>
          </c:tx>
          <c:spPr>
            <a:solidFill>
              <a:schemeClr val="accent3"/>
            </a:solidFill>
            <a:ln>
              <a:noFill/>
            </a:ln>
            <a:effectLst/>
          </c:spPr>
          <c:invertIfNegative val="0"/>
          <c:cat>
            <c:strRef>
              <c:f>'S30b likelihood'!$B$248:$B$252</c:f>
              <c:strCache>
                <c:ptCount val="5"/>
                <c:pt idx="0">
                  <c:v>Definitely not</c:v>
                </c:pt>
                <c:pt idx="1">
                  <c:v>Sometimes</c:v>
                </c:pt>
                <c:pt idx="2">
                  <c:v>Most of the time</c:v>
                </c:pt>
                <c:pt idx="3">
                  <c:v>Yes, always</c:v>
                </c:pt>
                <c:pt idx="4">
                  <c:v>I don’t know</c:v>
                </c:pt>
              </c:strCache>
            </c:strRef>
          </c:cat>
          <c:val>
            <c:numRef>
              <c:f>'S30b likelihood'!$E$248:$E$252</c:f>
              <c:numCache>
                <c:formatCode>General</c:formatCode>
                <c:ptCount val="5"/>
                <c:pt idx="0">
                  <c:v>1</c:v>
                </c:pt>
                <c:pt idx="1">
                  <c:v>0</c:v>
                </c:pt>
                <c:pt idx="2">
                  <c:v>0</c:v>
                </c:pt>
                <c:pt idx="3">
                  <c:v>0</c:v>
                </c:pt>
                <c:pt idx="4">
                  <c:v>0</c:v>
                </c:pt>
              </c:numCache>
            </c:numRef>
          </c:val>
        </c:ser>
        <c:ser>
          <c:idx val="3"/>
          <c:order val="3"/>
          <c:tx>
            <c:strRef>
              <c:f>'S30b likelihood'!$F$247</c:f>
              <c:strCache>
                <c:ptCount val="1"/>
                <c:pt idx="0">
                  <c:v>Non-bioenergy wood users</c:v>
                </c:pt>
              </c:strCache>
            </c:strRef>
          </c:tx>
          <c:spPr>
            <a:solidFill>
              <a:schemeClr val="accent4"/>
            </a:solidFill>
            <a:ln>
              <a:noFill/>
            </a:ln>
            <a:effectLst/>
          </c:spPr>
          <c:invertIfNegative val="0"/>
          <c:cat>
            <c:strRef>
              <c:f>'S30b likelihood'!$B$248:$B$252</c:f>
              <c:strCache>
                <c:ptCount val="5"/>
                <c:pt idx="0">
                  <c:v>Definitely not</c:v>
                </c:pt>
                <c:pt idx="1">
                  <c:v>Sometimes</c:v>
                </c:pt>
                <c:pt idx="2">
                  <c:v>Most of the time</c:v>
                </c:pt>
                <c:pt idx="3">
                  <c:v>Yes, always</c:v>
                </c:pt>
                <c:pt idx="4">
                  <c:v>I don’t know</c:v>
                </c:pt>
              </c:strCache>
            </c:strRef>
          </c:cat>
          <c:val>
            <c:numRef>
              <c:f>'S30b likelihood'!$F$248:$F$252</c:f>
              <c:numCache>
                <c:formatCode>General</c:formatCode>
                <c:ptCount val="5"/>
                <c:pt idx="0">
                  <c:v>0</c:v>
                </c:pt>
                <c:pt idx="1">
                  <c:v>0</c:v>
                </c:pt>
                <c:pt idx="2">
                  <c:v>0</c:v>
                </c:pt>
                <c:pt idx="3">
                  <c:v>0</c:v>
                </c:pt>
                <c:pt idx="4">
                  <c:v>1</c:v>
                </c:pt>
              </c:numCache>
            </c:numRef>
          </c:val>
        </c:ser>
        <c:ser>
          <c:idx val="4"/>
          <c:order val="4"/>
          <c:tx>
            <c:strRef>
              <c:f>'S30b likelihood'!$G$247</c:f>
              <c:strCache>
                <c:ptCount val="1"/>
                <c:pt idx="0">
                  <c:v>Policy makers and academia</c:v>
                </c:pt>
              </c:strCache>
            </c:strRef>
          </c:tx>
          <c:spPr>
            <a:solidFill>
              <a:schemeClr val="accent5"/>
            </a:solidFill>
            <a:ln>
              <a:noFill/>
            </a:ln>
            <a:effectLst/>
          </c:spPr>
          <c:invertIfNegative val="0"/>
          <c:cat>
            <c:strRef>
              <c:f>'S30b likelihood'!$B$248:$B$252</c:f>
              <c:strCache>
                <c:ptCount val="5"/>
                <c:pt idx="0">
                  <c:v>Definitely not</c:v>
                </c:pt>
                <c:pt idx="1">
                  <c:v>Sometimes</c:v>
                </c:pt>
                <c:pt idx="2">
                  <c:v>Most of the time</c:v>
                </c:pt>
                <c:pt idx="3">
                  <c:v>Yes, always</c:v>
                </c:pt>
                <c:pt idx="4">
                  <c:v>I don’t know</c:v>
                </c:pt>
              </c:strCache>
            </c:strRef>
          </c:cat>
          <c:val>
            <c:numRef>
              <c:f>'S30b likelihood'!$G$248:$G$252</c:f>
              <c:numCache>
                <c:formatCode>0</c:formatCode>
                <c:ptCount val="5"/>
                <c:pt idx="0">
                  <c:v>1</c:v>
                </c:pt>
                <c:pt idx="1">
                  <c:v>1</c:v>
                </c:pt>
                <c:pt idx="2">
                  <c:v>1</c:v>
                </c:pt>
                <c:pt idx="3">
                  <c:v>0</c:v>
                </c:pt>
                <c:pt idx="4">
                  <c:v>0</c:v>
                </c:pt>
              </c:numCache>
            </c:numRef>
          </c:val>
        </c:ser>
        <c:ser>
          <c:idx val="5"/>
          <c:order val="5"/>
          <c:tx>
            <c:strRef>
              <c:f>'S30b likelihood'!$H$247</c:f>
              <c:strCache>
                <c:ptCount val="1"/>
                <c:pt idx="0">
                  <c:v>NGOs</c:v>
                </c:pt>
              </c:strCache>
            </c:strRef>
          </c:tx>
          <c:spPr>
            <a:solidFill>
              <a:schemeClr val="accent6"/>
            </a:solidFill>
            <a:ln>
              <a:noFill/>
            </a:ln>
            <a:effectLst/>
          </c:spPr>
          <c:invertIfNegative val="0"/>
          <c:cat>
            <c:strRef>
              <c:f>'S30b likelihood'!$B$248:$B$252</c:f>
              <c:strCache>
                <c:ptCount val="5"/>
                <c:pt idx="0">
                  <c:v>Definitely not</c:v>
                </c:pt>
                <c:pt idx="1">
                  <c:v>Sometimes</c:v>
                </c:pt>
                <c:pt idx="2">
                  <c:v>Most of the time</c:v>
                </c:pt>
                <c:pt idx="3">
                  <c:v>Yes, always</c:v>
                </c:pt>
                <c:pt idx="4">
                  <c:v>I don’t know</c:v>
                </c:pt>
              </c:strCache>
            </c:strRef>
          </c:cat>
          <c:val>
            <c:numRef>
              <c:f>'S30b likelihood'!$H$248:$H$252</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77253376"/>
        <c:axId val="177259264"/>
      </c:barChart>
      <c:catAx>
        <c:axId val="177253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7259264"/>
        <c:crosses val="autoZero"/>
        <c:auto val="1"/>
        <c:lblAlgn val="ctr"/>
        <c:lblOffset val="100"/>
        <c:noMultiLvlLbl val="0"/>
      </c:catAx>
      <c:valAx>
        <c:axId val="177259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77253376"/>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likelihood'!$C$279</c:f>
              <c:strCache>
                <c:ptCount val="1"/>
                <c:pt idx="0">
                  <c:v>Forest owners/managers</c:v>
                </c:pt>
              </c:strCache>
            </c:strRef>
          </c:tx>
          <c:invertIfNegative val="0"/>
          <c:cat>
            <c:strRef>
              <c:f>'S30b likelihood'!$B$280:$B$284</c:f>
              <c:strCache>
                <c:ptCount val="5"/>
                <c:pt idx="0">
                  <c:v>Definitely not</c:v>
                </c:pt>
                <c:pt idx="1">
                  <c:v>Sometimes</c:v>
                </c:pt>
                <c:pt idx="2">
                  <c:v>Most of the time</c:v>
                </c:pt>
                <c:pt idx="3">
                  <c:v>Yes, always</c:v>
                </c:pt>
                <c:pt idx="4">
                  <c:v>I don’t know</c:v>
                </c:pt>
              </c:strCache>
            </c:strRef>
          </c:cat>
          <c:val>
            <c:numRef>
              <c:f>'S30b likelihood'!$C$280:$C$284</c:f>
              <c:numCache>
                <c:formatCode>0%</c:formatCode>
                <c:ptCount val="5"/>
                <c:pt idx="0">
                  <c:v>4.1666666666666664E-2</c:v>
                </c:pt>
                <c:pt idx="1">
                  <c:v>0</c:v>
                </c:pt>
                <c:pt idx="2">
                  <c:v>0</c:v>
                </c:pt>
                <c:pt idx="3">
                  <c:v>0</c:v>
                </c:pt>
                <c:pt idx="4">
                  <c:v>0.125</c:v>
                </c:pt>
              </c:numCache>
            </c:numRef>
          </c:val>
        </c:ser>
        <c:ser>
          <c:idx val="1"/>
          <c:order val="1"/>
          <c:tx>
            <c:strRef>
              <c:f>'S30b likelihood'!$D$279</c:f>
              <c:strCache>
                <c:ptCount val="1"/>
                <c:pt idx="0">
                  <c:v>Pellet producers</c:v>
                </c:pt>
              </c:strCache>
            </c:strRef>
          </c:tx>
          <c:invertIfNegative val="0"/>
          <c:cat>
            <c:strRef>
              <c:f>'S30b likelihood'!$B$280:$B$284</c:f>
              <c:strCache>
                <c:ptCount val="5"/>
                <c:pt idx="0">
                  <c:v>Definitely not</c:v>
                </c:pt>
                <c:pt idx="1">
                  <c:v>Sometimes</c:v>
                </c:pt>
                <c:pt idx="2">
                  <c:v>Most of the time</c:v>
                </c:pt>
                <c:pt idx="3">
                  <c:v>Yes, always</c:v>
                </c:pt>
                <c:pt idx="4">
                  <c:v>I don’t know</c:v>
                </c:pt>
              </c:strCache>
            </c:strRef>
          </c:cat>
          <c:val>
            <c:numRef>
              <c:f>'S30b likelihood'!$D$280:$D$284</c:f>
              <c:numCache>
                <c:formatCode>0%</c:formatCode>
                <c:ptCount val="5"/>
                <c:pt idx="0">
                  <c:v>0</c:v>
                </c:pt>
                <c:pt idx="1">
                  <c:v>0</c:v>
                </c:pt>
                <c:pt idx="2">
                  <c:v>0</c:v>
                </c:pt>
                <c:pt idx="3">
                  <c:v>0</c:v>
                </c:pt>
                <c:pt idx="4">
                  <c:v>0</c:v>
                </c:pt>
              </c:numCache>
            </c:numRef>
          </c:val>
        </c:ser>
        <c:ser>
          <c:idx val="2"/>
          <c:order val="2"/>
          <c:tx>
            <c:strRef>
              <c:f>'S30b likelihood'!$E$279</c:f>
              <c:strCache>
                <c:ptCount val="1"/>
                <c:pt idx="0">
                  <c:v>Pellet users</c:v>
                </c:pt>
              </c:strCache>
            </c:strRef>
          </c:tx>
          <c:invertIfNegative val="0"/>
          <c:cat>
            <c:strRef>
              <c:f>'S30b likelihood'!$B$280:$B$284</c:f>
              <c:strCache>
                <c:ptCount val="5"/>
                <c:pt idx="0">
                  <c:v>Definitely not</c:v>
                </c:pt>
                <c:pt idx="1">
                  <c:v>Sometimes</c:v>
                </c:pt>
                <c:pt idx="2">
                  <c:v>Most of the time</c:v>
                </c:pt>
                <c:pt idx="3">
                  <c:v>Yes, always</c:v>
                </c:pt>
                <c:pt idx="4">
                  <c:v>I don’t know</c:v>
                </c:pt>
              </c:strCache>
            </c:strRef>
          </c:cat>
          <c:val>
            <c:numRef>
              <c:f>'S30b likelihood'!$E$280:$E$284</c:f>
              <c:numCache>
                <c:formatCode>0%</c:formatCode>
                <c:ptCount val="5"/>
                <c:pt idx="0">
                  <c:v>0.16666666666666666</c:v>
                </c:pt>
                <c:pt idx="1">
                  <c:v>0</c:v>
                </c:pt>
                <c:pt idx="2">
                  <c:v>0</c:v>
                </c:pt>
                <c:pt idx="3">
                  <c:v>0</c:v>
                </c:pt>
                <c:pt idx="4">
                  <c:v>0</c:v>
                </c:pt>
              </c:numCache>
            </c:numRef>
          </c:val>
        </c:ser>
        <c:ser>
          <c:idx val="3"/>
          <c:order val="3"/>
          <c:tx>
            <c:strRef>
              <c:f>'S30b likelihood'!$F$279</c:f>
              <c:strCache>
                <c:ptCount val="1"/>
                <c:pt idx="0">
                  <c:v>Non-bioenergy wood users</c:v>
                </c:pt>
              </c:strCache>
            </c:strRef>
          </c:tx>
          <c:invertIfNegative val="0"/>
          <c:cat>
            <c:strRef>
              <c:f>'S30b likelihood'!$B$280:$B$284</c:f>
              <c:strCache>
                <c:ptCount val="5"/>
                <c:pt idx="0">
                  <c:v>Definitely not</c:v>
                </c:pt>
                <c:pt idx="1">
                  <c:v>Sometimes</c:v>
                </c:pt>
                <c:pt idx="2">
                  <c:v>Most of the time</c:v>
                </c:pt>
                <c:pt idx="3">
                  <c:v>Yes, always</c:v>
                </c:pt>
                <c:pt idx="4">
                  <c:v>I don’t know</c:v>
                </c:pt>
              </c:strCache>
            </c:strRef>
          </c:cat>
          <c:val>
            <c:numRef>
              <c:f>'S30b likelihood'!$F$280:$F$284</c:f>
              <c:numCache>
                <c:formatCode>0%</c:formatCode>
                <c:ptCount val="5"/>
                <c:pt idx="0">
                  <c:v>0</c:v>
                </c:pt>
                <c:pt idx="1">
                  <c:v>0</c:v>
                </c:pt>
                <c:pt idx="2">
                  <c:v>0</c:v>
                </c:pt>
                <c:pt idx="3">
                  <c:v>0</c:v>
                </c:pt>
                <c:pt idx="4">
                  <c:v>0.16666666666666666</c:v>
                </c:pt>
              </c:numCache>
            </c:numRef>
          </c:val>
        </c:ser>
        <c:ser>
          <c:idx val="4"/>
          <c:order val="4"/>
          <c:tx>
            <c:strRef>
              <c:f>'S30b likelihood'!$G$279</c:f>
              <c:strCache>
                <c:ptCount val="1"/>
                <c:pt idx="0">
                  <c:v>Policy makers and academia</c:v>
                </c:pt>
              </c:strCache>
            </c:strRef>
          </c:tx>
          <c:invertIfNegative val="0"/>
          <c:cat>
            <c:strRef>
              <c:f>'S30b likelihood'!$B$280:$B$284</c:f>
              <c:strCache>
                <c:ptCount val="5"/>
                <c:pt idx="0">
                  <c:v>Definitely not</c:v>
                </c:pt>
                <c:pt idx="1">
                  <c:v>Sometimes</c:v>
                </c:pt>
                <c:pt idx="2">
                  <c:v>Most of the time</c:v>
                </c:pt>
                <c:pt idx="3">
                  <c:v>Yes, always</c:v>
                </c:pt>
                <c:pt idx="4">
                  <c:v>I don’t know</c:v>
                </c:pt>
              </c:strCache>
            </c:strRef>
          </c:cat>
          <c:val>
            <c:numRef>
              <c:f>'S30b likelihood'!$G$280:$G$284</c:f>
              <c:numCache>
                <c:formatCode>0%</c:formatCode>
                <c:ptCount val="5"/>
                <c:pt idx="0">
                  <c:v>5.5555555555555552E-2</c:v>
                </c:pt>
                <c:pt idx="1">
                  <c:v>5.5555555555555552E-2</c:v>
                </c:pt>
                <c:pt idx="2">
                  <c:v>5.5555555555555552E-2</c:v>
                </c:pt>
                <c:pt idx="3">
                  <c:v>0</c:v>
                </c:pt>
                <c:pt idx="4">
                  <c:v>0</c:v>
                </c:pt>
              </c:numCache>
            </c:numRef>
          </c:val>
        </c:ser>
        <c:ser>
          <c:idx val="5"/>
          <c:order val="5"/>
          <c:tx>
            <c:strRef>
              <c:f>'S30b likelihood'!$H$279</c:f>
              <c:strCache>
                <c:ptCount val="1"/>
                <c:pt idx="0">
                  <c:v>NGOs</c:v>
                </c:pt>
              </c:strCache>
            </c:strRef>
          </c:tx>
          <c:invertIfNegative val="0"/>
          <c:cat>
            <c:strRef>
              <c:f>'S30b likelihood'!$B$280:$B$284</c:f>
              <c:strCache>
                <c:ptCount val="5"/>
                <c:pt idx="0">
                  <c:v>Definitely not</c:v>
                </c:pt>
                <c:pt idx="1">
                  <c:v>Sometimes</c:v>
                </c:pt>
                <c:pt idx="2">
                  <c:v>Most of the time</c:v>
                </c:pt>
                <c:pt idx="3">
                  <c:v>Yes, always</c:v>
                </c:pt>
                <c:pt idx="4">
                  <c:v>I don’t know</c:v>
                </c:pt>
              </c:strCache>
            </c:strRef>
          </c:cat>
          <c:val>
            <c:numRef>
              <c:f>'S30b likelihood'!$H$280:$H$284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77639808"/>
        <c:axId val="177641344"/>
      </c:barChart>
      <c:catAx>
        <c:axId val="177639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41344"/>
        <c:crosses val="autoZero"/>
        <c:auto val="1"/>
        <c:lblAlgn val="ctr"/>
        <c:lblOffset val="100"/>
        <c:noMultiLvlLbl val="0"/>
      </c:catAx>
      <c:valAx>
        <c:axId val="177641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398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likelihood'!$BQ$72:$BQ$78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likelihood'!$BS$72:$BS$78</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7657344"/>
        <c:axId val="177658880"/>
      </c:barChart>
      <c:catAx>
        <c:axId val="17765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7658880"/>
        <c:crosses val="autoZero"/>
        <c:auto val="1"/>
        <c:lblAlgn val="ctr"/>
        <c:lblOffset val="100"/>
        <c:tickLblSkip val="1"/>
        <c:noMultiLvlLbl val="0"/>
      </c:catAx>
      <c:valAx>
        <c:axId val="1776588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57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likelihood'!$BQ$99:$BQ$105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likelihood'!$BS$99:$BS$105</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7711744"/>
        <c:axId val="177717632"/>
      </c:barChart>
      <c:catAx>
        <c:axId val="17771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7717632"/>
        <c:crosses val="autoZero"/>
        <c:auto val="1"/>
        <c:lblAlgn val="ctr"/>
        <c:lblOffset val="100"/>
        <c:tickLblSkip val="1"/>
        <c:noMultiLvlLbl val="0"/>
      </c:catAx>
      <c:valAx>
        <c:axId val="1777176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71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likelihood'!$BQ$126:$BQ$132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likelihood'!$BS$126:$BS$132</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7278976"/>
        <c:axId val="177280512"/>
      </c:barChart>
      <c:catAx>
        <c:axId val="17727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7280512"/>
        <c:crosses val="autoZero"/>
        <c:auto val="1"/>
        <c:lblAlgn val="ctr"/>
        <c:lblOffset val="100"/>
        <c:tickLblSkip val="1"/>
        <c:noMultiLvlLbl val="0"/>
      </c:catAx>
      <c:valAx>
        <c:axId val="1772805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278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likelihood'!$BQ$207:$BQ$213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likelihood'!$BS$207:$BS$213</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38059776"/>
        <c:axId val="138061312"/>
      </c:barChart>
      <c:catAx>
        <c:axId val="13805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8061312"/>
        <c:crosses val="autoZero"/>
        <c:auto val="1"/>
        <c:lblAlgn val="ctr"/>
        <c:lblOffset val="100"/>
        <c:tickLblSkip val="1"/>
        <c:noMultiLvlLbl val="0"/>
      </c:catAx>
      <c:valAx>
        <c:axId val="1380613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8059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likelihood'!$BQ$153:$BQ$159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likelihood'!$BS$153:$BS$159</c:f>
              <c:numCache>
                <c:formatCode>0%</c:formatCode>
                <c:ptCount val="7"/>
                <c:pt idx="0">
                  <c:v>0</c:v>
                </c:pt>
                <c:pt idx="1">
                  <c:v>0</c:v>
                </c:pt>
                <c:pt idx="2">
                  <c:v>1</c:v>
                </c:pt>
                <c:pt idx="3">
                  <c:v>0</c:v>
                </c:pt>
                <c:pt idx="4">
                  <c:v>0</c:v>
                </c:pt>
                <c:pt idx="5">
                  <c:v>0</c:v>
                </c:pt>
                <c:pt idx="6">
                  <c:v>0</c:v>
                </c:pt>
              </c:numCache>
            </c:numRef>
          </c:val>
        </c:ser>
        <c:dLbls>
          <c:showLegendKey val="0"/>
          <c:showVal val="0"/>
          <c:showCatName val="0"/>
          <c:showSerName val="0"/>
          <c:showPercent val="0"/>
          <c:showBubbleSize val="0"/>
        </c:dLbls>
        <c:gapWidth val="219"/>
        <c:overlap val="-27"/>
        <c:axId val="177308800"/>
        <c:axId val="177310336"/>
      </c:barChart>
      <c:catAx>
        <c:axId val="17730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7310336"/>
        <c:crosses val="autoZero"/>
        <c:auto val="1"/>
        <c:lblAlgn val="ctr"/>
        <c:lblOffset val="100"/>
        <c:tickLblSkip val="1"/>
        <c:noMultiLvlLbl val="0"/>
      </c:catAx>
      <c:valAx>
        <c:axId val="1773103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08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likelihood'!$B$135</c:f>
          <c:strCache>
            <c:ptCount val="1"/>
            <c:pt idx="0">
              <c:v>Non-bioenergy wood users</c:v>
            </c:pt>
          </c:strCache>
        </c:strRef>
      </c:tx>
      <c:layout>
        <c:manualLayout>
          <c:xMode val="edge"/>
          <c:yMode val="edge"/>
          <c:x val="0.27968954167925908"/>
          <c:y val="3.07354608564545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likelihood'!$G$153:$G$157</c:f>
              <c:strCache>
                <c:ptCount val="5"/>
                <c:pt idx="0">
                  <c:v>Definitely not</c:v>
                </c:pt>
                <c:pt idx="1">
                  <c:v>Sometimes</c:v>
                </c:pt>
                <c:pt idx="2">
                  <c:v>Most of the time</c:v>
                </c:pt>
                <c:pt idx="3">
                  <c:v>Yes, always</c:v>
                </c:pt>
                <c:pt idx="4">
                  <c:v>I don’t know</c:v>
                </c:pt>
              </c:strCache>
            </c:strRef>
          </c:cat>
          <c:val>
            <c:numRef>
              <c:f>'S30b likelihood'!$I$153:$I$157</c:f>
              <c:numCache>
                <c:formatCode>0%</c:formatCode>
                <c:ptCount val="5"/>
                <c:pt idx="0">
                  <c:v>0</c:v>
                </c:pt>
                <c:pt idx="1">
                  <c:v>0</c:v>
                </c:pt>
                <c:pt idx="2">
                  <c:v>0</c:v>
                </c:pt>
                <c:pt idx="3">
                  <c:v>0</c:v>
                </c:pt>
                <c:pt idx="4">
                  <c:v>1</c:v>
                </c:pt>
              </c:numCache>
            </c:numRef>
          </c:val>
        </c:ser>
        <c:dLbls>
          <c:showLegendKey val="0"/>
          <c:showVal val="0"/>
          <c:showCatName val="0"/>
          <c:showSerName val="0"/>
          <c:showPercent val="0"/>
          <c:showBubbleSize val="0"/>
        </c:dLbls>
        <c:gapWidth val="219"/>
        <c:overlap val="-27"/>
        <c:axId val="177424640"/>
        <c:axId val="177434624"/>
      </c:barChart>
      <c:catAx>
        <c:axId val="1774246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7434624"/>
        <c:crosses val="autoZero"/>
        <c:auto val="1"/>
        <c:lblAlgn val="ctr"/>
        <c:lblOffset val="100"/>
        <c:tickLblSkip val="1"/>
        <c:noMultiLvlLbl val="0"/>
      </c:catAx>
      <c:valAx>
        <c:axId val="177434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424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likelihood'!$BQ$180:$BQ$186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likelihood'!$BS$180:$BS$186</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77442176"/>
        <c:axId val="177460352"/>
      </c:barChart>
      <c:catAx>
        <c:axId val="17744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7460352"/>
        <c:crosses val="autoZero"/>
        <c:auto val="1"/>
        <c:lblAlgn val="ctr"/>
        <c:lblOffset val="100"/>
        <c:tickLblSkip val="1"/>
        <c:noMultiLvlLbl val="0"/>
      </c:catAx>
      <c:valAx>
        <c:axId val="1774603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442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likelihood'!$B$162</c:f>
          <c:strCache>
            <c:ptCount val="1"/>
            <c:pt idx="0">
              <c:v>Policy makers and academia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likelihood'!$G$180:$G$184</c:f>
              <c:strCache>
                <c:ptCount val="5"/>
                <c:pt idx="0">
                  <c:v>Definitely not</c:v>
                </c:pt>
                <c:pt idx="1">
                  <c:v>Sometimes</c:v>
                </c:pt>
                <c:pt idx="2">
                  <c:v>Most of the time</c:v>
                </c:pt>
                <c:pt idx="3">
                  <c:v>Yes, always</c:v>
                </c:pt>
                <c:pt idx="4">
                  <c:v>I don’t know</c:v>
                </c:pt>
              </c:strCache>
            </c:strRef>
          </c:cat>
          <c:val>
            <c:numRef>
              <c:f>'S30b likelihood'!$I$180:$I$184</c:f>
              <c:numCache>
                <c:formatCode>0%</c:formatCode>
                <c:ptCount val="5"/>
                <c:pt idx="0">
                  <c:v>0.33333333333333331</c:v>
                </c:pt>
                <c:pt idx="1">
                  <c:v>0.33333333333333331</c:v>
                </c:pt>
                <c:pt idx="2">
                  <c:v>0.33333333333333331</c:v>
                </c:pt>
                <c:pt idx="3">
                  <c:v>0</c:v>
                </c:pt>
                <c:pt idx="4">
                  <c:v>0</c:v>
                </c:pt>
              </c:numCache>
            </c:numRef>
          </c:val>
        </c:ser>
        <c:dLbls>
          <c:showLegendKey val="0"/>
          <c:showVal val="0"/>
          <c:showCatName val="0"/>
          <c:showSerName val="0"/>
          <c:showPercent val="0"/>
          <c:showBubbleSize val="0"/>
        </c:dLbls>
        <c:gapWidth val="219"/>
        <c:overlap val="-27"/>
        <c:axId val="177488640"/>
        <c:axId val="177490176"/>
      </c:barChart>
      <c:catAx>
        <c:axId val="177488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7490176"/>
        <c:crosses val="autoZero"/>
        <c:auto val="1"/>
        <c:lblAlgn val="ctr"/>
        <c:lblOffset val="100"/>
        <c:tickLblSkip val="1"/>
        <c:noMultiLvlLbl val="0"/>
      </c:catAx>
      <c:valAx>
        <c:axId val="1774901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488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likelihood'!$B$189</c:f>
          <c:strCache>
            <c:ptCount val="1"/>
            <c:pt idx="0">
              <c:v>NGOs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likelihood'!$G$207:$G$211</c:f>
              <c:strCache>
                <c:ptCount val="5"/>
                <c:pt idx="0">
                  <c:v>Definitely not</c:v>
                </c:pt>
                <c:pt idx="1">
                  <c:v>Sometimes</c:v>
                </c:pt>
                <c:pt idx="2">
                  <c:v>Most of the time</c:v>
                </c:pt>
                <c:pt idx="3">
                  <c:v>Yes, always</c:v>
                </c:pt>
                <c:pt idx="4">
                  <c:v>I don’t know</c:v>
                </c:pt>
              </c:strCache>
            </c:strRef>
          </c:cat>
          <c:val>
            <c:numRef>
              <c:f>'S30b likelihood'!$I$207:$I$211</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77506176"/>
        <c:axId val="177507712"/>
      </c:barChart>
      <c:catAx>
        <c:axId val="17750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7507712"/>
        <c:crosses val="autoZero"/>
        <c:auto val="1"/>
        <c:lblAlgn val="ctr"/>
        <c:lblOffset val="100"/>
        <c:tickLblSkip val="1"/>
        <c:noMultiLvlLbl val="0"/>
      </c:catAx>
      <c:valAx>
        <c:axId val="177507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06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likelihood'!$BQ$207:$BQ$213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likelihood'!$BS$207:$BS$213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7536000"/>
        <c:axId val="177754880"/>
      </c:barChart>
      <c:catAx>
        <c:axId val="177536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7754880"/>
        <c:crosses val="autoZero"/>
        <c:auto val="1"/>
        <c:lblAlgn val="ctr"/>
        <c:lblOffset val="100"/>
        <c:tickLblSkip val="1"/>
        <c:noMultiLvlLbl val="0"/>
      </c:catAx>
      <c:valAx>
        <c:axId val="1777548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7536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likelihood'!$BQ$234:$BQ$240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likelihood'!$BS$234:$BS$240</c:f>
              <c:numCache>
                <c:formatCode>0%</c:formatCode>
                <c:ptCount val="7"/>
                <c:pt idx="0">
                  <c:v>0.5</c:v>
                </c:pt>
                <c:pt idx="1">
                  <c:v>0.16666666666666666</c:v>
                </c:pt>
                <c:pt idx="2">
                  <c:v>0.16666666666666666</c:v>
                </c:pt>
                <c:pt idx="3">
                  <c:v>0</c:v>
                </c:pt>
                <c:pt idx="4">
                  <c:v>0.16666666666666666</c:v>
                </c:pt>
                <c:pt idx="5">
                  <c:v>0</c:v>
                </c:pt>
                <c:pt idx="6">
                  <c:v>0</c:v>
                </c:pt>
              </c:numCache>
            </c:numRef>
          </c:val>
        </c:ser>
        <c:dLbls>
          <c:showLegendKey val="0"/>
          <c:showVal val="0"/>
          <c:showCatName val="0"/>
          <c:showSerName val="0"/>
          <c:showPercent val="0"/>
          <c:showBubbleSize val="0"/>
        </c:dLbls>
        <c:gapWidth val="219"/>
        <c:overlap val="-27"/>
        <c:axId val="177787264"/>
        <c:axId val="177788800"/>
      </c:barChart>
      <c:catAx>
        <c:axId val="17778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7788800"/>
        <c:crosses val="autoZero"/>
        <c:auto val="1"/>
        <c:lblAlgn val="ctr"/>
        <c:lblOffset val="100"/>
        <c:tickLblSkip val="1"/>
        <c:noMultiLvlLbl val="0"/>
      </c:catAx>
      <c:valAx>
        <c:axId val="177788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787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likelihood'!$BM$247</c:f>
              <c:strCache>
                <c:ptCount val="1"/>
                <c:pt idx="0">
                  <c:v>Forest owners/managers</c:v>
                </c:pt>
              </c:strCache>
            </c:strRef>
          </c:tx>
          <c:spPr>
            <a:solidFill>
              <a:schemeClr val="accent1"/>
            </a:solidFill>
            <a:ln>
              <a:noFill/>
            </a:ln>
            <a:effectLst/>
          </c:spPr>
          <c:invertIfNegative val="0"/>
          <c:cat>
            <c:strRef>
              <c:f>'S30b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likelihood'!$BM$248:$BM$254</c:f>
              <c:numCache>
                <c:formatCode>General</c:formatCode>
                <c:ptCount val="7"/>
                <c:pt idx="0">
                  <c:v>2</c:v>
                </c:pt>
                <c:pt idx="1">
                  <c:v>0</c:v>
                </c:pt>
                <c:pt idx="2">
                  <c:v>0</c:v>
                </c:pt>
                <c:pt idx="3">
                  <c:v>0</c:v>
                </c:pt>
                <c:pt idx="4">
                  <c:v>0</c:v>
                </c:pt>
                <c:pt idx="5">
                  <c:v>0</c:v>
                </c:pt>
                <c:pt idx="6">
                  <c:v>0</c:v>
                </c:pt>
              </c:numCache>
            </c:numRef>
          </c:val>
        </c:ser>
        <c:ser>
          <c:idx val="1"/>
          <c:order val="1"/>
          <c:tx>
            <c:strRef>
              <c:f>'S30b likelihood'!$BN$247</c:f>
              <c:strCache>
                <c:ptCount val="1"/>
                <c:pt idx="0">
                  <c:v>Pellet producers</c:v>
                </c:pt>
              </c:strCache>
            </c:strRef>
          </c:tx>
          <c:spPr>
            <a:solidFill>
              <a:schemeClr val="accent2"/>
            </a:solidFill>
            <a:ln>
              <a:noFill/>
            </a:ln>
            <a:effectLst/>
          </c:spPr>
          <c:invertIfNegative val="0"/>
          <c:cat>
            <c:strRef>
              <c:f>'S30b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likelihood'!$BN$248:$BN$254</c:f>
              <c:numCache>
                <c:formatCode>0</c:formatCode>
                <c:ptCount val="7"/>
                <c:pt idx="0">
                  <c:v>1</c:v>
                </c:pt>
                <c:pt idx="1">
                  <c:v>0</c:v>
                </c:pt>
                <c:pt idx="2">
                  <c:v>0</c:v>
                </c:pt>
                <c:pt idx="3">
                  <c:v>0</c:v>
                </c:pt>
                <c:pt idx="4">
                  <c:v>0</c:v>
                </c:pt>
                <c:pt idx="5">
                  <c:v>0</c:v>
                </c:pt>
                <c:pt idx="6">
                  <c:v>0</c:v>
                </c:pt>
              </c:numCache>
            </c:numRef>
          </c:val>
        </c:ser>
        <c:ser>
          <c:idx val="2"/>
          <c:order val="2"/>
          <c:tx>
            <c:strRef>
              <c:f>'S30b likelihood'!$BO$247</c:f>
              <c:strCache>
                <c:ptCount val="1"/>
                <c:pt idx="0">
                  <c:v>Pellet users</c:v>
                </c:pt>
              </c:strCache>
            </c:strRef>
          </c:tx>
          <c:spPr>
            <a:solidFill>
              <a:schemeClr val="accent3"/>
            </a:solidFill>
            <a:ln>
              <a:noFill/>
            </a:ln>
            <a:effectLst/>
          </c:spPr>
          <c:invertIfNegative val="0"/>
          <c:cat>
            <c:strRef>
              <c:f>'S30b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likelihood'!$BO$248:$BO$254</c:f>
              <c:numCache>
                <c:formatCode>General</c:formatCode>
                <c:ptCount val="7"/>
                <c:pt idx="0">
                  <c:v>0</c:v>
                </c:pt>
                <c:pt idx="1">
                  <c:v>1</c:v>
                </c:pt>
                <c:pt idx="2">
                  <c:v>0</c:v>
                </c:pt>
                <c:pt idx="3">
                  <c:v>0</c:v>
                </c:pt>
                <c:pt idx="4">
                  <c:v>0</c:v>
                </c:pt>
                <c:pt idx="5">
                  <c:v>0</c:v>
                </c:pt>
                <c:pt idx="6">
                  <c:v>0</c:v>
                </c:pt>
              </c:numCache>
            </c:numRef>
          </c:val>
        </c:ser>
        <c:ser>
          <c:idx val="3"/>
          <c:order val="3"/>
          <c:tx>
            <c:strRef>
              <c:f>'S30b likelihood'!$BP$247</c:f>
              <c:strCache>
                <c:ptCount val="1"/>
                <c:pt idx="0">
                  <c:v>Non-bioenergy wood users</c:v>
                </c:pt>
              </c:strCache>
            </c:strRef>
          </c:tx>
          <c:spPr>
            <a:solidFill>
              <a:schemeClr val="accent4"/>
            </a:solidFill>
            <a:ln>
              <a:noFill/>
            </a:ln>
            <a:effectLst/>
          </c:spPr>
          <c:invertIfNegative val="0"/>
          <c:cat>
            <c:strRef>
              <c:f>'S30b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likelihood'!$BP$248:$BP$254</c:f>
              <c:numCache>
                <c:formatCode>General</c:formatCode>
                <c:ptCount val="7"/>
                <c:pt idx="0">
                  <c:v>0</c:v>
                </c:pt>
                <c:pt idx="1">
                  <c:v>0</c:v>
                </c:pt>
                <c:pt idx="2">
                  <c:v>1</c:v>
                </c:pt>
                <c:pt idx="3">
                  <c:v>0</c:v>
                </c:pt>
                <c:pt idx="4">
                  <c:v>0</c:v>
                </c:pt>
                <c:pt idx="5">
                  <c:v>0</c:v>
                </c:pt>
                <c:pt idx="6">
                  <c:v>0</c:v>
                </c:pt>
              </c:numCache>
            </c:numRef>
          </c:val>
        </c:ser>
        <c:ser>
          <c:idx val="4"/>
          <c:order val="4"/>
          <c:tx>
            <c:strRef>
              <c:f>'S30b likelihood'!$BQ$247</c:f>
              <c:strCache>
                <c:ptCount val="1"/>
                <c:pt idx="0">
                  <c:v>Policy makers and academia</c:v>
                </c:pt>
              </c:strCache>
            </c:strRef>
          </c:tx>
          <c:spPr>
            <a:solidFill>
              <a:schemeClr val="accent5"/>
            </a:solidFill>
            <a:ln>
              <a:noFill/>
            </a:ln>
            <a:effectLst/>
          </c:spPr>
          <c:invertIfNegative val="0"/>
          <c:cat>
            <c:strRef>
              <c:f>'S30b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likelihood'!$BQ$248:$BQ$254</c:f>
              <c:numCache>
                <c:formatCode>0</c:formatCode>
                <c:ptCount val="7"/>
                <c:pt idx="0">
                  <c:v>0</c:v>
                </c:pt>
                <c:pt idx="1">
                  <c:v>0</c:v>
                </c:pt>
                <c:pt idx="2">
                  <c:v>0</c:v>
                </c:pt>
                <c:pt idx="3">
                  <c:v>0</c:v>
                </c:pt>
                <c:pt idx="4">
                  <c:v>1</c:v>
                </c:pt>
                <c:pt idx="5">
                  <c:v>0</c:v>
                </c:pt>
                <c:pt idx="6">
                  <c:v>0</c:v>
                </c:pt>
              </c:numCache>
            </c:numRef>
          </c:val>
        </c:ser>
        <c:ser>
          <c:idx val="5"/>
          <c:order val="5"/>
          <c:tx>
            <c:strRef>
              <c:f>'S30b likelihood'!$BR$247</c:f>
              <c:strCache>
                <c:ptCount val="1"/>
                <c:pt idx="0">
                  <c:v>NGOs</c:v>
                </c:pt>
              </c:strCache>
            </c:strRef>
          </c:tx>
          <c:spPr>
            <a:solidFill>
              <a:schemeClr val="accent6"/>
            </a:solidFill>
            <a:ln>
              <a:noFill/>
            </a:ln>
            <a:effectLst/>
          </c:spPr>
          <c:invertIfNegative val="0"/>
          <c:cat>
            <c:strRef>
              <c:f>'S30b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likelihood'!$BR$248:$BR$254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77890816"/>
        <c:axId val="177892352"/>
      </c:barChart>
      <c:catAx>
        <c:axId val="1778908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7892352"/>
        <c:crosses val="autoZero"/>
        <c:auto val="1"/>
        <c:lblAlgn val="ctr"/>
        <c:lblOffset val="100"/>
        <c:noMultiLvlLbl val="0"/>
      </c:catAx>
      <c:valAx>
        <c:axId val="177892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890816"/>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likelihood'!$C$279</c:f>
              <c:strCache>
                <c:ptCount val="1"/>
                <c:pt idx="0">
                  <c:v>Forest owners/managers</c:v>
                </c:pt>
              </c:strCache>
            </c:strRef>
          </c:tx>
          <c:invertIfNegative val="0"/>
          <c:cat>
            <c:strRef>
              <c:f>'S30b likelihood'!$B$280:$B$284</c:f>
              <c:strCache>
                <c:ptCount val="5"/>
                <c:pt idx="0">
                  <c:v>Definitely not</c:v>
                </c:pt>
                <c:pt idx="1">
                  <c:v>Sometimes</c:v>
                </c:pt>
                <c:pt idx="2">
                  <c:v>Most of the time</c:v>
                </c:pt>
                <c:pt idx="3">
                  <c:v>Yes, always</c:v>
                </c:pt>
                <c:pt idx="4">
                  <c:v>I don’t know</c:v>
                </c:pt>
              </c:strCache>
            </c:strRef>
          </c:cat>
          <c:val>
            <c:numRef>
              <c:f>'S30b likelihood'!$C$280:$C$284</c:f>
              <c:numCache>
                <c:formatCode>0%</c:formatCode>
                <c:ptCount val="5"/>
                <c:pt idx="0">
                  <c:v>4.1666666666666664E-2</c:v>
                </c:pt>
                <c:pt idx="1">
                  <c:v>0</c:v>
                </c:pt>
                <c:pt idx="2">
                  <c:v>0</c:v>
                </c:pt>
                <c:pt idx="3">
                  <c:v>0</c:v>
                </c:pt>
                <c:pt idx="4">
                  <c:v>0.125</c:v>
                </c:pt>
              </c:numCache>
            </c:numRef>
          </c:val>
        </c:ser>
        <c:ser>
          <c:idx val="1"/>
          <c:order val="1"/>
          <c:tx>
            <c:strRef>
              <c:f>'S30b likelihood'!$D$279</c:f>
              <c:strCache>
                <c:ptCount val="1"/>
                <c:pt idx="0">
                  <c:v>Pellet producers</c:v>
                </c:pt>
              </c:strCache>
            </c:strRef>
          </c:tx>
          <c:invertIfNegative val="0"/>
          <c:cat>
            <c:strRef>
              <c:f>'S30b likelihood'!$B$280:$B$284</c:f>
              <c:strCache>
                <c:ptCount val="5"/>
                <c:pt idx="0">
                  <c:v>Definitely not</c:v>
                </c:pt>
                <c:pt idx="1">
                  <c:v>Sometimes</c:v>
                </c:pt>
                <c:pt idx="2">
                  <c:v>Most of the time</c:v>
                </c:pt>
                <c:pt idx="3">
                  <c:v>Yes, always</c:v>
                </c:pt>
                <c:pt idx="4">
                  <c:v>I don’t know</c:v>
                </c:pt>
              </c:strCache>
            </c:strRef>
          </c:cat>
          <c:val>
            <c:numRef>
              <c:f>'S30b likelihood'!$D$280:$D$284</c:f>
              <c:numCache>
                <c:formatCode>0%</c:formatCode>
                <c:ptCount val="5"/>
                <c:pt idx="0">
                  <c:v>0</c:v>
                </c:pt>
                <c:pt idx="1">
                  <c:v>0</c:v>
                </c:pt>
                <c:pt idx="2">
                  <c:v>0</c:v>
                </c:pt>
                <c:pt idx="3">
                  <c:v>0</c:v>
                </c:pt>
                <c:pt idx="4">
                  <c:v>0</c:v>
                </c:pt>
              </c:numCache>
            </c:numRef>
          </c:val>
        </c:ser>
        <c:ser>
          <c:idx val="2"/>
          <c:order val="2"/>
          <c:tx>
            <c:strRef>
              <c:f>'S30b likelihood'!$E$279</c:f>
              <c:strCache>
                <c:ptCount val="1"/>
                <c:pt idx="0">
                  <c:v>Pellet users</c:v>
                </c:pt>
              </c:strCache>
            </c:strRef>
          </c:tx>
          <c:invertIfNegative val="0"/>
          <c:cat>
            <c:strRef>
              <c:f>'S30b likelihood'!$B$280:$B$284</c:f>
              <c:strCache>
                <c:ptCount val="5"/>
                <c:pt idx="0">
                  <c:v>Definitely not</c:v>
                </c:pt>
                <c:pt idx="1">
                  <c:v>Sometimes</c:v>
                </c:pt>
                <c:pt idx="2">
                  <c:v>Most of the time</c:v>
                </c:pt>
                <c:pt idx="3">
                  <c:v>Yes, always</c:v>
                </c:pt>
                <c:pt idx="4">
                  <c:v>I don’t know</c:v>
                </c:pt>
              </c:strCache>
            </c:strRef>
          </c:cat>
          <c:val>
            <c:numRef>
              <c:f>'S30b likelihood'!$E$280:$E$284</c:f>
              <c:numCache>
                <c:formatCode>0%</c:formatCode>
                <c:ptCount val="5"/>
                <c:pt idx="0">
                  <c:v>0.16666666666666666</c:v>
                </c:pt>
                <c:pt idx="1">
                  <c:v>0</c:v>
                </c:pt>
                <c:pt idx="2">
                  <c:v>0</c:v>
                </c:pt>
                <c:pt idx="3">
                  <c:v>0</c:v>
                </c:pt>
                <c:pt idx="4">
                  <c:v>0</c:v>
                </c:pt>
              </c:numCache>
            </c:numRef>
          </c:val>
        </c:ser>
        <c:ser>
          <c:idx val="3"/>
          <c:order val="3"/>
          <c:tx>
            <c:strRef>
              <c:f>'S30b likelihood'!$F$279</c:f>
              <c:strCache>
                <c:ptCount val="1"/>
                <c:pt idx="0">
                  <c:v>Non-bioenergy wood users</c:v>
                </c:pt>
              </c:strCache>
            </c:strRef>
          </c:tx>
          <c:invertIfNegative val="0"/>
          <c:cat>
            <c:strRef>
              <c:f>'S30b likelihood'!$B$280:$B$284</c:f>
              <c:strCache>
                <c:ptCount val="5"/>
                <c:pt idx="0">
                  <c:v>Definitely not</c:v>
                </c:pt>
                <c:pt idx="1">
                  <c:v>Sometimes</c:v>
                </c:pt>
                <c:pt idx="2">
                  <c:v>Most of the time</c:v>
                </c:pt>
                <c:pt idx="3">
                  <c:v>Yes, always</c:v>
                </c:pt>
                <c:pt idx="4">
                  <c:v>I don’t know</c:v>
                </c:pt>
              </c:strCache>
            </c:strRef>
          </c:cat>
          <c:val>
            <c:numRef>
              <c:f>'S30b likelihood'!$F$280:$F$284</c:f>
              <c:numCache>
                <c:formatCode>0%</c:formatCode>
                <c:ptCount val="5"/>
                <c:pt idx="0">
                  <c:v>0</c:v>
                </c:pt>
                <c:pt idx="1">
                  <c:v>0</c:v>
                </c:pt>
                <c:pt idx="2">
                  <c:v>0</c:v>
                </c:pt>
                <c:pt idx="3">
                  <c:v>0</c:v>
                </c:pt>
                <c:pt idx="4">
                  <c:v>0.16666666666666666</c:v>
                </c:pt>
              </c:numCache>
            </c:numRef>
          </c:val>
        </c:ser>
        <c:ser>
          <c:idx val="4"/>
          <c:order val="4"/>
          <c:tx>
            <c:strRef>
              <c:f>'S30b likelihood'!$G$279</c:f>
              <c:strCache>
                <c:ptCount val="1"/>
                <c:pt idx="0">
                  <c:v>Policy makers and academia</c:v>
                </c:pt>
              </c:strCache>
            </c:strRef>
          </c:tx>
          <c:invertIfNegative val="0"/>
          <c:cat>
            <c:strRef>
              <c:f>'S30b likelihood'!$B$280:$B$284</c:f>
              <c:strCache>
                <c:ptCount val="5"/>
                <c:pt idx="0">
                  <c:v>Definitely not</c:v>
                </c:pt>
                <c:pt idx="1">
                  <c:v>Sometimes</c:v>
                </c:pt>
                <c:pt idx="2">
                  <c:v>Most of the time</c:v>
                </c:pt>
                <c:pt idx="3">
                  <c:v>Yes, always</c:v>
                </c:pt>
                <c:pt idx="4">
                  <c:v>I don’t know</c:v>
                </c:pt>
              </c:strCache>
            </c:strRef>
          </c:cat>
          <c:val>
            <c:numRef>
              <c:f>'S30b likelihood'!$G$280:$G$284</c:f>
              <c:numCache>
                <c:formatCode>0%</c:formatCode>
                <c:ptCount val="5"/>
                <c:pt idx="0">
                  <c:v>5.5555555555555552E-2</c:v>
                </c:pt>
                <c:pt idx="1">
                  <c:v>5.5555555555555552E-2</c:v>
                </c:pt>
                <c:pt idx="2">
                  <c:v>5.5555555555555552E-2</c:v>
                </c:pt>
                <c:pt idx="3">
                  <c:v>0</c:v>
                </c:pt>
                <c:pt idx="4">
                  <c:v>0</c:v>
                </c:pt>
              </c:numCache>
            </c:numRef>
          </c:val>
        </c:ser>
        <c:ser>
          <c:idx val="5"/>
          <c:order val="5"/>
          <c:tx>
            <c:strRef>
              <c:f>'S30b likelihood'!$H$279</c:f>
              <c:strCache>
                <c:ptCount val="1"/>
                <c:pt idx="0">
                  <c:v>NGOs</c:v>
                </c:pt>
              </c:strCache>
            </c:strRef>
          </c:tx>
          <c:invertIfNegative val="0"/>
          <c:cat>
            <c:strRef>
              <c:f>'S30b likelihood'!$B$280:$B$284</c:f>
              <c:strCache>
                <c:ptCount val="5"/>
                <c:pt idx="0">
                  <c:v>Definitely not</c:v>
                </c:pt>
                <c:pt idx="1">
                  <c:v>Sometimes</c:v>
                </c:pt>
                <c:pt idx="2">
                  <c:v>Most of the time</c:v>
                </c:pt>
                <c:pt idx="3">
                  <c:v>Yes, always</c:v>
                </c:pt>
                <c:pt idx="4">
                  <c:v>I don’t know</c:v>
                </c:pt>
              </c:strCache>
            </c:strRef>
          </c:cat>
          <c:val>
            <c:numRef>
              <c:f>'S30b likelihood'!$H$280:$H$284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55"/>
        <c:overlap val="100"/>
        <c:axId val="178207360"/>
        <c:axId val="178217344"/>
      </c:barChart>
      <c:catAx>
        <c:axId val="17820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217344"/>
        <c:crosses val="autoZero"/>
        <c:auto val="1"/>
        <c:lblAlgn val="ctr"/>
        <c:lblOffset val="100"/>
        <c:noMultiLvlLbl val="0"/>
      </c:catAx>
      <c:valAx>
        <c:axId val="178217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782073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likelihood'!$BM$279</c:f>
              <c:strCache>
                <c:ptCount val="1"/>
                <c:pt idx="0">
                  <c:v>Forest owners/managers</c:v>
                </c:pt>
              </c:strCache>
            </c:strRef>
          </c:tx>
          <c:invertIfNegative val="0"/>
          <c:cat>
            <c:strRef>
              <c:f>'S30b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likelihood'!$BM$280:$BM$286</c:f>
              <c:numCache>
                <c:formatCode>0%</c:formatCode>
                <c:ptCount val="7"/>
                <c:pt idx="0">
                  <c:v>0.16666666666666666</c:v>
                </c:pt>
                <c:pt idx="1">
                  <c:v>0</c:v>
                </c:pt>
                <c:pt idx="2">
                  <c:v>0</c:v>
                </c:pt>
                <c:pt idx="3">
                  <c:v>0</c:v>
                </c:pt>
                <c:pt idx="4">
                  <c:v>0</c:v>
                </c:pt>
                <c:pt idx="5">
                  <c:v>0</c:v>
                </c:pt>
                <c:pt idx="6">
                  <c:v>0</c:v>
                </c:pt>
              </c:numCache>
            </c:numRef>
          </c:val>
        </c:ser>
        <c:ser>
          <c:idx val="1"/>
          <c:order val="1"/>
          <c:tx>
            <c:strRef>
              <c:f>'S30b likelihood'!$BN$279</c:f>
              <c:strCache>
                <c:ptCount val="1"/>
                <c:pt idx="0">
                  <c:v>Pellet producers</c:v>
                </c:pt>
              </c:strCache>
            </c:strRef>
          </c:tx>
          <c:invertIfNegative val="0"/>
          <c:cat>
            <c:strRef>
              <c:f>'S30b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likelihood'!$BN$280:$BN$286</c:f>
              <c:numCache>
                <c:formatCode>0%</c:formatCode>
                <c:ptCount val="7"/>
                <c:pt idx="0">
                  <c:v>0.16666666666666666</c:v>
                </c:pt>
                <c:pt idx="1">
                  <c:v>0</c:v>
                </c:pt>
                <c:pt idx="2">
                  <c:v>0</c:v>
                </c:pt>
                <c:pt idx="3">
                  <c:v>0</c:v>
                </c:pt>
                <c:pt idx="4">
                  <c:v>0</c:v>
                </c:pt>
                <c:pt idx="5">
                  <c:v>0</c:v>
                </c:pt>
                <c:pt idx="6">
                  <c:v>0</c:v>
                </c:pt>
              </c:numCache>
            </c:numRef>
          </c:val>
        </c:ser>
        <c:ser>
          <c:idx val="2"/>
          <c:order val="2"/>
          <c:tx>
            <c:strRef>
              <c:f>'S30b likelihood'!$BO$279</c:f>
              <c:strCache>
                <c:ptCount val="1"/>
                <c:pt idx="0">
                  <c:v>Pellet users</c:v>
                </c:pt>
              </c:strCache>
            </c:strRef>
          </c:tx>
          <c:invertIfNegative val="0"/>
          <c:cat>
            <c:strRef>
              <c:f>'S30b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likelihood'!$BO$280:$BO$286</c:f>
              <c:numCache>
                <c:formatCode>0%</c:formatCode>
                <c:ptCount val="7"/>
                <c:pt idx="0">
                  <c:v>0</c:v>
                </c:pt>
                <c:pt idx="1">
                  <c:v>0.16666666666666666</c:v>
                </c:pt>
                <c:pt idx="2">
                  <c:v>0</c:v>
                </c:pt>
                <c:pt idx="3">
                  <c:v>0</c:v>
                </c:pt>
                <c:pt idx="4">
                  <c:v>0</c:v>
                </c:pt>
                <c:pt idx="5">
                  <c:v>0</c:v>
                </c:pt>
                <c:pt idx="6">
                  <c:v>0</c:v>
                </c:pt>
              </c:numCache>
            </c:numRef>
          </c:val>
        </c:ser>
        <c:ser>
          <c:idx val="3"/>
          <c:order val="3"/>
          <c:tx>
            <c:strRef>
              <c:f>'S30b likelihood'!$BP$279</c:f>
              <c:strCache>
                <c:ptCount val="1"/>
                <c:pt idx="0">
                  <c:v>Non-bioenergy wood users</c:v>
                </c:pt>
              </c:strCache>
            </c:strRef>
          </c:tx>
          <c:invertIfNegative val="0"/>
          <c:cat>
            <c:strRef>
              <c:f>'S30b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likelihood'!$BP$280:$BP$286</c:f>
              <c:numCache>
                <c:formatCode>0%</c:formatCode>
                <c:ptCount val="7"/>
                <c:pt idx="0">
                  <c:v>0</c:v>
                </c:pt>
                <c:pt idx="1">
                  <c:v>0</c:v>
                </c:pt>
                <c:pt idx="2">
                  <c:v>0.16666666666666666</c:v>
                </c:pt>
                <c:pt idx="3">
                  <c:v>0</c:v>
                </c:pt>
                <c:pt idx="4">
                  <c:v>0</c:v>
                </c:pt>
                <c:pt idx="5">
                  <c:v>0</c:v>
                </c:pt>
                <c:pt idx="6">
                  <c:v>0</c:v>
                </c:pt>
              </c:numCache>
            </c:numRef>
          </c:val>
        </c:ser>
        <c:ser>
          <c:idx val="4"/>
          <c:order val="4"/>
          <c:tx>
            <c:strRef>
              <c:f>'S30b likelihood'!$BQ$279</c:f>
              <c:strCache>
                <c:ptCount val="1"/>
                <c:pt idx="0">
                  <c:v>Policy makers and academia</c:v>
                </c:pt>
              </c:strCache>
            </c:strRef>
          </c:tx>
          <c:invertIfNegative val="0"/>
          <c:cat>
            <c:strRef>
              <c:f>'S30b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likelihood'!$BQ$280:$BQ$286</c:f>
              <c:numCache>
                <c:formatCode>0%</c:formatCode>
                <c:ptCount val="7"/>
                <c:pt idx="0">
                  <c:v>0</c:v>
                </c:pt>
                <c:pt idx="1">
                  <c:v>0</c:v>
                </c:pt>
                <c:pt idx="2">
                  <c:v>0</c:v>
                </c:pt>
                <c:pt idx="3">
                  <c:v>0</c:v>
                </c:pt>
                <c:pt idx="4">
                  <c:v>0.16666666666666666</c:v>
                </c:pt>
                <c:pt idx="5">
                  <c:v>0</c:v>
                </c:pt>
                <c:pt idx="6">
                  <c:v>0</c:v>
                </c:pt>
              </c:numCache>
            </c:numRef>
          </c:val>
        </c:ser>
        <c:ser>
          <c:idx val="5"/>
          <c:order val="5"/>
          <c:tx>
            <c:strRef>
              <c:f>'S30b likelihood'!$BR$279</c:f>
              <c:strCache>
                <c:ptCount val="1"/>
                <c:pt idx="0">
                  <c:v>NGOs</c:v>
                </c:pt>
              </c:strCache>
            </c:strRef>
          </c:tx>
          <c:invertIfNegative val="0"/>
          <c:cat>
            <c:strRef>
              <c:f>'S30b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likelihood'!$BR$280:$BR$286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78258304"/>
        <c:axId val="178259840"/>
      </c:barChart>
      <c:catAx>
        <c:axId val="1782583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259840"/>
        <c:crosses val="autoZero"/>
        <c:auto val="1"/>
        <c:lblAlgn val="ctr"/>
        <c:lblOffset val="100"/>
        <c:noMultiLvlLbl val="0"/>
      </c:catAx>
      <c:valAx>
        <c:axId val="178259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258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likelihood'!$BQ$234:$BQ$240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likelihood'!$BS$234:$BS$240</c:f>
              <c:numCache>
                <c:formatCode>0%</c:formatCode>
                <c:ptCount val="7"/>
                <c:pt idx="0">
                  <c:v>0.5</c:v>
                </c:pt>
                <c:pt idx="1">
                  <c:v>0.125</c:v>
                </c:pt>
                <c:pt idx="2">
                  <c:v>6.25E-2</c:v>
                </c:pt>
                <c:pt idx="3">
                  <c:v>0.25</c:v>
                </c:pt>
                <c:pt idx="4">
                  <c:v>0</c:v>
                </c:pt>
                <c:pt idx="5">
                  <c:v>0</c:v>
                </c:pt>
                <c:pt idx="6">
                  <c:v>6.25E-2</c:v>
                </c:pt>
              </c:numCache>
            </c:numRef>
          </c:val>
        </c:ser>
        <c:dLbls>
          <c:showLegendKey val="0"/>
          <c:showVal val="0"/>
          <c:showCatName val="0"/>
          <c:showSerName val="0"/>
          <c:showPercent val="0"/>
          <c:showBubbleSize val="0"/>
        </c:dLbls>
        <c:gapWidth val="219"/>
        <c:overlap val="-27"/>
        <c:axId val="138159232"/>
        <c:axId val="138160768"/>
      </c:barChart>
      <c:catAx>
        <c:axId val="13815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8160768"/>
        <c:crosses val="autoZero"/>
        <c:auto val="1"/>
        <c:lblAlgn val="ctr"/>
        <c:lblOffset val="100"/>
        <c:tickLblSkip val="1"/>
        <c:noMultiLvlLbl val="0"/>
      </c:catAx>
      <c:valAx>
        <c:axId val="1381607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59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likelihood'!$BM$279</c:f>
              <c:strCache>
                <c:ptCount val="1"/>
                <c:pt idx="0">
                  <c:v>Forest owners/managers</c:v>
                </c:pt>
              </c:strCache>
            </c:strRef>
          </c:tx>
          <c:invertIfNegative val="0"/>
          <c:cat>
            <c:strRef>
              <c:f>'S30b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likelihood'!$BM$280:$BM$286</c:f>
              <c:numCache>
                <c:formatCode>0%</c:formatCode>
                <c:ptCount val="7"/>
                <c:pt idx="0">
                  <c:v>0.16666666666666666</c:v>
                </c:pt>
                <c:pt idx="1">
                  <c:v>0</c:v>
                </c:pt>
                <c:pt idx="2">
                  <c:v>0</c:v>
                </c:pt>
                <c:pt idx="3">
                  <c:v>0</c:v>
                </c:pt>
                <c:pt idx="4">
                  <c:v>0</c:v>
                </c:pt>
                <c:pt idx="5">
                  <c:v>0</c:v>
                </c:pt>
                <c:pt idx="6">
                  <c:v>0</c:v>
                </c:pt>
              </c:numCache>
            </c:numRef>
          </c:val>
        </c:ser>
        <c:ser>
          <c:idx val="1"/>
          <c:order val="1"/>
          <c:tx>
            <c:strRef>
              <c:f>'S30b likelihood'!$BN$279</c:f>
              <c:strCache>
                <c:ptCount val="1"/>
                <c:pt idx="0">
                  <c:v>Pellet producers</c:v>
                </c:pt>
              </c:strCache>
            </c:strRef>
          </c:tx>
          <c:invertIfNegative val="0"/>
          <c:cat>
            <c:strRef>
              <c:f>'S30b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likelihood'!$BN$280:$BN$286</c:f>
              <c:numCache>
                <c:formatCode>0%</c:formatCode>
                <c:ptCount val="7"/>
                <c:pt idx="0">
                  <c:v>0.16666666666666666</c:v>
                </c:pt>
                <c:pt idx="1">
                  <c:v>0</c:v>
                </c:pt>
                <c:pt idx="2">
                  <c:v>0</c:v>
                </c:pt>
                <c:pt idx="3">
                  <c:v>0</c:v>
                </c:pt>
                <c:pt idx="4">
                  <c:v>0</c:v>
                </c:pt>
                <c:pt idx="5">
                  <c:v>0</c:v>
                </c:pt>
                <c:pt idx="6">
                  <c:v>0</c:v>
                </c:pt>
              </c:numCache>
            </c:numRef>
          </c:val>
        </c:ser>
        <c:ser>
          <c:idx val="2"/>
          <c:order val="2"/>
          <c:tx>
            <c:strRef>
              <c:f>'S30b likelihood'!$BO$279</c:f>
              <c:strCache>
                <c:ptCount val="1"/>
                <c:pt idx="0">
                  <c:v>Pellet users</c:v>
                </c:pt>
              </c:strCache>
            </c:strRef>
          </c:tx>
          <c:invertIfNegative val="0"/>
          <c:cat>
            <c:strRef>
              <c:f>'S30b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likelihood'!$BO$280:$BO$286</c:f>
              <c:numCache>
                <c:formatCode>0%</c:formatCode>
                <c:ptCount val="7"/>
                <c:pt idx="0">
                  <c:v>0</c:v>
                </c:pt>
                <c:pt idx="1">
                  <c:v>0.16666666666666666</c:v>
                </c:pt>
                <c:pt idx="2">
                  <c:v>0</c:v>
                </c:pt>
                <c:pt idx="3">
                  <c:v>0</c:v>
                </c:pt>
                <c:pt idx="4">
                  <c:v>0</c:v>
                </c:pt>
                <c:pt idx="5">
                  <c:v>0</c:v>
                </c:pt>
                <c:pt idx="6">
                  <c:v>0</c:v>
                </c:pt>
              </c:numCache>
            </c:numRef>
          </c:val>
        </c:ser>
        <c:ser>
          <c:idx val="3"/>
          <c:order val="3"/>
          <c:tx>
            <c:strRef>
              <c:f>'S30b likelihood'!$BP$279</c:f>
              <c:strCache>
                <c:ptCount val="1"/>
                <c:pt idx="0">
                  <c:v>Non-bioenergy wood users</c:v>
                </c:pt>
              </c:strCache>
            </c:strRef>
          </c:tx>
          <c:invertIfNegative val="0"/>
          <c:cat>
            <c:strRef>
              <c:f>'S30b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likelihood'!$BP$280:$BP$286</c:f>
              <c:numCache>
                <c:formatCode>0%</c:formatCode>
                <c:ptCount val="7"/>
                <c:pt idx="0">
                  <c:v>0</c:v>
                </c:pt>
                <c:pt idx="1">
                  <c:v>0</c:v>
                </c:pt>
                <c:pt idx="2">
                  <c:v>0.16666666666666666</c:v>
                </c:pt>
                <c:pt idx="3">
                  <c:v>0</c:v>
                </c:pt>
                <c:pt idx="4">
                  <c:v>0</c:v>
                </c:pt>
                <c:pt idx="5">
                  <c:v>0</c:v>
                </c:pt>
                <c:pt idx="6">
                  <c:v>0</c:v>
                </c:pt>
              </c:numCache>
            </c:numRef>
          </c:val>
        </c:ser>
        <c:ser>
          <c:idx val="4"/>
          <c:order val="4"/>
          <c:tx>
            <c:strRef>
              <c:f>'S30b likelihood'!$BQ$279</c:f>
              <c:strCache>
                <c:ptCount val="1"/>
                <c:pt idx="0">
                  <c:v>Policy makers and academia</c:v>
                </c:pt>
              </c:strCache>
            </c:strRef>
          </c:tx>
          <c:invertIfNegative val="0"/>
          <c:cat>
            <c:strRef>
              <c:f>'S30b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likelihood'!$BQ$280:$BQ$286</c:f>
              <c:numCache>
                <c:formatCode>0%</c:formatCode>
                <c:ptCount val="7"/>
                <c:pt idx="0">
                  <c:v>0</c:v>
                </c:pt>
                <c:pt idx="1">
                  <c:v>0</c:v>
                </c:pt>
                <c:pt idx="2">
                  <c:v>0</c:v>
                </c:pt>
                <c:pt idx="3">
                  <c:v>0</c:v>
                </c:pt>
                <c:pt idx="4">
                  <c:v>0.16666666666666666</c:v>
                </c:pt>
                <c:pt idx="5">
                  <c:v>0</c:v>
                </c:pt>
                <c:pt idx="6">
                  <c:v>0</c:v>
                </c:pt>
              </c:numCache>
            </c:numRef>
          </c:val>
        </c:ser>
        <c:ser>
          <c:idx val="5"/>
          <c:order val="5"/>
          <c:tx>
            <c:strRef>
              <c:f>'S30b likelihood'!$BR$279</c:f>
              <c:strCache>
                <c:ptCount val="1"/>
                <c:pt idx="0">
                  <c:v>NGOs</c:v>
                </c:pt>
              </c:strCache>
            </c:strRef>
          </c:tx>
          <c:invertIfNegative val="0"/>
          <c:cat>
            <c:strRef>
              <c:f>'S30b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likelihood'!$BR$280:$BR$286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78296320"/>
        <c:axId val="178297856"/>
      </c:barChart>
      <c:catAx>
        <c:axId val="1782963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297856"/>
        <c:crosses val="autoZero"/>
        <c:auto val="1"/>
        <c:lblAlgn val="ctr"/>
        <c:lblOffset val="100"/>
        <c:noMultiLvlLbl val="0"/>
      </c:catAx>
      <c:valAx>
        <c:axId val="178297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2963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likelihood'!$DL$279</c:f>
              <c:strCache>
                <c:ptCount val="1"/>
                <c:pt idx="0">
                  <c:v>Forest owners/managers</c:v>
                </c:pt>
              </c:strCache>
            </c:strRef>
          </c:tx>
          <c:invertIfNegative val="0"/>
          <c:cat>
            <c:strRef>
              <c:f>'S30b likelihood'!$DK$280:$DK$284</c:f>
              <c:strCache>
                <c:ptCount val="5"/>
                <c:pt idx="0">
                  <c:v>Definitely not</c:v>
                </c:pt>
                <c:pt idx="1">
                  <c:v>Sometimes</c:v>
                </c:pt>
                <c:pt idx="2">
                  <c:v>Most of the time</c:v>
                </c:pt>
                <c:pt idx="3">
                  <c:v>Yes, always</c:v>
                </c:pt>
                <c:pt idx="4">
                  <c:v>I don’t know</c:v>
                </c:pt>
              </c:strCache>
            </c:strRef>
          </c:cat>
          <c:val>
            <c:numRef>
              <c:f>'S30b likelihood'!$DL$280:$DL$284</c:f>
              <c:numCache>
                <c:formatCode>0%</c:formatCode>
                <c:ptCount val="5"/>
                <c:pt idx="0">
                  <c:v>4.1666666666666664E-2</c:v>
                </c:pt>
                <c:pt idx="1">
                  <c:v>4.1666666666666664E-2</c:v>
                </c:pt>
                <c:pt idx="2">
                  <c:v>4.1666666666666664E-2</c:v>
                </c:pt>
                <c:pt idx="3">
                  <c:v>4.1666666666666664E-2</c:v>
                </c:pt>
                <c:pt idx="4">
                  <c:v>0</c:v>
                </c:pt>
              </c:numCache>
            </c:numRef>
          </c:val>
        </c:ser>
        <c:ser>
          <c:idx val="1"/>
          <c:order val="1"/>
          <c:tx>
            <c:strRef>
              <c:f>'S30b likelihood'!$DM$279</c:f>
              <c:strCache>
                <c:ptCount val="1"/>
                <c:pt idx="0">
                  <c:v>Pellet producers</c:v>
                </c:pt>
              </c:strCache>
            </c:strRef>
          </c:tx>
          <c:invertIfNegative val="0"/>
          <c:cat>
            <c:strRef>
              <c:f>'S30b likelihood'!$DK$280:$DK$284</c:f>
              <c:strCache>
                <c:ptCount val="5"/>
                <c:pt idx="0">
                  <c:v>Definitely not</c:v>
                </c:pt>
                <c:pt idx="1">
                  <c:v>Sometimes</c:v>
                </c:pt>
                <c:pt idx="2">
                  <c:v>Most of the time</c:v>
                </c:pt>
                <c:pt idx="3">
                  <c:v>Yes, always</c:v>
                </c:pt>
                <c:pt idx="4">
                  <c:v>I don’t know</c:v>
                </c:pt>
              </c:strCache>
            </c:strRef>
          </c:cat>
          <c:val>
            <c:numRef>
              <c:f>'S30b likelihood'!$DM$280:$DM$284</c:f>
              <c:numCache>
                <c:formatCode>0%</c:formatCode>
                <c:ptCount val="5"/>
                <c:pt idx="0">
                  <c:v>0</c:v>
                </c:pt>
                <c:pt idx="1">
                  <c:v>0</c:v>
                </c:pt>
                <c:pt idx="2">
                  <c:v>0</c:v>
                </c:pt>
                <c:pt idx="3">
                  <c:v>0</c:v>
                </c:pt>
                <c:pt idx="4">
                  <c:v>0</c:v>
                </c:pt>
              </c:numCache>
            </c:numRef>
          </c:val>
        </c:ser>
        <c:ser>
          <c:idx val="2"/>
          <c:order val="2"/>
          <c:tx>
            <c:strRef>
              <c:f>'S30b likelihood'!$DN$279</c:f>
              <c:strCache>
                <c:ptCount val="1"/>
                <c:pt idx="0">
                  <c:v>Pellet users</c:v>
                </c:pt>
              </c:strCache>
            </c:strRef>
          </c:tx>
          <c:invertIfNegative val="0"/>
          <c:cat>
            <c:strRef>
              <c:f>'S30b likelihood'!$DK$280:$DK$284</c:f>
              <c:strCache>
                <c:ptCount val="5"/>
                <c:pt idx="0">
                  <c:v>Definitely not</c:v>
                </c:pt>
                <c:pt idx="1">
                  <c:v>Sometimes</c:v>
                </c:pt>
                <c:pt idx="2">
                  <c:v>Most of the time</c:v>
                </c:pt>
                <c:pt idx="3">
                  <c:v>Yes, always</c:v>
                </c:pt>
                <c:pt idx="4">
                  <c:v>I don’t know</c:v>
                </c:pt>
              </c:strCache>
            </c:strRef>
          </c:cat>
          <c:val>
            <c:numRef>
              <c:f>'S30b likelihood'!$DN$280:$DN$284</c:f>
              <c:numCache>
                <c:formatCode>0%</c:formatCode>
                <c:ptCount val="5"/>
                <c:pt idx="0">
                  <c:v>0</c:v>
                </c:pt>
                <c:pt idx="1">
                  <c:v>0.16666666666666666</c:v>
                </c:pt>
                <c:pt idx="2">
                  <c:v>0</c:v>
                </c:pt>
                <c:pt idx="3">
                  <c:v>0</c:v>
                </c:pt>
                <c:pt idx="4">
                  <c:v>0</c:v>
                </c:pt>
              </c:numCache>
            </c:numRef>
          </c:val>
        </c:ser>
        <c:ser>
          <c:idx val="3"/>
          <c:order val="3"/>
          <c:tx>
            <c:strRef>
              <c:f>'S30b likelihood'!$DO$279</c:f>
              <c:strCache>
                <c:ptCount val="1"/>
                <c:pt idx="0">
                  <c:v>Non-bioenergy wood users</c:v>
                </c:pt>
              </c:strCache>
            </c:strRef>
          </c:tx>
          <c:invertIfNegative val="0"/>
          <c:cat>
            <c:strRef>
              <c:f>'S30b likelihood'!$DK$280:$DK$284</c:f>
              <c:strCache>
                <c:ptCount val="5"/>
                <c:pt idx="0">
                  <c:v>Definitely not</c:v>
                </c:pt>
                <c:pt idx="1">
                  <c:v>Sometimes</c:v>
                </c:pt>
                <c:pt idx="2">
                  <c:v>Most of the time</c:v>
                </c:pt>
                <c:pt idx="3">
                  <c:v>Yes, always</c:v>
                </c:pt>
                <c:pt idx="4">
                  <c:v>I don’t know</c:v>
                </c:pt>
              </c:strCache>
            </c:strRef>
          </c:cat>
          <c:val>
            <c:numRef>
              <c:f>'S30b likelihood'!$DO$280:$DO$284</c:f>
              <c:numCache>
                <c:formatCode>0%</c:formatCode>
                <c:ptCount val="5"/>
                <c:pt idx="0">
                  <c:v>0</c:v>
                </c:pt>
                <c:pt idx="1">
                  <c:v>0</c:v>
                </c:pt>
                <c:pt idx="2">
                  <c:v>0</c:v>
                </c:pt>
                <c:pt idx="3">
                  <c:v>0.16666666666666666</c:v>
                </c:pt>
                <c:pt idx="4">
                  <c:v>0</c:v>
                </c:pt>
              </c:numCache>
            </c:numRef>
          </c:val>
        </c:ser>
        <c:ser>
          <c:idx val="4"/>
          <c:order val="4"/>
          <c:tx>
            <c:strRef>
              <c:f>'S30b likelihood'!$DP$279</c:f>
              <c:strCache>
                <c:ptCount val="1"/>
                <c:pt idx="0">
                  <c:v>Policy makers and academia</c:v>
                </c:pt>
              </c:strCache>
            </c:strRef>
          </c:tx>
          <c:invertIfNegative val="0"/>
          <c:cat>
            <c:strRef>
              <c:f>'S30b likelihood'!$DK$280:$DK$284</c:f>
              <c:strCache>
                <c:ptCount val="5"/>
                <c:pt idx="0">
                  <c:v>Definitely not</c:v>
                </c:pt>
                <c:pt idx="1">
                  <c:v>Sometimes</c:v>
                </c:pt>
                <c:pt idx="2">
                  <c:v>Most of the time</c:v>
                </c:pt>
                <c:pt idx="3">
                  <c:v>Yes, always</c:v>
                </c:pt>
                <c:pt idx="4">
                  <c:v>I don’t know</c:v>
                </c:pt>
              </c:strCache>
            </c:strRef>
          </c:cat>
          <c:val>
            <c:numRef>
              <c:f>'S30b likelihood'!$DP$280:$DP$284</c:f>
              <c:numCache>
                <c:formatCode>0%</c:formatCode>
                <c:ptCount val="5"/>
                <c:pt idx="0">
                  <c:v>0</c:v>
                </c:pt>
                <c:pt idx="1">
                  <c:v>0</c:v>
                </c:pt>
                <c:pt idx="2">
                  <c:v>0.1111111111111111</c:v>
                </c:pt>
                <c:pt idx="3">
                  <c:v>5.5555555555555552E-2</c:v>
                </c:pt>
                <c:pt idx="4">
                  <c:v>0</c:v>
                </c:pt>
              </c:numCache>
            </c:numRef>
          </c:val>
        </c:ser>
        <c:ser>
          <c:idx val="5"/>
          <c:order val="5"/>
          <c:tx>
            <c:strRef>
              <c:f>'S30b likelihood'!$DQ$279</c:f>
              <c:strCache>
                <c:ptCount val="1"/>
                <c:pt idx="0">
                  <c:v>NGOs</c:v>
                </c:pt>
              </c:strCache>
            </c:strRef>
          </c:tx>
          <c:invertIfNegative val="0"/>
          <c:cat>
            <c:strRef>
              <c:f>'S30b likelihood'!$DK$280:$DK$284</c:f>
              <c:strCache>
                <c:ptCount val="5"/>
                <c:pt idx="0">
                  <c:v>Definitely not</c:v>
                </c:pt>
                <c:pt idx="1">
                  <c:v>Sometimes</c:v>
                </c:pt>
                <c:pt idx="2">
                  <c:v>Most of the time</c:v>
                </c:pt>
                <c:pt idx="3">
                  <c:v>Yes, always</c:v>
                </c:pt>
                <c:pt idx="4">
                  <c:v>I don’t know</c:v>
                </c:pt>
              </c:strCache>
            </c:strRef>
          </c:cat>
          <c:val>
            <c:numRef>
              <c:f>'S30b likelihood'!$DQ$280:$DQ$284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78096768"/>
        <c:axId val="178098560"/>
      </c:barChart>
      <c:catAx>
        <c:axId val="178096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098560"/>
        <c:crosses val="autoZero"/>
        <c:auto val="1"/>
        <c:lblAlgn val="ctr"/>
        <c:lblOffset val="100"/>
        <c:noMultiLvlLbl val="0"/>
      </c:catAx>
      <c:valAx>
        <c:axId val="178098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967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likelihood'!$AM$72:$AM$78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likelihood'!$AO$72:$AO$78</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8008064"/>
        <c:axId val="178009600"/>
      </c:barChart>
      <c:catAx>
        <c:axId val="17800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009600"/>
        <c:crosses val="autoZero"/>
        <c:auto val="1"/>
        <c:lblAlgn val="ctr"/>
        <c:lblOffset val="100"/>
        <c:tickLblSkip val="1"/>
        <c:noMultiLvlLbl val="0"/>
      </c:catAx>
      <c:valAx>
        <c:axId val="1780096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08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likelihood'!$AM$99:$AM$105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likelihood'!$AO$99:$AO$105</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8037504"/>
        <c:axId val="178039040"/>
      </c:barChart>
      <c:catAx>
        <c:axId val="17803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039040"/>
        <c:crosses val="autoZero"/>
        <c:auto val="1"/>
        <c:lblAlgn val="ctr"/>
        <c:lblOffset val="100"/>
        <c:tickLblSkip val="1"/>
        <c:noMultiLvlLbl val="0"/>
      </c:catAx>
      <c:valAx>
        <c:axId val="1780390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3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likelihood'!$AM$126:$AM$132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likelihood'!$AO$126:$AO$132</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8050944"/>
        <c:axId val="178052480"/>
      </c:barChart>
      <c:catAx>
        <c:axId val="17805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052480"/>
        <c:crosses val="autoZero"/>
        <c:auto val="1"/>
        <c:lblAlgn val="ctr"/>
        <c:lblOffset val="100"/>
        <c:tickLblSkip val="1"/>
        <c:noMultiLvlLbl val="0"/>
      </c:catAx>
      <c:valAx>
        <c:axId val="178052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050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likelihood'!$AM$153:$AM$159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likelihood'!$AO$153:$AO$159</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8342912"/>
        <c:axId val="178361088"/>
      </c:barChart>
      <c:catAx>
        <c:axId val="178342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361088"/>
        <c:crosses val="autoZero"/>
        <c:auto val="1"/>
        <c:lblAlgn val="ctr"/>
        <c:lblOffset val="100"/>
        <c:tickLblSkip val="1"/>
        <c:noMultiLvlLbl val="0"/>
      </c:catAx>
      <c:valAx>
        <c:axId val="1783610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342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likelihood'!$AM$180:$AM$186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likelihood'!$AO$180:$AO$186</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8655616"/>
        <c:axId val="178657152"/>
      </c:barChart>
      <c:catAx>
        <c:axId val="17865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657152"/>
        <c:crosses val="autoZero"/>
        <c:auto val="1"/>
        <c:lblAlgn val="ctr"/>
        <c:lblOffset val="100"/>
        <c:tickLblSkip val="1"/>
        <c:noMultiLvlLbl val="0"/>
      </c:catAx>
      <c:valAx>
        <c:axId val="1786571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655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likelihood'!$AM$207:$AM$213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likelihood'!$AO$207:$AO$213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8689536"/>
        <c:axId val="178691072"/>
      </c:barChart>
      <c:catAx>
        <c:axId val="17868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691072"/>
        <c:crosses val="autoZero"/>
        <c:auto val="1"/>
        <c:lblAlgn val="ctr"/>
        <c:lblOffset val="100"/>
        <c:tickLblSkip val="1"/>
        <c:noMultiLvlLbl val="0"/>
      </c:catAx>
      <c:valAx>
        <c:axId val="1786910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689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likelihood'!$AM$234:$AM$240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likelihood'!$AO$234:$AO$240</c:f>
              <c:numCache>
                <c:formatCode>0%</c:formatCode>
                <c:ptCount val="7"/>
                <c:pt idx="0">
                  <c:v>0.83333333333333337</c:v>
                </c:pt>
                <c:pt idx="1">
                  <c:v>0.16666666666666666</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8735744"/>
        <c:axId val="178741632"/>
      </c:barChart>
      <c:catAx>
        <c:axId val="17873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741632"/>
        <c:crosses val="autoZero"/>
        <c:auto val="1"/>
        <c:lblAlgn val="ctr"/>
        <c:lblOffset val="100"/>
        <c:tickLblSkip val="1"/>
        <c:noMultiLvlLbl val="0"/>
      </c:catAx>
      <c:valAx>
        <c:axId val="1787416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35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likelihood'!$AI$247</c:f>
              <c:strCache>
                <c:ptCount val="1"/>
                <c:pt idx="0">
                  <c:v>Forest owners/managers</c:v>
                </c:pt>
              </c:strCache>
            </c:strRef>
          </c:tx>
          <c:spPr>
            <a:solidFill>
              <a:schemeClr val="accent1"/>
            </a:solidFill>
            <a:ln>
              <a:noFill/>
            </a:ln>
            <a:effectLst/>
          </c:spPr>
          <c:invertIfNegative val="0"/>
          <c:cat>
            <c:strRef>
              <c:f>'S30b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likelihood'!$AI$248:$AI$254</c:f>
              <c:numCache>
                <c:formatCode>General</c:formatCode>
                <c:ptCount val="7"/>
                <c:pt idx="0">
                  <c:v>2</c:v>
                </c:pt>
                <c:pt idx="1">
                  <c:v>0</c:v>
                </c:pt>
                <c:pt idx="2">
                  <c:v>0</c:v>
                </c:pt>
                <c:pt idx="3">
                  <c:v>0</c:v>
                </c:pt>
                <c:pt idx="4">
                  <c:v>0</c:v>
                </c:pt>
                <c:pt idx="5">
                  <c:v>0</c:v>
                </c:pt>
                <c:pt idx="6">
                  <c:v>0</c:v>
                </c:pt>
              </c:numCache>
            </c:numRef>
          </c:val>
        </c:ser>
        <c:ser>
          <c:idx val="1"/>
          <c:order val="1"/>
          <c:tx>
            <c:strRef>
              <c:f>'S30b likelihood'!$AJ$247</c:f>
              <c:strCache>
                <c:ptCount val="1"/>
                <c:pt idx="0">
                  <c:v>Pellet producers</c:v>
                </c:pt>
              </c:strCache>
            </c:strRef>
          </c:tx>
          <c:spPr>
            <a:solidFill>
              <a:schemeClr val="accent2"/>
            </a:solidFill>
            <a:ln>
              <a:noFill/>
            </a:ln>
            <a:effectLst/>
          </c:spPr>
          <c:invertIfNegative val="0"/>
          <c:cat>
            <c:strRef>
              <c:f>'S30b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likelihood'!$AJ$248:$AJ$254</c:f>
              <c:numCache>
                <c:formatCode>0</c:formatCode>
                <c:ptCount val="7"/>
                <c:pt idx="0">
                  <c:v>1</c:v>
                </c:pt>
                <c:pt idx="1">
                  <c:v>0</c:v>
                </c:pt>
                <c:pt idx="2">
                  <c:v>0</c:v>
                </c:pt>
                <c:pt idx="3">
                  <c:v>0</c:v>
                </c:pt>
                <c:pt idx="4">
                  <c:v>0</c:v>
                </c:pt>
                <c:pt idx="5">
                  <c:v>0</c:v>
                </c:pt>
                <c:pt idx="6">
                  <c:v>0</c:v>
                </c:pt>
              </c:numCache>
            </c:numRef>
          </c:val>
        </c:ser>
        <c:ser>
          <c:idx val="2"/>
          <c:order val="2"/>
          <c:tx>
            <c:strRef>
              <c:f>'S30b likelihood'!$AK$247</c:f>
              <c:strCache>
                <c:ptCount val="1"/>
                <c:pt idx="0">
                  <c:v>Pellet users</c:v>
                </c:pt>
              </c:strCache>
            </c:strRef>
          </c:tx>
          <c:spPr>
            <a:solidFill>
              <a:schemeClr val="accent3"/>
            </a:solidFill>
            <a:ln>
              <a:noFill/>
            </a:ln>
            <a:effectLst/>
          </c:spPr>
          <c:invertIfNegative val="0"/>
          <c:cat>
            <c:strRef>
              <c:f>'S30b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likelihood'!$AK$248:$AK$254</c:f>
              <c:numCache>
                <c:formatCode>General</c:formatCode>
                <c:ptCount val="7"/>
                <c:pt idx="0">
                  <c:v>0</c:v>
                </c:pt>
                <c:pt idx="1">
                  <c:v>1</c:v>
                </c:pt>
                <c:pt idx="2">
                  <c:v>0</c:v>
                </c:pt>
                <c:pt idx="3">
                  <c:v>0</c:v>
                </c:pt>
                <c:pt idx="4">
                  <c:v>0</c:v>
                </c:pt>
                <c:pt idx="5">
                  <c:v>0</c:v>
                </c:pt>
                <c:pt idx="6">
                  <c:v>0</c:v>
                </c:pt>
              </c:numCache>
            </c:numRef>
          </c:val>
        </c:ser>
        <c:ser>
          <c:idx val="3"/>
          <c:order val="3"/>
          <c:tx>
            <c:strRef>
              <c:f>'S30b likelihood'!$AL$247</c:f>
              <c:strCache>
                <c:ptCount val="1"/>
                <c:pt idx="0">
                  <c:v>Non-bioenergy wood users</c:v>
                </c:pt>
              </c:strCache>
            </c:strRef>
          </c:tx>
          <c:spPr>
            <a:solidFill>
              <a:schemeClr val="accent4"/>
            </a:solidFill>
            <a:ln>
              <a:noFill/>
            </a:ln>
            <a:effectLst/>
          </c:spPr>
          <c:invertIfNegative val="0"/>
          <c:cat>
            <c:strRef>
              <c:f>'S30b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likelihood'!$AL$248:$AL$254</c:f>
              <c:numCache>
                <c:formatCode>General</c:formatCode>
                <c:ptCount val="7"/>
                <c:pt idx="0">
                  <c:v>1</c:v>
                </c:pt>
                <c:pt idx="1">
                  <c:v>0</c:v>
                </c:pt>
                <c:pt idx="2">
                  <c:v>0</c:v>
                </c:pt>
                <c:pt idx="3">
                  <c:v>0</c:v>
                </c:pt>
                <c:pt idx="4">
                  <c:v>0</c:v>
                </c:pt>
                <c:pt idx="5">
                  <c:v>0</c:v>
                </c:pt>
                <c:pt idx="6">
                  <c:v>0</c:v>
                </c:pt>
              </c:numCache>
            </c:numRef>
          </c:val>
        </c:ser>
        <c:ser>
          <c:idx val="4"/>
          <c:order val="4"/>
          <c:tx>
            <c:strRef>
              <c:f>'S30b likelihood'!$AM$247</c:f>
              <c:strCache>
                <c:ptCount val="1"/>
                <c:pt idx="0">
                  <c:v>Policy makers and academia</c:v>
                </c:pt>
              </c:strCache>
            </c:strRef>
          </c:tx>
          <c:spPr>
            <a:solidFill>
              <a:schemeClr val="accent5"/>
            </a:solidFill>
            <a:ln>
              <a:noFill/>
            </a:ln>
            <a:effectLst/>
          </c:spPr>
          <c:invertIfNegative val="0"/>
          <c:cat>
            <c:strRef>
              <c:f>'S30b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likelihood'!$AM$248:$AM$254</c:f>
              <c:numCache>
                <c:formatCode>0</c:formatCode>
                <c:ptCount val="7"/>
                <c:pt idx="0">
                  <c:v>1</c:v>
                </c:pt>
                <c:pt idx="1">
                  <c:v>0</c:v>
                </c:pt>
                <c:pt idx="2">
                  <c:v>0</c:v>
                </c:pt>
                <c:pt idx="3">
                  <c:v>0</c:v>
                </c:pt>
                <c:pt idx="4">
                  <c:v>0</c:v>
                </c:pt>
                <c:pt idx="5">
                  <c:v>0</c:v>
                </c:pt>
                <c:pt idx="6">
                  <c:v>0</c:v>
                </c:pt>
              </c:numCache>
            </c:numRef>
          </c:val>
        </c:ser>
        <c:ser>
          <c:idx val="5"/>
          <c:order val="5"/>
          <c:tx>
            <c:strRef>
              <c:f>'S30b likelihood'!$AN$247</c:f>
              <c:strCache>
                <c:ptCount val="1"/>
                <c:pt idx="0">
                  <c:v>NGOs</c:v>
                </c:pt>
              </c:strCache>
            </c:strRef>
          </c:tx>
          <c:spPr>
            <a:solidFill>
              <a:schemeClr val="accent6"/>
            </a:solidFill>
            <a:ln>
              <a:noFill/>
            </a:ln>
            <a:effectLst/>
          </c:spPr>
          <c:invertIfNegative val="0"/>
          <c:cat>
            <c:strRef>
              <c:f>'S30b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likelihood'!$AN$248:$AN$254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78782208"/>
        <c:axId val="178783744"/>
      </c:barChart>
      <c:catAx>
        <c:axId val="178782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783744"/>
        <c:crosses val="autoZero"/>
        <c:auto val="1"/>
        <c:lblAlgn val="ctr"/>
        <c:lblOffset val="100"/>
        <c:noMultiLvlLbl val="0"/>
      </c:catAx>
      <c:valAx>
        <c:axId val="178783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8220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likelihood'!$BM$247</c:f>
              <c:strCache>
                <c:ptCount val="1"/>
                <c:pt idx="0">
                  <c:v>Forest owners/managers</c:v>
                </c:pt>
              </c:strCache>
            </c:strRef>
          </c:tx>
          <c:spPr>
            <a:solidFill>
              <a:schemeClr val="accent1"/>
            </a:solidFill>
            <a:ln>
              <a:noFill/>
            </a:ln>
            <a:effectLst/>
          </c:spPr>
          <c:invertIfNegative val="0"/>
          <c:cat>
            <c:strRef>
              <c:f>'S26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likelihood'!$BM$248:$BM$254</c:f>
              <c:numCache>
                <c:formatCode>General</c:formatCode>
                <c:ptCount val="7"/>
                <c:pt idx="0">
                  <c:v>3</c:v>
                </c:pt>
                <c:pt idx="1">
                  <c:v>1</c:v>
                </c:pt>
                <c:pt idx="2">
                  <c:v>0</c:v>
                </c:pt>
                <c:pt idx="3">
                  <c:v>0</c:v>
                </c:pt>
                <c:pt idx="4">
                  <c:v>0</c:v>
                </c:pt>
                <c:pt idx="5">
                  <c:v>0</c:v>
                </c:pt>
                <c:pt idx="6">
                  <c:v>0</c:v>
                </c:pt>
              </c:numCache>
            </c:numRef>
          </c:val>
        </c:ser>
        <c:ser>
          <c:idx val="1"/>
          <c:order val="1"/>
          <c:tx>
            <c:strRef>
              <c:f>'S26 likelihood'!$BN$247</c:f>
              <c:strCache>
                <c:ptCount val="1"/>
                <c:pt idx="0">
                  <c:v>Pellet producers</c:v>
                </c:pt>
              </c:strCache>
            </c:strRef>
          </c:tx>
          <c:spPr>
            <a:solidFill>
              <a:schemeClr val="accent2"/>
            </a:solidFill>
            <a:ln>
              <a:noFill/>
            </a:ln>
            <a:effectLst/>
          </c:spPr>
          <c:invertIfNegative val="0"/>
          <c:cat>
            <c:strRef>
              <c:f>'S26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likelihood'!$BN$248:$BN$254</c:f>
              <c:numCache>
                <c:formatCode>0</c:formatCode>
                <c:ptCount val="7"/>
                <c:pt idx="0">
                  <c:v>4</c:v>
                </c:pt>
                <c:pt idx="1">
                  <c:v>0</c:v>
                </c:pt>
                <c:pt idx="2">
                  <c:v>0</c:v>
                </c:pt>
                <c:pt idx="3">
                  <c:v>0</c:v>
                </c:pt>
                <c:pt idx="4">
                  <c:v>0</c:v>
                </c:pt>
                <c:pt idx="5">
                  <c:v>0</c:v>
                </c:pt>
                <c:pt idx="6">
                  <c:v>0</c:v>
                </c:pt>
              </c:numCache>
            </c:numRef>
          </c:val>
        </c:ser>
        <c:ser>
          <c:idx val="2"/>
          <c:order val="2"/>
          <c:tx>
            <c:strRef>
              <c:f>'S26 likelihood'!$BO$247</c:f>
              <c:strCache>
                <c:ptCount val="1"/>
                <c:pt idx="0">
                  <c:v>Pellet users</c:v>
                </c:pt>
              </c:strCache>
            </c:strRef>
          </c:tx>
          <c:spPr>
            <a:solidFill>
              <a:schemeClr val="accent3"/>
            </a:solidFill>
            <a:ln>
              <a:noFill/>
            </a:ln>
            <a:effectLst/>
          </c:spPr>
          <c:invertIfNegative val="0"/>
          <c:cat>
            <c:strRef>
              <c:f>'S26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likelihood'!$BO$248:$BO$254</c:f>
              <c:numCache>
                <c:formatCode>General</c:formatCode>
                <c:ptCount val="7"/>
                <c:pt idx="0">
                  <c:v>1</c:v>
                </c:pt>
                <c:pt idx="1">
                  <c:v>0</c:v>
                </c:pt>
                <c:pt idx="2">
                  <c:v>1</c:v>
                </c:pt>
                <c:pt idx="3">
                  <c:v>0</c:v>
                </c:pt>
                <c:pt idx="4">
                  <c:v>0</c:v>
                </c:pt>
                <c:pt idx="5">
                  <c:v>0</c:v>
                </c:pt>
                <c:pt idx="6">
                  <c:v>0</c:v>
                </c:pt>
              </c:numCache>
            </c:numRef>
          </c:val>
        </c:ser>
        <c:ser>
          <c:idx val="3"/>
          <c:order val="3"/>
          <c:tx>
            <c:strRef>
              <c:f>'S26 likelihood'!$BP$247</c:f>
              <c:strCache>
                <c:ptCount val="1"/>
                <c:pt idx="0">
                  <c:v>Non-bioenergy wood users</c:v>
                </c:pt>
              </c:strCache>
            </c:strRef>
          </c:tx>
          <c:spPr>
            <a:solidFill>
              <a:schemeClr val="accent4"/>
            </a:solidFill>
            <a:ln>
              <a:noFill/>
            </a:ln>
            <a:effectLst/>
          </c:spPr>
          <c:invertIfNegative val="0"/>
          <c:cat>
            <c:strRef>
              <c:f>'S26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likelihood'!$BP$248:$BP$254</c:f>
              <c:numCache>
                <c:formatCode>General</c:formatCode>
                <c:ptCount val="7"/>
                <c:pt idx="0">
                  <c:v>0</c:v>
                </c:pt>
                <c:pt idx="1">
                  <c:v>1</c:v>
                </c:pt>
                <c:pt idx="2">
                  <c:v>0</c:v>
                </c:pt>
                <c:pt idx="3">
                  <c:v>0</c:v>
                </c:pt>
                <c:pt idx="4">
                  <c:v>0</c:v>
                </c:pt>
                <c:pt idx="5">
                  <c:v>0</c:v>
                </c:pt>
                <c:pt idx="6">
                  <c:v>1</c:v>
                </c:pt>
              </c:numCache>
            </c:numRef>
          </c:val>
        </c:ser>
        <c:ser>
          <c:idx val="4"/>
          <c:order val="4"/>
          <c:tx>
            <c:strRef>
              <c:f>'S26 likelihood'!$BQ$247</c:f>
              <c:strCache>
                <c:ptCount val="1"/>
                <c:pt idx="0">
                  <c:v>Policy makers and academia</c:v>
                </c:pt>
              </c:strCache>
            </c:strRef>
          </c:tx>
          <c:spPr>
            <a:solidFill>
              <a:schemeClr val="accent5"/>
            </a:solidFill>
            <a:ln>
              <a:noFill/>
            </a:ln>
            <a:effectLst/>
          </c:spPr>
          <c:invertIfNegative val="0"/>
          <c:cat>
            <c:strRef>
              <c:f>'S26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likelihood'!$BQ$248:$BQ$254</c:f>
              <c:numCache>
                <c:formatCode>0</c:formatCode>
                <c:ptCount val="7"/>
                <c:pt idx="0">
                  <c:v>0</c:v>
                </c:pt>
                <c:pt idx="1">
                  <c:v>0</c:v>
                </c:pt>
                <c:pt idx="2">
                  <c:v>0</c:v>
                </c:pt>
                <c:pt idx="3">
                  <c:v>0</c:v>
                </c:pt>
                <c:pt idx="4">
                  <c:v>0</c:v>
                </c:pt>
                <c:pt idx="5">
                  <c:v>0</c:v>
                </c:pt>
                <c:pt idx="6">
                  <c:v>0</c:v>
                </c:pt>
              </c:numCache>
            </c:numRef>
          </c:val>
        </c:ser>
        <c:ser>
          <c:idx val="5"/>
          <c:order val="5"/>
          <c:tx>
            <c:strRef>
              <c:f>'S26 likelihood'!$BR$247</c:f>
              <c:strCache>
                <c:ptCount val="1"/>
                <c:pt idx="0">
                  <c:v>NGOs</c:v>
                </c:pt>
              </c:strCache>
            </c:strRef>
          </c:tx>
          <c:spPr>
            <a:solidFill>
              <a:schemeClr val="accent6"/>
            </a:solidFill>
            <a:ln>
              <a:noFill/>
            </a:ln>
            <a:effectLst/>
          </c:spPr>
          <c:invertIfNegative val="0"/>
          <c:cat>
            <c:strRef>
              <c:f>'S26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likelihood'!$BR$248:$BR$254</c:f>
              <c:numCache>
                <c:formatCode>General</c:formatCode>
                <c:ptCount val="7"/>
                <c:pt idx="0">
                  <c:v>0</c:v>
                </c:pt>
                <c:pt idx="1">
                  <c:v>0</c:v>
                </c:pt>
                <c:pt idx="2">
                  <c:v>0</c:v>
                </c:pt>
                <c:pt idx="3">
                  <c:v>4</c:v>
                </c:pt>
                <c:pt idx="4">
                  <c:v>0</c:v>
                </c:pt>
                <c:pt idx="5">
                  <c:v>0</c:v>
                </c:pt>
                <c:pt idx="6">
                  <c:v>0</c:v>
                </c:pt>
              </c:numCache>
            </c:numRef>
          </c:val>
        </c:ser>
        <c:dLbls>
          <c:showLegendKey val="0"/>
          <c:showVal val="0"/>
          <c:showCatName val="0"/>
          <c:showSerName val="0"/>
          <c:showPercent val="0"/>
          <c:showBubbleSize val="0"/>
        </c:dLbls>
        <c:gapWidth val="150"/>
        <c:overlap val="100"/>
        <c:axId val="138807552"/>
        <c:axId val="138809344"/>
      </c:barChart>
      <c:catAx>
        <c:axId val="138807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8809344"/>
        <c:crosses val="autoZero"/>
        <c:auto val="1"/>
        <c:lblAlgn val="ctr"/>
        <c:lblOffset val="100"/>
        <c:noMultiLvlLbl val="0"/>
      </c:catAx>
      <c:valAx>
        <c:axId val="138809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807552"/>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likelihood'!$AI$279</c:f>
              <c:strCache>
                <c:ptCount val="1"/>
                <c:pt idx="0">
                  <c:v>Forest owners/managers</c:v>
                </c:pt>
              </c:strCache>
            </c:strRef>
          </c:tx>
          <c:invertIfNegative val="0"/>
          <c:cat>
            <c:strRef>
              <c:f>'S30b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likelihood'!$AI$280:$AI$286</c:f>
              <c:numCache>
                <c:formatCode>0%</c:formatCode>
                <c:ptCount val="7"/>
                <c:pt idx="0">
                  <c:v>0.16666666666666666</c:v>
                </c:pt>
                <c:pt idx="1">
                  <c:v>0</c:v>
                </c:pt>
                <c:pt idx="2">
                  <c:v>0</c:v>
                </c:pt>
                <c:pt idx="3">
                  <c:v>0</c:v>
                </c:pt>
                <c:pt idx="4">
                  <c:v>0</c:v>
                </c:pt>
                <c:pt idx="5">
                  <c:v>0</c:v>
                </c:pt>
                <c:pt idx="6">
                  <c:v>0</c:v>
                </c:pt>
              </c:numCache>
            </c:numRef>
          </c:val>
        </c:ser>
        <c:ser>
          <c:idx val="1"/>
          <c:order val="1"/>
          <c:tx>
            <c:strRef>
              <c:f>'S30b likelihood'!$AJ$279</c:f>
              <c:strCache>
                <c:ptCount val="1"/>
                <c:pt idx="0">
                  <c:v>Pellet producers</c:v>
                </c:pt>
              </c:strCache>
            </c:strRef>
          </c:tx>
          <c:invertIfNegative val="0"/>
          <c:cat>
            <c:strRef>
              <c:f>'S30b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likelihood'!$AJ$280:$AJ$286</c:f>
              <c:numCache>
                <c:formatCode>0%</c:formatCode>
                <c:ptCount val="7"/>
                <c:pt idx="0">
                  <c:v>0.16666666666666666</c:v>
                </c:pt>
                <c:pt idx="1">
                  <c:v>0</c:v>
                </c:pt>
                <c:pt idx="2">
                  <c:v>0</c:v>
                </c:pt>
                <c:pt idx="3">
                  <c:v>0</c:v>
                </c:pt>
                <c:pt idx="4">
                  <c:v>0</c:v>
                </c:pt>
                <c:pt idx="5">
                  <c:v>0</c:v>
                </c:pt>
                <c:pt idx="6">
                  <c:v>0</c:v>
                </c:pt>
              </c:numCache>
            </c:numRef>
          </c:val>
        </c:ser>
        <c:ser>
          <c:idx val="2"/>
          <c:order val="2"/>
          <c:tx>
            <c:strRef>
              <c:f>'S30b likelihood'!$AK$279</c:f>
              <c:strCache>
                <c:ptCount val="1"/>
                <c:pt idx="0">
                  <c:v>Pellet users</c:v>
                </c:pt>
              </c:strCache>
            </c:strRef>
          </c:tx>
          <c:invertIfNegative val="0"/>
          <c:cat>
            <c:strRef>
              <c:f>'S30b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likelihood'!$AK$280:$AK$286</c:f>
              <c:numCache>
                <c:formatCode>0%</c:formatCode>
                <c:ptCount val="7"/>
                <c:pt idx="0">
                  <c:v>0</c:v>
                </c:pt>
                <c:pt idx="1">
                  <c:v>0.16666666666666666</c:v>
                </c:pt>
                <c:pt idx="2">
                  <c:v>0</c:v>
                </c:pt>
                <c:pt idx="3">
                  <c:v>0</c:v>
                </c:pt>
                <c:pt idx="4">
                  <c:v>0</c:v>
                </c:pt>
                <c:pt idx="5">
                  <c:v>0</c:v>
                </c:pt>
                <c:pt idx="6">
                  <c:v>0</c:v>
                </c:pt>
              </c:numCache>
            </c:numRef>
          </c:val>
        </c:ser>
        <c:ser>
          <c:idx val="3"/>
          <c:order val="3"/>
          <c:tx>
            <c:strRef>
              <c:f>'S30b likelihood'!$AL$279</c:f>
              <c:strCache>
                <c:ptCount val="1"/>
                <c:pt idx="0">
                  <c:v>Non-bioenergy wood users</c:v>
                </c:pt>
              </c:strCache>
            </c:strRef>
          </c:tx>
          <c:invertIfNegative val="0"/>
          <c:cat>
            <c:strRef>
              <c:f>'S30b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likelihood'!$AL$280:$AL$286</c:f>
              <c:numCache>
                <c:formatCode>0%</c:formatCode>
                <c:ptCount val="7"/>
                <c:pt idx="0">
                  <c:v>0.16666666666666666</c:v>
                </c:pt>
                <c:pt idx="1">
                  <c:v>0</c:v>
                </c:pt>
                <c:pt idx="2">
                  <c:v>0</c:v>
                </c:pt>
                <c:pt idx="3">
                  <c:v>0</c:v>
                </c:pt>
                <c:pt idx="4">
                  <c:v>0</c:v>
                </c:pt>
                <c:pt idx="5">
                  <c:v>0</c:v>
                </c:pt>
                <c:pt idx="6">
                  <c:v>0</c:v>
                </c:pt>
              </c:numCache>
            </c:numRef>
          </c:val>
        </c:ser>
        <c:ser>
          <c:idx val="4"/>
          <c:order val="4"/>
          <c:tx>
            <c:strRef>
              <c:f>'S30b likelihood'!$AM$279</c:f>
              <c:strCache>
                <c:ptCount val="1"/>
                <c:pt idx="0">
                  <c:v>Policy makers and academia</c:v>
                </c:pt>
              </c:strCache>
            </c:strRef>
          </c:tx>
          <c:invertIfNegative val="0"/>
          <c:cat>
            <c:strRef>
              <c:f>'S30b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likelihood'!$AM$280:$AM$286</c:f>
              <c:numCache>
                <c:formatCode>0%</c:formatCode>
                <c:ptCount val="7"/>
                <c:pt idx="0">
                  <c:v>0.16666666666666666</c:v>
                </c:pt>
                <c:pt idx="1">
                  <c:v>0</c:v>
                </c:pt>
                <c:pt idx="2">
                  <c:v>0</c:v>
                </c:pt>
                <c:pt idx="3">
                  <c:v>0</c:v>
                </c:pt>
                <c:pt idx="4">
                  <c:v>0</c:v>
                </c:pt>
                <c:pt idx="5">
                  <c:v>0</c:v>
                </c:pt>
                <c:pt idx="6">
                  <c:v>0</c:v>
                </c:pt>
              </c:numCache>
            </c:numRef>
          </c:val>
        </c:ser>
        <c:ser>
          <c:idx val="5"/>
          <c:order val="5"/>
          <c:tx>
            <c:strRef>
              <c:f>'S30b likelihood'!$AN$279</c:f>
              <c:strCache>
                <c:ptCount val="1"/>
                <c:pt idx="0">
                  <c:v>NGOs</c:v>
                </c:pt>
              </c:strCache>
            </c:strRef>
          </c:tx>
          <c:invertIfNegative val="0"/>
          <c:cat>
            <c:strRef>
              <c:f>'S30b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likelihood'!$AN$280:$AN$286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78832512"/>
        <c:axId val="178834048"/>
      </c:barChart>
      <c:catAx>
        <c:axId val="17883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834048"/>
        <c:crosses val="autoZero"/>
        <c:auto val="1"/>
        <c:lblAlgn val="ctr"/>
        <c:lblOffset val="100"/>
        <c:noMultiLvlLbl val="0"/>
      </c:catAx>
      <c:valAx>
        <c:axId val="178834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832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likelihood'!$AI$279</c:f>
              <c:strCache>
                <c:ptCount val="1"/>
                <c:pt idx="0">
                  <c:v>Forest owners/managers</c:v>
                </c:pt>
              </c:strCache>
            </c:strRef>
          </c:tx>
          <c:invertIfNegative val="0"/>
          <c:cat>
            <c:strRef>
              <c:f>'S30b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likelihood'!$AI$280:$AI$286</c:f>
              <c:numCache>
                <c:formatCode>0%</c:formatCode>
                <c:ptCount val="7"/>
                <c:pt idx="0">
                  <c:v>0.16666666666666666</c:v>
                </c:pt>
                <c:pt idx="1">
                  <c:v>0</c:v>
                </c:pt>
                <c:pt idx="2">
                  <c:v>0</c:v>
                </c:pt>
                <c:pt idx="3">
                  <c:v>0</c:v>
                </c:pt>
                <c:pt idx="4">
                  <c:v>0</c:v>
                </c:pt>
                <c:pt idx="5">
                  <c:v>0</c:v>
                </c:pt>
                <c:pt idx="6">
                  <c:v>0</c:v>
                </c:pt>
              </c:numCache>
            </c:numRef>
          </c:val>
        </c:ser>
        <c:ser>
          <c:idx val="1"/>
          <c:order val="1"/>
          <c:tx>
            <c:strRef>
              <c:f>'S30b likelihood'!$AJ$279</c:f>
              <c:strCache>
                <c:ptCount val="1"/>
                <c:pt idx="0">
                  <c:v>Pellet producers</c:v>
                </c:pt>
              </c:strCache>
            </c:strRef>
          </c:tx>
          <c:invertIfNegative val="0"/>
          <c:cat>
            <c:strRef>
              <c:f>'S30b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likelihood'!$AJ$280:$AJ$286</c:f>
              <c:numCache>
                <c:formatCode>0%</c:formatCode>
                <c:ptCount val="7"/>
                <c:pt idx="0">
                  <c:v>0.16666666666666666</c:v>
                </c:pt>
                <c:pt idx="1">
                  <c:v>0</c:v>
                </c:pt>
                <c:pt idx="2">
                  <c:v>0</c:v>
                </c:pt>
                <c:pt idx="3">
                  <c:v>0</c:v>
                </c:pt>
                <c:pt idx="4">
                  <c:v>0</c:v>
                </c:pt>
                <c:pt idx="5">
                  <c:v>0</c:v>
                </c:pt>
                <c:pt idx="6">
                  <c:v>0</c:v>
                </c:pt>
              </c:numCache>
            </c:numRef>
          </c:val>
        </c:ser>
        <c:ser>
          <c:idx val="2"/>
          <c:order val="2"/>
          <c:tx>
            <c:strRef>
              <c:f>'S30b likelihood'!$AK$279</c:f>
              <c:strCache>
                <c:ptCount val="1"/>
                <c:pt idx="0">
                  <c:v>Pellet users</c:v>
                </c:pt>
              </c:strCache>
            </c:strRef>
          </c:tx>
          <c:invertIfNegative val="0"/>
          <c:cat>
            <c:strRef>
              <c:f>'S30b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likelihood'!$AK$280:$AK$286</c:f>
              <c:numCache>
                <c:formatCode>0%</c:formatCode>
                <c:ptCount val="7"/>
                <c:pt idx="0">
                  <c:v>0</c:v>
                </c:pt>
                <c:pt idx="1">
                  <c:v>0.16666666666666666</c:v>
                </c:pt>
                <c:pt idx="2">
                  <c:v>0</c:v>
                </c:pt>
                <c:pt idx="3">
                  <c:v>0</c:v>
                </c:pt>
                <c:pt idx="4">
                  <c:v>0</c:v>
                </c:pt>
                <c:pt idx="5">
                  <c:v>0</c:v>
                </c:pt>
                <c:pt idx="6">
                  <c:v>0</c:v>
                </c:pt>
              </c:numCache>
            </c:numRef>
          </c:val>
        </c:ser>
        <c:ser>
          <c:idx val="3"/>
          <c:order val="3"/>
          <c:tx>
            <c:strRef>
              <c:f>'S30b likelihood'!$AL$279</c:f>
              <c:strCache>
                <c:ptCount val="1"/>
                <c:pt idx="0">
                  <c:v>Non-bioenergy wood users</c:v>
                </c:pt>
              </c:strCache>
            </c:strRef>
          </c:tx>
          <c:invertIfNegative val="0"/>
          <c:cat>
            <c:strRef>
              <c:f>'S30b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likelihood'!$AL$280:$AL$286</c:f>
              <c:numCache>
                <c:formatCode>0%</c:formatCode>
                <c:ptCount val="7"/>
                <c:pt idx="0">
                  <c:v>0.16666666666666666</c:v>
                </c:pt>
                <c:pt idx="1">
                  <c:v>0</c:v>
                </c:pt>
                <c:pt idx="2">
                  <c:v>0</c:v>
                </c:pt>
                <c:pt idx="3">
                  <c:v>0</c:v>
                </c:pt>
                <c:pt idx="4">
                  <c:v>0</c:v>
                </c:pt>
                <c:pt idx="5">
                  <c:v>0</c:v>
                </c:pt>
                <c:pt idx="6">
                  <c:v>0</c:v>
                </c:pt>
              </c:numCache>
            </c:numRef>
          </c:val>
        </c:ser>
        <c:ser>
          <c:idx val="4"/>
          <c:order val="4"/>
          <c:tx>
            <c:strRef>
              <c:f>'S30b likelihood'!$AM$279</c:f>
              <c:strCache>
                <c:ptCount val="1"/>
                <c:pt idx="0">
                  <c:v>Policy makers and academia</c:v>
                </c:pt>
              </c:strCache>
            </c:strRef>
          </c:tx>
          <c:invertIfNegative val="0"/>
          <c:cat>
            <c:strRef>
              <c:f>'S30b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likelihood'!$AM$280:$AM$286</c:f>
              <c:numCache>
                <c:formatCode>0%</c:formatCode>
                <c:ptCount val="7"/>
                <c:pt idx="0">
                  <c:v>0.16666666666666666</c:v>
                </c:pt>
                <c:pt idx="1">
                  <c:v>0</c:v>
                </c:pt>
                <c:pt idx="2">
                  <c:v>0</c:v>
                </c:pt>
                <c:pt idx="3">
                  <c:v>0</c:v>
                </c:pt>
                <c:pt idx="4">
                  <c:v>0</c:v>
                </c:pt>
                <c:pt idx="5">
                  <c:v>0</c:v>
                </c:pt>
                <c:pt idx="6">
                  <c:v>0</c:v>
                </c:pt>
              </c:numCache>
            </c:numRef>
          </c:val>
        </c:ser>
        <c:ser>
          <c:idx val="5"/>
          <c:order val="5"/>
          <c:tx>
            <c:strRef>
              <c:f>'S30b likelihood'!$AN$279</c:f>
              <c:strCache>
                <c:ptCount val="1"/>
                <c:pt idx="0">
                  <c:v>NGOs</c:v>
                </c:pt>
              </c:strCache>
            </c:strRef>
          </c:tx>
          <c:invertIfNegative val="0"/>
          <c:cat>
            <c:strRef>
              <c:f>'S30b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likelihood'!$AN$280:$AN$286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78485504"/>
        <c:axId val="178487296"/>
      </c:barChart>
      <c:catAx>
        <c:axId val="17848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487296"/>
        <c:crosses val="autoZero"/>
        <c:auto val="1"/>
        <c:lblAlgn val="ctr"/>
        <c:lblOffset val="100"/>
        <c:noMultiLvlLbl val="0"/>
      </c:catAx>
      <c:valAx>
        <c:axId val="178487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855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likelihood'!$BB$72:$BB$78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likelihood'!$BD$72:$BD$78</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8511232"/>
        <c:axId val="178517120"/>
      </c:barChart>
      <c:catAx>
        <c:axId val="178511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517120"/>
        <c:crosses val="autoZero"/>
        <c:auto val="1"/>
        <c:lblAlgn val="ctr"/>
        <c:lblOffset val="100"/>
        <c:tickLblSkip val="1"/>
        <c:noMultiLvlLbl val="0"/>
      </c:catAx>
      <c:valAx>
        <c:axId val="1785171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11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likelihood'!$BB$99:$BB$105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likelihood'!$BD$99:$BD$105</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8557696"/>
        <c:axId val="178559232"/>
      </c:barChart>
      <c:catAx>
        <c:axId val="17855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559232"/>
        <c:crosses val="autoZero"/>
        <c:auto val="1"/>
        <c:lblAlgn val="ctr"/>
        <c:lblOffset val="100"/>
        <c:tickLblSkip val="1"/>
        <c:noMultiLvlLbl val="0"/>
      </c:catAx>
      <c:valAx>
        <c:axId val="1785592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57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likelihood'!$BB$126:$BB$132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likelihood'!$BD$126:$BD$132</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8579328"/>
        <c:axId val="178580864"/>
      </c:barChart>
      <c:catAx>
        <c:axId val="17857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580864"/>
        <c:crosses val="autoZero"/>
        <c:auto val="1"/>
        <c:lblAlgn val="ctr"/>
        <c:lblOffset val="100"/>
        <c:tickLblSkip val="1"/>
        <c:noMultiLvlLbl val="0"/>
      </c:catAx>
      <c:valAx>
        <c:axId val="1785808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79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likelihood'!$BB$153:$BB$159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likelihood'!$BD$153:$BD$159</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8863104"/>
        <c:axId val="178885376"/>
      </c:barChart>
      <c:catAx>
        <c:axId val="178863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885376"/>
        <c:crosses val="autoZero"/>
        <c:auto val="1"/>
        <c:lblAlgn val="ctr"/>
        <c:lblOffset val="100"/>
        <c:tickLblSkip val="1"/>
        <c:noMultiLvlLbl val="0"/>
      </c:catAx>
      <c:valAx>
        <c:axId val="1788853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863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likelihood'!$BB$180:$BB$186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likelihood'!$BD$180:$BD$186</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9188096"/>
        <c:axId val="179189632"/>
      </c:barChart>
      <c:catAx>
        <c:axId val="17918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189632"/>
        <c:crosses val="autoZero"/>
        <c:auto val="1"/>
        <c:lblAlgn val="ctr"/>
        <c:lblOffset val="100"/>
        <c:tickLblSkip val="1"/>
        <c:noMultiLvlLbl val="0"/>
      </c:catAx>
      <c:valAx>
        <c:axId val="1791896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188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likelihood'!$BB$207:$BB$213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likelihood'!$BD$207:$BD$213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9218304"/>
        <c:axId val="179219840"/>
      </c:barChart>
      <c:catAx>
        <c:axId val="17921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219840"/>
        <c:crosses val="autoZero"/>
        <c:auto val="1"/>
        <c:lblAlgn val="ctr"/>
        <c:lblOffset val="100"/>
        <c:tickLblSkip val="1"/>
        <c:noMultiLvlLbl val="0"/>
      </c:catAx>
      <c:valAx>
        <c:axId val="179219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218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likelihood'!$BB$234:$BB$240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likelihood'!$BD$234:$BD$240</c:f>
              <c:numCache>
                <c:formatCode>0%</c:formatCode>
                <c:ptCount val="7"/>
                <c:pt idx="0">
                  <c:v>0.66666666666666663</c:v>
                </c:pt>
                <c:pt idx="1">
                  <c:v>0.33333333333333331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9231744"/>
        <c:axId val="179249920"/>
      </c:barChart>
      <c:catAx>
        <c:axId val="17923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249920"/>
        <c:crosses val="autoZero"/>
        <c:auto val="1"/>
        <c:lblAlgn val="ctr"/>
        <c:lblOffset val="100"/>
        <c:tickLblSkip val="1"/>
        <c:noMultiLvlLbl val="0"/>
      </c:catAx>
      <c:valAx>
        <c:axId val="1792499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23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likelihood'!$AX$247</c:f>
              <c:strCache>
                <c:ptCount val="1"/>
                <c:pt idx="0">
                  <c:v>Forest owners/managers</c:v>
                </c:pt>
              </c:strCache>
            </c:strRef>
          </c:tx>
          <c:spPr>
            <a:solidFill>
              <a:schemeClr val="accent1"/>
            </a:solidFill>
            <a:ln>
              <a:noFill/>
            </a:ln>
            <a:effectLst/>
          </c:spPr>
          <c:invertIfNegative val="0"/>
          <c:cat>
            <c:strRef>
              <c:f>'S30b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likelihood'!$AX$248:$AX$254</c:f>
              <c:numCache>
                <c:formatCode>General</c:formatCode>
                <c:ptCount val="7"/>
                <c:pt idx="0">
                  <c:v>2</c:v>
                </c:pt>
                <c:pt idx="1">
                  <c:v>0</c:v>
                </c:pt>
                <c:pt idx="2">
                  <c:v>0</c:v>
                </c:pt>
                <c:pt idx="3">
                  <c:v>0</c:v>
                </c:pt>
                <c:pt idx="4">
                  <c:v>0</c:v>
                </c:pt>
                <c:pt idx="5">
                  <c:v>0</c:v>
                </c:pt>
                <c:pt idx="6">
                  <c:v>0</c:v>
                </c:pt>
              </c:numCache>
            </c:numRef>
          </c:val>
        </c:ser>
        <c:ser>
          <c:idx val="1"/>
          <c:order val="1"/>
          <c:tx>
            <c:strRef>
              <c:f>'S30b likelihood'!$AY$247</c:f>
              <c:strCache>
                <c:ptCount val="1"/>
                <c:pt idx="0">
                  <c:v>Pellet producers</c:v>
                </c:pt>
              </c:strCache>
            </c:strRef>
          </c:tx>
          <c:spPr>
            <a:solidFill>
              <a:schemeClr val="accent2"/>
            </a:solidFill>
            <a:ln>
              <a:noFill/>
            </a:ln>
            <a:effectLst/>
          </c:spPr>
          <c:invertIfNegative val="0"/>
          <c:cat>
            <c:strRef>
              <c:f>'S30b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likelihood'!$AY$248:$AY$254</c:f>
              <c:numCache>
                <c:formatCode>0</c:formatCode>
                <c:ptCount val="7"/>
                <c:pt idx="0">
                  <c:v>1</c:v>
                </c:pt>
                <c:pt idx="1">
                  <c:v>0</c:v>
                </c:pt>
                <c:pt idx="2">
                  <c:v>0</c:v>
                </c:pt>
                <c:pt idx="3">
                  <c:v>0</c:v>
                </c:pt>
                <c:pt idx="4">
                  <c:v>0</c:v>
                </c:pt>
                <c:pt idx="5">
                  <c:v>0</c:v>
                </c:pt>
                <c:pt idx="6">
                  <c:v>0</c:v>
                </c:pt>
              </c:numCache>
            </c:numRef>
          </c:val>
        </c:ser>
        <c:ser>
          <c:idx val="2"/>
          <c:order val="2"/>
          <c:tx>
            <c:strRef>
              <c:f>'S30b likelihood'!$AZ$247</c:f>
              <c:strCache>
                <c:ptCount val="1"/>
                <c:pt idx="0">
                  <c:v>Pellet users</c:v>
                </c:pt>
              </c:strCache>
            </c:strRef>
          </c:tx>
          <c:spPr>
            <a:solidFill>
              <a:schemeClr val="accent3"/>
            </a:solidFill>
            <a:ln>
              <a:noFill/>
            </a:ln>
            <a:effectLst/>
          </c:spPr>
          <c:invertIfNegative val="0"/>
          <c:cat>
            <c:strRef>
              <c:f>'S30b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likelihood'!$AZ$248:$AZ$254</c:f>
              <c:numCache>
                <c:formatCode>General</c:formatCode>
                <c:ptCount val="7"/>
                <c:pt idx="0">
                  <c:v>0</c:v>
                </c:pt>
                <c:pt idx="1">
                  <c:v>1</c:v>
                </c:pt>
                <c:pt idx="2">
                  <c:v>0</c:v>
                </c:pt>
                <c:pt idx="3">
                  <c:v>0</c:v>
                </c:pt>
                <c:pt idx="4">
                  <c:v>0</c:v>
                </c:pt>
                <c:pt idx="5">
                  <c:v>0</c:v>
                </c:pt>
                <c:pt idx="6">
                  <c:v>0</c:v>
                </c:pt>
              </c:numCache>
            </c:numRef>
          </c:val>
        </c:ser>
        <c:ser>
          <c:idx val="3"/>
          <c:order val="3"/>
          <c:tx>
            <c:strRef>
              <c:f>'S30b likelihood'!$BA$247</c:f>
              <c:strCache>
                <c:ptCount val="1"/>
                <c:pt idx="0">
                  <c:v>Non-bioenergy wood users</c:v>
                </c:pt>
              </c:strCache>
            </c:strRef>
          </c:tx>
          <c:spPr>
            <a:solidFill>
              <a:schemeClr val="accent4"/>
            </a:solidFill>
            <a:ln>
              <a:noFill/>
            </a:ln>
            <a:effectLst/>
          </c:spPr>
          <c:invertIfNegative val="0"/>
          <c:cat>
            <c:strRef>
              <c:f>'S30b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likelihood'!$BA$248:$BA$254</c:f>
              <c:numCache>
                <c:formatCode>General</c:formatCode>
                <c:ptCount val="7"/>
                <c:pt idx="0">
                  <c:v>0</c:v>
                </c:pt>
                <c:pt idx="1">
                  <c:v>1</c:v>
                </c:pt>
                <c:pt idx="2">
                  <c:v>0</c:v>
                </c:pt>
                <c:pt idx="3">
                  <c:v>0</c:v>
                </c:pt>
                <c:pt idx="4">
                  <c:v>0</c:v>
                </c:pt>
                <c:pt idx="5">
                  <c:v>0</c:v>
                </c:pt>
                <c:pt idx="6">
                  <c:v>0</c:v>
                </c:pt>
              </c:numCache>
            </c:numRef>
          </c:val>
        </c:ser>
        <c:ser>
          <c:idx val="4"/>
          <c:order val="4"/>
          <c:tx>
            <c:strRef>
              <c:f>'S30b likelihood'!$BB$247</c:f>
              <c:strCache>
                <c:ptCount val="1"/>
                <c:pt idx="0">
                  <c:v>Policy makers and academia</c:v>
                </c:pt>
              </c:strCache>
            </c:strRef>
          </c:tx>
          <c:spPr>
            <a:solidFill>
              <a:schemeClr val="accent5"/>
            </a:solidFill>
            <a:ln>
              <a:noFill/>
            </a:ln>
            <a:effectLst/>
          </c:spPr>
          <c:invertIfNegative val="0"/>
          <c:cat>
            <c:strRef>
              <c:f>'S30b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likelihood'!$BB$248:$BB$254</c:f>
              <c:numCache>
                <c:formatCode>0</c:formatCode>
                <c:ptCount val="7"/>
                <c:pt idx="0">
                  <c:v>1</c:v>
                </c:pt>
                <c:pt idx="1">
                  <c:v>0</c:v>
                </c:pt>
                <c:pt idx="2">
                  <c:v>0</c:v>
                </c:pt>
                <c:pt idx="3">
                  <c:v>0</c:v>
                </c:pt>
                <c:pt idx="4">
                  <c:v>0</c:v>
                </c:pt>
                <c:pt idx="5">
                  <c:v>0</c:v>
                </c:pt>
                <c:pt idx="6">
                  <c:v>0</c:v>
                </c:pt>
              </c:numCache>
            </c:numRef>
          </c:val>
        </c:ser>
        <c:ser>
          <c:idx val="5"/>
          <c:order val="5"/>
          <c:tx>
            <c:strRef>
              <c:f>'S30b likelihood'!$BC$247</c:f>
              <c:strCache>
                <c:ptCount val="1"/>
                <c:pt idx="0">
                  <c:v>NGOs</c:v>
                </c:pt>
              </c:strCache>
            </c:strRef>
          </c:tx>
          <c:spPr>
            <a:solidFill>
              <a:schemeClr val="accent6"/>
            </a:solidFill>
            <a:ln>
              <a:noFill/>
            </a:ln>
            <a:effectLst/>
          </c:spPr>
          <c:invertIfNegative val="0"/>
          <c:cat>
            <c:strRef>
              <c:f>'S30b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likelihood'!$BC$248:$BC$254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79048832"/>
        <c:axId val="179050368"/>
      </c:barChart>
      <c:catAx>
        <c:axId val="179048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050368"/>
        <c:crosses val="autoZero"/>
        <c:auto val="1"/>
        <c:lblAlgn val="ctr"/>
        <c:lblOffset val="100"/>
        <c:noMultiLvlLbl val="0"/>
      </c:catAx>
      <c:valAx>
        <c:axId val="179050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048832"/>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likelihood'!$C$279</c:f>
              <c:strCache>
                <c:ptCount val="1"/>
                <c:pt idx="0">
                  <c:v>Forest owners/managers</c:v>
                </c:pt>
              </c:strCache>
            </c:strRef>
          </c:tx>
          <c:invertIfNegative val="0"/>
          <c:cat>
            <c:strRef>
              <c:f>'S26 likelihood'!$B$280:$B$284</c:f>
              <c:strCache>
                <c:ptCount val="5"/>
                <c:pt idx="0">
                  <c:v>Definitely not</c:v>
                </c:pt>
                <c:pt idx="1">
                  <c:v>Sometimes</c:v>
                </c:pt>
                <c:pt idx="2">
                  <c:v>Most of the time</c:v>
                </c:pt>
                <c:pt idx="3">
                  <c:v>Yes, always</c:v>
                </c:pt>
                <c:pt idx="4">
                  <c:v>I don’t know</c:v>
                </c:pt>
              </c:strCache>
            </c:strRef>
          </c:cat>
          <c:val>
            <c:numRef>
              <c:f>'S26 likelihood'!$C$280:$C$284</c:f>
              <c:numCache>
                <c:formatCode>0%</c:formatCode>
                <c:ptCount val="5"/>
                <c:pt idx="0">
                  <c:v>0.16666666666666666</c:v>
                </c:pt>
                <c:pt idx="1">
                  <c:v>0</c:v>
                </c:pt>
                <c:pt idx="2">
                  <c:v>0</c:v>
                </c:pt>
                <c:pt idx="3">
                  <c:v>0</c:v>
                </c:pt>
                <c:pt idx="4">
                  <c:v>0</c:v>
                </c:pt>
              </c:numCache>
            </c:numRef>
          </c:val>
        </c:ser>
        <c:ser>
          <c:idx val="1"/>
          <c:order val="1"/>
          <c:tx>
            <c:strRef>
              <c:f>'S26 likelihood'!$D$279</c:f>
              <c:strCache>
                <c:ptCount val="1"/>
                <c:pt idx="0">
                  <c:v>Pellet producers</c:v>
                </c:pt>
              </c:strCache>
            </c:strRef>
          </c:tx>
          <c:invertIfNegative val="0"/>
          <c:cat>
            <c:strRef>
              <c:f>'S26 likelihood'!$B$280:$B$284</c:f>
              <c:strCache>
                <c:ptCount val="5"/>
                <c:pt idx="0">
                  <c:v>Definitely not</c:v>
                </c:pt>
                <c:pt idx="1">
                  <c:v>Sometimes</c:v>
                </c:pt>
                <c:pt idx="2">
                  <c:v>Most of the time</c:v>
                </c:pt>
                <c:pt idx="3">
                  <c:v>Yes, always</c:v>
                </c:pt>
                <c:pt idx="4">
                  <c:v>I don’t know</c:v>
                </c:pt>
              </c:strCache>
            </c:strRef>
          </c:cat>
          <c:val>
            <c:numRef>
              <c:f>'S26 likelihood'!$D$280:$D$284</c:f>
              <c:numCache>
                <c:formatCode>0%</c:formatCode>
                <c:ptCount val="5"/>
                <c:pt idx="0">
                  <c:v>0.1111111111111111</c:v>
                </c:pt>
                <c:pt idx="1">
                  <c:v>5.5555555555555552E-2</c:v>
                </c:pt>
                <c:pt idx="2">
                  <c:v>0</c:v>
                </c:pt>
                <c:pt idx="3">
                  <c:v>0</c:v>
                </c:pt>
                <c:pt idx="4">
                  <c:v>0</c:v>
                </c:pt>
              </c:numCache>
            </c:numRef>
          </c:val>
        </c:ser>
        <c:ser>
          <c:idx val="2"/>
          <c:order val="2"/>
          <c:tx>
            <c:strRef>
              <c:f>'S26 likelihood'!$E$279</c:f>
              <c:strCache>
                <c:ptCount val="1"/>
                <c:pt idx="0">
                  <c:v>Pellet users</c:v>
                </c:pt>
              </c:strCache>
            </c:strRef>
          </c:tx>
          <c:invertIfNegative val="0"/>
          <c:cat>
            <c:strRef>
              <c:f>'S26 likelihood'!$B$280:$B$284</c:f>
              <c:strCache>
                <c:ptCount val="5"/>
                <c:pt idx="0">
                  <c:v>Definitely not</c:v>
                </c:pt>
                <c:pt idx="1">
                  <c:v>Sometimes</c:v>
                </c:pt>
                <c:pt idx="2">
                  <c:v>Most of the time</c:v>
                </c:pt>
                <c:pt idx="3">
                  <c:v>Yes, always</c:v>
                </c:pt>
                <c:pt idx="4">
                  <c:v>I don’t know</c:v>
                </c:pt>
              </c:strCache>
            </c:strRef>
          </c:cat>
          <c:val>
            <c:numRef>
              <c:f>'S26 likelihood'!$E$280:$E$284</c:f>
              <c:numCache>
                <c:formatCode>0%</c:formatCode>
                <c:ptCount val="5"/>
                <c:pt idx="0">
                  <c:v>8.3333333333333329E-2</c:v>
                </c:pt>
                <c:pt idx="1">
                  <c:v>8.3333333333333329E-2</c:v>
                </c:pt>
                <c:pt idx="2">
                  <c:v>0</c:v>
                </c:pt>
                <c:pt idx="3">
                  <c:v>0</c:v>
                </c:pt>
                <c:pt idx="4">
                  <c:v>0</c:v>
                </c:pt>
              </c:numCache>
            </c:numRef>
          </c:val>
        </c:ser>
        <c:ser>
          <c:idx val="3"/>
          <c:order val="3"/>
          <c:tx>
            <c:strRef>
              <c:f>'S26 likelihood'!$F$279</c:f>
              <c:strCache>
                <c:ptCount val="1"/>
                <c:pt idx="0">
                  <c:v>Non-bioenergy wood users</c:v>
                </c:pt>
              </c:strCache>
            </c:strRef>
          </c:tx>
          <c:invertIfNegative val="0"/>
          <c:cat>
            <c:strRef>
              <c:f>'S26 likelihood'!$B$280:$B$284</c:f>
              <c:strCache>
                <c:ptCount val="5"/>
                <c:pt idx="0">
                  <c:v>Definitely not</c:v>
                </c:pt>
                <c:pt idx="1">
                  <c:v>Sometimes</c:v>
                </c:pt>
                <c:pt idx="2">
                  <c:v>Most of the time</c:v>
                </c:pt>
                <c:pt idx="3">
                  <c:v>Yes, always</c:v>
                </c:pt>
                <c:pt idx="4">
                  <c:v>I don’t know</c:v>
                </c:pt>
              </c:strCache>
            </c:strRef>
          </c:cat>
          <c:val>
            <c:numRef>
              <c:f>'S26 likelihood'!$F$280:$F$284</c:f>
              <c:numCache>
                <c:formatCode>0%</c:formatCode>
                <c:ptCount val="5"/>
                <c:pt idx="0">
                  <c:v>0</c:v>
                </c:pt>
                <c:pt idx="1">
                  <c:v>0.16666666666666666</c:v>
                </c:pt>
                <c:pt idx="2">
                  <c:v>0</c:v>
                </c:pt>
                <c:pt idx="3">
                  <c:v>0</c:v>
                </c:pt>
                <c:pt idx="4">
                  <c:v>0</c:v>
                </c:pt>
              </c:numCache>
            </c:numRef>
          </c:val>
        </c:ser>
        <c:ser>
          <c:idx val="4"/>
          <c:order val="4"/>
          <c:tx>
            <c:strRef>
              <c:f>'S26 likelihood'!$G$279</c:f>
              <c:strCache>
                <c:ptCount val="1"/>
                <c:pt idx="0">
                  <c:v>Policy makers and academia</c:v>
                </c:pt>
              </c:strCache>
            </c:strRef>
          </c:tx>
          <c:invertIfNegative val="0"/>
          <c:cat>
            <c:strRef>
              <c:f>'S26 likelihood'!$B$280:$B$284</c:f>
              <c:strCache>
                <c:ptCount val="5"/>
                <c:pt idx="0">
                  <c:v>Definitely not</c:v>
                </c:pt>
                <c:pt idx="1">
                  <c:v>Sometimes</c:v>
                </c:pt>
                <c:pt idx="2">
                  <c:v>Most of the time</c:v>
                </c:pt>
                <c:pt idx="3">
                  <c:v>Yes, always</c:v>
                </c:pt>
                <c:pt idx="4">
                  <c:v>I don’t know</c:v>
                </c:pt>
              </c:strCache>
            </c:strRef>
          </c:cat>
          <c:val>
            <c:numRef>
              <c:f>'S26 likelihood'!$G$280:$G$284</c:f>
              <c:numCache>
                <c:formatCode>0%</c:formatCode>
                <c:ptCount val="5"/>
                <c:pt idx="0">
                  <c:v>8.3333333333333329E-2</c:v>
                </c:pt>
                <c:pt idx="1">
                  <c:v>8.3333333333333329E-2</c:v>
                </c:pt>
                <c:pt idx="2">
                  <c:v>0</c:v>
                </c:pt>
                <c:pt idx="3">
                  <c:v>0</c:v>
                </c:pt>
                <c:pt idx="4">
                  <c:v>0</c:v>
                </c:pt>
              </c:numCache>
            </c:numRef>
          </c:val>
        </c:ser>
        <c:ser>
          <c:idx val="5"/>
          <c:order val="5"/>
          <c:tx>
            <c:strRef>
              <c:f>'S26 likelihood'!$H$279</c:f>
              <c:strCache>
                <c:ptCount val="1"/>
                <c:pt idx="0">
                  <c:v>NGOs</c:v>
                </c:pt>
              </c:strCache>
            </c:strRef>
          </c:tx>
          <c:invertIfNegative val="0"/>
          <c:cat>
            <c:strRef>
              <c:f>'S26 likelihood'!$B$280:$B$284</c:f>
              <c:strCache>
                <c:ptCount val="5"/>
                <c:pt idx="0">
                  <c:v>Definitely not</c:v>
                </c:pt>
                <c:pt idx="1">
                  <c:v>Sometimes</c:v>
                </c:pt>
                <c:pt idx="2">
                  <c:v>Most of the time</c:v>
                </c:pt>
                <c:pt idx="3">
                  <c:v>Yes, always</c:v>
                </c:pt>
                <c:pt idx="4">
                  <c:v>I don’t know</c:v>
                </c:pt>
              </c:strCache>
            </c:strRef>
          </c:cat>
          <c:val>
            <c:numRef>
              <c:f>'S26 likelihood'!$H$280:$H$284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55"/>
        <c:overlap val="100"/>
        <c:axId val="138837376"/>
        <c:axId val="138843264"/>
      </c:barChart>
      <c:catAx>
        <c:axId val="13883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8843264"/>
        <c:crosses val="autoZero"/>
        <c:auto val="1"/>
        <c:lblAlgn val="ctr"/>
        <c:lblOffset val="100"/>
        <c:noMultiLvlLbl val="0"/>
      </c:catAx>
      <c:valAx>
        <c:axId val="13884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88373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likelihood'!$AX$279</c:f>
              <c:strCache>
                <c:ptCount val="1"/>
                <c:pt idx="0">
                  <c:v>Forest owners/managers</c:v>
                </c:pt>
              </c:strCache>
            </c:strRef>
          </c:tx>
          <c:invertIfNegative val="0"/>
          <c:cat>
            <c:strRef>
              <c:f>'S30b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likelihood'!$AX$280:$AX$286</c:f>
              <c:numCache>
                <c:formatCode>0%</c:formatCode>
                <c:ptCount val="7"/>
                <c:pt idx="0">
                  <c:v>0.16666666666666666</c:v>
                </c:pt>
                <c:pt idx="1">
                  <c:v>0</c:v>
                </c:pt>
                <c:pt idx="2">
                  <c:v>0</c:v>
                </c:pt>
                <c:pt idx="3">
                  <c:v>0</c:v>
                </c:pt>
                <c:pt idx="4">
                  <c:v>0</c:v>
                </c:pt>
                <c:pt idx="5">
                  <c:v>0</c:v>
                </c:pt>
                <c:pt idx="6">
                  <c:v>0</c:v>
                </c:pt>
              </c:numCache>
            </c:numRef>
          </c:val>
        </c:ser>
        <c:ser>
          <c:idx val="1"/>
          <c:order val="1"/>
          <c:tx>
            <c:strRef>
              <c:f>'S30b likelihood'!$AY$279</c:f>
              <c:strCache>
                <c:ptCount val="1"/>
                <c:pt idx="0">
                  <c:v>Pellet producers</c:v>
                </c:pt>
              </c:strCache>
            </c:strRef>
          </c:tx>
          <c:invertIfNegative val="0"/>
          <c:cat>
            <c:strRef>
              <c:f>'S30b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likelihood'!$AY$280:$AY$286</c:f>
              <c:numCache>
                <c:formatCode>0%</c:formatCode>
                <c:ptCount val="7"/>
                <c:pt idx="0">
                  <c:v>0.16666666666666666</c:v>
                </c:pt>
                <c:pt idx="1">
                  <c:v>0</c:v>
                </c:pt>
                <c:pt idx="2">
                  <c:v>0</c:v>
                </c:pt>
                <c:pt idx="3">
                  <c:v>0</c:v>
                </c:pt>
                <c:pt idx="4">
                  <c:v>0</c:v>
                </c:pt>
                <c:pt idx="5">
                  <c:v>0</c:v>
                </c:pt>
                <c:pt idx="6">
                  <c:v>0</c:v>
                </c:pt>
              </c:numCache>
            </c:numRef>
          </c:val>
        </c:ser>
        <c:ser>
          <c:idx val="2"/>
          <c:order val="2"/>
          <c:tx>
            <c:strRef>
              <c:f>'S30b likelihood'!$AZ$279</c:f>
              <c:strCache>
                <c:ptCount val="1"/>
                <c:pt idx="0">
                  <c:v>Pellet users</c:v>
                </c:pt>
              </c:strCache>
            </c:strRef>
          </c:tx>
          <c:invertIfNegative val="0"/>
          <c:cat>
            <c:strRef>
              <c:f>'S30b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likelihood'!$AZ$280:$AZ$286</c:f>
              <c:numCache>
                <c:formatCode>0%</c:formatCode>
                <c:ptCount val="7"/>
                <c:pt idx="0">
                  <c:v>0</c:v>
                </c:pt>
                <c:pt idx="1">
                  <c:v>0.16666666666666666</c:v>
                </c:pt>
                <c:pt idx="2">
                  <c:v>0</c:v>
                </c:pt>
                <c:pt idx="3">
                  <c:v>0</c:v>
                </c:pt>
                <c:pt idx="4">
                  <c:v>0</c:v>
                </c:pt>
                <c:pt idx="5">
                  <c:v>0</c:v>
                </c:pt>
                <c:pt idx="6">
                  <c:v>0</c:v>
                </c:pt>
              </c:numCache>
            </c:numRef>
          </c:val>
        </c:ser>
        <c:ser>
          <c:idx val="3"/>
          <c:order val="3"/>
          <c:tx>
            <c:strRef>
              <c:f>'S30b likelihood'!$BA$279</c:f>
              <c:strCache>
                <c:ptCount val="1"/>
                <c:pt idx="0">
                  <c:v>Non-bioenergy wood users</c:v>
                </c:pt>
              </c:strCache>
            </c:strRef>
          </c:tx>
          <c:invertIfNegative val="0"/>
          <c:cat>
            <c:strRef>
              <c:f>'S30b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likelihood'!$BA$280:$BA$286</c:f>
              <c:numCache>
                <c:formatCode>0%</c:formatCode>
                <c:ptCount val="7"/>
                <c:pt idx="0">
                  <c:v>0</c:v>
                </c:pt>
                <c:pt idx="1">
                  <c:v>0.16666666666666666</c:v>
                </c:pt>
                <c:pt idx="2">
                  <c:v>0</c:v>
                </c:pt>
                <c:pt idx="3">
                  <c:v>0</c:v>
                </c:pt>
                <c:pt idx="4">
                  <c:v>0</c:v>
                </c:pt>
                <c:pt idx="5">
                  <c:v>0</c:v>
                </c:pt>
                <c:pt idx="6">
                  <c:v>0</c:v>
                </c:pt>
              </c:numCache>
            </c:numRef>
          </c:val>
        </c:ser>
        <c:ser>
          <c:idx val="4"/>
          <c:order val="4"/>
          <c:tx>
            <c:strRef>
              <c:f>'S30b likelihood'!$BB$279</c:f>
              <c:strCache>
                <c:ptCount val="1"/>
                <c:pt idx="0">
                  <c:v>Policy makers and academia</c:v>
                </c:pt>
              </c:strCache>
            </c:strRef>
          </c:tx>
          <c:invertIfNegative val="0"/>
          <c:cat>
            <c:strRef>
              <c:f>'S30b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likelihood'!$BB$280:$BB$286</c:f>
              <c:numCache>
                <c:formatCode>0%</c:formatCode>
                <c:ptCount val="7"/>
                <c:pt idx="0">
                  <c:v>0.16666666666666666</c:v>
                </c:pt>
                <c:pt idx="1">
                  <c:v>0</c:v>
                </c:pt>
                <c:pt idx="2">
                  <c:v>0</c:v>
                </c:pt>
                <c:pt idx="3">
                  <c:v>0</c:v>
                </c:pt>
                <c:pt idx="4">
                  <c:v>0</c:v>
                </c:pt>
                <c:pt idx="5">
                  <c:v>0</c:v>
                </c:pt>
                <c:pt idx="6">
                  <c:v>0</c:v>
                </c:pt>
              </c:numCache>
            </c:numRef>
          </c:val>
        </c:ser>
        <c:ser>
          <c:idx val="5"/>
          <c:order val="5"/>
          <c:tx>
            <c:strRef>
              <c:f>'S30b likelihood'!$BC$279</c:f>
              <c:strCache>
                <c:ptCount val="1"/>
                <c:pt idx="0">
                  <c:v>NGOs</c:v>
                </c:pt>
              </c:strCache>
            </c:strRef>
          </c:tx>
          <c:invertIfNegative val="0"/>
          <c:cat>
            <c:strRef>
              <c:f>'S30b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likelihood'!$BC$280:$BC$286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79099136"/>
        <c:axId val="179100672"/>
      </c:barChart>
      <c:catAx>
        <c:axId val="17909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100672"/>
        <c:crosses val="autoZero"/>
        <c:auto val="1"/>
        <c:lblAlgn val="ctr"/>
        <c:lblOffset val="100"/>
        <c:noMultiLvlLbl val="0"/>
      </c:catAx>
      <c:valAx>
        <c:axId val="179100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099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likelihood'!$AX$279</c:f>
              <c:strCache>
                <c:ptCount val="1"/>
                <c:pt idx="0">
                  <c:v>Forest owners/managers</c:v>
                </c:pt>
              </c:strCache>
            </c:strRef>
          </c:tx>
          <c:invertIfNegative val="0"/>
          <c:cat>
            <c:strRef>
              <c:f>'S30b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likelihood'!$AX$280:$AX$286</c:f>
              <c:numCache>
                <c:formatCode>0%</c:formatCode>
                <c:ptCount val="7"/>
                <c:pt idx="0">
                  <c:v>0.16666666666666666</c:v>
                </c:pt>
                <c:pt idx="1">
                  <c:v>0</c:v>
                </c:pt>
                <c:pt idx="2">
                  <c:v>0</c:v>
                </c:pt>
                <c:pt idx="3">
                  <c:v>0</c:v>
                </c:pt>
                <c:pt idx="4">
                  <c:v>0</c:v>
                </c:pt>
                <c:pt idx="5">
                  <c:v>0</c:v>
                </c:pt>
                <c:pt idx="6">
                  <c:v>0</c:v>
                </c:pt>
              </c:numCache>
            </c:numRef>
          </c:val>
        </c:ser>
        <c:ser>
          <c:idx val="1"/>
          <c:order val="1"/>
          <c:tx>
            <c:strRef>
              <c:f>'S30b likelihood'!$AY$279</c:f>
              <c:strCache>
                <c:ptCount val="1"/>
                <c:pt idx="0">
                  <c:v>Pellet producers</c:v>
                </c:pt>
              </c:strCache>
            </c:strRef>
          </c:tx>
          <c:invertIfNegative val="0"/>
          <c:cat>
            <c:strRef>
              <c:f>'S30b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likelihood'!$AY$280:$AY$286</c:f>
              <c:numCache>
                <c:formatCode>0%</c:formatCode>
                <c:ptCount val="7"/>
                <c:pt idx="0">
                  <c:v>0.16666666666666666</c:v>
                </c:pt>
                <c:pt idx="1">
                  <c:v>0</c:v>
                </c:pt>
                <c:pt idx="2">
                  <c:v>0</c:v>
                </c:pt>
                <c:pt idx="3">
                  <c:v>0</c:v>
                </c:pt>
                <c:pt idx="4">
                  <c:v>0</c:v>
                </c:pt>
                <c:pt idx="5">
                  <c:v>0</c:v>
                </c:pt>
                <c:pt idx="6">
                  <c:v>0</c:v>
                </c:pt>
              </c:numCache>
            </c:numRef>
          </c:val>
        </c:ser>
        <c:ser>
          <c:idx val="2"/>
          <c:order val="2"/>
          <c:tx>
            <c:strRef>
              <c:f>'S30b likelihood'!$AZ$279</c:f>
              <c:strCache>
                <c:ptCount val="1"/>
                <c:pt idx="0">
                  <c:v>Pellet users</c:v>
                </c:pt>
              </c:strCache>
            </c:strRef>
          </c:tx>
          <c:invertIfNegative val="0"/>
          <c:cat>
            <c:strRef>
              <c:f>'S30b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likelihood'!$AZ$280:$AZ$286</c:f>
              <c:numCache>
                <c:formatCode>0%</c:formatCode>
                <c:ptCount val="7"/>
                <c:pt idx="0">
                  <c:v>0</c:v>
                </c:pt>
                <c:pt idx="1">
                  <c:v>0.16666666666666666</c:v>
                </c:pt>
                <c:pt idx="2">
                  <c:v>0</c:v>
                </c:pt>
                <c:pt idx="3">
                  <c:v>0</c:v>
                </c:pt>
                <c:pt idx="4">
                  <c:v>0</c:v>
                </c:pt>
                <c:pt idx="5">
                  <c:v>0</c:v>
                </c:pt>
                <c:pt idx="6">
                  <c:v>0</c:v>
                </c:pt>
              </c:numCache>
            </c:numRef>
          </c:val>
        </c:ser>
        <c:ser>
          <c:idx val="3"/>
          <c:order val="3"/>
          <c:tx>
            <c:strRef>
              <c:f>'S30b likelihood'!$BA$279</c:f>
              <c:strCache>
                <c:ptCount val="1"/>
                <c:pt idx="0">
                  <c:v>Non-bioenergy wood users</c:v>
                </c:pt>
              </c:strCache>
            </c:strRef>
          </c:tx>
          <c:invertIfNegative val="0"/>
          <c:cat>
            <c:strRef>
              <c:f>'S30b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likelihood'!$BA$280:$BA$286</c:f>
              <c:numCache>
                <c:formatCode>0%</c:formatCode>
                <c:ptCount val="7"/>
                <c:pt idx="0">
                  <c:v>0</c:v>
                </c:pt>
                <c:pt idx="1">
                  <c:v>0.16666666666666666</c:v>
                </c:pt>
                <c:pt idx="2">
                  <c:v>0</c:v>
                </c:pt>
                <c:pt idx="3">
                  <c:v>0</c:v>
                </c:pt>
                <c:pt idx="4">
                  <c:v>0</c:v>
                </c:pt>
                <c:pt idx="5">
                  <c:v>0</c:v>
                </c:pt>
                <c:pt idx="6">
                  <c:v>0</c:v>
                </c:pt>
              </c:numCache>
            </c:numRef>
          </c:val>
        </c:ser>
        <c:ser>
          <c:idx val="4"/>
          <c:order val="4"/>
          <c:tx>
            <c:strRef>
              <c:f>'S30b likelihood'!$BB$279</c:f>
              <c:strCache>
                <c:ptCount val="1"/>
                <c:pt idx="0">
                  <c:v>Policy makers and academia</c:v>
                </c:pt>
              </c:strCache>
            </c:strRef>
          </c:tx>
          <c:invertIfNegative val="0"/>
          <c:cat>
            <c:strRef>
              <c:f>'S30b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likelihood'!$BB$280:$BB$286</c:f>
              <c:numCache>
                <c:formatCode>0%</c:formatCode>
                <c:ptCount val="7"/>
                <c:pt idx="0">
                  <c:v>0.16666666666666666</c:v>
                </c:pt>
                <c:pt idx="1">
                  <c:v>0</c:v>
                </c:pt>
                <c:pt idx="2">
                  <c:v>0</c:v>
                </c:pt>
                <c:pt idx="3">
                  <c:v>0</c:v>
                </c:pt>
                <c:pt idx="4">
                  <c:v>0</c:v>
                </c:pt>
                <c:pt idx="5">
                  <c:v>0</c:v>
                </c:pt>
                <c:pt idx="6">
                  <c:v>0</c:v>
                </c:pt>
              </c:numCache>
            </c:numRef>
          </c:val>
        </c:ser>
        <c:ser>
          <c:idx val="5"/>
          <c:order val="5"/>
          <c:tx>
            <c:strRef>
              <c:f>'S30b likelihood'!$BC$279</c:f>
              <c:strCache>
                <c:ptCount val="1"/>
                <c:pt idx="0">
                  <c:v>NGOs</c:v>
                </c:pt>
              </c:strCache>
            </c:strRef>
          </c:tx>
          <c:invertIfNegative val="0"/>
          <c:cat>
            <c:strRef>
              <c:f>'S30b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likelihood'!$BC$280:$BC$286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79133056"/>
        <c:axId val="179147136"/>
      </c:barChart>
      <c:catAx>
        <c:axId val="17913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147136"/>
        <c:crosses val="autoZero"/>
        <c:auto val="1"/>
        <c:lblAlgn val="ctr"/>
        <c:lblOffset val="100"/>
        <c:noMultiLvlLbl val="0"/>
      </c:catAx>
      <c:valAx>
        <c:axId val="179147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1330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likelihood'!$Z$72:$Z$78</c:f>
              <c:numCache>
                <c:formatCode>0%</c:formatCode>
                <c:ptCount val="7"/>
                <c:pt idx="0">
                  <c:v>0.4</c:v>
                </c:pt>
                <c:pt idx="1">
                  <c:v>0</c:v>
                </c:pt>
                <c:pt idx="2">
                  <c:v>0</c:v>
                </c:pt>
                <c:pt idx="3">
                  <c:v>0</c:v>
                </c:pt>
                <c:pt idx="4">
                  <c:v>0</c:v>
                </c:pt>
                <c:pt idx="5">
                  <c:v>0</c:v>
                </c:pt>
                <c:pt idx="6">
                  <c:v>0.6</c:v>
                </c:pt>
              </c:numCache>
            </c:numRef>
          </c:val>
        </c:ser>
        <c:dLbls>
          <c:showLegendKey val="0"/>
          <c:showVal val="0"/>
          <c:showCatName val="0"/>
          <c:showSerName val="0"/>
          <c:showPercent val="0"/>
          <c:showBubbleSize val="0"/>
        </c:dLbls>
        <c:gapWidth val="219"/>
        <c:overlap val="-27"/>
        <c:axId val="179167232"/>
        <c:axId val="179168768"/>
      </c:barChart>
      <c:catAx>
        <c:axId val="17916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168768"/>
        <c:crosses val="autoZero"/>
        <c:auto val="1"/>
        <c:lblAlgn val="ctr"/>
        <c:lblOffset val="100"/>
        <c:tickLblSkip val="1"/>
        <c:noMultiLvlLbl val="0"/>
      </c:catAx>
      <c:valAx>
        <c:axId val="1791687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167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likelihood'!$Z$99:$Z$105</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9590272"/>
        <c:axId val="179591808"/>
      </c:barChart>
      <c:catAx>
        <c:axId val="17959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591808"/>
        <c:crosses val="autoZero"/>
        <c:auto val="1"/>
        <c:lblAlgn val="ctr"/>
        <c:lblOffset val="100"/>
        <c:tickLblSkip val="1"/>
        <c:noMultiLvlLbl val="0"/>
      </c:catAx>
      <c:valAx>
        <c:axId val="1795918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90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likelihood'!$Z$126:$Z$132</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9611904"/>
        <c:axId val="179372032"/>
      </c:barChart>
      <c:catAx>
        <c:axId val="17961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372032"/>
        <c:crosses val="autoZero"/>
        <c:auto val="1"/>
        <c:lblAlgn val="ctr"/>
        <c:lblOffset val="100"/>
        <c:tickLblSkip val="1"/>
        <c:noMultiLvlLbl val="0"/>
      </c:catAx>
      <c:valAx>
        <c:axId val="1793720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611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likelihood'!$Z$153:$Z$159</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9387776"/>
        <c:axId val="179405952"/>
      </c:barChart>
      <c:catAx>
        <c:axId val="17938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405952"/>
        <c:crosses val="autoZero"/>
        <c:auto val="1"/>
        <c:lblAlgn val="ctr"/>
        <c:lblOffset val="100"/>
        <c:tickLblSkip val="1"/>
        <c:noMultiLvlLbl val="0"/>
      </c:catAx>
      <c:valAx>
        <c:axId val="179405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387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likelihood'!$Z$180:$Z$186</c:f>
              <c:numCache>
                <c:formatCode>0%</c:formatCode>
                <c:ptCount val="7"/>
                <c:pt idx="0">
                  <c:v>0.33333333333333331</c:v>
                </c:pt>
                <c:pt idx="1">
                  <c:v>0</c:v>
                </c:pt>
                <c:pt idx="2">
                  <c:v>0.33333333333333331</c:v>
                </c:pt>
                <c:pt idx="3">
                  <c:v>0</c:v>
                </c:pt>
                <c:pt idx="4">
                  <c:v>0.33333333333333331</c:v>
                </c:pt>
                <c:pt idx="5">
                  <c:v>0</c:v>
                </c:pt>
                <c:pt idx="6">
                  <c:v>0</c:v>
                </c:pt>
              </c:numCache>
            </c:numRef>
          </c:val>
        </c:ser>
        <c:dLbls>
          <c:showLegendKey val="0"/>
          <c:showVal val="0"/>
          <c:showCatName val="0"/>
          <c:showSerName val="0"/>
          <c:showPercent val="0"/>
          <c:showBubbleSize val="0"/>
        </c:dLbls>
        <c:gapWidth val="219"/>
        <c:overlap val="-27"/>
        <c:axId val="179442432"/>
        <c:axId val="179443968"/>
      </c:barChart>
      <c:catAx>
        <c:axId val="17944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443968"/>
        <c:crosses val="autoZero"/>
        <c:auto val="1"/>
        <c:lblAlgn val="ctr"/>
        <c:lblOffset val="100"/>
        <c:tickLblSkip val="1"/>
        <c:noMultiLvlLbl val="0"/>
      </c:catAx>
      <c:valAx>
        <c:axId val="1794439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42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likelihood'!$Z$207:$Z$213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79467776"/>
        <c:axId val="179469312"/>
      </c:barChart>
      <c:catAx>
        <c:axId val="17946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469312"/>
        <c:crosses val="autoZero"/>
        <c:auto val="1"/>
        <c:lblAlgn val="ctr"/>
        <c:lblOffset val="100"/>
        <c:tickLblSkip val="1"/>
        <c:noMultiLvlLbl val="0"/>
      </c:catAx>
      <c:valAx>
        <c:axId val="1794693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467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likelihood'!$Z$234:$Z$240</c:f>
              <c:numCache>
                <c:formatCode>0%</c:formatCode>
                <c:ptCount val="7"/>
                <c:pt idx="0">
                  <c:v>0.3</c:v>
                </c:pt>
                <c:pt idx="1">
                  <c:v>0.2</c:v>
                </c:pt>
                <c:pt idx="2">
                  <c:v>0.1</c:v>
                </c:pt>
                <c:pt idx="3">
                  <c:v>0</c:v>
                </c:pt>
                <c:pt idx="4">
                  <c:v>0.1</c:v>
                </c:pt>
                <c:pt idx="5">
                  <c:v>0</c:v>
                </c:pt>
                <c:pt idx="6">
                  <c:v>0.3</c:v>
                </c:pt>
              </c:numCache>
            </c:numRef>
          </c:val>
        </c:ser>
        <c:dLbls>
          <c:showLegendKey val="0"/>
          <c:showVal val="0"/>
          <c:showCatName val="0"/>
          <c:showSerName val="0"/>
          <c:showPercent val="0"/>
          <c:showBubbleSize val="0"/>
        </c:dLbls>
        <c:gapWidth val="219"/>
        <c:overlap val="-27"/>
        <c:axId val="179513984"/>
        <c:axId val="179515776"/>
      </c:barChart>
      <c:catAx>
        <c:axId val="17951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515776"/>
        <c:crosses val="autoZero"/>
        <c:auto val="1"/>
        <c:lblAlgn val="ctr"/>
        <c:lblOffset val="100"/>
        <c:tickLblSkip val="1"/>
        <c:noMultiLvlLbl val="0"/>
      </c:catAx>
      <c:valAx>
        <c:axId val="1795157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513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likelihood'!$T$247</c:f>
              <c:strCache>
                <c:ptCount val="1"/>
                <c:pt idx="0">
                  <c:v>Forest owners/managers</c:v>
                </c:pt>
              </c:strCache>
            </c:strRef>
          </c:tx>
          <c:spPr>
            <a:solidFill>
              <a:schemeClr val="accent1"/>
            </a:solidFill>
            <a:ln>
              <a:noFill/>
            </a:ln>
            <a:effectLst/>
          </c:spPr>
          <c:invertIfNegative val="0"/>
          <c:cat>
            <c:strRef>
              <c:f>'S30b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likelihood'!$T$248:$T$254</c:f>
              <c:numCache>
                <c:formatCode>General</c:formatCode>
                <c:ptCount val="7"/>
                <c:pt idx="0">
                  <c:v>2</c:v>
                </c:pt>
                <c:pt idx="1">
                  <c:v>0</c:v>
                </c:pt>
                <c:pt idx="2">
                  <c:v>0</c:v>
                </c:pt>
                <c:pt idx="3">
                  <c:v>0</c:v>
                </c:pt>
                <c:pt idx="4">
                  <c:v>0</c:v>
                </c:pt>
                <c:pt idx="5">
                  <c:v>0</c:v>
                </c:pt>
                <c:pt idx="6">
                  <c:v>3</c:v>
                </c:pt>
              </c:numCache>
            </c:numRef>
          </c:val>
        </c:ser>
        <c:ser>
          <c:idx val="1"/>
          <c:order val="1"/>
          <c:tx>
            <c:strRef>
              <c:f>'S30b likelihood'!$U$247</c:f>
              <c:strCache>
                <c:ptCount val="1"/>
                <c:pt idx="0">
                  <c:v>Pellet producers</c:v>
                </c:pt>
              </c:strCache>
            </c:strRef>
          </c:tx>
          <c:spPr>
            <a:solidFill>
              <a:schemeClr val="accent2"/>
            </a:solidFill>
            <a:ln>
              <a:noFill/>
            </a:ln>
            <a:effectLst/>
          </c:spPr>
          <c:invertIfNegative val="0"/>
          <c:cat>
            <c:strRef>
              <c:f>'S30b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likelihood'!$U$248:$U$254</c:f>
              <c:numCache>
                <c:formatCode>0</c:formatCode>
                <c:ptCount val="7"/>
                <c:pt idx="0">
                  <c:v>0</c:v>
                </c:pt>
                <c:pt idx="1">
                  <c:v>0</c:v>
                </c:pt>
                <c:pt idx="2">
                  <c:v>0</c:v>
                </c:pt>
                <c:pt idx="3">
                  <c:v>0</c:v>
                </c:pt>
                <c:pt idx="4">
                  <c:v>0</c:v>
                </c:pt>
                <c:pt idx="5">
                  <c:v>0</c:v>
                </c:pt>
                <c:pt idx="6">
                  <c:v>0</c:v>
                </c:pt>
              </c:numCache>
            </c:numRef>
          </c:val>
        </c:ser>
        <c:ser>
          <c:idx val="2"/>
          <c:order val="2"/>
          <c:tx>
            <c:strRef>
              <c:f>'S30b likelihood'!$V$247</c:f>
              <c:strCache>
                <c:ptCount val="1"/>
                <c:pt idx="0">
                  <c:v>Pellet users</c:v>
                </c:pt>
              </c:strCache>
            </c:strRef>
          </c:tx>
          <c:spPr>
            <a:solidFill>
              <a:schemeClr val="accent3"/>
            </a:solidFill>
            <a:ln>
              <a:noFill/>
            </a:ln>
            <a:effectLst/>
          </c:spPr>
          <c:invertIfNegative val="0"/>
          <c:cat>
            <c:strRef>
              <c:f>'S30b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likelihood'!$V$248:$V$254</c:f>
              <c:numCache>
                <c:formatCode>General</c:formatCode>
                <c:ptCount val="7"/>
                <c:pt idx="0">
                  <c:v>0</c:v>
                </c:pt>
                <c:pt idx="1">
                  <c:v>1</c:v>
                </c:pt>
                <c:pt idx="2">
                  <c:v>0</c:v>
                </c:pt>
                <c:pt idx="3">
                  <c:v>0</c:v>
                </c:pt>
                <c:pt idx="4">
                  <c:v>0</c:v>
                </c:pt>
                <c:pt idx="5">
                  <c:v>0</c:v>
                </c:pt>
                <c:pt idx="6">
                  <c:v>0</c:v>
                </c:pt>
              </c:numCache>
            </c:numRef>
          </c:val>
        </c:ser>
        <c:ser>
          <c:idx val="3"/>
          <c:order val="3"/>
          <c:tx>
            <c:strRef>
              <c:f>'S30b likelihood'!$W$247</c:f>
              <c:strCache>
                <c:ptCount val="1"/>
                <c:pt idx="0">
                  <c:v>Non-bioenergy wood users</c:v>
                </c:pt>
              </c:strCache>
            </c:strRef>
          </c:tx>
          <c:spPr>
            <a:solidFill>
              <a:schemeClr val="accent4"/>
            </a:solidFill>
            <a:ln>
              <a:noFill/>
            </a:ln>
            <a:effectLst/>
          </c:spPr>
          <c:invertIfNegative val="0"/>
          <c:cat>
            <c:strRef>
              <c:f>'S30b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likelihood'!$W$248:$W$254</c:f>
              <c:numCache>
                <c:formatCode>General</c:formatCode>
                <c:ptCount val="7"/>
                <c:pt idx="0">
                  <c:v>0</c:v>
                </c:pt>
                <c:pt idx="1">
                  <c:v>1</c:v>
                </c:pt>
                <c:pt idx="2">
                  <c:v>0</c:v>
                </c:pt>
                <c:pt idx="3">
                  <c:v>0</c:v>
                </c:pt>
                <c:pt idx="4">
                  <c:v>0</c:v>
                </c:pt>
                <c:pt idx="5">
                  <c:v>0</c:v>
                </c:pt>
                <c:pt idx="6">
                  <c:v>0</c:v>
                </c:pt>
              </c:numCache>
            </c:numRef>
          </c:val>
        </c:ser>
        <c:ser>
          <c:idx val="4"/>
          <c:order val="4"/>
          <c:tx>
            <c:strRef>
              <c:f>'S30b likelihood'!$X$247</c:f>
              <c:strCache>
                <c:ptCount val="1"/>
                <c:pt idx="0">
                  <c:v>Policy makers and academia</c:v>
                </c:pt>
              </c:strCache>
            </c:strRef>
          </c:tx>
          <c:spPr>
            <a:solidFill>
              <a:schemeClr val="accent5"/>
            </a:solidFill>
            <a:ln>
              <a:noFill/>
            </a:ln>
            <a:effectLst/>
          </c:spPr>
          <c:invertIfNegative val="0"/>
          <c:cat>
            <c:strRef>
              <c:f>'S30b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likelihood'!$X$248:$X$254</c:f>
              <c:numCache>
                <c:formatCode>0</c:formatCode>
                <c:ptCount val="7"/>
                <c:pt idx="0">
                  <c:v>1</c:v>
                </c:pt>
                <c:pt idx="1">
                  <c:v>0</c:v>
                </c:pt>
                <c:pt idx="2">
                  <c:v>1</c:v>
                </c:pt>
                <c:pt idx="3">
                  <c:v>0</c:v>
                </c:pt>
                <c:pt idx="4">
                  <c:v>1</c:v>
                </c:pt>
                <c:pt idx="5">
                  <c:v>0</c:v>
                </c:pt>
                <c:pt idx="6">
                  <c:v>0</c:v>
                </c:pt>
              </c:numCache>
            </c:numRef>
          </c:val>
        </c:ser>
        <c:ser>
          <c:idx val="5"/>
          <c:order val="5"/>
          <c:tx>
            <c:strRef>
              <c:f>'S30b likelihood'!$Y$247</c:f>
              <c:strCache>
                <c:ptCount val="1"/>
                <c:pt idx="0">
                  <c:v>NGOs</c:v>
                </c:pt>
              </c:strCache>
            </c:strRef>
          </c:tx>
          <c:spPr>
            <a:solidFill>
              <a:schemeClr val="accent6"/>
            </a:solidFill>
            <a:ln>
              <a:noFill/>
            </a:ln>
            <a:effectLst/>
          </c:spPr>
          <c:invertIfNegative val="0"/>
          <c:cat>
            <c:strRef>
              <c:f>'S30b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likelihood'!$Y$248:$Y$254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79961856"/>
        <c:axId val="179963392"/>
      </c:barChart>
      <c:catAx>
        <c:axId val="1799618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963392"/>
        <c:crosses val="autoZero"/>
        <c:auto val="1"/>
        <c:lblAlgn val="ctr"/>
        <c:lblOffset val="100"/>
        <c:noMultiLvlLbl val="0"/>
      </c:catAx>
      <c:valAx>
        <c:axId val="179963392"/>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61856"/>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likelihood'!$BM$279</c:f>
              <c:strCache>
                <c:ptCount val="1"/>
                <c:pt idx="0">
                  <c:v>Forest owners/managers</c:v>
                </c:pt>
              </c:strCache>
            </c:strRef>
          </c:tx>
          <c:invertIfNegative val="0"/>
          <c:cat>
            <c:strRef>
              <c:f>'S26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likelihood'!$BM$280:$BM$286</c:f>
              <c:numCache>
                <c:formatCode>0%</c:formatCode>
                <c:ptCount val="7"/>
                <c:pt idx="0">
                  <c:v>0.125</c:v>
                </c:pt>
                <c:pt idx="1">
                  <c:v>4.1666666666666664E-2</c:v>
                </c:pt>
                <c:pt idx="2">
                  <c:v>0</c:v>
                </c:pt>
                <c:pt idx="3">
                  <c:v>0</c:v>
                </c:pt>
                <c:pt idx="4">
                  <c:v>0</c:v>
                </c:pt>
                <c:pt idx="5">
                  <c:v>0</c:v>
                </c:pt>
                <c:pt idx="6">
                  <c:v>0</c:v>
                </c:pt>
              </c:numCache>
            </c:numRef>
          </c:val>
        </c:ser>
        <c:ser>
          <c:idx val="1"/>
          <c:order val="1"/>
          <c:tx>
            <c:strRef>
              <c:f>'S26 likelihood'!$BN$279</c:f>
              <c:strCache>
                <c:ptCount val="1"/>
                <c:pt idx="0">
                  <c:v>Pellet producers</c:v>
                </c:pt>
              </c:strCache>
            </c:strRef>
          </c:tx>
          <c:invertIfNegative val="0"/>
          <c:cat>
            <c:strRef>
              <c:f>'S26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likelihood'!$BN$280:$BN$286</c:f>
              <c:numCache>
                <c:formatCode>0%</c:formatCode>
                <c:ptCount val="7"/>
                <c:pt idx="0">
                  <c:v>0.16666666666666666</c:v>
                </c:pt>
                <c:pt idx="1">
                  <c:v>0</c:v>
                </c:pt>
                <c:pt idx="2">
                  <c:v>0</c:v>
                </c:pt>
                <c:pt idx="3">
                  <c:v>0</c:v>
                </c:pt>
                <c:pt idx="4">
                  <c:v>0</c:v>
                </c:pt>
                <c:pt idx="5">
                  <c:v>0</c:v>
                </c:pt>
                <c:pt idx="6">
                  <c:v>0</c:v>
                </c:pt>
              </c:numCache>
            </c:numRef>
          </c:val>
        </c:ser>
        <c:ser>
          <c:idx val="2"/>
          <c:order val="2"/>
          <c:tx>
            <c:strRef>
              <c:f>'S26 likelihood'!$BO$279</c:f>
              <c:strCache>
                <c:ptCount val="1"/>
                <c:pt idx="0">
                  <c:v>Pellet users</c:v>
                </c:pt>
              </c:strCache>
            </c:strRef>
          </c:tx>
          <c:invertIfNegative val="0"/>
          <c:cat>
            <c:strRef>
              <c:f>'S26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likelihood'!$BO$280:$BO$286</c:f>
              <c:numCache>
                <c:formatCode>0%</c:formatCode>
                <c:ptCount val="7"/>
                <c:pt idx="0">
                  <c:v>8.3333333333333329E-2</c:v>
                </c:pt>
                <c:pt idx="1">
                  <c:v>0</c:v>
                </c:pt>
                <c:pt idx="2">
                  <c:v>8.3333333333333329E-2</c:v>
                </c:pt>
                <c:pt idx="3">
                  <c:v>0</c:v>
                </c:pt>
                <c:pt idx="4">
                  <c:v>0</c:v>
                </c:pt>
                <c:pt idx="5">
                  <c:v>0</c:v>
                </c:pt>
                <c:pt idx="6">
                  <c:v>0</c:v>
                </c:pt>
              </c:numCache>
            </c:numRef>
          </c:val>
        </c:ser>
        <c:ser>
          <c:idx val="3"/>
          <c:order val="3"/>
          <c:tx>
            <c:strRef>
              <c:f>'S26 likelihood'!$BP$279</c:f>
              <c:strCache>
                <c:ptCount val="1"/>
                <c:pt idx="0">
                  <c:v>Non-bioenergy wood users</c:v>
                </c:pt>
              </c:strCache>
            </c:strRef>
          </c:tx>
          <c:invertIfNegative val="0"/>
          <c:cat>
            <c:strRef>
              <c:f>'S26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likelihood'!$BP$280:$BP$286</c:f>
              <c:numCache>
                <c:formatCode>0%</c:formatCode>
                <c:ptCount val="7"/>
                <c:pt idx="0">
                  <c:v>0</c:v>
                </c:pt>
                <c:pt idx="1">
                  <c:v>8.3333333333333329E-2</c:v>
                </c:pt>
                <c:pt idx="2">
                  <c:v>0</c:v>
                </c:pt>
                <c:pt idx="3">
                  <c:v>0</c:v>
                </c:pt>
                <c:pt idx="4">
                  <c:v>0</c:v>
                </c:pt>
                <c:pt idx="5">
                  <c:v>0</c:v>
                </c:pt>
                <c:pt idx="6">
                  <c:v>8.3333333333333329E-2</c:v>
                </c:pt>
              </c:numCache>
            </c:numRef>
          </c:val>
        </c:ser>
        <c:ser>
          <c:idx val="4"/>
          <c:order val="4"/>
          <c:tx>
            <c:strRef>
              <c:f>'S26 likelihood'!$BQ$279</c:f>
              <c:strCache>
                <c:ptCount val="1"/>
                <c:pt idx="0">
                  <c:v>Policy makers and academia</c:v>
                </c:pt>
              </c:strCache>
            </c:strRef>
          </c:tx>
          <c:invertIfNegative val="0"/>
          <c:cat>
            <c:strRef>
              <c:f>'S26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likelihood'!$BQ$280:$BQ$286</c:f>
              <c:numCache>
                <c:formatCode>0%</c:formatCode>
                <c:ptCount val="7"/>
                <c:pt idx="0">
                  <c:v>0</c:v>
                </c:pt>
                <c:pt idx="1">
                  <c:v>0</c:v>
                </c:pt>
                <c:pt idx="2">
                  <c:v>0</c:v>
                </c:pt>
                <c:pt idx="3">
                  <c:v>0</c:v>
                </c:pt>
                <c:pt idx="4">
                  <c:v>0</c:v>
                </c:pt>
                <c:pt idx="5">
                  <c:v>0</c:v>
                </c:pt>
                <c:pt idx="6">
                  <c:v>0</c:v>
                </c:pt>
              </c:numCache>
            </c:numRef>
          </c:val>
        </c:ser>
        <c:ser>
          <c:idx val="5"/>
          <c:order val="5"/>
          <c:tx>
            <c:strRef>
              <c:f>'S26 likelihood'!$BR$279</c:f>
              <c:strCache>
                <c:ptCount val="1"/>
                <c:pt idx="0">
                  <c:v>NGOs</c:v>
                </c:pt>
              </c:strCache>
            </c:strRef>
          </c:tx>
          <c:invertIfNegative val="0"/>
          <c:cat>
            <c:strRef>
              <c:f>'S26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likelihood'!$BR$280:$BR$286</c:f>
              <c:numCache>
                <c:formatCode>0%</c:formatCode>
                <c:ptCount val="7"/>
                <c:pt idx="0">
                  <c:v>0</c:v>
                </c:pt>
                <c:pt idx="1">
                  <c:v>0</c:v>
                </c:pt>
                <c:pt idx="2">
                  <c:v>0</c:v>
                </c:pt>
                <c:pt idx="3">
                  <c:v>0.16666666666666666</c:v>
                </c:pt>
                <c:pt idx="4">
                  <c:v>0</c:v>
                </c:pt>
                <c:pt idx="5">
                  <c:v>0</c:v>
                </c:pt>
                <c:pt idx="6">
                  <c:v>0</c:v>
                </c:pt>
              </c:numCache>
            </c:numRef>
          </c:val>
        </c:ser>
        <c:dLbls>
          <c:showLegendKey val="0"/>
          <c:showVal val="0"/>
          <c:showCatName val="0"/>
          <c:showSerName val="0"/>
          <c:showPercent val="0"/>
          <c:showBubbleSize val="0"/>
        </c:dLbls>
        <c:gapWidth val="150"/>
        <c:overlap val="100"/>
        <c:axId val="138970240"/>
        <c:axId val="138971776"/>
      </c:barChart>
      <c:catAx>
        <c:axId val="138970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8971776"/>
        <c:crosses val="autoZero"/>
        <c:auto val="1"/>
        <c:lblAlgn val="ctr"/>
        <c:lblOffset val="100"/>
        <c:noMultiLvlLbl val="0"/>
      </c:catAx>
      <c:valAx>
        <c:axId val="138971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702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likelihood'!$T$279</c:f>
              <c:strCache>
                <c:ptCount val="1"/>
                <c:pt idx="0">
                  <c:v>Forest owners/managers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likelihood'!$T$280:$T$286</c:f>
              <c:numCache>
                <c:formatCode>0%</c:formatCode>
                <c:ptCount val="7"/>
                <c:pt idx="0">
                  <c:v>6.6666666666666666E-2</c:v>
                </c:pt>
                <c:pt idx="1">
                  <c:v>0</c:v>
                </c:pt>
                <c:pt idx="2">
                  <c:v>0</c:v>
                </c:pt>
                <c:pt idx="3">
                  <c:v>0</c:v>
                </c:pt>
                <c:pt idx="4">
                  <c:v>0</c:v>
                </c:pt>
                <c:pt idx="5">
                  <c:v>0</c:v>
                </c:pt>
                <c:pt idx="6">
                  <c:v>9.9999999999999992E-2</c:v>
                </c:pt>
              </c:numCache>
            </c:numRef>
          </c:val>
        </c:ser>
        <c:ser>
          <c:idx val="1"/>
          <c:order val="1"/>
          <c:tx>
            <c:strRef>
              <c:f>'S30b likelihood'!$U$279</c:f>
              <c:strCache>
                <c:ptCount val="1"/>
                <c:pt idx="0">
                  <c:v>Pellet producers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likelihood'!$U$280:$U$286</c:f>
              <c:numCache>
                <c:formatCode>0%</c:formatCode>
                <c:ptCount val="7"/>
                <c:pt idx="0">
                  <c:v>0</c:v>
                </c:pt>
                <c:pt idx="1">
                  <c:v>0</c:v>
                </c:pt>
                <c:pt idx="2">
                  <c:v>0</c:v>
                </c:pt>
                <c:pt idx="3">
                  <c:v>0</c:v>
                </c:pt>
                <c:pt idx="4">
                  <c:v>0</c:v>
                </c:pt>
                <c:pt idx="5">
                  <c:v>0</c:v>
                </c:pt>
                <c:pt idx="6">
                  <c:v>0</c:v>
                </c:pt>
              </c:numCache>
            </c:numRef>
          </c:val>
        </c:ser>
        <c:ser>
          <c:idx val="2"/>
          <c:order val="2"/>
          <c:tx>
            <c:strRef>
              <c:f>'S30b likelihood'!$V$279</c:f>
              <c:strCache>
                <c:ptCount val="1"/>
                <c:pt idx="0">
                  <c:v>Pellet users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likelihood'!$V$280:$V$286</c:f>
              <c:numCache>
                <c:formatCode>0%</c:formatCode>
                <c:ptCount val="7"/>
                <c:pt idx="0">
                  <c:v>0</c:v>
                </c:pt>
                <c:pt idx="1">
                  <c:v>0.16666666666666666</c:v>
                </c:pt>
                <c:pt idx="2">
                  <c:v>0</c:v>
                </c:pt>
                <c:pt idx="3">
                  <c:v>0</c:v>
                </c:pt>
                <c:pt idx="4">
                  <c:v>0</c:v>
                </c:pt>
                <c:pt idx="5">
                  <c:v>0</c:v>
                </c:pt>
                <c:pt idx="6">
                  <c:v>0</c:v>
                </c:pt>
              </c:numCache>
            </c:numRef>
          </c:val>
        </c:ser>
        <c:ser>
          <c:idx val="3"/>
          <c:order val="3"/>
          <c:tx>
            <c:strRef>
              <c:f>'S30b likelihood'!$W$279</c:f>
              <c:strCache>
                <c:ptCount val="1"/>
                <c:pt idx="0">
                  <c:v>Non-bioenergy wood users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likelihood'!$W$280:$W$286</c:f>
              <c:numCache>
                <c:formatCode>0%</c:formatCode>
                <c:ptCount val="7"/>
                <c:pt idx="0">
                  <c:v>0</c:v>
                </c:pt>
                <c:pt idx="1">
                  <c:v>0.16666666666666666</c:v>
                </c:pt>
                <c:pt idx="2">
                  <c:v>0</c:v>
                </c:pt>
                <c:pt idx="3">
                  <c:v>0</c:v>
                </c:pt>
                <c:pt idx="4">
                  <c:v>0</c:v>
                </c:pt>
                <c:pt idx="5">
                  <c:v>0</c:v>
                </c:pt>
                <c:pt idx="6">
                  <c:v>0</c:v>
                </c:pt>
              </c:numCache>
            </c:numRef>
          </c:val>
        </c:ser>
        <c:ser>
          <c:idx val="4"/>
          <c:order val="4"/>
          <c:tx>
            <c:strRef>
              <c:f>'S30b likelihood'!$X$279</c:f>
              <c:strCache>
                <c:ptCount val="1"/>
                <c:pt idx="0">
                  <c:v>Policy makers and academia</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likelihood'!$X$280:$X$286</c:f>
              <c:numCache>
                <c:formatCode>0%</c:formatCode>
                <c:ptCount val="7"/>
                <c:pt idx="0">
                  <c:v>5.5555555555555552E-2</c:v>
                </c:pt>
                <c:pt idx="1">
                  <c:v>0</c:v>
                </c:pt>
                <c:pt idx="2">
                  <c:v>5.5555555555555552E-2</c:v>
                </c:pt>
                <c:pt idx="3">
                  <c:v>0</c:v>
                </c:pt>
                <c:pt idx="4">
                  <c:v>5.5555555555555552E-2</c:v>
                </c:pt>
                <c:pt idx="5">
                  <c:v>0</c:v>
                </c:pt>
                <c:pt idx="6">
                  <c:v>0</c:v>
                </c:pt>
              </c:numCache>
            </c:numRef>
          </c:val>
        </c:ser>
        <c:ser>
          <c:idx val="5"/>
          <c:order val="5"/>
          <c:tx>
            <c:strRef>
              <c:f>'S30b likelihood'!$Y$279</c:f>
              <c:strCache>
                <c:ptCount val="1"/>
                <c:pt idx="0">
                  <c:v>NGOs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likelihood'!$Y$280:$Y$286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79999872"/>
        <c:axId val="180001408"/>
      </c:barChart>
      <c:catAx>
        <c:axId val="179999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001408"/>
        <c:crosses val="autoZero"/>
        <c:auto val="1"/>
        <c:lblAlgn val="ctr"/>
        <c:lblOffset val="100"/>
        <c:noMultiLvlLbl val="0"/>
      </c:catAx>
      <c:valAx>
        <c:axId val="180001408"/>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99872"/>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likelihood'!$T$279</c:f>
              <c:strCache>
                <c:ptCount val="1"/>
                <c:pt idx="0">
                  <c:v>Forest owners/managers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likelihood'!$T$280:$T$286</c:f>
              <c:numCache>
                <c:formatCode>0%</c:formatCode>
                <c:ptCount val="7"/>
                <c:pt idx="0">
                  <c:v>6.6666666666666666E-2</c:v>
                </c:pt>
                <c:pt idx="1">
                  <c:v>0</c:v>
                </c:pt>
                <c:pt idx="2">
                  <c:v>0</c:v>
                </c:pt>
                <c:pt idx="3">
                  <c:v>0</c:v>
                </c:pt>
                <c:pt idx="4">
                  <c:v>0</c:v>
                </c:pt>
                <c:pt idx="5">
                  <c:v>0</c:v>
                </c:pt>
                <c:pt idx="6">
                  <c:v>9.9999999999999992E-2</c:v>
                </c:pt>
              </c:numCache>
            </c:numRef>
          </c:val>
        </c:ser>
        <c:ser>
          <c:idx val="1"/>
          <c:order val="1"/>
          <c:tx>
            <c:strRef>
              <c:f>'S30b likelihood'!$U$279</c:f>
              <c:strCache>
                <c:ptCount val="1"/>
                <c:pt idx="0">
                  <c:v>Pellet producers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likelihood'!$U$280:$U$286</c:f>
              <c:numCache>
                <c:formatCode>0%</c:formatCode>
                <c:ptCount val="7"/>
                <c:pt idx="0">
                  <c:v>0</c:v>
                </c:pt>
                <c:pt idx="1">
                  <c:v>0</c:v>
                </c:pt>
                <c:pt idx="2">
                  <c:v>0</c:v>
                </c:pt>
                <c:pt idx="3">
                  <c:v>0</c:v>
                </c:pt>
                <c:pt idx="4">
                  <c:v>0</c:v>
                </c:pt>
                <c:pt idx="5">
                  <c:v>0</c:v>
                </c:pt>
                <c:pt idx="6">
                  <c:v>0</c:v>
                </c:pt>
              </c:numCache>
            </c:numRef>
          </c:val>
        </c:ser>
        <c:ser>
          <c:idx val="2"/>
          <c:order val="2"/>
          <c:tx>
            <c:strRef>
              <c:f>'S30b likelihood'!$V$279</c:f>
              <c:strCache>
                <c:ptCount val="1"/>
                <c:pt idx="0">
                  <c:v>Pellet users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likelihood'!$V$280:$V$286</c:f>
              <c:numCache>
                <c:formatCode>0%</c:formatCode>
                <c:ptCount val="7"/>
                <c:pt idx="0">
                  <c:v>0</c:v>
                </c:pt>
                <c:pt idx="1">
                  <c:v>0.16666666666666666</c:v>
                </c:pt>
                <c:pt idx="2">
                  <c:v>0</c:v>
                </c:pt>
                <c:pt idx="3">
                  <c:v>0</c:v>
                </c:pt>
                <c:pt idx="4">
                  <c:v>0</c:v>
                </c:pt>
                <c:pt idx="5">
                  <c:v>0</c:v>
                </c:pt>
                <c:pt idx="6">
                  <c:v>0</c:v>
                </c:pt>
              </c:numCache>
            </c:numRef>
          </c:val>
        </c:ser>
        <c:ser>
          <c:idx val="3"/>
          <c:order val="3"/>
          <c:tx>
            <c:strRef>
              <c:f>'S30b likelihood'!$W$279</c:f>
              <c:strCache>
                <c:ptCount val="1"/>
                <c:pt idx="0">
                  <c:v>Non-bioenergy wood users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likelihood'!$W$280:$W$286</c:f>
              <c:numCache>
                <c:formatCode>0%</c:formatCode>
                <c:ptCount val="7"/>
                <c:pt idx="0">
                  <c:v>0</c:v>
                </c:pt>
                <c:pt idx="1">
                  <c:v>0.16666666666666666</c:v>
                </c:pt>
                <c:pt idx="2">
                  <c:v>0</c:v>
                </c:pt>
                <c:pt idx="3">
                  <c:v>0</c:v>
                </c:pt>
                <c:pt idx="4">
                  <c:v>0</c:v>
                </c:pt>
                <c:pt idx="5">
                  <c:v>0</c:v>
                </c:pt>
                <c:pt idx="6">
                  <c:v>0</c:v>
                </c:pt>
              </c:numCache>
            </c:numRef>
          </c:val>
        </c:ser>
        <c:ser>
          <c:idx val="4"/>
          <c:order val="4"/>
          <c:tx>
            <c:strRef>
              <c:f>'S30b likelihood'!$X$279</c:f>
              <c:strCache>
                <c:ptCount val="1"/>
                <c:pt idx="0">
                  <c:v>Policy makers and academia</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likelihood'!$X$280:$X$286</c:f>
              <c:numCache>
                <c:formatCode>0%</c:formatCode>
                <c:ptCount val="7"/>
                <c:pt idx="0">
                  <c:v>5.5555555555555552E-2</c:v>
                </c:pt>
                <c:pt idx="1">
                  <c:v>0</c:v>
                </c:pt>
                <c:pt idx="2">
                  <c:v>5.5555555555555552E-2</c:v>
                </c:pt>
                <c:pt idx="3">
                  <c:v>0</c:v>
                </c:pt>
                <c:pt idx="4">
                  <c:v>5.5555555555555552E-2</c:v>
                </c:pt>
                <c:pt idx="5">
                  <c:v>0</c:v>
                </c:pt>
                <c:pt idx="6">
                  <c:v>0</c:v>
                </c:pt>
              </c:numCache>
            </c:numRef>
          </c:val>
        </c:ser>
        <c:ser>
          <c:idx val="5"/>
          <c:order val="5"/>
          <c:tx>
            <c:strRef>
              <c:f>'S30b likelihood'!$Y$279</c:f>
              <c:strCache>
                <c:ptCount val="1"/>
                <c:pt idx="0">
                  <c:v>NGOs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likelihood'!$Y$280:$Y$286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0054272"/>
        <c:axId val="180060160"/>
      </c:barChart>
      <c:catAx>
        <c:axId val="1800542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0060160"/>
        <c:crosses val="autoZero"/>
        <c:auto val="1"/>
        <c:lblAlgn val="ctr"/>
        <c:lblOffset val="100"/>
        <c:noMultiLvlLbl val="0"/>
      </c:catAx>
      <c:valAx>
        <c:axId val="180060160"/>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054272"/>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likelihood'!$DP$72:$DP$76</c:f>
              <c:strCache>
                <c:ptCount val="5"/>
                <c:pt idx="0">
                  <c:v>Definitely not</c:v>
                </c:pt>
                <c:pt idx="1">
                  <c:v>Sometimes</c:v>
                </c:pt>
                <c:pt idx="2">
                  <c:v>Most of the time</c:v>
                </c:pt>
                <c:pt idx="3">
                  <c:v>Yes, always</c:v>
                </c:pt>
                <c:pt idx="4">
                  <c:v>I don’t know</c:v>
                </c:pt>
              </c:strCache>
            </c:strRef>
          </c:cat>
          <c:val>
            <c:numRef>
              <c:f>'S30b likelihood'!$DR$72:$DR$76</c:f>
              <c:numCache>
                <c:formatCode>0%</c:formatCode>
                <c:ptCount val="5"/>
                <c:pt idx="0">
                  <c:v>0.25</c:v>
                </c:pt>
                <c:pt idx="1">
                  <c:v>0.25</c:v>
                </c:pt>
                <c:pt idx="2">
                  <c:v>0.25</c:v>
                </c:pt>
                <c:pt idx="3">
                  <c:v>0.25</c:v>
                </c:pt>
                <c:pt idx="4">
                  <c:v>0</c:v>
                </c:pt>
              </c:numCache>
            </c:numRef>
          </c:val>
        </c:ser>
        <c:dLbls>
          <c:showLegendKey val="0"/>
          <c:showVal val="0"/>
          <c:showCatName val="0"/>
          <c:showSerName val="0"/>
          <c:showPercent val="0"/>
          <c:showBubbleSize val="0"/>
        </c:dLbls>
        <c:gapWidth val="219"/>
        <c:overlap val="-27"/>
        <c:axId val="180084096"/>
        <c:axId val="180085888"/>
      </c:barChart>
      <c:catAx>
        <c:axId val="18008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085888"/>
        <c:crosses val="autoZero"/>
        <c:auto val="1"/>
        <c:lblAlgn val="ctr"/>
        <c:lblOffset val="100"/>
        <c:tickLblSkip val="1"/>
        <c:noMultiLvlLbl val="0"/>
      </c:catAx>
      <c:valAx>
        <c:axId val="1800858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084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likelihood'!$DP$99:$DP$103</c:f>
              <c:strCache>
                <c:ptCount val="5"/>
                <c:pt idx="0">
                  <c:v>Definitely not</c:v>
                </c:pt>
                <c:pt idx="1">
                  <c:v>Sometimes</c:v>
                </c:pt>
                <c:pt idx="2">
                  <c:v>Most of the time</c:v>
                </c:pt>
                <c:pt idx="3">
                  <c:v>Yes, always</c:v>
                </c:pt>
                <c:pt idx="4">
                  <c:v>I don’t know</c:v>
                </c:pt>
              </c:strCache>
            </c:strRef>
          </c:cat>
          <c:val>
            <c:numRef>
              <c:f>'S30b likelihood'!$DR$99:$DR$103</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79659520"/>
        <c:axId val="179661056"/>
      </c:barChart>
      <c:catAx>
        <c:axId val="17965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661056"/>
        <c:crosses val="autoZero"/>
        <c:auto val="1"/>
        <c:lblAlgn val="ctr"/>
        <c:lblOffset val="100"/>
        <c:tickLblSkip val="1"/>
        <c:noMultiLvlLbl val="0"/>
      </c:catAx>
      <c:valAx>
        <c:axId val="1796610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65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likelihood'!$DP$126:$DP$130</c:f>
              <c:strCache>
                <c:ptCount val="5"/>
                <c:pt idx="0">
                  <c:v>Definitely not</c:v>
                </c:pt>
                <c:pt idx="1">
                  <c:v>Sometimes</c:v>
                </c:pt>
                <c:pt idx="2">
                  <c:v>Most of the time</c:v>
                </c:pt>
                <c:pt idx="3">
                  <c:v>Yes, always</c:v>
                </c:pt>
                <c:pt idx="4">
                  <c:v>I don’t know</c:v>
                </c:pt>
              </c:strCache>
            </c:strRef>
          </c:cat>
          <c:val>
            <c:numRef>
              <c:f>'S30b likelihood'!$DR$126:$DR$130</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219"/>
        <c:overlap val="-27"/>
        <c:axId val="179693440"/>
        <c:axId val="179694976"/>
      </c:barChart>
      <c:catAx>
        <c:axId val="17969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694976"/>
        <c:crosses val="autoZero"/>
        <c:auto val="1"/>
        <c:lblAlgn val="ctr"/>
        <c:lblOffset val="100"/>
        <c:tickLblSkip val="1"/>
        <c:noMultiLvlLbl val="0"/>
      </c:catAx>
      <c:valAx>
        <c:axId val="1796949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69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likelihood'!$DP$153:$DP$157</c:f>
              <c:strCache>
                <c:ptCount val="5"/>
                <c:pt idx="0">
                  <c:v>Definitely not</c:v>
                </c:pt>
                <c:pt idx="1">
                  <c:v>Sometimes</c:v>
                </c:pt>
                <c:pt idx="2">
                  <c:v>Most of the time</c:v>
                </c:pt>
                <c:pt idx="3">
                  <c:v>Yes, always</c:v>
                </c:pt>
                <c:pt idx="4">
                  <c:v>I don’t know</c:v>
                </c:pt>
              </c:strCache>
            </c:strRef>
          </c:cat>
          <c:val>
            <c:numRef>
              <c:f>'S30b likelihood'!$DR$153:$DR$157</c:f>
              <c:numCache>
                <c:formatCode>0%</c:formatCode>
                <c:ptCount val="5"/>
                <c:pt idx="0">
                  <c:v>0</c:v>
                </c:pt>
                <c:pt idx="1">
                  <c:v>0</c:v>
                </c:pt>
                <c:pt idx="2">
                  <c:v>0</c:v>
                </c:pt>
                <c:pt idx="3">
                  <c:v>1</c:v>
                </c:pt>
                <c:pt idx="4">
                  <c:v>0</c:v>
                </c:pt>
              </c:numCache>
            </c:numRef>
          </c:val>
        </c:ser>
        <c:dLbls>
          <c:showLegendKey val="0"/>
          <c:showVal val="0"/>
          <c:showCatName val="0"/>
          <c:showSerName val="0"/>
          <c:showPercent val="0"/>
          <c:showBubbleSize val="0"/>
        </c:dLbls>
        <c:gapWidth val="219"/>
        <c:overlap val="-27"/>
        <c:axId val="179776512"/>
        <c:axId val="179798784"/>
      </c:barChart>
      <c:catAx>
        <c:axId val="17977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798784"/>
        <c:crosses val="autoZero"/>
        <c:auto val="1"/>
        <c:lblAlgn val="ctr"/>
        <c:lblOffset val="100"/>
        <c:tickLblSkip val="1"/>
        <c:noMultiLvlLbl val="0"/>
      </c:catAx>
      <c:valAx>
        <c:axId val="1797987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776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likelihood'!$DP$180:$DP$184</c:f>
              <c:strCache>
                <c:ptCount val="5"/>
                <c:pt idx="0">
                  <c:v>Definitely not</c:v>
                </c:pt>
                <c:pt idx="1">
                  <c:v>Sometimes</c:v>
                </c:pt>
                <c:pt idx="2">
                  <c:v>Most of the time</c:v>
                </c:pt>
                <c:pt idx="3">
                  <c:v>Yes, always</c:v>
                </c:pt>
                <c:pt idx="4">
                  <c:v>I don’t know</c:v>
                </c:pt>
              </c:strCache>
            </c:strRef>
          </c:cat>
          <c:val>
            <c:numRef>
              <c:f>'S30b likelihood'!$DR$180:$DR$184</c:f>
              <c:numCache>
                <c:formatCode>0%</c:formatCode>
                <c:ptCount val="5"/>
                <c:pt idx="0">
                  <c:v>0</c:v>
                </c:pt>
                <c:pt idx="1">
                  <c:v>0</c:v>
                </c:pt>
                <c:pt idx="2">
                  <c:v>0.66666666666666663</c:v>
                </c:pt>
                <c:pt idx="3">
                  <c:v>0.33333333333333331</c:v>
                </c:pt>
                <c:pt idx="4">
                  <c:v>0</c:v>
                </c:pt>
              </c:numCache>
            </c:numRef>
          </c:val>
        </c:ser>
        <c:dLbls>
          <c:showLegendKey val="0"/>
          <c:showVal val="0"/>
          <c:showCatName val="0"/>
          <c:showSerName val="0"/>
          <c:showPercent val="0"/>
          <c:showBubbleSize val="0"/>
        </c:dLbls>
        <c:gapWidth val="219"/>
        <c:overlap val="-27"/>
        <c:axId val="179822976"/>
        <c:axId val="179824512"/>
      </c:barChart>
      <c:catAx>
        <c:axId val="17982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9824512"/>
        <c:crosses val="autoZero"/>
        <c:auto val="1"/>
        <c:lblAlgn val="ctr"/>
        <c:lblOffset val="100"/>
        <c:tickLblSkip val="1"/>
        <c:noMultiLvlLbl val="0"/>
      </c:catAx>
      <c:valAx>
        <c:axId val="1798245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822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likelihood'!$DP$207:$DP$211</c:f>
              <c:strCache>
                <c:ptCount val="5"/>
                <c:pt idx="0">
                  <c:v>Definitely not</c:v>
                </c:pt>
                <c:pt idx="1">
                  <c:v>Sometimes</c:v>
                </c:pt>
                <c:pt idx="2">
                  <c:v>Most of the time</c:v>
                </c:pt>
                <c:pt idx="3">
                  <c:v>Yes, always</c:v>
                </c:pt>
                <c:pt idx="4">
                  <c:v>I don’t know</c:v>
                </c:pt>
              </c:strCache>
            </c:strRef>
          </c:cat>
          <c:val>
            <c:numRef>
              <c:f>'S30b likelihood'!$DR$207:$DR$211</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80114944"/>
        <c:axId val="180116480"/>
      </c:barChart>
      <c:catAx>
        <c:axId val="18011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116480"/>
        <c:crosses val="autoZero"/>
        <c:auto val="1"/>
        <c:lblAlgn val="ctr"/>
        <c:lblOffset val="100"/>
        <c:tickLblSkip val="1"/>
        <c:noMultiLvlLbl val="0"/>
      </c:catAx>
      <c:valAx>
        <c:axId val="180116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114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likelihood'!$DP$234:$DP$238</c:f>
              <c:strCache>
                <c:ptCount val="5"/>
                <c:pt idx="0">
                  <c:v>Definitely not</c:v>
                </c:pt>
                <c:pt idx="1">
                  <c:v>Sometimes</c:v>
                </c:pt>
                <c:pt idx="2">
                  <c:v>Most of the time</c:v>
                </c:pt>
                <c:pt idx="3">
                  <c:v>Yes, always</c:v>
                </c:pt>
                <c:pt idx="4">
                  <c:v>I don’t know</c:v>
                </c:pt>
              </c:strCache>
            </c:strRef>
          </c:cat>
          <c:val>
            <c:numRef>
              <c:f>'S30b likelihood'!$DR$234:$DR$238</c:f>
              <c:numCache>
                <c:formatCode>0%</c:formatCode>
                <c:ptCount val="5"/>
                <c:pt idx="0">
                  <c:v>0.1111111111111111</c:v>
                </c:pt>
                <c:pt idx="1">
                  <c:v>0.22222222222222221</c:v>
                </c:pt>
                <c:pt idx="2">
                  <c:v>0.33333333333333331</c:v>
                </c:pt>
                <c:pt idx="3">
                  <c:v>0.33333333333333331</c:v>
                </c:pt>
                <c:pt idx="4">
                  <c:v>0</c:v>
                </c:pt>
              </c:numCache>
            </c:numRef>
          </c:val>
        </c:ser>
        <c:dLbls>
          <c:showLegendKey val="0"/>
          <c:showVal val="0"/>
          <c:showCatName val="0"/>
          <c:showSerName val="0"/>
          <c:showPercent val="0"/>
          <c:showBubbleSize val="0"/>
        </c:dLbls>
        <c:gapWidth val="219"/>
        <c:overlap val="-27"/>
        <c:axId val="180136576"/>
        <c:axId val="180425088"/>
      </c:barChart>
      <c:catAx>
        <c:axId val="180136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425088"/>
        <c:crosses val="autoZero"/>
        <c:auto val="1"/>
        <c:lblAlgn val="ctr"/>
        <c:lblOffset val="100"/>
        <c:tickLblSkip val="1"/>
        <c:noMultiLvlLbl val="0"/>
      </c:catAx>
      <c:valAx>
        <c:axId val="1804250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136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likelihood'!$Z$72:$Z$78</c:f>
              <c:numCache>
                <c:formatCode>0%</c:formatCode>
                <c:ptCount val="7"/>
                <c:pt idx="0">
                  <c:v>0.4</c:v>
                </c:pt>
                <c:pt idx="1">
                  <c:v>0</c:v>
                </c:pt>
                <c:pt idx="2">
                  <c:v>0</c:v>
                </c:pt>
                <c:pt idx="3">
                  <c:v>0</c:v>
                </c:pt>
                <c:pt idx="4">
                  <c:v>0</c:v>
                </c:pt>
                <c:pt idx="5">
                  <c:v>0</c:v>
                </c:pt>
                <c:pt idx="6">
                  <c:v>0.6</c:v>
                </c:pt>
              </c:numCache>
            </c:numRef>
          </c:val>
        </c:ser>
        <c:dLbls>
          <c:showLegendKey val="0"/>
          <c:showVal val="0"/>
          <c:showCatName val="0"/>
          <c:showSerName val="0"/>
          <c:showPercent val="0"/>
          <c:showBubbleSize val="0"/>
        </c:dLbls>
        <c:gapWidth val="219"/>
        <c:overlap val="-27"/>
        <c:axId val="180457472"/>
        <c:axId val="180459008"/>
      </c:barChart>
      <c:catAx>
        <c:axId val="18045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459008"/>
        <c:crosses val="autoZero"/>
        <c:auto val="1"/>
        <c:lblAlgn val="ctr"/>
        <c:lblOffset val="100"/>
        <c:tickLblSkip val="1"/>
        <c:noMultiLvlLbl val="0"/>
      </c:catAx>
      <c:valAx>
        <c:axId val="1804590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457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likelihood'!$B$81</c:f>
          <c:strCache>
            <c:ptCount val="1"/>
            <c:pt idx="0">
              <c:v>Pellet producers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likelihood'!$G$99:$G$103</c:f>
              <c:strCache>
                <c:ptCount val="5"/>
                <c:pt idx="0">
                  <c:v>Definitely not</c:v>
                </c:pt>
                <c:pt idx="1">
                  <c:v>Sometimes</c:v>
                </c:pt>
                <c:pt idx="2">
                  <c:v>Most of the time</c:v>
                </c:pt>
                <c:pt idx="3">
                  <c:v>Yes, always</c:v>
                </c:pt>
                <c:pt idx="4">
                  <c:v>I don’t know</c:v>
                </c:pt>
              </c:strCache>
            </c:strRef>
          </c:cat>
          <c:val>
            <c:numRef>
              <c:f>'S26 likelihood'!$I$99:$I$103</c:f>
              <c:numCache>
                <c:formatCode>0%</c:formatCode>
                <c:ptCount val="5"/>
                <c:pt idx="0">
                  <c:v>0.66666666666666663</c:v>
                </c:pt>
                <c:pt idx="1">
                  <c:v>0.33333333333333331</c:v>
                </c:pt>
                <c:pt idx="2">
                  <c:v>0</c:v>
                </c:pt>
                <c:pt idx="3">
                  <c:v>0</c:v>
                </c:pt>
                <c:pt idx="4">
                  <c:v>0</c:v>
                </c:pt>
              </c:numCache>
            </c:numRef>
          </c:val>
        </c:ser>
        <c:dLbls>
          <c:showLegendKey val="0"/>
          <c:showVal val="0"/>
          <c:showCatName val="0"/>
          <c:showSerName val="0"/>
          <c:showPercent val="0"/>
          <c:showBubbleSize val="0"/>
        </c:dLbls>
        <c:gapWidth val="219"/>
        <c:overlap val="-27"/>
        <c:axId val="134664960"/>
        <c:axId val="134666496"/>
      </c:barChart>
      <c:catAx>
        <c:axId val="134664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4666496"/>
        <c:crosses val="autoZero"/>
        <c:auto val="1"/>
        <c:lblAlgn val="ctr"/>
        <c:lblOffset val="100"/>
        <c:tickLblSkip val="1"/>
        <c:noMultiLvlLbl val="0"/>
      </c:catAx>
      <c:valAx>
        <c:axId val="1346664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664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likelihood'!$BM$279</c:f>
              <c:strCache>
                <c:ptCount val="1"/>
                <c:pt idx="0">
                  <c:v>Forest owners/managers</c:v>
                </c:pt>
              </c:strCache>
            </c:strRef>
          </c:tx>
          <c:invertIfNegative val="0"/>
          <c:cat>
            <c:strRef>
              <c:f>'S26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likelihood'!$BM$280:$BM$286</c:f>
              <c:numCache>
                <c:formatCode>0%</c:formatCode>
                <c:ptCount val="7"/>
                <c:pt idx="0">
                  <c:v>0.125</c:v>
                </c:pt>
                <c:pt idx="1">
                  <c:v>4.1666666666666664E-2</c:v>
                </c:pt>
                <c:pt idx="2">
                  <c:v>0</c:v>
                </c:pt>
                <c:pt idx="3">
                  <c:v>0</c:v>
                </c:pt>
                <c:pt idx="4">
                  <c:v>0</c:v>
                </c:pt>
                <c:pt idx="5">
                  <c:v>0</c:v>
                </c:pt>
                <c:pt idx="6">
                  <c:v>0</c:v>
                </c:pt>
              </c:numCache>
            </c:numRef>
          </c:val>
        </c:ser>
        <c:ser>
          <c:idx val="1"/>
          <c:order val="1"/>
          <c:tx>
            <c:strRef>
              <c:f>'S26 likelihood'!$BN$279</c:f>
              <c:strCache>
                <c:ptCount val="1"/>
                <c:pt idx="0">
                  <c:v>Pellet producers</c:v>
                </c:pt>
              </c:strCache>
            </c:strRef>
          </c:tx>
          <c:invertIfNegative val="0"/>
          <c:cat>
            <c:strRef>
              <c:f>'S26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likelihood'!$BN$280:$BN$286</c:f>
              <c:numCache>
                <c:formatCode>0%</c:formatCode>
                <c:ptCount val="7"/>
                <c:pt idx="0">
                  <c:v>0.16666666666666666</c:v>
                </c:pt>
                <c:pt idx="1">
                  <c:v>0</c:v>
                </c:pt>
                <c:pt idx="2">
                  <c:v>0</c:v>
                </c:pt>
                <c:pt idx="3">
                  <c:v>0</c:v>
                </c:pt>
                <c:pt idx="4">
                  <c:v>0</c:v>
                </c:pt>
                <c:pt idx="5">
                  <c:v>0</c:v>
                </c:pt>
                <c:pt idx="6">
                  <c:v>0</c:v>
                </c:pt>
              </c:numCache>
            </c:numRef>
          </c:val>
        </c:ser>
        <c:ser>
          <c:idx val="2"/>
          <c:order val="2"/>
          <c:tx>
            <c:strRef>
              <c:f>'S26 likelihood'!$BO$279</c:f>
              <c:strCache>
                <c:ptCount val="1"/>
                <c:pt idx="0">
                  <c:v>Pellet users</c:v>
                </c:pt>
              </c:strCache>
            </c:strRef>
          </c:tx>
          <c:invertIfNegative val="0"/>
          <c:cat>
            <c:strRef>
              <c:f>'S26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likelihood'!$BO$280:$BO$286</c:f>
              <c:numCache>
                <c:formatCode>0%</c:formatCode>
                <c:ptCount val="7"/>
                <c:pt idx="0">
                  <c:v>8.3333333333333329E-2</c:v>
                </c:pt>
                <c:pt idx="1">
                  <c:v>0</c:v>
                </c:pt>
                <c:pt idx="2">
                  <c:v>8.3333333333333329E-2</c:v>
                </c:pt>
                <c:pt idx="3">
                  <c:v>0</c:v>
                </c:pt>
                <c:pt idx="4">
                  <c:v>0</c:v>
                </c:pt>
                <c:pt idx="5">
                  <c:v>0</c:v>
                </c:pt>
                <c:pt idx="6">
                  <c:v>0</c:v>
                </c:pt>
              </c:numCache>
            </c:numRef>
          </c:val>
        </c:ser>
        <c:ser>
          <c:idx val="3"/>
          <c:order val="3"/>
          <c:tx>
            <c:strRef>
              <c:f>'S26 likelihood'!$BP$279</c:f>
              <c:strCache>
                <c:ptCount val="1"/>
                <c:pt idx="0">
                  <c:v>Non-bioenergy wood users</c:v>
                </c:pt>
              </c:strCache>
            </c:strRef>
          </c:tx>
          <c:invertIfNegative val="0"/>
          <c:cat>
            <c:strRef>
              <c:f>'S26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likelihood'!$BP$280:$BP$286</c:f>
              <c:numCache>
                <c:formatCode>0%</c:formatCode>
                <c:ptCount val="7"/>
                <c:pt idx="0">
                  <c:v>0</c:v>
                </c:pt>
                <c:pt idx="1">
                  <c:v>8.3333333333333329E-2</c:v>
                </c:pt>
                <c:pt idx="2">
                  <c:v>0</c:v>
                </c:pt>
                <c:pt idx="3">
                  <c:v>0</c:v>
                </c:pt>
                <c:pt idx="4">
                  <c:v>0</c:v>
                </c:pt>
                <c:pt idx="5">
                  <c:v>0</c:v>
                </c:pt>
                <c:pt idx="6">
                  <c:v>8.3333333333333329E-2</c:v>
                </c:pt>
              </c:numCache>
            </c:numRef>
          </c:val>
        </c:ser>
        <c:ser>
          <c:idx val="4"/>
          <c:order val="4"/>
          <c:tx>
            <c:strRef>
              <c:f>'S26 likelihood'!$BQ$279</c:f>
              <c:strCache>
                <c:ptCount val="1"/>
                <c:pt idx="0">
                  <c:v>Policy makers and academia</c:v>
                </c:pt>
              </c:strCache>
            </c:strRef>
          </c:tx>
          <c:invertIfNegative val="0"/>
          <c:cat>
            <c:strRef>
              <c:f>'S26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likelihood'!$BQ$280:$BQ$286</c:f>
              <c:numCache>
                <c:formatCode>0%</c:formatCode>
                <c:ptCount val="7"/>
                <c:pt idx="0">
                  <c:v>0</c:v>
                </c:pt>
                <c:pt idx="1">
                  <c:v>0</c:v>
                </c:pt>
                <c:pt idx="2">
                  <c:v>0</c:v>
                </c:pt>
                <c:pt idx="3">
                  <c:v>0</c:v>
                </c:pt>
                <c:pt idx="4">
                  <c:v>0</c:v>
                </c:pt>
                <c:pt idx="5">
                  <c:v>0</c:v>
                </c:pt>
                <c:pt idx="6">
                  <c:v>0</c:v>
                </c:pt>
              </c:numCache>
            </c:numRef>
          </c:val>
        </c:ser>
        <c:ser>
          <c:idx val="5"/>
          <c:order val="5"/>
          <c:tx>
            <c:strRef>
              <c:f>'S26 likelihood'!$BR$279</c:f>
              <c:strCache>
                <c:ptCount val="1"/>
                <c:pt idx="0">
                  <c:v>NGOs</c:v>
                </c:pt>
              </c:strCache>
            </c:strRef>
          </c:tx>
          <c:invertIfNegative val="0"/>
          <c:cat>
            <c:strRef>
              <c:f>'S26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likelihood'!$BR$280:$BR$286</c:f>
              <c:numCache>
                <c:formatCode>0%</c:formatCode>
                <c:ptCount val="7"/>
                <c:pt idx="0">
                  <c:v>0</c:v>
                </c:pt>
                <c:pt idx="1">
                  <c:v>0</c:v>
                </c:pt>
                <c:pt idx="2">
                  <c:v>0</c:v>
                </c:pt>
                <c:pt idx="3">
                  <c:v>0.16666666666666666</c:v>
                </c:pt>
                <c:pt idx="4">
                  <c:v>0</c:v>
                </c:pt>
                <c:pt idx="5">
                  <c:v>0</c:v>
                </c:pt>
                <c:pt idx="6">
                  <c:v>0</c:v>
                </c:pt>
              </c:numCache>
            </c:numRef>
          </c:val>
        </c:ser>
        <c:dLbls>
          <c:showLegendKey val="0"/>
          <c:showVal val="0"/>
          <c:showCatName val="0"/>
          <c:showSerName val="0"/>
          <c:showPercent val="0"/>
          <c:showBubbleSize val="0"/>
        </c:dLbls>
        <c:gapWidth val="150"/>
        <c:overlap val="100"/>
        <c:axId val="139004160"/>
        <c:axId val="139014144"/>
      </c:barChart>
      <c:catAx>
        <c:axId val="1390041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9014144"/>
        <c:crosses val="autoZero"/>
        <c:auto val="1"/>
        <c:lblAlgn val="ctr"/>
        <c:lblOffset val="100"/>
        <c:noMultiLvlLbl val="0"/>
      </c:catAx>
      <c:valAx>
        <c:axId val="13901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041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likelihood'!$Z$99:$Z$105</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0561024"/>
        <c:axId val="180562560"/>
      </c:barChart>
      <c:catAx>
        <c:axId val="18056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0562560"/>
        <c:crosses val="autoZero"/>
        <c:auto val="1"/>
        <c:lblAlgn val="ctr"/>
        <c:lblOffset val="100"/>
        <c:tickLblSkip val="1"/>
        <c:noMultiLvlLbl val="0"/>
      </c:catAx>
      <c:valAx>
        <c:axId val="180562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61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likelihood'!$Z$126:$Z$132</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0594944"/>
        <c:axId val="180600832"/>
      </c:barChart>
      <c:catAx>
        <c:axId val="18059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0600832"/>
        <c:crosses val="autoZero"/>
        <c:auto val="1"/>
        <c:lblAlgn val="ctr"/>
        <c:lblOffset val="100"/>
        <c:tickLblSkip val="1"/>
        <c:noMultiLvlLbl val="0"/>
      </c:catAx>
      <c:valAx>
        <c:axId val="180600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94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likelihood'!$Z$153:$Z$159</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0608384"/>
        <c:axId val="180167808"/>
      </c:barChart>
      <c:catAx>
        <c:axId val="18060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0167808"/>
        <c:crosses val="autoZero"/>
        <c:auto val="1"/>
        <c:lblAlgn val="ctr"/>
        <c:lblOffset val="100"/>
        <c:tickLblSkip val="1"/>
        <c:noMultiLvlLbl val="0"/>
      </c:catAx>
      <c:valAx>
        <c:axId val="1801678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08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likelihood'!$Z$180:$Z$186</c:f>
              <c:numCache>
                <c:formatCode>0%</c:formatCode>
                <c:ptCount val="7"/>
                <c:pt idx="0">
                  <c:v>0.33333333333333331</c:v>
                </c:pt>
                <c:pt idx="1">
                  <c:v>0</c:v>
                </c:pt>
                <c:pt idx="2">
                  <c:v>0.33333333333333331</c:v>
                </c:pt>
                <c:pt idx="3">
                  <c:v>0</c:v>
                </c:pt>
                <c:pt idx="4">
                  <c:v>0.33333333333333331</c:v>
                </c:pt>
                <c:pt idx="5">
                  <c:v>0</c:v>
                </c:pt>
                <c:pt idx="6">
                  <c:v>0</c:v>
                </c:pt>
              </c:numCache>
            </c:numRef>
          </c:val>
        </c:ser>
        <c:dLbls>
          <c:showLegendKey val="0"/>
          <c:showVal val="0"/>
          <c:showCatName val="0"/>
          <c:showSerName val="0"/>
          <c:showPercent val="0"/>
          <c:showBubbleSize val="0"/>
        </c:dLbls>
        <c:gapWidth val="219"/>
        <c:overlap val="-27"/>
        <c:axId val="180196096"/>
        <c:axId val="180197632"/>
      </c:barChart>
      <c:catAx>
        <c:axId val="18019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0197632"/>
        <c:crosses val="autoZero"/>
        <c:auto val="1"/>
        <c:lblAlgn val="ctr"/>
        <c:lblOffset val="100"/>
        <c:tickLblSkip val="1"/>
        <c:noMultiLvlLbl val="0"/>
      </c:catAx>
      <c:valAx>
        <c:axId val="1801976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196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likelihood'!$Z$207:$Z$213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0225920"/>
        <c:axId val="180227456"/>
      </c:barChart>
      <c:catAx>
        <c:axId val="180225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227456"/>
        <c:crosses val="autoZero"/>
        <c:auto val="1"/>
        <c:lblAlgn val="ctr"/>
        <c:lblOffset val="100"/>
        <c:tickLblSkip val="1"/>
        <c:noMultiLvlLbl val="0"/>
      </c:catAx>
      <c:valAx>
        <c:axId val="1802274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225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'S30b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'S30b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likelihood'!$Z$234:$Z$240</c:f>
              <c:numCache>
                <c:formatCode>0%</c:formatCode>
                <c:ptCount val="7"/>
                <c:pt idx="0">
                  <c:v>0.3</c:v>
                </c:pt>
                <c:pt idx="1">
                  <c:v>0.2</c:v>
                </c:pt>
                <c:pt idx="2">
                  <c:v>0.1</c:v>
                </c:pt>
                <c:pt idx="3">
                  <c:v>0</c:v>
                </c:pt>
                <c:pt idx="4">
                  <c:v>0.1</c:v>
                </c:pt>
                <c:pt idx="5">
                  <c:v>0</c:v>
                </c:pt>
                <c:pt idx="6">
                  <c:v>0.3</c:v>
                </c:pt>
              </c:numCache>
            </c:numRef>
          </c:val>
        </c:ser>
        <c:dLbls>
          <c:showLegendKey val="0"/>
          <c:showVal val="0"/>
          <c:showCatName val="0"/>
          <c:showSerName val="0"/>
          <c:showPercent val="0"/>
          <c:showBubbleSize val="0"/>
        </c:dLbls>
        <c:gapWidth val="219"/>
        <c:overlap val="-27"/>
        <c:axId val="180243456"/>
        <c:axId val="180265728"/>
      </c:barChart>
      <c:catAx>
        <c:axId val="18024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265728"/>
        <c:crosses val="autoZero"/>
        <c:auto val="1"/>
        <c:lblAlgn val="ctr"/>
        <c:lblOffset val="100"/>
        <c:tickLblSkip val="1"/>
        <c:noMultiLvlLbl val="0"/>
      </c:catAx>
      <c:valAx>
        <c:axId val="180265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243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likelihood'!$T$247</c:f>
              <c:strCache>
                <c:ptCount val="1"/>
                <c:pt idx="0">
                  <c:v>Forest owners/managers</c:v>
                </c:pt>
              </c:strCache>
            </c:strRef>
          </c:tx>
          <c:spPr>
            <a:solidFill>
              <a:schemeClr val="accent1"/>
            </a:solidFill>
            <a:ln>
              <a:noFill/>
            </a:ln>
            <a:effectLst/>
          </c:spPr>
          <c:invertIfNegative val="0"/>
          <c:cat>
            <c:strRef>
              <c:f>'S30b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likelihood'!$T$248:$T$254</c:f>
              <c:numCache>
                <c:formatCode>General</c:formatCode>
                <c:ptCount val="7"/>
                <c:pt idx="0">
                  <c:v>2</c:v>
                </c:pt>
                <c:pt idx="1">
                  <c:v>0</c:v>
                </c:pt>
                <c:pt idx="2">
                  <c:v>0</c:v>
                </c:pt>
                <c:pt idx="3">
                  <c:v>0</c:v>
                </c:pt>
                <c:pt idx="4">
                  <c:v>0</c:v>
                </c:pt>
                <c:pt idx="5">
                  <c:v>0</c:v>
                </c:pt>
                <c:pt idx="6">
                  <c:v>3</c:v>
                </c:pt>
              </c:numCache>
            </c:numRef>
          </c:val>
        </c:ser>
        <c:ser>
          <c:idx val="1"/>
          <c:order val="1"/>
          <c:tx>
            <c:strRef>
              <c:f>'S30b likelihood'!$U$247</c:f>
              <c:strCache>
                <c:ptCount val="1"/>
                <c:pt idx="0">
                  <c:v>Pellet producers</c:v>
                </c:pt>
              </c:strCache>
            </c:strRef>
          </c:tx>
          <c:spPr>
            <a:solidFill>
              <a:schemeClr val="accent2"/>
            </a:solidFill>
            <a:ln>
              <a:noFill/>
            </a:ln>
            <a:effectLst/>
          </c:spPr>
          <c:invertIfNegative val="0"/>
          <c:cat>
            <c:strRef>
              <c:f>'S30b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likelihood'!$U$248:$U$254</c:f>
              <c:numCache>
                <c:formatCode>0</c:formatCode>
                <c:ptCount val="7"/>
                <c:pt idx="0">
                  <c:v>0</c:v>
                </c:pt>
                <c:pt idx="1">
                  <c:v>0</c:v>
                </c:pt>
                <c:pt idx="2">
                  <c:v>0</c:v>
                </c:pt>
                <c:pt idx="3">
                  <c:v>0</c:v>
                </c:pt>
                <c:pt idx="4">
                  <c:v>0</c:v>
                </c:pt>
                <c:pt idx="5">
                  <c:v>0</c:v>
                </c:pt>
                <c:pt idx="6">
                  <c:v>0</c:v>
                </c:pt>
              </c:numCache>
            </c:numRef>
          </c:val>
        </c:ser>
        <c:ser>
          <c:idx val="2"/>
          <c:order val="2"/>
          <c:tx>
            <c:strRef>
              <c:f>'S30b likelihood'!$V$247</c:f>
              <c:strCache>
                <c:ptCount val="1"/>
                <c:pt idx="0">
                  <c:v>Pellet users</c:v>
                </c:pt>
              </c:strCache>
            </c:strRef>
          </c:tx>
          <c:spPr>
            <a:solidFill>
              <a:schemeClr val="accent3"/>
            </a:solidFill>
            <a:ln>
              <a:noFill/>
            </a:ln>
            <a:effectLst/>
          </c:spPr>
          <c:invertIfNegative val="0"/>
          <c:cat>
            <c:strRef>
              <c:f>'S30b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likelihood'!$V$248:$V$254</c:f>
              <c:numCache>
                <c:formatCode>General</c:formatCode>
                <c:ptCount val="7"/>
                <c:pt idx="0">
                  <c:v>0</c:v>
                </c:pt>
                <c:pt idx="1">
                  <c:v>1</c:v>
                </c:pt>
                <c:pt idx="2">
                  <c:v>0</c:v>
                </c:pt>
                <c:pt idx="3">
                  <c:v>0</c:v>
                </c:pt>
                <c:pt idx="4">
                  <c:v>0</c:v>
                </c:pt>
                <c:pt idx="5">
                  <c:v>0</c:v>
                </c:pt>
                <c:pt idx="6">
                  <c:v>0</c:v>
                </c:pt>
              </c:numCache>
            </c:numRef>
          </c:val>
        </c:ser>
        <c:ser>
          <c:idx val="3"/>
          <c:order val="3"/>
          <c:tx>
            <c:strRef>
              <c:f>'S30b likelihood'!$W$247</c:f>
              <c:strCache>
                <c:ptCount val="1"/>
                <c:pt idx="0">
                  <c:v>Non-bioenergy wood users</c:v>
                </c:pt>
              </c:strCache>
            </c:strRef>
          </c:tx>
          <c:spPr>
            <a:solidFill>
              <a:schemeClr val="accent4"/>
            </a:solidFill>
            <a:ln>
              <a:noFill/>
            </a:ln>
            <a:effectLst/>
          </c:spPr>
          <c:invertIfNegative val="0"/>
          <c:cat>
            <c:strRef>
              <c:f>'S30b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likelihood'!$W$248:$W$254</c:f>
              <c:numCache>
                <c:formatCode>General</c:formatCode>
                <c:ptCount val="7"/>
                <c:pt idx="0">
                  <c:v>0</c:v>
                </c:pt>
                <c:pt idx="1">
                  <c:v>1</c:v>
                </c:pt>
                <c:pt idx="2">
                  <c:v>0</c:v>
                </c:pt>
                <c:pt idx="3">
                  <c:v>0</c:v>
                </c:pt>
                <c:pt idx="4">
                  <c:v>0</c:v>
                </c:pt>
                <c:pt idx="5">
                  <c:v>0</c:v>
                </c:pt>
                <c:pt idx="6">
                  <c:v>0</c:v>
                </c:pt>
              </c:numCache>
            </c:numRef>
          </c:val>
        </c:ser>
        <c:ser>
          <c:idx val="4"/>
          <c:order val="4"/>
          <c:tx>
            <c:strRef>
              <c:f>'S30b likelihood'!$X$247</c:f>
              <c:strCache>
                <c:ptCount val="1"/>
                <c:pt idx="0">
                  <c:v>Policy makers and academia</c:v>
                </c:pt>
              </c:strCache>
            </c:strRef>
          </c:tx>
          <c:spPr>
            <a:solidFill>
              <a:schemeClr val="accent5"/>
            </a:solidFill>
            <a:ln>
              <a:noFill/>
            </a:ln>
            <a:effectLst/>
          </c:spPr>
          <c:invertIfNegative val="0"/>
          <c:cat>
            <c:strRef>
              <c:f>'S30b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likelihood'!$X$248:$X$254</c:f>
              <c:numCache>
                <c:formatCode>0</c:formatCode>
                <c:ptCount val="7"/>
                <c:pt idx="0">
                  <c:v>1</c:v>
                </c:pt>
                <c:pt idx="1">
                  <c:v>0</c:v>
                </c:pt>
                <c:pt idx="2">
                  <c:v>1</c:v>
                </c:pt>
                <c:pt idx="3">
                  <c:v>0</c:v>
                </c:pt>
                <c:pt idx="4">
                  <c:v>1</c:v>
                </c:pt>
                <c:pt idx="5">
                  <c:v>0</c:v>
                </c:pt>
                <c:pt idx="6">
                  <c:v>0</c:v>
                </c:pt>
              </c:numCache>
            </c:numRef>
          </c:val>
        </c:ser>
        <c:ser>
          <c:idx val="5"/>
          <c:order val="5"/>
          <c:tx>
            <c:strRef>
              <c:f>'S30b likelihood'!$Y$247</c:f>
              <c:strCache>
                <c:ptCount val="1"/>
                <c:pt idx="0">
                  <c:v>NGOs</c:v>
                </c:pt>
              </c:strCache>
            </c:strRef>
          </c:tx>
          <c:spPr>
            <a:solidFill>
              <a:schemeClr val="accent6"/>
            </a:solidFill>
            <a:ln>
              <a:noFill/>
            </a:ln>
            <a:effectLst/>
          </c:spPr>
          <c:invertIfNegative val="0"/>
          <c:cat>
            <c:strRef>
              <c:f>'S30b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likelihood'!$Y$248:$Y$254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0375936"/>
        <c:axId val="180377472"/>
      </c:barChart>
      <c:catAx>
        <c:axId val="1803759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377472"/>
        <c:crosses val="autoZero"/>
        <c:auto val="1"/>
        <c:lblAlgn val="ctr"/>
        <c:lblOffset val="100"/>
        <c:noMultiLvlLbl val="0"/>
      </c:catAx>
      <c:valAx>
        <c:axId val="180377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375936"/>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likelihood'!$T$279</c:f>
              <c:strCache>
                <c:ptCount val="1"/>
                <c:pt idx="0">
                  <c:v>Forest owners/managers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likelihood'!$T$280:$T$286</c:f>
              <c:numCache>
                <c:formatCode>0%</c:formatCode>
                <c:ptCount val="7"/>
                <c:pt idx="0">
                  <c:v>6.6666666666666666E-2</c:v>
                </c:pt>
                <c:pt idx="1">
                  <c:v>0</c:v>
                </c:pt>
                <c:pt idx="2">
                  <c:v>0</c:v>
                </c:pt>
                <c:pt idx="3">
                  <c:v>0</c:v>
                </c:pt>
                <c:pt idx="4">
                  <c:v>0</c:v>
                </c:pt>
                <c:pt idx="5">
                  <c:v>0</c:v>
                </c:pt>
                <c:pt idx="6">
                  <c:v>9.9999999999999992E-2</c:v>
                </c:pt>
              </c:numCache>
            </c:numRef>
          </c:val>
        </c:ser>
        <c:ser>
          <c:idx val="1"/>
          <c:order val="1"/>
          <c:tx>
            <c:strRef>
              <c:f>'S30b likelihood'!$U$279</c:f>
              <c:strCache>
                <c:ptCount val="1"/>
                <c:pt idx="0">
                  <c:v>Pellet producers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likelihood'!$U$280:$U$286</c:f>
              <c:numCache>
                <c:formatCode>0%</c:formatCode>
                <c:ptCount val="7"/>
                <c:pt idx="0">
                  <c:v>0</c:v>
                </c:pt>
                <c:pt idx="1">
                  <c:v>0</c:v>
                </c:pt>
                <c:pt idx="2">
                  <c:v>0</c:v>
                </c:pt>
                <c:pt idx="3">
                  <c:v>0</c:v>
                </c:pt>
                <c:pt idx="4">
                  <c:v>0</c:v>
                </c:pt>
                <c:pt idx="5">
                  <c:v>0</c:v>
                </c:pt>
                <c:pt idx="6">
                  <c:v>0</c:v>
                </c:pt>
              </c:numCache>
            </c:numRef>
          </c:val>
        </c:ser>
        <c:ser>
          <c:idx val="2"/>
          <c:order val="2"/>
          <c:tx>
            <c:strRef>
              <c:f>'S30b likelihood'!$V$279</c:f>
              <c:strCache>
                <c:ptCount val="1"/>
                <c:pt idx="0">
                  <c:v>Pellet users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likelihood'!$V$280:$V$286</c:f>
              <c:numCache>
                <c:formatCode>0%</c:formatCode>
                <c:ptCount val="7"/>
                <c:pt idx="0">
                  <c:v>0</c:v>
                </c:pt>
                <c:pt idx="1">
                  <c:v>0.16666666666666666</c:v>
                </c:pt>
                <c:pt idx="2">
                  <c:v>0</c:v>
                </c:pt>
                <c:pt idx="3">
                  <c:v>0</c:v>
                </c:pt>
                <c:pt idx="4">
                  <c:v>0</c:v>
                </c:pt>
                <c:pt idx="5">
                  <c:v>0</c:v>
                </c:pt>
                <c:pt idx="6">
                  <c:v>0</c:v>
                </c:pt>
              </c:numCache>
            </c:numRef>
          </c:val>
        </c:ser>
        <c:ser>
          <c:idx val="3"/>
          <c:order val="3"/>
          <c:tx>
            <c:strRef>
              <c:f>'S30b likelihood'!$W$279</c:f>
              <c:strCache>
                <c:ptCount val="1"/>
                <c:pt idx="0">
                  <c:v>Non-bioenergy wood users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likelihood'!$W$280:$W$286</c:f>
              <c:numCache>
                <c:formatCode>0%</c:formatCode>
                <c:ptCount val="7"/>
                <c:pt idx="0">
                  <c:v>0</c:v>
                </c:pt>
                <c:pt idx="1">
                  <c:v>0.16666666666666666</c:v>
                </c:pt>
                <c:pt idx="2">
                  <c:v>0</c:v>
                </c:pt>
                <c:pt idx="3">
                  <c:v>0</c:v>
                </c:pt>
                <c:pt idx="4">
                  <c:v>0</c:v>
                </c:pt>
                <c:pt idx="5">
                  <c:v>0</c:v>
                </c:pt>
                <c:pt idx="6">
                  <c:v>0</c:v>
                </c:pt>
              </c:numCache>
            </c:numRef>
          </c:val>
        </c:ser>
        <c:ser>
          <c:idx val="4"/>
          <c:order val="4"/>
          <c:tx>
            <c:strRef>
              <c:f>'S30b likelihood'!$X$279</c:f>
              <c:strCache>
                <c:ptCount val="1"/>
                <c:pt idx="0">
                  <c:v>Policy makers and academia</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likelihood'!$X$280:$X$286</c:f>
              <c:numCache>
                <c:formatCode>0%</c:formatCode>
                <c:ptCount val="7"/>
                <c:pt idx="0">
                  <c:v>5.5555555555555552E-2</c:v>
                </c:pt>
                <c:pt idx="1">
                  <c:v>0</c:v>
                </c:pt>
                <c:pt idx="2">
                  <c:v>5.5555555555555552E-2</c:v>
                </c:pt>
                <c:pt idx="3">
                  <c:v>0</c:v>
                </c:pt>
                <c:pt idx="4">
                  <c:v>5.5555555555555552E-2</c:v>
                </c:pt>
                <c:pt idx="5">
                  <c:v>0</c:v>
                </c:pt>
                <c:pt idx="6">
                  <c:v>0</c:v>
                </c:pt>
              </c:numCache>
            </c:numRef>
          </c:val>
        </c:ser>
        <c:ser>
          <c:idx val="5"/>
          <c:order val="5"/>
          <c:tx>
            <c:strRef>
              <c:f>'S30b likelihood'!$Y$279</c:f>
              <c:strCache>
                <c:ptCount val="1"/>
                <c:pt idx="0">
                  <c:v>NGOs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likelihood'!$Y$280:$Y$286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0954624"/>
        <c:axId val="180956160"/>
      </c:barChart>
      <c:catAx>
        <c:axId val="1809546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956160"/>
        <c:crosses val="autoZero"/>
        <c:auto val="1"/>
        <c:lblAlgn val="ctr"/>
        <c:lblOffset val="100"/>
        <c:noMultiLvlLbl val="0"/>
      </c:catAx>
      <c:valAx>
        <c:axId val="180956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9546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655391638854466E-3"/>
          <c:y val="1.7547990628661074E-2"/>
          <c:w val="0.7488154473646198"/>
          <c:h val="0.82614420420724111"/>
        </c:manualLayout>
      </c:layout>
      <c:barChart>
        <c:barDir val="col"/>
        <c:grouping val="stacked"/>
        <c:varyColors val="0"/>
        <c:ser>
          <c:idx val="0"/>
          <c:order val="0"/>
          <c:tx>
            <c:strRef>
              <c:f>'S30b likelihood'!$T$279</c:f>
              <c:strCache>
                <c:ptCount val="1"/>
                <c:pt idx="0">
                  <c:v>Forest owners/managers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likelihood'!$T$280:$T$286</c:f>
              <c:numCache>
                <c:formatCode>0%</c:formatCode>
                <c:ptCount val="7"/>
                <c:pt idx="0">
                  <c:v>6.6666666666666666E-2</c:v>
                </c:pt>
                <c:pt idx="1">
                  <c:v>0</c:v>
                </c:pt>
                <c:pt idx="2">
                  <c:v>0</c:v>
                </c:pt>
                <c:pt idx="3">
                  <c:v>0</c:v>
                </c:pt>
                <c:pt idx="4">
                  <c:v>0</c:v>
                </c:pt>
                <c:pt idx="5">
                  <c:v>0</c:v>
                </c:pt>
                <c:pt idx="6">
                  <c:v>9.9999999999999992E-2</c:v>
                </c:pt>
              </c:numCache>
            </c:numRef>
          </c:val>
        </c:ser>
        <c:ser>
          <c:idx val="1"/>
          <c:order val="1"/>
          <c:tx>
            <c:strRef>
              <c:f>'S30b likelihood'!$U$279</c:f>
              <c:strCache>
                <c:ptCount val="1"/>
                <c:pt idx="0">
                  <c:v>Pellet producers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likelihood'!$U$280:$U$286</c:f>
              <c:numCache>
                <c:formatCode>0%</c:formatCode>
                <c:ptCount val="7"/>
                <c:pt idx="0">
                  <c:v>0</c:v>
                </c:pt>
                <c:pt idx="1">
                  <c:v>0</c:v>
                </c:pt>
                <c:pt idx="2">
                  <c:v>0</c:v>
                </c:pt>
                <c:pt idx="3">
                  <c:v>0</c:v>
                </c:pt>
                <c:pt idx="4">
                  <c:v>0</c:v>
                </c:pt>
                <c:pt idx="5">
                  <c:v>0</c:v>
                </c:pt>
                <c:pt idx="6">
                  <c:v>0</c:v>
                </c:pt>
              </c:numCache>
            </c:numRef>
          </c:val>
        </c:ser>
        <c:ser>
          <c:idx val="2"/>
          <c:order val="2"/>
          <c:tx>
            <c:strRef>
              <c:f>'S30b likelihood'!$V$279</c:f>
              <c:strCache>
                <c:ptCount val="1"/>
                <c:pt idx="0">
                  <c:v>Pellet users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likelihood'!$V$280:$V$286</c:f>
              <c:numCache>
                <c:formatCode>0%</c:formatCode>
                <c:ptCount val="7"/>
                <c:pt idx="0">
                  <c:v>0</c:v>
                </c:pt>
                <c:pt idx="1">
                  <c:v>0.16666666666666666</c:v>
                </c:pt>
                <c:pt idx="2">
                  <c:v>0</c:v>
                </c:pt>
                <c:pt idx="3">
                  <c:v>0</c:v>
                </c:pt>
                <c:pt idx="4">
                  <c:v>0</c:v>
                </c:pt>
                <c:pt idx="5">
                  <c:v>0</c:v>
                </c:pt>
                <c:pt idx="6">
                  <c:v>0</c:v>
                </c:pt>
              </c:numCache>
            </c:numRef>
          </c:val>
        </c:ser>
        <c:ser>
          <c:idx val="3"/>
          <c:order val="3"/>
          <c:tx>
            <c:strRef>
              <c:f>'S30b likelihood'!$W$279</c:f>
              <c:strCache>
                <c:ptCount val="1"/>
                <c:pt idx="0">
                  <c:v>Non-bioenergy wood users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likelihood'!$W$280:$W$286</c:f>
              <c:numCache>
                <c:formatCode>0%</c:formatCode>
                <c:ptCount val="7"/>
                <c:pt idx="0">
                  <c:v>0</c:v>
                </c:pt>
                <c:pt idx="1">
                  <c:v>0.16666666666666666</c:v>
                </c:pt>
                <c:pt idx="2">
                  <c:v>0</c:v>
                </c:pt>
                <c:pt idx="3">
                  <c:v>0</c:v>
                </c:pt>
                <c:pt idx="4">
                  <c:v>0</c:v>
                </c:pt>
                <c:pt idx="5">
                  <c:v>0</c:v>
                </c:pt>
                <c:pt idx="6">
                  <c:v>0</c:v>
                </c:pt>
              </c:numCache>
            </c:numRef>
          </c:val>
        </c:ser>
        <c:ser>
          <c:idx val="4"/>
          <c:order val="4"/>
          <c:tx>
            <c:strRef>
              <c:f>'S30b likelihood'!$X$279</c:f>
              <c:strCache>
                <c:ptCount val="1"/>
                <c:pt idx="0">
                  <c:v>Policy makers and academia</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likelihood'!$X$280:$X$286</c:f>
              <c:numCache>
                <c:formatCode>0%</c:formatCode>
                <c:ptCount val="7"/>
                <c:pt idx="0">
                  <c:v>5.5555555555555552E-2</c:v>
                </c:pt>
                <c:pt idx="1">
                  <c:v>0</c:v>
                </c:pt>
                <c:pt idx="2">
                  <c:v>5.5555555555555552E-2</c:v>
                </c:pt>
                <c:pt idx="3">
                  <c:v>0</c:v>
                </c:pt>
                <c:pt idx="4">
                  <c:v>5.5555555555555552E-2</c:v>
                </c:pt>
                <c:pt idx="5">
                  <c:v>0</c:v>
                </c:pt>
                <c:pt idx="6">
                  <c:v>0</c:v>
                </c:pt>
              </c:numCache>
            </c:numRef>
          </c:val>
        </c:ser>
        <c:ser>
          <c:idx val="5"/>
          <c:order val="5"/>
          <c:tx>
            <c:strRef>
              <c:f>'S30b likelihood'!$Y$279</c:f>
              <c:strCache>
                <c:ptCount val="1"/>
                <c:pt idx="0">
                  <c:v>NGOs</c:v>
                </c:pt>
              </c:strCache>
            </c:strRef>
          </c:tx>
          <c:invertIfNegative val="0"/>
          <c:cat>
            <c:strRef>
              <c:f>'S30b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'S30b likelihood'!$Y$280:$Y$286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0993024"/>
        <c:axId val="181011200"/>
      </c:barChart>
      <c:catAx>
        <c:axId val="180993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011200"/>
        <c:crosses val="autoZero"/>
        <c:auto val="1"/>
        <c:lblAlgn val="ctr"/>
        <c:lblOffset val="100"/>
        <c:noMultiLvlLbl val="0"/>
      </c:catAx>
      <c:valAx>
        <c:axId val="181011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993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likelihood'!$DL$247</c:f>
              <c:strCache>
                <c:ptCount val="1"/>
                <c:pt idx="0">
                  <c:v>Forest owners/managers</c:v>
                </c:pt>
              </c:strCache>
            </c:strRef>
          </c:tx>
          <c:spPr>
            <a:solidFill>
              <a:schemeClr val="accent1"/>
            </a:solidFill>
            <a:ln>
              <a:noFill/>
            </a:ln>
            <a:effectLst/>
          </c:spPr>
          <c:invertIfNegative val="0"/>
          <c:cat>
            <c:strRef>
              <c:f>'S30b likelihood'!$DK$248:$DK$252</c:f>
              <c:strCache>
                <c:ptCount val="5"/>
                <c:pt idx="0">
                  <c:v>Definitely not</c:v>
                </c:pt>
                <c:pt idx="1">
                  <c:v>Sometimes</c:v>
                </c:pt>
                <c:pt idx="2">
                  <c:v>Most of the time</c:v>
                </c:pt>
                <c:pt idx="3">
                  <c:v>Yes, always</c:v>
                </c:pt>
                <c:pt idx="4">
                  <c:v>I don’t know</c:v>
                </c:pt>
              </c:strCache>
            </c:strRef>
          </c:cat>
          <c:val>
            <c:numRef>
              <c:f>'S30b likelihood'!$DL$248:$DL$252</c:f>
              <c:numCache>
                <c:formatCode>General</c:formatCode>
                <c:ptCount val="5"/>
                <c:pt idx="0">
                  <c:v>1</c:v>
                </c:pt>
                <c:pt idx="1">
                  <c:v>1</c:v>
                </c:pt>
                <c:pt idx="2">
                  <c:v>1</c:v>
                </c:pt>
                <c:pt idx="3">
                  <c:v>1</c:v>
                </c:pt>
                <c:pt idx="4">
                  <c:v>0</c:v>
                </c:pt>
              </c:numCache>
            </c:numRef>
          </c:val>
        </c:ser>
        <c:ser>
          <c:idx val="1"/>
          <c:order val="1"/>
          <c:tx>
            <c:strRef>
              <c:f>'S30b likelihood'!$DM$247</c:f>
              <c:strCache>
                <c:ptCount val="1"/>
                <c:pt idx="0">
                  <c:v>Pellet producers</c:v>
                </c:pt>
              </c:strCache>
            </c:strRef>
          </c:tx>
          <c:spPr>
            <a:solidFill>
              <a:schemeClr val="accent2"/>
            </a:solidFill>
            <a:ln>
              <a:noFill/>
            </a:ln>
            <a:effectLst/>
          </c:spPr>
          <c:invertIfNegative val="0"/>
          <c:cat>
            <c:strRef>
              <c:f>'S30b likelihood'!$DK$248:$DK$252</c:f>
              <c:strCache>
                <c:ptCount val="5"/>
                <c:pt idx="0">
                  <c:v>Definitely not</c:v>
                </c:pt>
                <c:pt idx="1">
                  <c:v>Sometimes</c:v>
                </c:pt>
                <c:pt idx="2">
                  <c:v>Most of the time</c:v>
                </c:pt>
                <c:pt idx="3">
                  <c:v>Yes, always</c:v>
                </c:pt>
                <c:pt idx="4">
                  <c:v>I don’t know</c:v>
                </c:pt>
              </c:strCache>
            </c:strRef>
          </c:cat>
          <c:val>
            <c:numRef>
              <c:f>'S30b likelihood'!$DM$248:$DM$252</c:f>
              <c:numCache>
                <c:formatCode>0</c:formatCode>
                <c:ptCount val="5"/>
                <c:pt idx="0">
                  <c:v>0</c:v>
                </c:pt>
                <c:pt idx="1">
                  <c:v>0</c:v>
                </c:pt>
                <c:pt idx="2">
                  <c:v>0</c:v>
                </c:pt>
                <c:pt idx="3">
                  <c:v>0</c:v>
                </c:pt>
                <c:pt idx="4">
                  <c:v>0</c:v>
                </c:pt>
              </c:numCache>
            </c:numRef>
          </c:val>
        </c:ser>
        <c:ser>
          <c:idx val="2"/>
          <c:order val="2"/>
          <c:tx>
            <c:strRef>
              <c:f>'S30b likelihood'!$DN$247</c:f>
              <c:strCache>
                <c:ptCount val="1"/>
                <c:pt idx="0">
                  <c:v>Pellet users</c:v>
                </c:pt>
              </c:strCache>
            </c:strRef>
          </c:tx>
          <c:spPr>
            <a:solidFill>
              <a:schemeClr val="accent3"/>
            </a:solidFill>
            <a:ln>
              <a:noFill/>
            </a:ln>
            <a:effectLst/>
          </c:spPr>
          <c:invertIfNegative val="0"/>
          <c:cat>
            <c:strRef>
              <c:f>'S30b likelihood'!$DK$248:$DK$252</c:f>
              <c:strCache>
                <c:ptCount val="5"/>
                <c:pt idx="0">
                  <c:v>Definitely not</c:v>
                </c:pt>
                <c:pt idx="1">
                  <c:v>Sometimes</c:v>
                </c:pt>
                <c:pt idx="2">
                  <c:v>Most of the time</c:v>
                </c:pt>
                <c:pt idx="3">
                  <c:v>Yes, always</c:v>
                </c:pt>
                <c:pt idx="4">
                  <c:v>I don’t know</c:v>
                </c:pt>
              </c:strCache>
            </c:strRef>
          </c:cat>
          <c:val>
            <c:numRef>
              <c:f>'S30b likelihood'!$DN$248:$DN$252</c:f>
              <c:numCache>
                <c:formatCode>General</c:formatCode>
                <c:ptCount val="5"/>
                <c:pt idx="0">
                  <c:v>0</c:v>
                </c:pt>
                <c:pt idx="1">
                  <c:v>1</c:v>
                </c:pt>
                <c:pt idx="2">
                  <c:v>0</c:v>
                </c:pt>
                <c:pt idx="3">
                  <c:v>0</c:v>
                </c:pt>
                <c:pt idx="4">
                  <c:v>0</c:v>
                </c:pt>
              </c:numCache>
            </c:numRef>
          </c:val>
        </c:ser>
        <c:ser>
          <c:idx val="3"/>
          <c:order val="3"/>
          <c:tx>
            <c:strRef>
              <c:f>'S30b likelihood'!$DO$247</c:f>
              <c:strCache>
                <c:ptCount val="1"/>
                <c:pt idx="0">
                  <c:v>Non-bioenergy wood users</c:v>
                </c:pt>
              </c:strCache>
            </c:strRef>
          </c:tx>
          <c:spPr>
            <a:solidFill>
              <a:schemeClr val="accent4"/>
            </a:solidFill>
            <a:ln>
              <a:noFill/>
            </a:ln>
            <a:effectLst/>
          </c:spPr>
          <c:invertIfNegative val="0"/>
          <c:cat>
            <c:strRef>
              <c:f>'S30b likelihood'!$DK$248:$DK$252</c:f>
              <c:strCache>
                <c:ptCount val="5"/>
                <c:pt idx="0">
                  <c:v>Definitely not</c:v>
                </c:pt>
                <c:pt idx="1">
                  <c:v>Sometimes</c:v>
                </c:pt>
                <c:pt idx="2">
                  <c:v>Most of the time</c:v>
                </c:pt>
                <c:pt idx="3">
                  <c:v>Yes, always</c:v>
                </c:pt>
                <c:pt idx="4">
                  <c:v>I don’t know</c:v>
                </c:pt>
              </c:strCache>
            </c:strRef>
          </c:cat>
          <c:val>
            <c:numRef>
              <c:f>'S30b likelihood'!$DO$248:$DO$252</c:f>
              <c:numCache>
                <c:formatCode>General</c:formatCode>
                <c:ptCount val="5"/>
                <c:pt idx="0">
                  <c:v>0</c:v>
                </c:pt>
                <c:pt idx="1">
                  <c:v>0</c:v>
                </c:pt>
                <c:pt idx="2">
                  <c:v>0</c:v>
                </c:pt>
                <c:pt idx="3">
                  <c:v>1</c:v>
                </c:pt>
                <c:pt idx="4">
                  <c:v>0</c:v>
                </c:pt>
              </c:numCache>
            </c:numRef>
          </c:val>
        </c:ser>
        <c:ser>
          <c:idx val="4"/>
          <c:order val="4"/>
          <c:tx>
            <c:strRef>
              <c:f>'S30b likelihood'!$DP$247</c:f>
              <c:strCache>
                <c:ptCount val="1"/>
                <c:pt idx="0">
                  <c:v>Policy makers and academia</c:v>
                </c:pt>
              </c:strCache>
            </c:strRef>
          </c:tx>
          <c:spPr>
            <a:solidFill>
              <a:schemeClr val="accent5"/>
            </a:solidFill>
            <a:ln>
              <a:noFill/>
            </a:ln>
            <a:effectLst/>
          </c:spPr>
          <c:invertIfNegative val="0"/>
          <c:cat>
            <c:strRef>
              <c:f>'S30b likelihood'!$DK$248:$DK$252</c:f>
              <c:strCache>
                <c:ptCount val="5"/>
                <c:pt idx="0">
                  <c:v>Definitely not</c:v>
                </c:pt>
                <c:pt idx="1">
                  <c:v>Sometimes</c:v>
                </c:pt>
                <c:pt idx="2">
                  <c:v>Most of the time</c:v>
                </c:pt>
                <c:pt idx="3">
                  <c:v>Yes, always</c:v>
                </c:pt>
                <c:pt idx="4">
                  <c:v>I don’t know</c:v>
                </c:pt>
              </c:strCache>
            </c:strRef>
          </c:cat>
          <c:val>
            <c:numRef>
              <c:f>'S30b likelihood'!$DP$248:$DP$252</c:f>
              <c:numCache>
                <c:formatCode>0</c:formatCode>
                <c:ptCount val="5"/>
                <c:pt idx="0">
                  <c:v>0</c:v>
                </c:pt>
                <c:pt idx="1">
                  <c:v>0</c:v>
                </c:pt>
                <c:pt idx="2">
                  <c:v>2</c:v>
                </c:pt>
                <c:pt idx="3">
                  <c:v>1</c:v>
                </c:pt>
                <c:pt idx="4">
                  <c:v>0</c:v>
                </c:pt>
              </c:numCache>
            </c:numRef>
          </c:val>
        </c:ser>
        <c:ser>
          <c:idx val="5"/>
          <c:order val="5"/>
          <c:tx>
            <c:strRef>
              <c:f>'S30b likelihood'!$DQ$247</c:f>
              <c:strCache>
                <c:ptCount val="1"/>
                <c:pt idx="0">
                  <c:v>NGOs</c:v>
                </c:pt>
              </c:strCache>
            </c:strRef>
          </c:tx>
          <c:spPr>
            <a:solidFill>
              <a:schemeClr val="accent6"/>
            </a:solidFill>
            <a:ln>
              <a:noFill/>
            </a:ln>
            <a:effectLst/>
          </c:spPr>
          <c:invertIfNegative val="0"/>
          <c:cat>
            <c:strRef>
              <c:f>'S30b likelihood'!$DK$248:$DK$252</c:f>
              <c:strCache>
                <c:ptCount val="5"/>
                <c:pt idx="0">
                  <c:v>Definitely not</c:v>
                </c:pt>
                <c:pt idx="1">
                  <c:v>Sometimes</c:v>
                </c:pt>
                <c:pt idx="2">
                  <c:v>Most of the time</c:v>
                </c:pt>
                <c:pt idx="3">
                  <c:v>Yes, always</c:v>
                </c:pt>
                <c:pt idx="4">
                  <c:v>I don’t know</c:v>
                </c:pt>
              </c:strCache>
            </c:strRef>
          </c:cat>
          <c:val>
            <c:numRef>
              <c:f>'S30b likelihood'!$DQ$248:$DQ$252</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81055488"/>
        <c:axId val="181057024"/>
      </c:barChart>
      <c:catAx>
        <c:axId val="181055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1057024"/>
        <c:crosses val="autoZero"/>
        <c:auto val="1"/>
        <c:lblAlgn val="ctr"/>
        <c:lblOffset val="100"/>
        <c:noMultiLvlLbl val="0"/>
      </c:catAx>
      <c:valAx>
        <c:axId val="181057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8105548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likelihood'!$DL$279</c:f>
              <c:strCache>
                <c:ptCount val="1"/>
                <c:pt idx="0">
                  <c:v>Forest owners/managers</c:v>
                </c:pt>
              </c:strCache>
            </c:strRef>
          </c:tx>
          <c:invertIfNegative val="0"/>
          <c:cat>
            <c:strRef>
              <c:f>'S26 likelihood'!$DK$280:$DK$284</c:f>
              <c:strCache>
                <c:ptCount val="5"/>
                <c:pt idx="0">
                  <c:v>Definitely not</c:v>
                </c:pt>
                <c:pt idx="1">
                  <c:v>Sometimes</c:v>
                </c:pt>
                <c:pt idx="2">
                  <c:v>Most of the time</c:v>
                </c:pt>
                <c:pt idx="3">
                  <c:v>Yes, always</c:v>
                </c:pt>
                <c:pt idx="4">
                  <c:v>I don’t know</c:v>
                </c:pt>
              </c:strCache>
            </c:strRef>
          </c:cat>
          <c:val>
            <c:numRef>
              <c:f>'S26 likelihood'!$DL$280:$DL$284</c:f>
              <c:numCache>
                <c:formatCode>0%</c:formatCode>
                <c:ptCount val="5"/>
                <c:pt idx="0">
                  <c:v>0.16666666666666666</c:v>
                </c:pt>
                <c:pt idx="1">
                  <c:v>0</c:v>
                </c:pt>
                <c:pt idx="2">
                  <c:v>0</c:v>
                </c:pt>
                <c:pt idx="3">
                  <c:v>0</c:v>
                </c:pt>
                <c:pt idx="4">
                  <c:v>0</c:v>
                </c:pt>
              </c:numCache>
            </c:numRef>
          </c:val>
        </c:ser>
        <c:ser>
          <c:idx val="1"/>
          <c:order val="1"/>
          <c:tx>
            <c:strRef>
              <c:f>'S26 likelihood'!$DM$279</c:f>
              <c:strCache>
                <c:ptCount val="1"/>
                <c:pt idx="0">
                  <c:v>Pellet producers</c:v>
                </c:pt>
              </c:strCache>
            </c:strRef>
          </c:tx>
          <c:invertIfNegative val="0"/>
          <c:cat>
            <c:strRef>
              <c:f>'S26 likelihood'!$DK$280:$DK$284</c:f>
              <c:strCache>
                <c:ptCount val="5"/>
                <c:pt idx="0">
                  <c:v>Definitely not</c:v>
                </c:pt>
                <c:pt idx="1">
                  <c:v>Sometimes</c:v>
                </c:pt>
                <c:pt idx="2">
                  <c:v>Most of the time</c:v>
                </c:pt>
                <c:pt idx="3">
                  <c:v>Yes, always</c:v>
                </c:pt>
                <c:pt idx="4">
                  <c:v>I don’t know</c:v>
                </c:pt>
              </c:strCache>
            </c:strRef>
          </c:cat>
          <c:val>
            <c:numRef>
              <c:f>'S26 likelihood'!$DM$280:$DM$284</c:f>
              <c:numCache>
                <c:formatCode>0%</c:formatCode>
                <c:ptCount val="5"/>
                <c:pt idx="0">
                  <c:v>0.1111111111111111</c:v>
                </c:pt>
                <c:pt idx="1">
                  <c:v>5.5555555555555552E-2</c:v>
                </c:pt>
                <c:pt idx="2">
                  <c:v>0</c:v>
                </c:pt>
                <c:pt idx="3">
                  <c:v>0</c:v>
                </c:pt>
                <c:pt idx="4">
                  <c:v>0</c:v>
                </c:pt>
              </c:numCache>
            </c:numRef>
          </c:val>
        </c:ser>
        <c:ser>
          <c:idx val="2"/>
          <c:order val="2"/>
          <c:tx>
            <c:strRef>
              <c:f>'S26 likelihood'!$DN$279</c:f>
              <c:strCache>
                <c:ptCount val="1"/>
                <c:pt idx="0">
                  <c:v>Pellet users</c:v>
                </c:pt>
              </c:strCache>
            </c:strRef>
          </c:tx>
          <c:invertIfNegative val="0"/>
          <c:cat>
            <c:strRef>
              <c:f>'S26 likelihood'!$DK$280:$DK$284</c:f>
              <c:strCache>
                <c:ptCount val="5"/>
                <c:pt idx="0">
                  <c:v>Definitely not</c:v>
                </c:pt>
                <c:pt idx="1">
                  <c:v>Sometimes</c:v>
                </c:pt>
                <c:pt idx="2">
                  <c:v>Most of the time</c:v>
                </c:pt>
                <c:pt idx="3">
                  <c:v>Yes, always</c:v>
                </c:pt>
                <c:pt idx="4">
                  <c:v>I don’t know</c:v>
                </c:pt>
              </c:strCache>
            </c:strRef>
          </c:cat>
          <c:val>
            <c:numRef>
              <c:f>'S26 likelihood'!$DN$280:$DN$284</c:f>
              <c:numCache>
                <c:formatCode>0%</c:formatCode>
                <c:ptCount val="5"/>
                <c:pt idx="0">
                  <c:v>8.3333333333333329E-2</c:v>
                </c:pt>
                <c:pt idx="1">
                  <c:v>8.3333333333333329E-2</c:v>
                </c:pt>
                <c:pt idx="2">
                  <c:v>0</c:v>
                </c:pt>
                <c:pt idx="3">
                  <c:v>0</c:v>
                </c:pt>
                <c:pt idx="4">
                  <c:v>0</c:v>
                </c:pt>
              </c:numCache>
            </c:numRef>
          </c:val>
        </c:ser>
        <c:ser>
          <c:idx val="3"/>
          <c:order val="3"/>
          <c:tx>
            <c:strRef>
              <c:f>'S26 likelihood'!$DO$279</c:f>
              <c:strCache>
                <c:ptCount val="1"/>
                <c:pt idx="0">
                  <c:v>Non-bioenergy wood users</c:v>
                </c:pt>
              </c:strCache>
            </c:strRef>
          </c:tx>
          <c:invertIfNegative val="0"/>
          <c:cat>
            <c:strRef>
              <c:f>'S26 likelihood'!$DK$280:$DK$284</c:f>
              <c:strCache>
                <c:ptCount val="5"/>
                <c:pt idx="0">
                  <c:v>Definitely not</c:v>
                </c:pt>
                <c:pt idx="1">
                  <c:v>Sometimes</c:v>
                </c:pt>
                <c:pt idx="2">
                  <c:v>Most of the time</c:v>
                </c:pt>
                <c:pt idx="3">
                  <c:v>Yes, always</c:v>
                </c:pt>
                <c:pt idx="4">
                  <c:v>I don’t know</c:v>
                </c:pt>
              </c:strCache>
            </c:strRef>
          </c:cat>
          <c:val>
            <c:numRef>
              <c:f>'S26 likelihood'!$DO$280:$DO$284</c:f>
              <c:numCache>
                <c:formatCode>0%</c:formatCode>
                <c:ptCount val="5"/>
                <c:pt idx="0">
                  <c:v>0</c:v>
                </c:pt>
                <c:pt idx="1">
                  <c:v>0.16666666666666666</c:v>
                </c:pt>
                <c:pt idx="2">
                  <c:v>0</c:v>
                </c:pt>
                <c:pt idx="3">
                  <c:v>0</c:v>
                </c:pt>
                <c:pt idx="4">
                  <c:v>0</c:v>
                </c:pt>
              </c:numCache>
            </c:numRef>
          </c:val>
        </c:ser>
        <c:ser>
          <c:idx val="4"/>
          <c:order val="4"/>
          <c:tx>
            <c:strRef>
              <c:f>'S26 likelihood'!$DP$279</c:f>
              <c:strCache>
                <c:ptCount val="1"/>
                <c:pt idx="0">
                  <c:v>Policy makers and academia</c:v>
                </c:pt>
              </c:strCache>
            </c:strRef>
          </c:tx>
          <c:invertIfNegative val="0"/>
          <c:cat>
            <c:strRef>
              <c:f>'S26 likelihood'!$DK$280:$DK$284</c:f>
              <c:strCache>
                <c:ptCount val="5"/>
                <c:pt idx="0">
                  <c:v>Definitely not</c:v>
                </c:pt>
                <c:pt idx="1">
                  <c:v>Sometimes</c:v>
                </c:pt>
                <c:pt idx="2">
                  <c:v>Most of the time</c:v>
                </c:pt>
                <c:pt idx="3">
                  <c:v>Yes, always</c:v>
                </c:pt>
                <c:pt idx="4">
                  <c:v>I don’t know</c:v>
                </c:pt>
              </c:strCache>
            </c:strRef>
          </c:cat>
          <c:val>
            <c:numRef>
              <c:f>'S26 likelihood'!$DP$280:$DP$284</c:f>
              <c:numCache>
                <c:formatCode>0%</c:formatCode>
                <c:ptCount val="5"/>
                <c:pt idx="0">
                  <c:v>8.3333333333333329E-2</c:v>
                </c:pt>
                <c:pt idx="1">
                  <c:v>8.3333333333333329E-2</c:v>
                </c:pt>
                <c:pt idx="2">
                  <c:v>0</c:v>
                </c:pt>
                <c:pt idx="3">
                  <c:v>0</c:v>
                </c:pt>
                <c:pt idx="4">
                  <c:v>0</c:v>
                </c:pt>
              </c:numCache>
            </c:numRef>
          </c:val>
        </c:ser>
        <c:ser>
          <c:idx val="5"/>
          <c:order val="5"/>
          <c:tx>
            <c:strRef>
              <c:f>'S26 likelihood'!$DQ$279</c:f>
              <c:strCache>
                <c:ptCount val="1"/>
                <c:pt idx="0">
                  <c:v>NGOs</c:v>
                </c:pt>
              </c:strCache>
            </c:strRef>
          </c:tx>
          <c:invertIfNegative val="0"/>
          <c:cat>
            <c:strRef>
              <c:f>'S26 likelihood'!$DK$280:$DK$284</c:f>
              <c:strCache>
                <c:ptCount val="5"/>
                <c:pt idx="0">
                  <c:v>Definitely not</c:v>
                </c:pt>
                <c:pt idx="1">
                  <c:v>Sometimes</c:v>
                </c:pt>
                <c:pt idx="2">
                  <c:v>Most of the time</c:v>
                </c:pt>
                <c:pt idx="3">
                  <c:v>Yes, always</c:v>
                </c:pt>
                <c:pt idx="4">
                  <c:v>I don’t know</c:v>
                </c:pt>
              </c:strCache>
            </c:strRef>
          </c:cat>
          <c:val>
            <c:numRef>
              <c:f>'S26 likelihood'!$DQ$280:$DQ$284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39046272"/>
        <c:axId val="139060352"/>
      </c:barChart>
      <c:catAx>
        <c:axId val="1390462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9060352"/>
        <c:crosses val="autoZero"/>
        <c:auto val="1"/>
        <c:lblAlgn val="ctr"/>
        <c:lblOffset val="100"/>
        <c:noMultiLvlLbl val="0"/>
      </c:catAx>
      <c:valAx>
        <c:axId val="139060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46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'S30b likelihood'!$DL$279</c:f>
              <c:strCache>
                <c:ptCount val="1"/>
                <c:pt idx="0">
                  <c:v>Forest owners/managers</c:v>
                </c:pt>
              </c:strCache>
            </c:strRef>
          </c:tx>
          <c:invertIfNegative val="0"/>
          <c:cat>
            <c:strRef>
              <c:f>'S30b likelihood'!$DK$280:$DK$284</c:f>
              <c:strCache>
                <c:ptCount val="5"/>
                <c:pt idx="0">
                  <c:v>Definitely not</c:v>
                </c:pt>
                <c:pt idx="1">
                  <c:v>Sometimes</c:v>
                </c:pt>
                <c:pt idx="2">
                  <c:v>Most of the time</c:v>
                </c:pt>
                <c:pt idx="3">
                  <c:v>Yes, always</c:v>
                </c:pt>
                <c:pt idx="4">
                  <c:v>I don’t know</c:v>
                </c:pt>
              </c:strCache>
            </c:strRef>
          </c:cat>
          <c:val>
            <c:numRef>
              <c:f>'S30b likelihood'!$DL$280:$DL$284</c:f>
              <c:numCache>
                <c:formatCode>0%</c:formatCode>
                <c:ptCount val="5"/>
                <c:pt idx="0">
                  <c:v>4.1666666666666664E-2</c:v>
                </c:pt>
                <c:pt idx="1">
                  <c:v>4.1666666666666664E-2</c:v>
                </c:pt>
                <c:pt idx="2">
                  <c:v>4.1666666666666664E-2</c:v>
                </c:pt>
                <c:pt idx="3">
                  <c:v>4.1666666666666664E-2</c:v>
                </c:pt>
                <c:pt idx="4">
                  <c:v>0</c:v>
                </c:pt>
              </c:numCache>
            </c:numRef>
          </c:val>
        </c:ser>
        <c:ser>
          <c:idx val="1"/>
          <c:order val="1"/>
          <c:tx>
            <c:strRef>
              <c:f>'S30b likelihood'!$DM$279</c:f>
              <c:strCache>
                <c:ptCount val="1"/>
                <c:pt idx="0">
                  <c:v>Pellet producers</c:v>
                </c:pt>
              </c:strCache>
            </c:strRef>
          </c:tx>
          <c:invertIfNegative val="0"/>
          <c:cat>
            <c:strRef>
              <c:f>'S30b likelihood'!$DK$280:$DK$284</c:f>
              <c:strCache>
                <c:ptCount val="5"/>
                <c:pt idx="0">
                  <c:v>Definitely not</c:v>
                </c:pt>
                <c:pt idx="1">
                  <c:v>Sometimes</c:v>
                </c:pt>
                <c:pt idx="2">
                  <c:v>Most of the time</c:v>
                </c:pt>
                <c:pt idx="3">
                  <c:v>Yes, always</c:v>
                </c:pt>
                <c:pt idx="4">
                  <c:v>I don’t know</c:v>
                </c:pt>
              </c:strCache>
            </c:strRef>
          </c:cat>
          <c:val>
            <c:numRef>
              <c:f>'S30b likelihood'!$DM$280:$DM$284</c:f>
              <c:numCache>
                <c:formatCode>0%</c:formatCode>
                <c:ptCount val="5"/>
                <c:pt idx="0">
                  <c:v>0</c:v>
                </c:pt>
                <c:pt idx="1">
                  <c:v>0</c:v>
                </c:pt>
                <c:pt idx="2">
                  <c:v>0</c:v>
                </c:pt>
                <c:pt idx="3">
                  <c:v>0</c:v>
                </c:pt>
                <c:pt idx="4">
                  <c:v>0</c:v>
                </c:pt>
              </c:numCache>
            </c:numRef>
          </c:val>
        </c:ser>
        <c:ser>
          <c:idx val="2"/>
          <c:order val="2"/>
          <c:tx>
            <c:strRef>
              <c:f>'S30b likelihood'!$DN$279</c:f>
              <c:strCache>
                <c:ptCount val="1"/>
                <c:pt idx="0">
                  <c:v>Pellet users</c:v>
                </c:pt>
              </c:strCache>
            </c:strRef>
          </c:tx>
          <c:invertIfNegative val="0"/>
          <c:cat>
            <c:strRef>
              <c:f>'S30b likelihood'!$DK$280:$DK$284</c:f>
              <c:strCache>
                <c:ptCount val="5"/>
                <c:pt idx="0">
                  <c:v>Definitely not</c:v>
                </c:pt>
                <c:pt idx="1">
                  <c:v>Sometimes</c:v>
                </c:pt>
                <c:pt idx="2">
                  <c:v>Most of the time</c:v>
                </c:pt>
                <c:pt idx="3">
                  <c:v>Yes, always</c:v>
                </c:pt>
                <c:pt idx="4">
                  <c:v>I don’t know</c:v>
                </c:pt>
              </c:strCache>
            </c:strRef>
          </c:cat>
          <c:val>
            <c:numRef>
              <c:f>'S30b likelihood'!$DN$280:$DN$284</c:f>
              <c:numCache>
                <c:formatCode>0%</c:formatCode>
                <c:ptCount val="5"/>
                <c:pt idx="0">
                  <c:v>0</c:v>
                </c:pt>
                <c:pt idx="1">
                  <c:v>0.16666666666666666</c:v>
                </c:pt>
                <c:pt idx="2">
                  <c:v>0</c:v>
                </c:pt>
                <c:pt idx="3">
                  <c:v>0</c:v>
                </c:pt>
                <c:pt idx="4">
                  <c:v>0</c:v>
                </c:pt>
              </c:numCache>
            </c:numRef>
          </c:val>
        </c:ser>
        <c:ser>
          <c:idx val="3"/>
          <c:order val="3"/>
          <c:tx>
            <c:strRef>
              <c:f>'S30b likelihood'!$DO$279</c:f>
              <c:strCache>
                <c:ptCount val="1"/>
                <c:pt idx="0">
                  <c:v>Non-bioenergy wood users</c:v>
                </c:pt>
              </c:strCache>
            </c:strRef>
          </c:tx>
          <c:invertIfNegative val="0"/>
          <c:cat>
            <c:strRef>
              <c:f>'S30b likelihood'!$DK$280:$DK$284</c:f>
              <c:strCache>
                <c:ptCount val="5"/>
                <c:pt idx="0">
                  <c:v>Definitely not</c:v>
                </c:pt>
                <c:pt idx="1">
                  <c:v>Sometimes</c:v>
                </c:pt>
                <c:pt idx="2">
                  <c:v>Most of the time</c:v>
                </c:pt>
                <c:pt idx="3">
                  <c:v>Yes, always</c:v>
                </c:pt>
                <c:pt idx="4">
                  <c:v>I don’t know</c:v>
                </c:pt>
              </c:strCache>
            </c:strRef>
          </c:cat>
          <c:val>
            <c:numRef>
              <c:f>'S30b likelihood'!$DO$280:$DO$284</c:f>
              <c:numCache>
                <c:formatCode>0%</c:formatCode>
                <c:ptCount val="5"/>
                <c:pt idx="0">
                  <c:v>0</c:v>
                </c:pt>
                <c:pt idx="1">
                  <c:v>0</c:v>
                </c:pt>
                <c:pt idx="2">
                  <c:v>0</c:v>
                </c:pt>
                <c:pt idx="3">
                  <c:v>0.16666666666666666</c:v>
                </c:pt>
                <c:pt idx="4">
                  <c:v>0</c:v>
                </c:pt>
              </c:numCache>
            </c:numRef>
          </c:val>
        </c:ser>
        <c:ser>
          <c:idx val="4"/>
          <c:order val="4"/>
          <c:tx>
            <c:strRef>
              <c:f>'S30b likelihood'!$DP$279</c:f>
              <c:strCache>
                <c:ptCount val="1"/>
                <c:pt idx="0">
                  <c:v>Policy makers and academia</c:v>
                </c:pt>
              </c:strCache>
            </c:strRef>
          </c:tx>
          <c:invertIfNegative val="0"/>
          <c:cat>
            <c:strRef>
              <c:f>'S30b likelihood'!$DK$280:$DK$284</c:f>
              <c:strCache>
                <c:ptCount val="5"/>
                <c:pt idx="0">
                  <c:v>Definitely not</c:v>
                </c:pt>
                <c:pt idx="1">
                  <c:v>Sometimes</c:v>
                </c:pt>
                <c:pt idx="2">
                  <c:v>Most of the time</c:v>
                </c:pt>
                <c:pt idx="3">
                  <c:v>Yes, always</c:v>
                </c:pt>
                <c:pt idx="4">
                  <c:v>I don’t know</c:v>
                </c:pt>
              </c:strCache>
            </c:strRef>
          </c:cat>
          <c:val>
            <c:numRef>
              <c:f>'S30b likelihood'!$DP$280:$DP$284</c:f>
              <c:numCache>
                <c:formatCode>0%</c:formatCode>
                <c:ptCount val="5"/>
                <c:pt idx="0">
                  <c:v>0</c:v>
                </c:pt>
                <c:pt idx="1">
                  <c:v>0</c:v>
                </c:pt>
                <c:pt idx="2">
                  <c:v>0.1111111111111111</c:v>
                </c:pt>
                <c:pt idx="3">
                  <c:v>5.5555555555555552E-2</c:v>
                </c:pt>
                <c:pt idx="4">
                  <c:v>0</c:v>
                </c:pt>
              </c:numCache>
            </c:numRef>
          </c:val>
        </c:ser>
        <c:ser>
          <c:idx val="5"/>
          <c:order val="5"/>
          <c:tx>
            <c:strRef>
              <c:f>'S30b likelihood'!$DQ$279</c:f>
              <c:strCache>
                <c:ptCount val="1"/>
                <c:pt idx="0">
                  <c:v>NGOs</c:v>
                </c:pt>
              </c:strCache>
            </c:strRef>
          </c:tx>
          <c:invertIfNegative val="0"/>
          <c:cat>
            <c:strRef>
              <c:f>'S30b likelihood'!$DK$280:$DK$284</c:f>
              <c:strCache>
                <c:ptCount val="5"/>
                <c:pt idx="0">
                  <c:v>Definitely not</c:v>
                </c:pt>
                <c:pt idx="1">
                  <c:v>Sometimes</c:v>
                </c:pt>
                <c:pt idx="2">
                  <c:v>Most of the time</c:v>
                </c:pt>
                <c:pt idx="3">
                  <c:v>Yes, always</c:v>
                </c:pt>
                <c:pt idx="4">
                  <c:v>I don’t know</c:v>
                </c:pt>
              </c:strCache>
            </c:strRef>
          </c:cat>
          <c:val>
            <c:numRef>
              <c:f>'S30b likelihood'!$DQ$280:$DQ$284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55"/>
        <c:overlap val="100"/>
        <c:axId val="180774016"/>
        <c:axId val="180775552"/>
      </c:barChart>
      <c:catAx>
        <c:axId val="18077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0775552"/>
        <c:crosses val="autoZero"/>
        <c:auto val="1"/>
        <c:lblAlgn val="ctr"/>
        <c:lblOffset val="100"/>
        <c:noMultiLvlLbl val="0"/>
      </c:catAx>
      <c:valAx>
        <c:axId val="180775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0774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likelihood'!$B$54</c:f>
          <c:strCache>
            <c:ptCount val="1"/>
            <c:pt idx="0">
              <c:v>Forest owners/managers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4358976678211456E-2"/>
          <c:y val="0.19836010498687665"/>
          <c:w val="0.90741367371914783"/>
          <c:h val="0.655016062992126"/>
        </c:manualLayout>
      </c:layout>
      <c:barChart>
        <c:barDir val="col"/>
        <c:grouping val="clustered"/>
        <c:varyColors val="0"/>
        <c:ser>
          <c:idx val="0"/>
          <c:order val="0"/>
          <c:spPr>
            <a:solidFill>
              <a:schemeClr val="accent1"/>
            </a:solidFill>
            <a:ln>
              <a:noFill/>
            </a:ln>
            <a:effectLst/>
          </c:spPr>
          <c:invertIfNegative val="0"/>
          <c:cat>
            <c:strRef>
              <c:f>'S30c likelihood'!$G$72:$G$76</c:f>
              <c:strCache>
                <c:ptCount val="5"/>
                <c:pt idx="0">
                  <c:v>Definitely not</c:v>
                </c:pt>
                <c:pt idx="1">
                  <c:v>Sometimes</c:v>
                </c:pt>
                <c:pt idx="2">
                  <c:v>Most of the time</c:v>
                </c:pt>
                <c:pt idx="3">
                  <c:v>Yes, always</c:v>
                </c:pt>
                <c:pt idx="4">
                  <c:v>I don’t know</c:v>
                </c:pt>
              </c:strCache>
            </c:strRef>
          </c:cat>
          <c:val>
            <c:numRef>
              <c:f>'S30c likelihood'!$I$72:$I$76</c:f>
              <c:numCache>
                <c:formatCode>0%</c:formatCode>
                <c:ptCount val="5"/>
                <c:pt idx="0">
                  <c:v>0.33333333333333331</c:v>
                </c:pt>
                <c:pt idx="1">
                  <c:v>0</c:v>
                </c:pt>
                <c:pt idx="2">
                  <c:v>0</c:v>
                </c:pt>
                <c:pt idx="3">
                  <c:v>0</c:v>
                </c:pt>
                <c:pt idx="4">
                  <c:v>0.66666666666666663</c:v>
                </c:pt>
              </c:numCache>
            </c:numRef>
          </c:val>
        </c:ser>
        <c:dLbls>
          <c:showLegendKey val="0"/>
          <c:showVal val="0"/>
          <c:showCatName val="0"/>
          <c:showSerName val="0"/>
          <c:showPercent val="0"/>
          <c:showBubbleSize val="0"/>
        </c:dLbls>
        <c:gapWidth val="219"/>
        <c:overlap val="-27"/>
        <c:axId val="181756288"/>
        <c:axId val="181757824"/>
      </c:barChart>
      <c:catAx>
        <c:axId val="181756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757824"/>
        <c:crosses val="autoZero"/>
        <c:auto val="0"/>
        <c:lblAlgn val="ctr"/>
        <c:lblOffset val="100"/>
        <c:tickLblSkip val="1"/>
        <c:noMultiLvlLbl val="0"/>
      </c:catAx>
      <c:valAx>
        <c:axId val="1817578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756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likelihood'!$B$81</c:f>
          <c:strCache>
            <c:ptCount val="1"/>
            <c:pt idx="0">
              <c:v>Pellet producers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likelihood'!$G$99:$G$103</c:f>
              <c:strCache>
                <c:ptCount val="5"/>
                <c:pt idx="0">
                  <c:v>Definitely not</c:v>
                </c:pt>
                <c:pt idx="1">
                  <c:v>Sometimes</c:v>
                </c:pt>
                <c:pt idx="2">
                  <c:v>Most of the time</c:v>
                </c:pt>
                <c:pt idx="3">
                  <c:v>Yes, always</c:v>
                </c:pt>
                <c:pt idx="4">
                  <c:v>I don’t know</c:v>
                </c:pt>
              </c:strCache>
            </c:strRef>
          </c:cat>
          <c:val>
            <c:numRef>
              <c:f>'S30c likelihood'!$I$99:$I$103</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81781632"/>
        <c:axId val="181783168"/>
      </c:barChart>
      <c:catAx>
        <c:axId val="18178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783168"/>
        <c:crosses val="autoZero"/>
        <c:auto val="1"/>
        <c:lblAlgn val="ctr"/>
        <c:lblOffset val="100"/>
        <c:tickLblSkip val="1"/>
        <c:noMultiLvlLbl val="0"/>
      </c:catAx>
      <c:valAx>
        <c:axId val="1817831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781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likelihood'!$B$108</c:f>
          <c:strCache>
            <c:ptCount val="1"/>
            <c:pt idx="0">
              <c:v>Pellet users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likelihood'!$G$126:$G$130</c:f>
              <c:strCache>
                <c:ptCount val="5"/>
                <c:pt idx="0">
                  <c:v>Definitely not</c:v>
                </c:pt>
                <c:pt idx="1">
                  <c:v>Sometimes</c:v>
                </c:pt>
                <c:pt idx="2">
                  <c:v>Most of the time</c:v>
                </c:pt>
                <c:pt idx="3">
                  <c:v>Yes, always</c:v>
                </c:pt>
                <c:pt idx="4">
                  <c:v>I don’t know</c:v>
                </c:pt>
              </c:strCache>
            </c:strRef>
          </c:cat>
          <c:val>
            <c:numRef>
              <c:f>'S30c likelihood'!$I$126:$I$130</c:f>
              <c:numCache>
                <c:formatCode>0%</c:formatCode>
                <c:ptCount val="5"/>
                <c:pt idx="0">
                  <c:v>1</c:v>
                </c:pt>
                <c:pt idx="1">
                  <c:v>0</c:v>
                </c:pt>
                <c:pt idx="2">
                  <c:v>0</c:v>
                </c:pt>
                <c:pt idx="3">
                  <c:v>0</c:v>
                </c:pt>
                <c:pt idx="4">
                  <c:v>0</c:v>
                </c:pt>
              </c:numCache>
            </c:numRef>
          </c:val>
        </c:ser>
        <c:dLbls>
          <c:showLegendKey val="0"/>
          <c:showVal val="0"/>
          <c:showCatName val="0"/>
          <c:showSerName val="0"/>
          <c:showPercent val="0"/>
          <c:showBubbleSize val="0"/>
        </c:dLbls>
        <c:gapWidth val="219"/>
        <c:overlap val="-27"/>
        <c:axId val="181799168"/>
        <c:axId val="181817344"/>
      </c:barChart>
      <c:catAx>
        <c:axId val="181799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817344"/>
        <c:crosses val="autoZero"/>
        <c:auto val="1"/>
        <c:lblAlgn val="ctr"/>
        <c:lblOffset val="100"/>
        <c:tickLblSkip val="1"/>
        <c:noMultiLvlLbl val="0"/>
      </c:catAx>
      <c:valAx>
        <c:axId val="181817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799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285969007374033E-2"/>
          <c:y val="0.21013864133923571"/>
          <c:w val="0.88492496601529258"/>
          <c:h val="0.55709476178167172"/>
        </c:manualLayout>
      </c:layout>
      <c:barChart>
        <c:barDir val="col"/>
        <c:grouping val="clustered"/>
        <c:varyColors val="0"/>
        <c:ser>
          <c:idx val="0"/>
          <c:order val="0"/>
          <c:spPr>
            <a:solidFill>
              <a:schemeClr val="accent1"/>
            </a:solidFill>
            <a:ln>
              <a:noFill/>
            </a:ln>
            <a:effectLst/>
          </c:spPr>
          <c:invertIfNegative val="0"/>
          <c:cat>
            <c:strRef>
              <c:f>'S30c likelihood'!$G$234:$G$238</c:f>
              <c:strCache>
                <c:ptCount val="5"/>
                <c:pt idx="0">
                  <c:v>Definitely not</c:v>
                </c:pt>
                <c:pt idx="1">
                  <c:v>Sometimes</c:v>
                </c:pt>
                <c:pt idx="2">
                  <c:v>Most of the time</c:v>
                </c:pt>
                <c:pt idx="3">
                  <c:v>Yes, always</c:v>
                </c:pt>
                <c:pt idx="4">
                  <c:v>I don’t know</c:v>
                </c:pt>
              </c:strCache>
            </c:strRef>
          </c:cat>
          <c:val>
            <c:numRef>
              <c:f>'S30c likelihood'!$I$234:$I$238</c:f>
              <c:numCache>
                <c:formatCode>0%</c:formatCode>
                <c:ptCount val="5"/>
                <c:pt idx="0">
                  <c:v>0.5</c:v>
                </c:pt>
                <c:pt idx="1">
                  <c:v>0</c:v>
                </c:pt>
                <c:pt idx="2">
                  <c:v>0</c:v>
                </c:pt>
                <c:pt idx="3">
                  <c:v>0</c:v>
                </c:pt>
                <c:pt idx="4">
                  <c:v>0.5</c:v>
                </c:pt>
              </c:numCache>
            </c:numRef>
          </c:val>
        </c:ser>
        <c:dLbls>
          <c:showLegendKey val="0"/>
          <c:showVal val="0"/>
          <c:showCatName val="0"/>
          <c:showSerName val="0"/>
          <c:showPercent val="0"/>
          <c:showBubbleSize val="0"/>
        </c:dLbls>
        <c:gapWidth val="219"/>
        <c:overlap val="-27"/>
        <c:axId val="181853568"/>
        <c:axId val="181859456"/>
      </c:barChart>
      <c:catAx>
        <c:axId val="1818535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859456"/>
        <c:crosses val="autoZero"/>
        <c:auto val="1"/>
        <c:lblAlgn val="ctr"/>
        <c:lblOffset val="100"/>
        <c:tickLblSkip val="1"/>
        <c:noMultiLvlLbl val="0"/>
      </c:catAx>
      <c:valAx>
        <c:axId val="1818594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853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likelihood'!$C$247</c:f>
              <c:strCache>
                <c:ptCount val="1"/>
                <c:pt idx="0">
                  <c:v>Forest owners/managers</c:v>
                </c:pt>
              </c:strCache>
            </c:strRef>
          </c:tx>
          <c:spPr>
            <a:solidFill>
              <a:schemeClr val="accent1"/>
            </a:solidFill>
            <a:ln>
              <a:noFill/>
            </a:ln>
            <a:effectLst/>
          </c:spPr>
          <c:invertIfNegative val="0"/>
          <c:cat>
            <c:strRef>
              <c:f>'S30c likelihood'!$B$248:$B$252</c:f>
              <c:strCache>
                <c:ptCount val="5"/>
                <c:pt idx="0">
                  <c:v>Definitely not</c:v>
                </c:pt>
                <c:pt idx="1">
                  <c:v>Sometimes</c:v>
                </c:pt>
                <c:pt idx="2">
                  <c:v>Most of the time</c:v>
                </c:pt>
                <c:pt idx="3">
                  <c:v>Yes, always</c:v>
                </c:pt>
                <c:pt idx="4">
                  <c:v>I don’t know</c:v>
                </c:pt>
              </c:strCache>
            </c:strRef>
          </c:cat>
          <c:val>
            <c:numRef>
              <c:f>'S30c likelihood'!$C$248:$C$252</c:f>
              <c:numCache>
                <c:formatCode>General</c:formatCode>
                <c:ptCount val="5"/>
                <c:pt idx="0">
                  <c:v>1</c:v>
                </c:pt>
                <c:pt idx="1">
                  <c:v>0</c:v>
                </c:pt>
                <c:pt idx="2">
                  <c:v>0</c:v>
                </c:pt>
                <c:pt idx="3">
                  <c:v>0</c:v>
                </c:pt>
                <c:pt idx="4">
                  <c:v>2</c:v>
                </c:pt>
              </c:numCache>
            </c:numRef>
          </c:val>
        </c:ser>
        <c:ser>
          <c:idx val="1"/>
          <c:order val="1"/>
          <c:tx>
            <c:strRef>
              <c:f>'S30c likelihood'!$D$247</c:f>
              <c:strCache>
                <c:ptCount val="1"/>
                <c:pt idx="0">
                  <c:v>Pellet producers</c:v>
                </c:pt>
              </c:strCache>
            </c:strRef>
          </c:tx>
          <c:spPr>
            <a:solidFill>
              <a:schemeClr val="accent2"/>
            </a:solidFill>
            <a:ln>
              <a:noFill/>
            </a:ln>
            <a:effectLst/>
          </c:spPr>
          <c:invertIfNegative val="0"/>
          <c:cat>
            <c:strRef>
              <c:f>'S30c likelihood'!$B$248:$B$252</c:f>
              <c:strCache>
                <c:ptCount val="5"/>
                <c:pt idx="0">
                  <c:v>Definitely not</c:v>
                </c:pt>
                <c:pt idx="1">
                  <c:v>Sometimes</c:v>
                </c:pt>
                <c:pt idx="2">
                  <c:v>Most of the time</c:v>
                </c:pt>
                <c:pt idx="3">
                  <c:v>Yes, always</c:v>
                </c:pt>
                <c:pt idx="4">
                  <c:v>I don’t know</c:v>
                </c:pt>
              </c:strCache>
            </c:strRef>
          </c:cat>
          <c:val>
            <c:numRef>
              <c:f>'S30c likelihood'!$D$248:$D$252</c:f>
              <c:numCache>
                <c:formatCode>0</c:formatCode>
                <c:ptCount val="5"/>
                <c:pt idx="0">
                  <c:v>0</c:v>
                </c:pt>
                <c:pt idx="1">
                  <c:v>0</c:v>
                </c:pt>
                <c:pt idx="2">
                  <c:v>0</c:v>
                </c:pt>
                <c:pt idx="3">
                  <c:v>0</c:v>
                </c:pt>
                <c:pt idx="4">
                  <c:v>0</c:v>
                </c:pt>
              </c:numCache>
            </c:numRef>
          </c:val>
        </c:ser>
        <c:ser>
          <c:idx val="2"/>
          <c:order val="2"/>
          <c:tx>
            <c:strRef>
              <c:f>'S30c likelihood'!$E$247</c:f>
              <c:strCache>
                <c:ptCount val="1"/>
                <c:pt idx="0">
                  <c:v>Pellet users</c:v>
                </c:pt>
              </c:strCache>
            </c:strRef>
          </c:tx>
          <c:spPr>
            <a:solidFill>
              <a:schemeClr val="accent3"/>
            </a:solidFill>
            <a:ln>
              <a:noFill/>
            </a:ln>
            <a:effectLst/>
          </c:spPr>
          <c:invertIfNegative val="0"/>
          <c:cat>
            <c:strRef>
              <c:f>'S30c likelihood'!$B$248:$B$252</c:f>
              <c:strCache>
                <c:ptCount val="5"/>
                <c:pt idx="0">
                  <c:v>Definitely not</c:v>
                </c:pt>
                <c:pt idx="1">
                  <c:v>Sometimes</c:v>
                </c:pt>
                <c:pt idx="2">
                  <c:v>Most of the time</c:v>
                </c:pt>
                <c:pt idx="3">
                  <c:v>Yes, always</c:v>
                </c:pt>
                <c:pt idx="4">
                  <c:v>I don’t know</c:v>
                </c:pt>
              </c:strCache>
            </c:strRef>
          </c:cat>
          <c:val>
            <c:numRef>
              <c:f>'S30c likelihood'!$E$248:$E$252</c:f>
              <c:numCache>
                <c:formatCode>General</c:formatCode>
                <c:ptCount val="5"/>
                <c:pt idx="0">
                  <c:v>1</c:v>
                </c:pt>
                <c:pt idx="1">
                  <c:v>0</c:v>
                </c:pt>
                <c:pt idx="2">
                  <c:v>0</c:v>
                </c:pt>
                <c:pt idx="3">
                  <c:v>0</c:v>
                </c:pt>
                <c:pt idx="4">
                  <c:v>0</c:v>
                </c:pt>
              </c:numCache>
            </c:numRef>
          </c:val>
        </c:ser>
        <c:ser>
          <c:idx val="3"/>
          <c:order val="3"/>
          <c:tx>
            <c:strRef>
              <c:f>'S30c likelihood'!$F$247</c:f>
              <c:strCache>
                <c:ptCount val="1"/>
                <c:pt idx="0">
                  <c:v>Non-bioenergy wood users</c:v>
                </c:pt>
              </c:strCache>
            </c:strRef>
          </c:tx>
          <c:spPr>
            <a:solidFill>
              <a:schemeClr val="accent4"/>
            </a:solidFill>
            <a:ln>
              <a:noFill/>
            </a:ln>
            <a:effectLst/>
          </c:spPr>
          <c:invertIfNegative val="0"/>
          <c:cat>
            <c:strRef>
              <c:f>'S30c likelihood'!$B$248:$B$252</c:f>
              <c:strCache>
                <c:ptCount val="5"/>
                <c:pt idx="0">
                  <c:v>Definitely not</c:v>
                </c:pt>
                <c:pt idx="1">
                  <c:v>Sometimes</c:v>
                </c:pt>
                <c:pt idx="2">
                  <c:v>Most of the time</c:v>
                </c:pt>
                <c:pt idx="3">
                  <c:v>Yes, always</c:v>
                </c:pt>
                <c:pt idx="4">
                  <c:v>I don’t know</c:v>
                </c:pt>
              </c:strCache>
            </c:strRef>
          </c:cat>
          <c:val>
            <c:numRef>
              <c:f>'S30c likelihood'!$F$248:$F$252</c:f>
              <c:numCache>
                <c:formatCode>General</c:formatCode>
                <c:ptCount val="5"/>
                <c:pt idx="0">
                  <c:v>0</c:v>
                </c:pt>
                <c:pt idx="1">
                  <c:v>0</c:v>
                </c:pt>
                <c:pt idx="2">
                  <c:v>0</c:v>
                </c:pt>
                <c:pt idx="3">
                  <c:v>0</c:v>
                </c:pt>
                <c:pt idx="4">
                  <c:v>0</c:v>
                </c:pt>
              </c:numCache>
            </c:numRef>
          </c:val>
        </c:ser>
        <c:ser>
          <c:idx val="4"/>
          <c:order val="4"/>
          <c:tx>
            <c:strRef>
              <c:f>'S30c likelihood'!$G$247</c:f>
              <c:strCache>
                <c:ptCount val="1"/>
                <c:pt idx="0">
                  <c:v>Policy makers and academia</c:v>
                </c:pt>
              </c:strCache>
            </c:strRef>
          </c:tx>
          <c:spPr>
            <a:solidFill>
              <a:schemeClr val="accent5"/>
            </a:solidFill>
            <a:ln>
              <a:noFill/>
            </a:ln>
            <a:effectLst/>
          </c:spPr>
          <c:invertIfNegative val="0"/>
          <c:cat>
            <c:strRef>
              <c:f>'S30c likelihood'!$B$248:$B$252</c:f>
              <c:strCache>
                <c:ptCount val="5"/>
                <c:pt idx="0">
                  <c:v>Definitely not</c:v>
                </c:pt>
                <c:pt idx="1">
                  <c:v>Sometimes</c:v>
                </c:pt>
                <c:pt idx="2">
                  <c:v>Most of the time</c:v>
                </c:pt>
                <c:pt idx="3">
                  <c:v>Yes, always</c:v>
                </c:pt>
                <c:pt idx="4">
                  <c:v>I don’t know</c:v>
                </c:pt>
              </c:strCache>
            </c:strRef>
          </c:cat>
          <c:val>
            <c:numRef>
              <c:f>'S30c likelihood'!$G$248:$G$252</c:f>
              <c:numCache>
                <c:formatCode>0</c:formatCode>
                <c:ptCount val="5"/>
                <c:pt idx="0">
                  <c:v>0</c:v>
                </c:pt>
                <c:pt idx="1">
                  <c:v>0</c:v>
                </c:pt>
                <c:pt idx="2">
                  <c:v>0</c:v>
                </c:pt>
                <c:pt idx="3">
                  <c:v>0</c:v>
                </c:pt>
                <c:pt idx="4">
                  <c:v>0</c:v>
                </c:pt>
              </c:numCache>
            </c:numRef>
          </c:val>
        </c:ser>
        <c:ser>
          <c:idx val="5"/>
          <c:order val="5"/>
          <c:tx>
            <c:strRef>
              <c:f>'S30c likelihood'!$H$247</c:f>
              <c:strCache>
                <c:ptCount val="1"/>
                <c:pt idx="0">
                  <c:v>NGOs</c:v>
                </c:pt>
              </c:strCache>
            </c:strRef>
          </c:tx>
          <c:spPr>
            <a:solidFill>
              <a:schemeClr val="accent6"/>
            </a:solidFill>
            <a:ln>
              <a:noFill/>
            </a:ln>
            <a:effectLst/>
          </c:spPr>
          <c:invertIfNegative val="0"/>
          <c:cat>
            <c:strRef>
              <c:f>'S30c likelihood'!$B$248:$B$252</c:f>
              <c:strCache>
                <c:ptCount val="5"/>
                <c:pt idx="0">
                  <c:v>Definitely not</c:v>
                </c:pt>
                <c:pt idx="1">
                  <c:v>Sometimes</c:v>
                </c:pt>
                <c:pt idx="2">
                  <c:v>Most of the time</c:v>
                </c:pt>
                <c:pt idx="3">
                  <c:v>Yes, always</c:v>
                </c:pt>
                <c:pt idx="4">
                  <c:v>I don’t know</c:v>
                </c:pt>
              </c:strCache>
            </c:strRef>
          </c:cat>
          <c:val>
            <c:numRef>
              <c:f>'S30c likelihood'!$H$248:$H$252</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81535488"/>
        <c:axId val="181537024"/>
      </c:barChart>
      <c:catAx>
        <c:axId val="181535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1537024"/>
        <c:crosses val="autoZero"/>
        <c:auto val="1"/>
        <c:lblAlgn val="ctr"/>
        <c:lblOffset val="100"/>
        <c:noMultiLvlLbl val="0"/>
      </c:catAx>
      <c:valAx>
        <c:axId val="181537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8153548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likelihood'!$C$279</c:f>
              <c:strCache>
                <c:ptCount val="1"/>
                <c:pt idx="0">
                  <c:v>Forest owners/managers</c:v>
                </c:pt>
              </c:strCache>
            </c:strRef>
          </c:tx>
          <c:invertIfNegative val="0"/>
          <c:cat>
            <c:strRef>
              <c:f>'S30c likelihood'!$B$280:$B$284</c:f>
              <c:strCache>
                <c:ptCount val="5"/>
                <c:pt idx="0">
                  <c:v>Definitely not</c:v>
                </c:pt>
                <c:pt idx="1">
                  <c:v>Sometimes</c:v>
                </c:pt>
                <c:pt idx="2">
                  <c:v>Most of the time</c:v>
                </c:pt>
                <c:pt idx="3">
                  <c:v>Yes, always</c:v>
                </c:pt>
                <c:pt idx="4">
                  <c:v>I don’t know</c:v>
                </c:pt>
              </c:strCache>
            </c:strRef>
          </c:cat>
          <c:val>
            <c:numRef>
              <c:f>'S30c likelihood'!$C$280:$C$284</c:f>
              <c:numCache>
                <c:formatCode>0%</c:formatCode>
                <c:ptCount val="5"/>
                <c:pt idx="0">
                  <c:v>5.5555555555555552E-2</c:v>
                </c:pt>
                <c:pt idx="1">
                  <c:v>0</c:v>
                </c:pt>
                <c:pt idx="2">
                  <c:v>0</c:v>
                </c:pt>
                <c:pt idx="3">
                  <c:v>0</c:v>
                </c:pt>
                <c:pt idx="4">
                  <c:v>0.1111111111111111</c:v>
                </c:pt>
              </c:numCache>
            </c:numRef>
          </c:val>
        </c:ser>
        <c:ser>
          <c:idx val="1"/>
          <c:order val="1"/>
          <c:tx>
            <c:strRef>
              <c:f>'S30c likelihood'!$D$279</c:f>
              <c:strCache>
                <c:ptCount val="1"/>
                <c:pt idx="0">
                  <c:v>Pellet producers</c:v>
                </c:pt>
              </c:strCache>
            </c:strRef>
          </c:tx>
          <c:invertIfNegative val="0"/>
          <c:cat>
            <c:strRef>
              <c:f>'S30c likelihood'!$B$280:$B$284</c:f>
              <c:strCache>
                <c:ptCount val="5"/>
                <c:pt idx="0">
                  <c:v>Definitely not</c:v>
                </c:pt>
                <c:pt idx="1">
                  <c:v>Sometimes</c:v>
                </c:pt>
                <c:pt idx="2">
                  <c:v>Most of the time</c:v>
                </c:pt>
                <c:pt idx="3">
                  <c:v>Yes, always</c:v>
                </c:pt>
                <c:pt idx="4">
                  <c:v>I don’t know</c:v>
                </c:pt>
              </c:strCache>
            </c:strRef>
          </c:cat>
          <c:val>
            <c:numRef>
              <c:f>'S30c likelihood'!$D$280:$D$284</c:f>
              <c:numCache>
                <c:formatCode>0%</c:formatCode>
                <c:ptCount val="5"/>
                <c:pt idx="0">
                  <c:v>0</c:v>
                </c:pt>
                <c:pt idx="1">
                  <c:v>0</c:v>
                </c:pt>
                <c:pt idx="2">
                  <c:v>0</c:v>
                </c:pt>
                <c:pt idx="3">
                  <c:v>0</c:v>
                </c:pt>
                <c:pt idx="4">
                  <c:v>0</c:v>
                </c:pt>
              </c:numCache>
            </c:numRef>
          </c:val>
        </c:ser>
        <c:ser>
          <c:idx val="2"/>
          <c:order val="2"/>
          <c:tx>
            <c:strRef>
              <c:f>'S30c likelihood'!$E$279</c:f>
              <c:strCache>
                <c:ptCount val="1"/>
                <c:pt idx="0">
                  <c:v>Pellet users</c:v>
                </c:pt>
              </c:strCache>
            </c:strRef>
          </c:tx>
          <c:invertIfNegative val="0"/>
          <c:cat>
            <c:strRef>
              <c:f>'S30c likelihood'!$B$280:$B$284</c:f>
              <c:strCache>
                <c:ptCount val="5"/>
                <c:pt idx="0">
                  <c:v>Definitely not</c:v>
                </c:pt>
                <c:pt idx="1">
                  <c:v>Sometimes</c:v>
                </c:pt>
                <c:pt idx="2">
                  <c:v>Most of the time</c:v>
                </c:pt>
                <c:pt idx="3">
                  <c:v>Yes, always</c:v>
                </c:pt>
                <c:pt idx="4">
                  <c:v>I don’t know</c:v>
                </c:pt>
              </c:strCache>
            </c:strRef>
          </c:cat>
          <c:val>
            <c:numRef>
              <c:f>'S30c likelihood'!$E$280:$E$284</c:f>
              <c:numCache>
                <c:formatCode>0%</c:formatCode>
                <c:ptCount val="5"/>
                <c:pt idx="0">
                  <c:v>0.16666666666666666</c:v>
                </c:pt>
                <c:pt idx="1">
                  <c:v>0</c:v>
                </c:pt>
                <c:pt idx="2">
                  <c:v>0</c:v>
                </c:pt>
                <c:pt idx="3">
                  <c:v>0</c:v>
                </c:pt>
                <c:pt idx="4">
                  <c:v>0</c:v>
                </c:pt>
              </c:numCache>
            </c:numRef>
          </c:val>
        </c:ser>
        <c:ser>
          <c:idx val="3"/>
          <c:order val="3"/>
          <c:tx>
            <c:strRef>
              <c:f>'S30c likelihood'!$F$279</c:f>
              <c:strCache>
                <c:ptCount val="1"/>
                <c:pt idx="0">
                  <c:v>Non-bioenergy wood users</c:v>
                </c:pt>
              </c:strCache>
            </c:strRef>
          </c:tx>
          <c:invertIfNegative val="0"/>
          <c:cat>
            <c:strRef>
              <c:f>'S30c likelihood'!$B$280:$B$284</c:f>
              <c:strCache>
                <c:ptCount val="5"/>
                <c:pt idx="0">
                  <c:v>Definitely not</c:v>
                </c:pt>
                <c:pt idx="1">
                  <c:v>Sometimes</c:v>
                </c:pt>
                <c:pt idx="2">
                  <c:v>Most of the time</c:v>
                </c:pt>
                <c:pt idx="3">
                  <c:v>Yes, always</c:v>
                </c:pt>
                <c:pt idx="4">
                  <c:v>I don’t know</c:v>
                </c:pt>
              </c:strCache>
            </c:strRef>
          </c:cat>
          <c:val>
            <c:numRef>
              <c:f>'S30c likelihood'!$F$280:$F$284</c:f>
              <c:numCache>
                <c:formatCode>0%</c:formatCode>
                <c:ptCount val="5"/>
                <c:pt idx="0">
                  <c:v>0</c:v>
                </c:pt>
                <c:pt idx="1">
                  <c:v>0</c:v>
                </c:pt>
                <c:pt idx="2">
                  <c:v>0</c:v>
                </c:pt>
                <c:pt idx="3">
                  <c:v>0</c:v>
                </c:pt>
                <c:pt idx="4">
                  <c:v>0</c:v>
                </c:pt>
              </c:numCache>
            </c:numRef>
          </c:val>
        </c:ser>
        <c:ser>
          <c:idx val="4"/>
          <c:order val="4"/>
          <c:tx>
            <c:strRef>
              <c:f>'S30c likelihood'!$G$279</c:f>
              <c:strCache>
                <c:ptCount val="1"/>
                <c:pt idx="0">
                  <c:v>Policy makers and academia</c:v>
                </c:pt>
              </c:strCache>
            </c:strRef>
          </c:tx>
          <c:invertIfNegative val="0"/>
          <c:cat>
            <c:strRef>
              <c:f>'S30c likelihood'!$B$280:$B$284</c:f>
              <c:strCache>
                <c:ptCount val="5"/>
                <c:pt idx="0">
                  <c:v>Definitely not</c:v>
                </c:pt>
                <c:pt idx="1">
                  <c:v>Sometimes</c:v>
                </c:pt>
                <c:pt idx="2">
                  <c:v>Most of the time</c:v>
                </c:pt>
                <c:pt idx="3">
                  <c:v>Yes, always</c:v>
                </c:pt>
                <c:pt idx="4">
                  <c:v>I don’t know</c:v>
                </c:pt>
              </c:strCache>
            </c:strRef>
          </c:cat>
          <c:val>
            <c:numRef>
              <c:f>'S30c likelihood'!$G$280:$G$284</c:f>
              <c:numCache>
                <c:formatCode>0%</c:formatCode>
                <c:ptCount val="5"/>
                <c:pt idx="0">
                  <c:v>0</c:v>
                </c:pt>
                <c:pt idx="1">
                  <c:v>0</c:v>
                </c:pt>
                <c:pt idx="2">
                  <c:v>0</c:v>
                </c:pt>
                <c:pt idx="3">
                  <c:v>0</c:v>
                </c:pt>
                <c:pt idx="4">
                  <c:v>0</c:v>
                </c:pt>
              </c:numCache>
            </c:numRef>
          </c:val>
        </c:ser>
        <c:ser>
          <c:idx val="5"/>
          <c:order val="5"/>
          <c:tx>
            <c:strRef>
              <c:f>'S30c likelihood'!$H$279</c:f>
              <c:strCache>
                <c:ptCount val="1"/>
                <c:pt idx="0">
                  <c:v>NGOs</c:v>
                </c:pt>
              </c:strCache>
            </c:strRef>
          </c:tx>
          <c:invertIfNegative val="0"/>
          <c:cat>
            <c:strRef>
              <c:f>'S30c likelihood'!$B$280:$B$284</c:f>
              <c:strCache>
                <c:ptCount val="5"/>
                <c:pt idx="0">
                  <c:v>Definitely not</c:v>
                </c:pt>
                <c:pt idx="1">
                  <c:v>Sometimes</c:v>
                </c:pt>
                <c:pt idx="2">
                  <c:v>Most of the time</c:v>
                </c:pt>
                <c:pt idx="3">
                  <c:v>Yes, always</c:v>
                </c:pt>
                <c:pt idx="4">
                  <c:v>I don’t know</c:v>
                </c:pt>
              </c:strCache>
            </c:strRef>
          </c:cat>
          <c:val>
            <c:numRef>
              <c:f>'S30c likelihood'!$H$280:$H$284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81561216"/>
        <c:axId val="181562752"/>
      </c:barChart>
      <c:catAx>
        <c:axId val="1815612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562752"/>
        <c:crosses val="autoZero"/>
        <c:auto val="1"/>
        <c:lblAlgn val="ctr"/>
        <c:lblOffset val="100"/>
        <c:noMultiLvlLbl val="0"/>
      </c:catAx>
      <c:valAx>
        <c:axId val="18156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5612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likelihood'!$BQ$72:$BQ$78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likelihood'!$BS$72:$BS$78</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1582848"/>
        <c:axId val="181666560"/>
      </c:barChart>
      <c:catAx>
        <c:axId val="18158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1666560"/>
        <c:crosses val="autoZero"/>
        <c:auto val="1"/>
        <c:lblAlgn val="ctr"/>
        <c:lblOffset val="100"/>
        <c:tickLblSkip val="1"/>
        <c:noMultiLvlLbl val="0"/>
      </c:catAx>
      <c:valAx>
        <c:axId val="181666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582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likelihood'!$BQ$99:$BQ$105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likelihood'!$BS$99:$BS$105</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1694848"/>
        <c:axId val="181696384"/>
      </c:barChart>
      <c:catAx>
        <c:axId val="18169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696384"/>
        <c:crosses val="autoZero"/>
        <c:auto val="1"/>
        <c:lblAlgn val="ctr"/>
        <c:lblOffset val="100"/>
        <c:tickLblSkip val="1"/>
        <c:noMultiLvlLbl val="0"/>
      </c:catAx>
      <c:valAx>
        <c:axId val="1816963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694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likelihood'!$BQ$126:$BQ$132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likelihood'!$BS$126:$BS$132</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1724672"/>
        <c:axId val="181726208"/>
      </c:barChart>
      <c:catAx>
        <c:axId val="18172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726208"/>
        <c:crosses val="autoZero"/>
        <c:auto val="1"/>
        <c:lblAlgn val="ctr"/>
        <c:lblOffset val="100"/>
        <c:tickLblSkip val="1"/>
        <c:noMultiLvlLbl val="0"/>
      </c:catAx>
      <c:valAx>
        <c:axId val="181726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724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likelihood'!$AM$72:$AM$78</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likelihood'!$AO$72:$AO$78</c:f>
              <c:numCache>
                <c:formatCode>0%</c:formatCode>
                <c:ptCount val="7"/>
                <c:pt idx="0">
                  <c:v>0.75</c:v>
                </c:pt>
                <c:pt idx="1">
                  <c:v>0.25</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9096832"/>
        <c:axId val="139098368"/>
      </c:barChart>
      <c:catAx>
        <c:axId val="139096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9098368"/>
        <c:crosses val="autoZero"/>
        <c:auto val="1"/>
        <c:lblAlgn val="ctr"/>
        <c:lblOffset val="100"/>
        <c:tickLblSkip val="1"/>
        <c:noMultiLvlLbl val="0"/>
      </c:catAx>
      <c:valAx>
        <c:axId val="139098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96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likelihood'!$BQ$153:$BQ$159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likelihood'!$BS$153:$BS$159</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1897856"/>
        <c:axId val="181903744"/>
      </c:barChart>
      <c:catAx>
        <c:axId val="18189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903744"/>
        <c:crosses val="autoZero"/>
        <c:auto val="1"/>
        <c:lblAlgn val="ctr"/>
        <c:lblOffset val="100"/>
        <c:tickLblSkip val="1"/>
        <c:noMultiLvlLbl val="0"/>
      </c:catAx>
      <c:valAx>
        <c:axId val="1819037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897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likelihood'!$B$135</c:f>
          <c:strCache>
            <c:ptCount val="1"/>
            <c:pt idx="0">
              <c:v>Non-bioenergy wood users</c:v>
            </c:pt>
          </c:strCache>
        </c:strRef>
      </c:tx>
      <c:layout>
        <c:manualLayout>
          <c:xMode val="edge"/>
          <c:yMode val="edge"/>
          <c:x val="0.27968954167925908"/>
          <c:y val="3.07354608564545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likelihood'!$G$153:$G$157</c:f>
              <c:strCache>
                <c:ptCount val="5"/>
                <c:pt idx="0">
                  <c:v>Definitely not</c:v>
                </c:pt>
                <c:pt idx="1">
                  <c:v>Sometimes</c:v>
                </c:pt>
                <c:pt idx="2">
                  <c:v>Most of the time</c:v>
                </c:pt>
                <c:pt idx="3">
                  <c:v>Yes, always</c:v>
                </c:pt>
                <c:pt idx="4">
                  <c:v>I don’t know</c:v>
                </c:pt>
              </c:strCache>
            </c:strRef>
          </c:cat>
          <c:val>
            <c:numRef>
              <c:f>'S30c likelihood'!$I$153:$I$157</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81919744"/>
        <c:axId val="181921280"/>
      </c:barChart>
      <c:catAx>
        <c:axId val="1819197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1921280"/>
        <c:crosses val="autoZero"/>
        <c:auto val="1"/>
        <c:lblAlgn val="ctr"/>
        <c:lblOffset val="100"/>
        <c:tickLblSkip val="1"/>
        <c:noMultiLvlLbl val="0"/>
      </c:catAx>
      <c:valAx>
        <c:axId val="1819212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919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likelihood'!$BQ$180:$BQ$186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likelihood'!$BS$180:$BS$186</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2015104"/>
        <c:axId val="182016640"/>
      </c:barChart>
      <c:catAx>
        <c:axId val="18201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016640"/>
        <c:crosses val="autoZero"/>
        <c:auto val="1"/>
        <c:lblAlgn val="ctr"/>
        <c:lblOffset val="100"/>
        <c:tickLblSkip val="1"/>
        <c:noMultiLvlLbl val="0"/>
      </c:catAx>
      <c:valAx>
        <c:axId val="1820166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015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likelihood'!$B$162</c:f>
          <c:strCache>
            <c:ptCount val="1"/>
            <c:pt idx="0">
              <c:v>Policy makers and academia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likelihood'!$G$180:$G$184</c:f>
              <c:strCache>
                <c:ptCount val="5"/>
                <c:pt idx="0">
                  <c:v>Definitely not</c:v>
                </c:pt>
                <c:pt idx="1">
                  <c:v>Sometimes</c:v>
                </c:pt>
                <c:pt idx="2">
                  <c:v>Most of the time</c:v>
                </c:pt>
                <c:pt idx="3">
                  <c:v>Yes, always</c:v>
                </c:pt>
                <c:pt idx="4">
                  <c:v>I don’t know</c:v>
                </c:pt>
              </c:strCache>
            </c:strRef>
          </c:cat>
          <c:val>
            <c:numRef>
              <c:f>'S30c likelihood'!$I$180:$I$184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82040832"/>
        <c:axId val="182063104"/>
      </c:barChart>
      <c:catAx>
        <c:axId val="182040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063104"/>
        <c:crosses val="autoZero"/>
        <c:auto val="1"/>
        <c:lblAlgn val="ctr"/>
        <c:lblOffset val="100"/>
        <c:tickLblSkip val="1"/>
        <c:noMultiLvlLbl val="0"/>
      </c:catAx>
      <c:valAx>
        <c:axId val="1820631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040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likelihood'!$B$189</c:f>
          <c:strCache>
            <c:ptCount val="1"/>
            <c:pt idx="0">
              <c:v>NGOs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likelihood'!$G$207:$G$211</c:f>
              <c:strCache>
                <c:ptCount val="5"/>
                <c:pt idx="0">
                  <c:v>Definitely not</c:v>
                </c:pt>
                <c:pt idx="1">
                  <c:v>Sometimes</c:v>
                </c:pt>
                <c:pt idx="2">
                  <c:v>Most of the time</c:v>
                </c:pt>
                <c:pt idx="3">
                  <c:v>Yes, always</c:v>
                </c:pt>
                <c:pt idx="4">
                  <c:v>I don’t know</c:v>
                </c:pt>
              </c:strCache>
            </c:strRef>
          </c:cat>
          <c:val>
            <c:numRef>
              <c:f>'S30c likelihood'!$I$207:$I$211</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82082944"/>
        <c:axId val="182105216"/>
      </c:barChart>
      <c:catAx>
        <c:axId val="18208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105216"/>
        <c:crosses val="autoZero"/>
        <c:auto val="1"/>
        <c:lblAlgn val="ctr"/>
        <c:lblOffset val="100"/>
        <c:tickLblSkip val="1"/>
        <c:noMultiLvlLbl val="0"/>
      </c:catAx>
      <c:valAx>
        <c:axId val="1821052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082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likelihood'!$BQ$207:$BQ$213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likelihood'!$BS$207:$BS$213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2199040"/>
        <c:axId val="182200576"/>
      </c:barChart>
      <c:catAx>
        <c:axId val="18219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200576"/>
        <c:crosses val="autoZero"/>
        <c:auto val="1"/>
        <c:lblAlgn val="ctr"/>
        <c:lblOffset val="100"/>
        <c:tickLblSkip val="1"/>
        <c:noMultiLvlLbl val="0"/>
      </c:catAx>
      <c:valAx>
        <c:axId val="1822005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199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likelihood'!$BQ$234:$BQ$240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likelihood'!$BS$234:$BS$240</c:f>
              <c:numCache>
                <c:formatCode>0%</c:formatCode>
                <c:ptCount val="7"/>
                <c:pt idx="0">
                  <c:v>0.5</c:v>
                </c:pt>
                <c:pt idx="1">
                  <c:v>0.5</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2232960"/>
        <c:axId val="182234496"/>
      </c:barChart>
      <c:catAx>
        <c:axId val="18223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234496"/>
        <c:crosses val="autoZero"/>
        <c:auto val="1"/>
        <c:lblAlgn val="ctr"/>
        <c:lblOffset val="100"/>
        <c:tickLblSkip val="1"/>
        <c:noMultiLvlLbl val="0"/>
      </c:catAx>
      <c:valAx>
        <c:axId val="1822344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32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likelihood'!$BM$247</c:f>
              <c:strCache>
                <c:ptCount val="1"/>
                <c:pt idx="0">
                  <c:v>Forest owners/managers</c:v>
                </c:pt>
              </c:strCache>
            </c:strRef>
          </c:tx>
          <c:spPr>
            <a:solidFill>
              <a:schemeClr val="accent1"/>
            </a:solidFill>
            <a:ln>
              <a:noFill/>
            </a:ln>
            <a:effectLst/>
          </c:spPr>
          <c:invertIfNegative val="0"/>
          <c:cat>
            <c:strRef>
              <c:f>'S30c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likelihood'!$BM$248:$BM$254</c:f>
              <c:numCache>
                <c:formatCode>General</c:formatCode>
                <c:ptCount val="7"/>
                <c:pt idx="0">
                  <c:v>2</c:v>
                </c:pt>
                <c:pt idx="1">
                  <c:v>0</c:v>
                </c:pt>
                <c:pt idx="2">
                  <c:v>0</c:v>
                </c:pt>
                <c:pt idx="3">
                  <c:v>0</c:v>
                </c:pt>
                <c:pt idx="4">
                  <c:v>0</c:v>
                </c:pt>
                <c:pt idx="5">
                  <c:v>0</c:v>
                </c:pt>
                <c:pt idx="6">
                  <c:v>0</c:v>
                </c:pt>
              </c:numCache>
            </c:numRef>
          </c:val>
        </c:ser>
        <c:ser>
          <c:idx val="1"/>
          <c:order val="1"/>
          <c:tx>
            <c:strRef>
              <c:f>'S30c likelihood'!$BN$247</c:f>
              <c:strCache>
                <c:ptCount val="1"/>
                <c:pt idx="0">
                  <c:v>Pellet producers</c:v>
                </c:pt>
              </c:strCache>
            </c:strRef>
          </c:tx>
          <c:spPr>
            <a:solidFill>
              <a:schemeClr val="accent2"/>
            </a:solidFill>
            <a:ln>
              <a:noFill/>
            </a:ln>
            <a:effectLst/>
          </c:spPr>
          <c:invertIfNegative val="0"/>
          <c:cat>
            <c:strRef>
              <c:f>'S30c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likelihood'!$BN$248:$BN$254</c:f>
              <c:numCache>
                <c:formatCode>0</c:formatCode>
                <c:ptCount val="7"/>
                <c:pt idx="0">
                  <c:v>0</c:v>
                </c:pt>
                <c:pt idx="1">
                  <c:v>1</c:v>
                </c:pt>
                <c:pt idx="2">
                  <c:v>0</c:v>
                </c:pt>
                <c:pt idx="3">
                  <c:v>0</c:v>
                </c:pt>
                <c:pt idx="4">
                  <c:v>0</c:v>
                </c:pt>
                <c:pt idx="5">
                  <c:v>0</c:v>
                </c:pt>
                <c:pt idx="6">
                  <c:v>0</c:v>
                </c:pt>
              </c:numCache>
            </c:numRef>
          </c:val>
        </c:ser>
        <c:ser>
          <c:idx val="2"/>
          <c:order val="2"/>
          <c:tx>
            <c:strRef>
              <c:f>'S30c likelihood'!$BO$247</c:f>
              <c:strCache>
                <c:ptCount val="1"/>
                <c:pt idx="0">
                  <c:v>Pellet users</c:v>
                </c:pt>
              </c:strCache>
            </c:strRef>
          </c:tx>
          <c:spPr>
            <a:solidFill>
              <a:schemeClr val="accent3"/>
            </a:solidFill>
            <a:ln>
              <a:noFill/>
            </a:ln>
            <a:effectLst/>
          </c:spPr>
          <c:invertIfNegative val="0"/>
          <c:cat>
            <c:strRef>
              <c:f>'S30c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likelihood'!$BO$248:$BO$254</c:f>
              <c:numCache>
                <c:formatCode>General</c:formatCode>
                <c:ptCount val="7"/>
                <c:pt idx="0">
                  <c:v>0</c:v>
                </c:pt>
                <c:pt idx="1">
                  <c:v>1</c:v>
                </c:pt>
                <c:pt idx="2">
                  <c:v>0</c:v>
                </c:pt>
                <c:pt idx="3">
                  <c:v>0</c:v>
                </c:pt>
                <c:pt idx="4">
                  <c:v>0</c:v>
                </c:pt>
                <c:pt idx="5">
                  <c:v>0</c:v>
                </c:pt>
                <c:pt idx="6">
                  <c:v>0</c:v>
                </c:pt>
              </c:numCache>
            </c:numRef>
          </c:val>
        </c:ser>
        <c:ser>
          <c:idx val="3"/>
          <c:order val="3"/>
          <c:tx>
            <c:strRef>
              <c:f>'S30c likelihood'!$BP$247</c:f>
              <c:strCache>
                <c:ptCount val="1"/>
                <c:pt idx="0">
                  <c:v>Non-bioenergy wood users</c:v>
                </c:pt>
              </c:strCache>
            </c:strRef>
          </c:tx>
          <c:spPr>
            <a:solidFill>
              <a:schemeClr val="accent4"/>
            </a:solidFill>
            <a:ln>
              <a:noFill/>
            </a:ln>
            <a:effectLst/>
          </c:spPr>
          <c:invertIfNegative val="0"/>
          <c:cat>
            <c:strRef>
              <c:f>'S30c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likelihood'!$BP$248:$BP$254</c:f>
              <c:numCache>
                <c:formatCode>General</c:formatCode>
                <c:ptCount val="7"/>
                <c:pt idx="0">
                  <c:v>0</c:v>
                </c:pt>
                <c:pt idx="1">
                  <c:v>1</c:v>
                </c:pt>
                <c:pt idx="2">
                  <c:v>0</c:v>
                </c:pt>
                <c:pt idx="3">
                  <c:v>0</c:v>
                </c:pt>
                <c:pt idx="4">
                  <c:v>0</c:v>
                </c:pt>
                <c:pt idx="5">
                  <c:v>0</c:v>
                </c:pt>
                <c:pt idx="6">
                  <c:v>0</c:v>
                </c:pt>
              </c:numCache>
            </c:numRef>
          </c:val>
        </c:ser>
        <c:ser>
          <c:idx val="4"/>
          <c:order val="4"/>
          <c:tx>
            <c:strRef>
              <c:f>'S30c likelihood'!$BQ$247</c:f>
              <c:strCache>
                <c:ptCount val="1"/>
                <c:pt idx="0">
                  <c:v>Policy makers and academia</c:v>
                </c:pt>
              </c:strCache>
            </c:strRef>
          </c:tx>
          <c:spPr>
            <a:solidFill>
              <a:schemeClr val="accent5"/>
            </a:solidFill>
            <a:ln>
              <a:noFill/>
            </a:ln>
            <a:effectLst/>
          </c:spPr>
          <c:invertIfNegative val="0"/>
          <c:cat>
            <c:strRef>
              <c:f>'S30c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likelihood'!$BQ$248:$BQ$254</c:f>
              <c:numCache>
                <c:formatCode>0</c:formatCode>
                <c:ptCount val="7"/>
                <c:pt idx="0">
                  <c:v>1</c:v>
                </c:pt>
                <c:pt idx="1">
                  <c:v>0</c:v>
                </c:pt>
                <c:pt idx="2">
                  <c:v>0</c:v>
                </c:pt>
                <c:pt idx="3">
                  <c:v>0</c:v>
                </c:pt>
                <c:pt idx="4">
                  <c:v>0</c:v>
                </c:pt>
                <c:pt idx="5">
                  <c:v>0</c:v>
                </c:pt>
                <c:pt idx="6">
                  <c:v>0</c:v>
                </c:pt>
              </c:numCache>
            </c:numRef>
          </c:val>
        </c:ser>
        <c:ser>
          <c:idx val="5"/>
          <c:order val="5"/>
          <c:tx>
            <c:strRef>
              <c:f>'S30c likelihood'!$BR$247</c:f>
              <c:strCache>
                <c:ptCount val="1"/>
                <c:pt idx="0">
                  <c:v>NGOs</c:v>
                </c:pt>
              </c:strCache>
            </c:strRef>
          </c:tx>
          <c:spPr>
            <a:solidFill>
              <a:schemeClr val="accent6"/>
            </a:solidFill>
            <a:ln>
              <a:noFill/>
            </a:ln>
            <a:effectLst/>
          </c:spPr>
          <c:invertIfNegative val="0"/>
          <c:cat>
            <c:strRef>
              <c:f>'S30c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likelihood'!$BR$248:$BR$254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2348800"/>
        <c:axId val="182366976"/>
      </c:barChart>
      <c:catAx>
        <c:axId val="1823488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366976"/>
        <c:crosses val="autoZero"/>
        <c:auto val="1"/>
        <c:lblAlgn val="ctr"/>
        <c:lblOffset val="100"/>
        <c:noMultiLvlLbl val="0"/>
      </c:catAx>
      <c:valAx>
        <c:axId val="182366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348800"/>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likelihood'!$C$279</c:f>
              <c:strCache>
                <c:ptCount val="1"/>
                <c:pt idx="0">
                  <c:v>Forest owners/managers</c:v>
                </c:pt>
              </c:strCache>
            </c:strRef>
          </c:tx>
          <c:invertIfNegative val="0"/>
          <c:cat>
            <c:strRef>
              <c:f>'S30c likelihood'!$B$280:$B$284</c:f>
              <c:strCache>
                <c:ptCount val="5"/>
                <c:pt idx="0">
                  <c:v>Definitely not</c:v>
                </c:pt>
                <c:pt idx="1">
                  <c:v>Sometimes</c:v>
                </c:pt>
                <c:pt idx="2">
                  <c:v>Most of the time</c:v>
                </c:pt>
                <c:pt idx="3">
                  <c:v>Yes, always</c:v>
                </c:pt>
                <c:pt idx="4">
                  <c:v>I don’t know</c:v>
                </c:pt>
              </c:strCache>
            </c:strRef>
          </c:cat>
          <c:val>
            <c:numRef>
              <c:f>'S30c likelihood'!$C$280:$C$284</c:f>
              <c:numCache>
                <c:formatCode>0%</c:formatCode>
                <c:ptCount val="5"/>
                <c:pt idx="0">
                  <c:v>5.5555555555555552E-2</c:v>
                </c:pt>
                <c:pt idx="1">
                  <c:v>0</c:v>
                </c:pt>
                <c:pt idx="2">
                  <c:v>0</c:v>
                </c:pt>
                <c:pt idx="3">
                  <c:v>0</c:v>
                </c:pt>
                <c:pt idx="4">
                  <c:v>0.1111111111111111</c:v>
                </c:pt>
              </c:numCache>
            </c:numRef>
          </c:val>
        </c:ser>
        <c:ser>
          <c:idx val="1"/>
          <c:order val="1"/>
          <c:tx>
            <c:strRef>
              <c:f>'S30c likelihood'!$D$279</c:f>
              <c:strCache>
                <c:ptCount val="1"/>
                <c:pt idx="0">
                  <c:v>Pellet producers</c:v>
                </c:pt>
              </c:strCache>
            </c:strRef>
          </c:tx>
          <c:invertIfNegative val="0"/>
          <c:cat>
            <c:strRef>
              <c:f>'S30c likelihood'!$B$280:$B$284</c:f>
              <c:strCache>
                <c:ptCount val="5"/>
                <c:pt idx="0">
                  <c:v>Definitely not</c:v>
                </c:pt>
                <c:pt idx="1">
                  <c:v>Sometimes</c:v>
                </c:pt>
                <c:pt idx="2">
                  <c:v>Most of the time</c:v>
                </c:pt>
                <c:pt idx="3">
                  <c:v>Yes, always</c:v>
                </c:pt>
                <c:pt idx="4">
                  <c:v>I don’t know</c:v>
                </c:pt>
              </c:strCache>
            </c:strRef>
          </c:cat>
          <c:val>
            <c:numRef>
              <c:f>'S30c likelihood'!$D$280:$D$284</c:f>
              <c:numCache>
                <c:formatCode>0%</c:formatCode>
                <c:ptCount val="5"/>
                <c:pt idx="0">
                  <c:v>0</c:v>
                </c:pt>
                <c:pt idx="1">
                  <c:v>0</c:v>
                </c:pt>
                <c:pt idx="2">
                  <c:v>0</c:v>
                </c:pt>
                <c:pt idx="3">
                  <c:v>0</c:v>
                </c:pt>
                <c:pt idx="4">
                  <c:v>0</c:v>
                </c:pt>
              </c:numCache>
            </c:numRef>
          </c:val>
        </c:ser>
        <c:ser>
          <c:idx val="2"/>
          <c:order val="2"/>
          <c:tx>
            <c:strRef>
              <c:f>'S30c likelihood'!$E$279</c:f>
              <c:strCache>
                <c:ptCount val="1"/>
                <c:pt idx="0">
                  <c:v>Pellet users</c:v>
                </c:pt>
              </c:strCache>
            </c:strRef>
          </c:tx>
          <c:invertIfNegative val="0"/>
          <c:cat>
            <c:strRef>
              <c:f>'S30c likelihood'!$B$280:$B$284</c:f>
              <c:strCache>
                <c:ptCount val="5"/>
                <c:pt idx="0">
                  <c:v>Definitely not</c:v>
                </c:pt>
                <c:pt idx="1">
                  <c:v>Sometimes</c:v>
                </c:pt>
                <c:pt idx="2">
                  <c:v>Most of the time</c:v>
                </c:pt>
                <c:pt idx="3">
                  <c:v>Yes, always</c:v>
                </c:pt>
                <c:pt idx="4">
                  <c:v>I don’t know</c:v>
                </c:pt>
              </c:strCache>
            </c:strRef>
          </c:cat>
          <c:val>
            <c:numRef>
              <c:f>'S30c likelihood'!$E$280:$E$284</c:f>
              <c:numCache>
                <c:formatCode>0%</c:formatCode>
                <c:ptCount val="5"/>
                <c:pt idx="0">
                  <c:v>0.16666666666666666</c:v>
                </c:pt>
                <c:pt idx="1">
                  <c:v>0</c:v>
                </c:pt>
                <c:pt idx="2">
                  <c:v>0</c:v>
                </c:pt>
                <c:pt idx="3">
                  <c:v>0</c:v>
                </c:pt>
                <c:pt idx="4">
                  <c:v>0</c:v>
                </c:pt>
              </c:numCache>
            </c:numRef>
          </c:val>
        </c:ser>
        <c:ser>
          <c:idx val="3"/>
          <c:order val="3"/>
          <c:tx>
            <c:strRef>
              <c:f>'S30c likelihood'!$F$279</c:f>
              <c:strCache>
                <c:ptCount val="1"/>
                <c:pt idx="0">
                  <c:v>Non-bioenergy wood users</c:v>
                </c:pt>
              </c:strCache>
            </c:strRef>
          </c:tx>
          <c:invertIfNegative val="0"/>
          <c:cat>
            <c:strRef>
              <c:f>'S30c likelihood'!$B$280:$B$284</c:f>
              <c:strCache>
                <c:ptCount val="5"/>
                <c:pt idx="0">
                  <c:v>Definitely not</c:v>
                </c:pt>
                <c:pt idx="1">
                  <c:v>Sometimes</c:v>
                </c:pt>
                <c:pt idx="2">
                  <c:v>Most of the time</c:v>
                </c:pt>
                <c:pt idx="3">
                  <c:v>Yes, always</c:v>
                </c:pt>
                <c:pt idx="4">
                  <c:v>I don’t know</c:v>
                </c:pt>
              </c:strCache>
            </c:strRef>
          </c:cat>
          <c:val>
            <c:numRef>
              <c:f>'S30c likelihood'!$F$280:$F$284</c:f>
              <c:numCache>
                <c:formatCode>0%</c:formatCode>
                <c:ptCount val="5"/>
                <c:pt idx="0">
                  <c:v>0</c:v>
                </c:pt>
                <c:pt idx="1">
                  <c:v>0</c:v>
                </c:pt>
                <c:pt idx="2">
                  <c:v>0</c:v>
                </c:pt>
                <c:pt idx="3">
                  <c:v>0</c:v>
                </c:pt>
                <c:pt idx="4">
                  <c:v>0</c:v>
                </c:pt>
              </c:numCache>
            </c:numRef>
          </c:val>
        </c:ser>
        <c:ser>
          <c:idx val="4"/>
          <c:order val="4"/>
          <c:tx>
            <c:strRef>
              <c:f>'S30c likelihood'!$G$279</c:f>
              <c:strCache>
                <c:ptCount val="1"/>
                <c:pt idx="0">
                  <c:v>Policy makers and academia</c:v>
                </c:pt>
              </c:strCache>
            </c:strRef>
          </c:tx>
          <c:invertIfNegative val="0"/>
          <c:cat>
            <c:strRef>
              <c:f>'S30c likelihood'!$B$280:$B$284</c:f>
              <c:strCache>
                <c:ptCount val="5"/>
                <c:pt idx="0">
                  <c:v>Definitely not</c:v>
                </c:pt>
                <c:pt idx="1">
                  <c:v>Sometimes</c:v>
                </c:pt>
                <c:pt idx="2">
                  <c:v>Most of the time</c:v>
                </c:pt>
                <c:pt idx="3">
                  <c:v>Yes, always</c:v>
                </c:pt>
                <c:pt idx="4">
                  <c:v>I don’t know</c:v>
                </c:pt>
              </c:strCache>
            </c:strRef>
          </c:cat>
          <c:val>
            <c:numRef>
              <c:f>'S30c likelihood'!$G$280:$G$284</c:f>
              <c:numCache>
                <c:formatCode>0%</c:formatCode>
                <c:ptCount val="5"/>
                <c:pt idx="0">
                  <c:v>0</c:v>
                </c:pt>
                <c:pt idx="1">
                  <c:v>0</c:v>
                </c:pt>
                <c:pt idx="2">
                  <c:v>0</c:v>
                </c:pt>
                <c:pt idx="3">
                  <c:v>0</c:v>
                </c:pt>
                <c:pt idx="4">
                  <c:v>0</c:v>
                </c:pt>
              </c:numCache>
            </c:numRef>
          </c:val>
        </c:ser>
        <c:ser>
          <c:idx val="5"/>
          <c:order val="5"/>
          <c:tx>
            <c:strRef>
              <c:f>'S30c likelihood'!$H$279</c:f>
              <c:strCache>
                <c:ptCount val="1"/>
                <c:pt idx="0">
                  <c:v>NGOs</c:v>
                </c:pt>
              </c:strCache>
            </c:strRef>
          </c:tx>
          <c:invertIfNegative val="0"/>
          <c:cat>
            <c:strRef>
              <c:f>'S30c likelihood'!$B$280:$B$284</c:f>
              <c:strCache>
                <c:ptCount val="5"/>
                <c:pt idx="0">
                  <c:v>Definitely not</c:v>
                </c:pt>
                <c:pt idx="1">
                  <c:v>Sometimes</c:v>
                </c:pt>
                <c:pt idx="2">
                  <c:v>Most of the time</c:v>
                </c:pt>
                <c:pt idx="3">
                  <c:v>Yes, always</c:v>
                </c:pt>
                <c:pt idx="4">
                  <c:v>I don’t know</c:v>
                </c:pt>
              </c:strCache>
            </c:strRef>
          </c:cat>
          <c:val>
            <c:numRef>
              <c:f>'S30c likelihood'!$H$280:$H$284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55"/>
        <c:overlap val="100"/>
        <c:axId val="182669696"/>
        <c:axId val="182671232"/>
      </c:barChart>
      <c:catAx>
        <c:axId val="18266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671232"/>
        <c:crosses val="autoZero"/>
        <c:auto val="1"/>
        <c:lblAlgn val="ctr"/>
        <c:lblOffset val="100"/>
        <c:noMultiLvlLbl val="0"/>
      </c:catAx>
      <c:valAx>
        <c:axId val="182671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2669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likelihood'!$BM$279</c:f>
              <c:strCache>
                <c:ptCount val="1"/>
                <c:pt idx="0">
                  <c:v>Forest owners/managers</c:v>
                </c:pt>
              </c:strCache>
            </c:strRef>
          </c:tx>
          <c:invertIfNegative val="0"/>
          <c:cat>
            <c:strRef>
              <c:f>'S30c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likelihood'!$BM$280:$BM$286</c:f>
              <c:numCache>
                <c:formatCode>0%</c:formatCode>
                <c:ptCount val="7"/>
                <c:pt idx="0">
                  <c:v>0.16666666666666666</c:v>
                </c:pt>
                <c:pt idx="1">
                  <c:v>0</c:v>
                </c:pt>
                <c:pt idx="2">
                  <c:v>0</c:v>
                </c:pt>
                <c:pt idx="3">
                  <c:v>0</c:v>
                </c:pt>
                <c:pt idx="4">
                  <c:v>0</c:v>
                </c:pt>
                <c:pt idx="5">
                  <c:v>0</c:v>
                </c:pt>
                <c:pt idx="6">
                  <c:v>0</c:v>
                </c:pt>
              </c:numCache>
            </c:numRef>
          </c:val>
        </c:ser>
        <c:ser>
          <c:idx val="1"/>
          <c:order val="1"/>
          <c:tx>
            <c:strRef>
              <c:f>'S30c likelihood'!$BN$279</c:f>
              <c:strCache>
                <c:ptCount val="1"/>
                <c:pt idx="0">
                  <c:v>Pellet producers</c:v>
                </c:pt>
              </c:strCache>
            </c:strRef>
          </c:tx>
          <c:invertIfNegative val="0"/>
          <c:cat>
            <c:strRef>
              <c:f>'S30c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likelihood'!$BN$280:$BN$286</c:f>
              <c:numCache>
                <c:formatCode>0%</c:formatCode>
                <c:ptCount val="7"/>
                <c:pt idx="0">
                  <c:v>0</c:v>
                </c:pt>
                <c:pt idx="1">
                  <c:v>0.16666666666666666</c:v>
                </c:pt>
                <c:pt idx="2">
                  <c:v>0</c:v>
                </c:pt>
                <c:pt idx="3">
                  <c:v>0</c:v>
                </c:pt>
                <c:pt idx="4">
                  <c:v>0</c:v>
                </c:pt>
                <c:pt idx="5">
                  <c:v>0</c:v>
                </c:pt>
                <c:pt idx="6">
                  <c:v>0</c:v>
                </c:pt>
              </c:numCache>
            </c:numRef>
          </c:val>
        </c:ser>
        <c:ser>
          <c:idx val="2"/>
          <c:order val="2"/>
          <c:tx>
            <c:strRef>
              <c:f>'S30c likelihood'!$BO$279</c:f>
              <c:strCache>
                <c:ptCount val="1"/>
                <c:pt idx="0">
                  <c:v>Pellet users</c:v>
                </c:pt>
              </c:strCache>
            </c:strRef>
          </c:tx>
          <c:invertIfNegative val="0"/>
          <c:cat>
            <c:strRef>
              <c:f>'S30c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likelihood'!$BO$280:$BO$286</c:f>
              <c:numCache>
                <c:formatCode>0%</c:formatCode>
                <c:ptCount val="7"/>
                <c:pt idx="0">
                  <c:v>0</c:v>
                </c:pt>
                <c:pt idx="1">
                  <c:v>0.16666666666666666</c:v>
                </c:pt>
                <c:pt idx="2">
                  <c:v>0</c:v>
                </c:pt>
                <c:pt idx="3">
                  <c:v>0</c:v>
                </c:pt>
                <c:pt idx="4">
                  <c:v>0</c:v>
                </c:pt>
                <c:pt idx="5">
                  <c:v>0</c:v>
                </c:pt>
                <c:pt idx="6">
                  <c:v>0</c:v>
                </c:pt>
              </c:numCache>
            </c:numRef>
          </c:val>
        </c:ser>
        <c:ser>
          <c:idx val="3"/>
          <c:order val="3"/>
          <c:tx>
            <c:strRef>
              <c:f>'S30c likelihood'!$BP$279</c:f>
              <c:strCache>
                <c:ptCount val="1"/>
                <c:pt idx="0">
                  <c:v>Non-bioenergy wood users</c:v>
                </c:pt>
              </c:strCache>
            </c:strRef>
          </c:tx>
          <c:invertIfNegative val="0"/>
          <c:cat>
            <c:strRef>
              <c:f>'S30c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likelihood'!$BP$280:$BP$286</c:f>
              <c:numCache>
                <c:formatCode>0%</c:formatCode>
                <c:ptCount val="7"/>
                <c:pt idx="0">
                  <c:v>0</c:v>
                </c:pt>
                <c:pt idx="1">
                  <c:v>0.16666666666666666</c:v>
                </c:pt>
                <c:pt idx="2">
                  <c:v>0</c:v>
                </c:pt>
                <c:pt idx="3">
                  <c:v>0</c:v>
                </c:pt>
                <c:pt idx="4">
                  <c:v>0</c:v>
                </c:pt>
                <c:pt idx="5">
                  <c:v>0</c:v>
                </c:pt>
                <c:pt idx="6">
                  <c:v>0</c:v>
                </c:pt>
              </c:numCache>
            </c:numRef>
          </c:val>
        </c:ser>
        <c:ser>
          <c:idx val="4"/>
          <c:order val="4"/>
          <c:tx>
            <c:strRef>
              <c:f>'S30c likelihood'!$BQ$279</c:f>
              <c:strCache>
                <c:ptCount val="1"/>
                <c:pt idx="0">
                  <c:v>Policy makers and academia</c:v>
                </c:pt>
              </c:strCache>
            </c:strRef>
          </c:tx>
          <c:invertIfNegative val="0"/>
          <c:cat>
            <c:strRef>
              <c:f>'S30c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likelihood'!$BQ$280:$BQ$286</c:f>
              <c:numCache>
                <c:formatCode>0%</c:formatCode>
                <c:ptCount val="7"/>
                <c:pt idx="0">
                  <c:v>0.16666666666666666</c:v>
                </c:pt>
                <c:pt idx="1">
                  <c:v>0</c:v>
                </c:pt>
                <c:pt idx="2">
                  <c:v>0</c:v>
                </c:pt>
                <c:pt idx="3">
                  <c:v>0</c:v>
                </c:pt>
                <c:pt idx="4">
                  <c:v>0</c:v>
                </c:pt>
                <c:pt idx="5">
                  <c:v>0</c:v>
                </c:pt>
                <c:pt idx="6">
                  <c:v>0</c:v>
                </c:pt>
              </c:numCache>
            </c:numRef>
          </c:val>
        </c:ser>
        <c:ser>
          <c:idx val="5"/>
          <c:order val="5"/>
          <c:tx>
            <c:strRef>
              <c:f>'S30c likelihood'!$BR$279</c:f>
              <c:strCache>
                <c:ptCount val="1"/>
                <c:pt idx="0">
                  <c:v>NGOs</c:v>
                </c:pt>
              </c:strCache>
            </c:strRef>
          </c:tx>
          <c:invertIfNegative val="0"/>
          <c:cat>
            <c:strRef>
              <c:f>'S30c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likelihood'!$BR$280:$BR$286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2712192"/>
        <c:axId val="182713728"/>
      </c:barChart>
      <c:catAx>
        <c:axId val="1827121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713728"/>
        <c:crosses val="autoZero"/>
        <c:auto val="1"/>
        <c:lblAlgn val="ctr"/>
        <c:lblOffset val="100"/>
        <c:noMultiLvlLbl val="0"/>
      </c:catAx>
      <c:valAx>
        <c:axId val="182713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7121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likelihood'!$AM$99:$AM$105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likelihood'!$AO$99:$AO$105</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9122176"/>
        <c:axId val="139123712"/>
      </c:barChart>
      <c:catAx>
        <c:axId val="13912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9123712"/>
        <c:crosses val="autoZero"/>
        <c:auto val="1"/>
        <c:lblAlgn val="ctr"/>
        <c:lblOffset val="100"/>
        <c:tickLblSkip val="1"/>
        <c:noMultiLvlLbl val="0"/>
      </c:catAx>
      <c:valAx>
        <c:axId val="139123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122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likelihood'!$BM$279</c:f>
              <c:strCache>
                <c:ptCount val="1"/>
                <c:pt idx="0">
                  <c:v>Forest owners/managers</c:v>
                </c:pt>
              </c:strCache>
            </c:strRef>
          </c:tx>
          <c:invertIfNegative val="0"/>
          <c:cat>
            <c:strRef>
              <c:f>'S30c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likelihood'!$BM$280:$BM$286</c:f>
              <c:numCache>
                <c:formatCode>0%</c:formatCode>
                <c:ptCount val="7"/>
                <c:pt idx="0">
                  <c:v>0.16666666666666666</c:v>
                </c:pt>
                <c:pt idx="1">
                  <c:v>0</c:v>
                </c:pt>
                <c:pt idx="2">
                  <c:v>0</c:v>
                </c:pt>
                <c:pt idx="3">
                  <c:v>0</c:v>
                </c:pt>
                <c:pt idx="4">
                  <c:v>0</c:v>
                </c:pt>
                <c:pt idx="5">
                  <c:v>0</c:v>
                </c:pt>
                <c:pt idx="6">
                  <c:v>0</c:v>
                </c:pt>
              </c:numCache>
            </c:numRef>
          </c:val>
        </c:ser>
        <c:ser>
          <c:idx val="1"/>
          <c:order val="1"/>
          <c:tx>
            <c:strRef>
              <c:f>'S30c likelihood'!$BN$279</c:f>
              <c:strCache>
                <c:ptCount val="1"/>
                <c:pt idx="0">
                  <c:v>Pellet producers</c:v>
                </c:pt>
              </c:strCache>
            </c:strRef>
          </c:tx>
          <c:invertIfNegative val="0"/>
          <c:cat>
            <c:strRef>
              <c:f>'S30c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likelihood'!$BN$280:$BN$286</c:f>
              <c:numCache>
                <c:formatCode>0%</c:formatCode>
                <c:ptCount val="7"/>
                <c:pt idx="0">
                  <c:v>0</c:v>
                </c:pt>
                <c:pt idx="1">
                  <c:v>0.16666666666666666</c:v>
                </c:pt>
                <c:pt idx="2">
                  <c:v>0</c:v>
                </c:pt>
                <c:pt idx="3">
                  <c:v>0</c:v>
                </c:pt>
                <c:pt idx="4">
                  <c:v>0</c:v>
                </c:pt>
                <c:pt idx="5">
                  <c:v>0</c:v>
                </c:pt>
                <c:pt idx="6">
                  <c:v>0</c:v>
                </c:pt>
              </c:numCache>
            </c:numRef>
          </c:val>
        </c:ser>
        <c:ser>
          <c:idx val="2"/>
          <c:order val="2"/>
          <c:tx>
            <c:strRef>
              <c:f>'S30c likelihood'!$BO$279</c:f>
              <c:strCache>
                <c:ptCount val="1"/>
                <c:pt idx="0">
                  <c:v>Pellet users</c:v>
                </c:pt>
              </c:strCache>
            </c:strRef>
          </c:tx>
          <c:invertIfNegative val="0"/>
          <c:cat>
            <c:strRef>
              <c:f>'S30c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likelihood'!$BO$280:$BO$286</c:f>
              <c:numCache>
                <c:formatCode>0%</c:formatCode>
                <c:ptCount val="7"/>
                <c:pt idx="0">
                  <c:v>0</c:v>
                </c:pt>
                <c:pt idx="1">
                  <c:v>0.16666666666666666</c:v>
                </c:pt>
                <c:pt idx="2">
                  <c:v>0</c:v>
                </c:pt>
                <c:pt idx="3">
                  <c:v>0</c:v>
                </c:pt>
                <c:pt idx="4">
                  <c:v>0</c:v>
                </c:pt>
                <c:pt idx="5">
                  <c:v>0</c:v>
                </c:pt>
                <c:pt idx="6">
                  <c:v>0</c:v>
                </c:pt>
              </c:numCache>
            </c:numRef>
          </c:val>
        </c:ser>
        <c:ser>
          <c:idx val="3"/>
          <c:order val="3"/>
          <c:tx>
            <c:strRef>
              <c:f>'S30c likelihood'!$BP$279</c:f>
              <c:strCache>
                <c:ptCount val="1"/>
                <c:pt idx="0">
                  <c:v>Non-bioenergy wood users</c:v>
                </c:pt>
              </c:strCache>
            </c:strRef>
          </c:tx>
          <c:invertIfNegative val="0"/>
          <c:cat>
            <c:strRef>
              <c:f>'S30c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likelihood'!$BP$280:$BP$286</c:f>
              <c:numCache>
                <c:formatCode>0%</c:formatCode>
                <c:ptCount val="7"/>
                <c:pt idx="0">
                  <c:v>0</c:v>
                </c:pt>
                <c:pt idx="1">
                  <c:v>0.16666666666666666</c:v>
                </c:pt>
                <c:pt idx="2">
                  <c:v>0</c:v>
                </c:pt>
                <c:pt idx="3">
                  <c:v>0</c:v>
                </c:pt>
                <c:pt idx="4">
                  <c:v>0</c:v>
                </c:pt>
                <c:pt idx="5">
                  <c:v>0</c:v>
                </c:pt>
                <c:pt idx="6">
                  <c:v>0</c:v>
                </c:pt>
              </c:numCache>
            </c:numRef>
          </c:val>
        </c:ser>
        <c:ser>
          <c:idx val="4"/>
          <c:order val="4"/>
          <c:tx>
            <c:strRef>
              <c:f>'S30c likelihood'!$BQ$279</c:f>
              <c:strCache>
                <c:ptCount val="1"/>
                <c:pt idx="0">
                  <c:v>Policy makers and academia</c:v>
                </c:pt>
              </c:strCache>
            </c:strRef>
          </c:tx>
          <c:invertIfNegative val="0"/>
          <c:cat>
            <c:strRef>
              <c:f>'S30c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likelihood'!$BQ$280:$BQ$286</c:f>
              <c:numCache>
                <c:formatCode>0%</c:formatCode>
                <c:ptCount val="7"/>
                <c:pt idx="0">
                  <c:v>0.16666666666666666</c:v>
                </c:pt>
                <c:pt idx="1">
                  <c:v>0</c:v>
                </c:pt>
                <c:pt idx="2">
                  <c:v>0</c:v>
                </c:pt>
                <c:pt idx="3">
                  <c:v>0</c:v>
                </c:pt>
                <c:pt idx="4">
                  <c:v>0</c:v>
                </c:pt>
                <c:pt idx="5">
                  <c:v>0</c:v>
                </c:pt>
                <c:pt idx="6">
                  <c:v>0</c:v>
                </c:pt>
              </c:numCache>
            </c:numRef>
          </c:val>
        </c:ser>
        <c:ser>
          <c:idx val="5"/>
          <c:order val="5"/>
          <c:tx>
            <c:strRef>
              <c:f>'S30c likelihood'!$BR$279</c:f>
              <c:strCache>
                <c:ptCount val="1"/>
                <c:pt idx="0">
                  <c:v>NGOs</c:v>
                </c:pt>
              </c:strCache>
            </c:strRef>
          </c:tx>
          <c:invertIfNegative val="0"/>
          <c:cat>
            <c:strRef>
              <c:f>'S30c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likelihood'!$BR$280:$BR$286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2754304"/>
        <c:axId val="182452992"/>
      </c:barChart>
      <c:catAx>
        <c:axId val="1827543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452992"/>
        <c:crosses val="autoZero"/>
        <c:auto val="1"/>
        <c:lblAlgn val="ctr"/>
        <c:lblOffset val="100"/>
        <c:noMultiLvlLbl val="0"/>
      </c:catAx>
      <c:valAx>
        <c:axId val="18245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754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likelihood'!$DL$279</c:f>
              <c:strCache>
                <c:ptCount val="1"/>
                <c:pt idx="0">
                  <c:v>Forest owners/managers</c:v>
                </c:pt>
              </c:strCache>
            </c:strRef>
          </c:tx>
          <c:invertIfNegative val="0"/>
          <c:cat>
            <c:strRef>
              <c:f>'S30c likelihood'!$DK$280:$DK$284</c:f>
              <c:strCache>
                <c:ptCount val="5"/>
                <c:pt idx="0">
                  <c:v>Definitely not</c:v>
                </c:pt>
                <c:pt idx="1">
                  <c:v>Sometimes</c:v>
                </c:pt>
                <c:pt idx="2">
                  <c:v>Most of the time</c:v>
                </c:pt>
                <c:pt idx="3">
                  <c:v>Yes, always</c:v>
                </c:pt>
                <c:pt idx="4">
                  <c:v>I don’t know</c:v>
                </c:pt>
              </c:strCache>
            </c:strRef>
          </c:cat>
          <c:val>
            <c:numRef>
              <c:f>'S30c likelihood'!$DL$280:$DL$284</c:f>
              <c:numCache>
                <c:formatCode>0%</c:formatCode>
                <c:ptCount val="5"/>
                <c:pt idx="0">
                  <c:v>5.5555555555555552E-2</c:v>
                </c:pt>
                <c:pt idx="1">
                  <c:v>5.5555555555555552E-2</c:v>
                </c:pt>
                <c:pt idx="2">
                  <c:v>5.5555555555555552E-2</c:v>
                </c:pt>
                <c:pt idx="3">
                  <c:v>0</c:v>
                </c:pt>
                <c:pt idx="4">
                  <c:v>0</c:v>
                </c:pt>
              </c:numCache>
            </c:numRef>
          </c:val>
        </c:ser>
        <c:ser>
          <c:idx val="1"/>
          <c:order val="1"/>
          <c:tx>
            <c:strRef>
              <c:f>'S30c likelihood'!$DM$279</c:f>
              <c:strCache>
                <c:ptCount val="1"/>
                <c:pt idx="0">
                  <c:v>Pellet producers</c:v>
                </c:pt>
              </c:strCache>
            </c:strRef>
          </c:tx>
          <c:invertIfNegative val="0"/>
          <c:cat>
            <c:strRef>
              <c:f>'S30c likelihood'!$DK$280:$DK$284</c:f>
              <c:strCache>
                <c:ptCount val="5"/>
                <c:pt idx="0">
                  <c:v>Definitely not</c:v>
                </c:pt>
                <c:pt idx="1">
                  <c:v>Sometimes</c:v>
                </c:pt>
                <c:pt idx="2">
                  <c:v>Most of the time</c:v>
                </c:pt>
                <c:pt idx="3">
                  <c:v>Yes, always</c:v>
                </c:pt>
                <c:pt idx="4">
                  <c:v>I don’t know</c:v>
                </c:pt>
              </c:strCache>
            </c:strRef>
          </c:cat>
          <c:val>
            <c:numRef>
              <c:f>'S30c likelihood'!$DM$280:$DM$284</c:f>
              <c:numCache>
                <c:formatCode>0%</c:formatCode>
                <c:ptCount val="5"/>
                <c:pt idx="0">
                  <c:v>0</c:v>
                </c:pt>
                <c:pt idx="1">
                  <c:v>0</c:v>
                </c:pt>
                <c:pt idx="2">
                  <c:v>0</c:v>
                </c:pt>
                <c:pt idx="3">
                  <c:v>0</c:v>
                </c:pt>
                <c:pt idx="4">
                  <c:v>0</c:v>
                </c:pt>
              </c:numCache>
            </c:numRef>
          </c:val>
        </c:ser>
        <c:ser>
          <c:idx val="2"/>
          <c:order val="2"/>
          <c:tx>
            <c:strRef>
              <c:f>'S30c likelihood'!$DN$279</c:f>
              <c:strCache>
                <c:ptCount val="1"/>
                <c:pt idx="0">
                  <c:v>Pellet users</c:v>
                </c:pt>
              </c:strCache>
            </c:strRef>
          </c:tx>
          <c:invertIfNegative val="0"/>
          <c:cat>
            <c:strRef>
              <c:f>'S30c likelihood'!$DK$280:$DK$284</c:f>
              <c:strCache>
                <c:ptCount val="5"/>
                <c:pt idx="0">
                  <c:v>Definitely not</c:v>
                </c:pt>
                <c:pt idx="1">
                  <c:v>Sometimes</c:v>
                </c:pt>
                <c:pt idx="2">
                  <c:v>Most of the time</c:v>
                </c:pt>
                <c:pt idx="3">
                  <c:v>Yes, always</c:v>
                </c:pt>
                <c:pt idx="4">
                  <c:v>I don’t know</c:v>
                </c:pt>
              </c:strCache>
            </c:strRef>
          </c:cat>
          <c:val>
            <c:numRef>
              <c:f>'S30c likelihood'!$DN$280:$DN$284</c:f>
              <c:numCache>
                <c:formatCode>0%</c:formatCode>
                <c:ptCount val="5"/>
                <c:pt idx="0">
                  <c:v>0</c:v>
                </c:pt>
                <c:pt idx="1">
                  <c:v>0.16666666666666666</c:v>
                </c:pt>
                <c:pt idx="2">
                  <c:v>0</c:v>
                </c:pt>
                <c:pt idx="3">
                  <c:v>0</c:v>
                </c:pt>
                <c:pt idx="4">
                  <c:v>0</c:v>
                </c:pt>
              </c:numCache>
            </c:numRef>
          </c:val>
        </c:ser>
        <c:ser>
          <c:idx val="3"/>
          <c:order val="3"/>
          <c:tx>
            <c:strRef>
              <c:f>'S30c likelihood'!$DO$279</c:f>
              <c:strCache>
                <c:ptCount val="1"/>
                <c:pt idx="0">
                  <c:v>Non-bioenergy wood users</c:v>
                </c:pt>
              </c:strCache>
            </c:strRef>
          </c:tx>
          <c:invertIfNegative val="0"/>
          <c:cat>
            <c:strRef>
              <c:f>'S30c likelihood'!$DK$280:$DK$284</c:f>
              <c:strCache>
                <c:ptCount val="5"/>
                <c:pt idx="0">
                  <c:v>Definitely not</c:v>
                </c:pt>
                <c:pt idx="1">
                  <c:v>Sometimes</c:v>
                </c:pt>
                <c:pt idx="2">
                  <c:v>Most of the time</c:v>
                </c:pt>
                <c:pt idx="3">
                  <c:v>Yes, always</c:v>
                </c:pt>
                <c:pt idx="4">
                  <c:v>I don’t know</c:v>
                </c:pt>
              </c:strCache>
            </c:strRef>
          </c:cat>
          <c:val>
            <c:numRef>
              <c:f>'S30c likelihood'!$DO$280:$DO$284</c:f>
              <c:numCache>
                <c:formatCode>0%</c:formatCode>
                <c:ptCount val="5"/>
                <c:pt idx="0">
                  <c:v>0</c:v>
                </c:pt>
                <c:pt idx="1">
                  <c:v>0</c:v>
                </c:pt>
                <c:pt idx="2">
                  <c:v>0</c:v>
                </c:pt>
                <c:pt idx="3">
                  <c:v>0</c:v>
                </c:pt>
                <c:pt idx="4">
                  <c:v>0</c:v>
                </c:pt>
              </c:numCache>
            </c:numRef>
          </c:val>
        </c:ser>
        <c:ser>
          <c:idx val="4"/>
          <c:order val="4"/>
          <c:tx>
            <c:strRef>
              <c:f>'S30c likelihood'!$DP$279</c:f>
              <c:strCache>
                <c:ptCount val="1"/>
                <c:pt idx="0">
                  <c:v>Policy makers and academia</c:v>
                </c:pt>
              </c:strCache>
            </c:strRef>
          </c:tx>
          <c:invertIfNegative val="0"/>
          <c:cat>
            <c:strRef>
              <c:f>'S30c likelihood'!$DK$280:$DK$284</c:f>
              <c:strCache>
                <c:ptCount val="5"/>
                <c:pt idx="0">
                  <c:v>Definitely not</c:v>
                </c:pt>
                <c:pt idx="1">
                  <c:v>Sometimes</c:v>
                </c:pt>
                <c:pt idx="2">
                  <c:v>Most of the time</c:v>
                </c:pt>
                <c:pt idx="3">
                  <c:v>Yes, always</c:v>
                </c:pt>
                <c:pt idx="4">
                  <c:v>I don’t know</c:v>
                </c:pt>
              </c:strCache>
            </c:strRef>
          </c:cat>
          <c:val>
            <c:numRef>
              <c:f>'S30c likelihood'!$DP$280:$DP$284</c:f>
              <c:numCache>
                <c:formatCode>0%</c:formatCode>
                <c:ptCount val="5"/>
                <c:pt idx="0">
                  <c:v>0</c:v>
                </c:pt>
                <c:pt idx="1">
                  <c:v>0</c:v>
                </c:pt>
                <c:pt idx="2">
                  <c:v>0</c:v>
                </c:pt>
                <c:pt idx="3">
                  <c:v>0</c:v>
                </c:pt>
                <c:pt idx="4">
                  <c:v>0</c:v>
                </c:pt>
              </c:numCache>
            </c:numRef>
          </c:val>
        </c:ser>
        <c:ser>
          <c:idx val="5"/>
          <c:order val="5"/>
          <c:tx>
            <c:strRef>
              <c:f>'S30c likelihood'!$DQ$279</c:f>
              <c:strCache>
                <c:ptCount val="1"/>
                <c:pt idx="0">
                  <c:v>NGOs</c:v>
                </c:pt>
              </c:strCache>
            </c:strRef>
          </c:tx>
          <c:invertIfNegative val="0"/>
          <c:cat>
            <c:strRef>
              <c:f>'S30c likelihood'!$DK$280:$DK$284</c:f>
              <c:strCache>
                <c:ptCount val="5"/>
                <c:pt idx="0">
                  <c:v>Definitely not</c:v>
                </c:pt>
                <c:pt idx="1">
                  <c:v>Sometimes</c:v>
                </c:pt>
                <c:pt idx="2">
                  <c:v>Most of the time</c:v>
                </c:pt>
                <c:pt idx="3">
                  <c:v>Yes, always</c:v>
                </c:pt>
                <c:pt idx="4">
                  <c:v>I don’t know</c:v>
                </c:pt>
              </c:strCache>
            </c:strRef>
          </c:cat>
          <c:val>
            <c:numRef>
              <c:f>'S30c likelihood'!$DQ$280:$DQ$284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82485376"/>
        <c:axId val="182486912"/>
      </c:barChart>
      <c:catAx>
        <c:axId val="182485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486912"/>
        <c:crosses val="autoZero"/>
        <c:auto val="1"/>
        <c:lblAlgn val="ctr"/>
        <c:lblOffset val="100"/>
        <c:noMultiLvlLbl val="0"/>
      </c:catAx>
      <c:valAx>
        <c:axId val="182486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853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likelihood'!$AM$72:$AM$78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likelihood'!$AO$72:$AO$78</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2531584"/>
        <c:axId val="182533120"/>
      </c:barChart>
      <c:catAx>
        <c:axId val="18253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533120"/>
        <c:crosses val="autoZero"/>
        <c:auto val="1"/>
        <c:lblAlgn val="ctr"/>
        <c:lblOffset val="100"/>
        <c:tickLblSkip val="1"/>
        <c:noMultiLvlLbl val="0"/>
      </c:catAx>
      <c:valAx>
        <c:axId val="1825331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531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likelihood'!$AM$99:$AM$105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likelihood'!$AO$99:$AO$105</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2544640"/>
        <c:axId val="182554624"/>
      </c:barChart>
      <c:catAx>
        <c:axId val="18254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554624"/>
        <c:crosses val="autoZero"/>
        <c:auto val="1"/>
        <c:lblAlgn val="ctr"/>
        <c:lblOffset val="100"/>
        <c:tickLblSkip val="1"/>
        <c:noMultiLvlLbl val="0"/>
      </c:catAx>
      <c:valAx>
        <c:axId val="182554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544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likelihood'!$AM$126:$AM$132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likelihood'!$AO$126:$AO$132</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2574464"/>
        <c:axId val="182592640"/>
      </c:barChart>
      <c:catAx>
        <c:axId val="18257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592640"/>
        <c:crosses val="autoZero"/>
        <c:auto val="1"/>
        <c:lblAlgn val="ctr"/>
        <c:lblOffset val="100"/>
        <c:tickLblSkip val="1"/>
        <c:noMultiLvlLbl val="0"/>
      </c:catAx>
      <c:valAx>
        <c:axId val="1825926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574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likelihood'!$AM$153:$AM$159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likelihood'!$AO$153:$AO$159</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2633216"/>
        <c:axId val="182634752"/>
      </c:barChart>
      <c:catAx>
        <c:axId val="18263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2634752"/>
        <c:crosses val="autoZero"/>
        <c:auto val="1"/>
        <c:lblAlgn val="ctr"/>
        <c:lblOffset val="100"/>
        <c:tickLblSkip val="1"/>
        <c:noMultiLvlLbl val="0"/>
      </c:catAx>
      <c:valAx>
        <c:axId val="1826347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633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likelihood'!$AM$180:$AM$186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likelihood'!$AO$180:$AO$186</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3121792"/>
        <c:axId val="183123328"/>
      </c:barChart>
      <c:catAx>
        <c:axId val="18312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123328"/>
        <c:crosses val="autoZero"/>
        <c:auto val="1"/>
        <c:lblAlgn val="ctr"/>
        <c:lblOffset val="100"/>
        <c:tickLblSkip val="1"/>
        <c:noMultiLvlLbl val="0"/>
      </c:catAx>
      <c:valAx>
        <c:axId val="1831233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121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likelihood'!$AM$207:$AM$213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likelihood'!$AO$207:$AO$213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3147520"/>
        <c:axId val="183157504"/>
      </c:barChart>
      <c:catAx>
        <c:axId val="1831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157504"/>
        <c:crosses val="autoZero"/>
        <c:auto val="1"/>
        <c:lblAlgn val="ctr"/>
        <c:lblOffset val="100"/>
        <c:tickLblSkip val="1"/>
        <c:noMultiLvlLbl val="0"/>
      </c:catAx>
      <c:valAx>
        <c:axId val="1831575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147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likelihood'!$AM$234:$AM$240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likelihood'!$AO$234:$AO$240</c:f>
              <c:numCache>
                <c:formatCode>0%</c:formatCode>
                <c:ptCount val="7"/>
                <c:pt idx="0">
                  <c:v>0.66666666666666663</c:v>
                </c:pt>
                <c:pt idx="1">
                  <c:v>0.33333333333333331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2858112"/>
        <c:axId val="182859648"/>
      </c:barChart>
      <c:catAx>
        <c:axId val="18285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859648"/>
        <c:crosses val="autoZero"/>
        <c:auto val="1"/>
        <c:lblAlgn val="ctr"/>
        <c:lblOffset val="100"/>
        <c:tickLblSkip val="1"/>
        <c:noMultiLvlLbl val="0"/>
      </c:catAx>
      <c:valAx>
        <c:axId val="1828596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858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likelihood'!$AI$247</c:f>
              <c:strCache>
                <c:ptCount val="1"/>
                <c:pt idx="0">
                  <c:v>Forest owners/managers</c:v>
                </c:pt>
              </c:strCache>
            </c:strRef>
          </c:tx>
          <c:spPr>
            <a:solidFill>
              <a:schemeClr val="accent1"/>
            </a:solidFill>
            <a:ln>
              <a:noFill/>
            </a:ln>
            <a:effectLst/>
          </c:spPr>
          <c:invertIfNegative val="0"/>
          <c:cat>
            <c:strRef>
              <c:f>'S30c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likelihood'!$AI$248:$AI$254</c:f>
              <c:numCache>
                <c:formatCode>General</c:formatCode>
                <c:ptCount val="7"/>
                <c:pt idx="0">
                  <c:v>2</c:v>
                </c:pt>
                <c:pt idx="1">
                  <c:v>0</c:v>
                </c:pt>
                <c:pt idx="2">
                  <c:v>0</c:v>
                </c:pt>
                <c:pt idx="3">
                  <c:v>0</c:v>
                </c:pt>
                <c:pt idx="4">
                  <c:v>0</c:v>
                </c:pt>
                <c:pt idx="5">
                  <c:v>0</c:v>
                </c:pt>
                <c:pt idx="6">
                  <c:v>0</c:v>
                </c:pt>
              </c:numCache>
            </c:numRef>
          </c:val>
        </c:ser>
        <c:ser>
          <c:idx val="1"/>
          <c:order val="1"/>
          <c:tx>
            <c:strRef>
              <c:f>'S30c likelihood'!$AJ$247</c:f>
              <c:strCache>
                <c:ptCount val="1"/>
                <c:pt idx="0">
                  <c:v>Pellet producers</c:v>
                </c:pt>
              </c:strCache>
            </c:strRef>
          </c:tx>
          <c:spPr>
            <a:solidFill>
              <a:schemeClr val="accent2"/>
            </a:solidFill>
            <a:ln>
              <a:noFill/>
            </a:ln>
            <a:effectLst/>
          </c:spPr>
          <c:invertIfNegative val="0"/>
          <c:cat>
            <c:strRef>
              <c:f>'S30c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likelihood'!$AJ$248:$AJ$254</c:f>
              <c:numCache>
                <c:formatCode>0</c:formatCode>
                <c:ptCount val="7"/>
                <c:pt idx="0">
                  <c:v>0</c:v>
                </c:pt>
                <c:pt idx="1">
                  <c:v>1</c:v>
                </c:pt>
                <c:pt idx="2">
                  <c:v>0</c:v>
                </c:pt>
                <c:pt idx="3">
                  <c:v>0</c:v>
                </c:pt>
                <c:pt idx="4">
                  <c:v>0</c:v>
                </c:pt>
                <c:pt idx="5">
                  <c:v>0</c:v>
                </c:pt>
                <c:pt idx="6">
                  <c:v>0</c:v>
                </c:pt>
              </c:numCache>
            </c:numRef>
          </c:val>
        </c:ser>
        <c:ser>
          <c:idx val="2"/>
          <c:order val="2"/>
          <c:tx>
            <c:strRef>
              <c:f>'S30c likelihood'!$AK$247</c:f>
              <c:strCache>
                <c:ptCount val="1"/>
                <c:pt idx="0">
                  <c:v>Pellet users</c:v>
                </c:pt>
              </c:strCache>
            </c:strRef>
          </c:tx>
          <c:spPr>
            <a:solidFill>
              <a:schemeClr val="accent3"/>
            </a:solidFill>
            <a:ln>
              <a:noFill/>
            </a:ln>
            <a:effectLst/>
          </c:spPr>
          <c:invertIfNegative val="0"/>
          <c:cat>
            <c:strRef>
              <c:f>'S30c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likelihood'!$AK$248:$AK$254</c:f>
              <c:numCache>
                <c:formatCode>General</c:formatCode>
                <c:ptCount val="7"/>
                <c:pt idx="0">
                  <c:v>0</c:v>
                </c:pt>
                <c:pt idx="1">
                  <c:v>1</c:v>
                </c:pt>
                <c:pt idx="2">
                  <c:v>0</c:v>
                </c:pt>
                <c:pt idx="3">
                  <c:v>0</c:v>
                </c:pt>
                <c:pt idx="4">
                  <c:v>0</c:v>
                </c:pt>
                <c:pt idx="5">
                  <c:v>0</c:v>
                </c:pt>
                <c:pt idx="6">
                  <c:v>0</c:v>
                </c:pt>
              </c:numCache>
            </c:numRef>
          </c:val>
        </c:ser>
        <c:ser>
          <c:idx val="3"/>
          <c:order val="3"/>
          <c:tx>
            <c:strRef>
              <c:f>'S30c likelihood'!$AL$247</c:f>
              <c:strCache>
                <c:ptCount val="1"/>
                <c:pt idx="0">
                  <c:v>Non-bioenergy wood users</c:v>
                </c:pt>
              </c:strCache>
            </c:strRef>
          </c:tx>
          <c:spPr>
            <a:solidFill>
              <a:schemeClr val="accent4"/>
            </a:solidFill>
            <a:ln>
              <a:noFill/>
            </a:ln>
            <a:effectLst/>
          </c:spPr>
          <c:invertIfNegative val="0"/>
          <c:cat>
            <c:strRef>
              <c:f>'S30c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likelihood'!$AL$248:$AL$254</c:f>
              <c:numCache>
                <c:formatCode>General</c:formatCode>
                <c:ptCount val="7"/>
                <c:pt idx="0">
                  <c:v>1</c:v>
                </c:pt>
                <c:pt idx="1">
                  <c:v>0</c:v>
                </c:pt>
                <c:pt idx="2">
                  <c:v>0</c:v>
                </c:pt>
                <c:pt idx="3">
                  <c:v>0</c:v>
                </c:pt>
                <c:pt idx="4">
                  <c:v>0</c:v>
                </c:pt>
                <c:pt idx="5">
                  <c:v>0</c:v>
                </c:pt>
                <c:pt idx="6">
                  <c:v>0</c:v>
                </c:pt>
              </c:numCache>
            </c:numRef>
          </c:val>
        </c:ser>
        <c:ser>
          <c:idx val="4"/>
          <c:order val="4"/>
          <c:tx>
            <c:strRef>
              <c:f>'S30c likelihood'!$AM$247</c:f>
              <c:strCache>
                <c:ptCount val="1"/>
                <c:pt idx="0">
                  <c:v>Policy makers and academia</c:v>
                </c:pt>
              </c:strCache>
            </c:strRef>
          </c:tx>
          <c:spPr>
            <a:solidFill>
              <a:schemeClr val="accent5"/>
            </a:solidFill>
            <a:ln>
              <a:noFill/>
            </a:ln>
            <a:effectLst/>
          </c:spPr>
          <c:invertIfNegative val="0"/>
          <c:cat>
            <c:strRef>
              <c:f>'S30c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likelihood'!$AM$248:$AM$254</c:f>
              <c:numCache>
                <c:formatCode>0</c:formatCode>
                <c:ptCount val="7"/>
                <c:pt idx="0">
                  <c:v>1</c:v>
                </c:pt>
                <c:pt idx="1">
                  <c:v>0</c:v>
                </c:pt>
                <c:pt idx="2">
                  <c:v>0</c:v>
                </c:pt>
                <c:pt idx="3">
                  <c:v>0</c:v>
                </c:pt>
                <c:pt idx="4">
                  <c:v>0</c:v>
                </c:pt>
                <c:pt idx="5">
                  <c:v>0</c:v>
                </c:pt>
                <c:pt idx="6">
                  <c:v>0</c:v>
                </c:pt>
              </c:numCache>
            </c:numRef>
          </c:val>
        </c:ser>
        <c:ser>
          <c:idx val="5"/>
          <c:order val="5"/>
          <c:tx>
            <c:strRef>
              <c:f>'S30c likelihood'!$AN$247</c:f>
              <c:strCache>
                <c:ptCount val="1"/>
                <c:pt idx="0">
                  <c:v>NGOs</c:v>
                </c:pt>
              </c:strCache>
            </c:strRef>
          </c:tx>
          <c:spPr>
            <a:solidFill>
              <a:schemeClr val="accent6"/>
            </a:solidFill>
            <a:ln>
              <a:noFill/>
            </a:ln>
            <a:effectLst/>
          </c:spPr>
          <c:invertIfNegative val="0"/>
          <c:cat>
            <c:strRef>
              <c:f>'S30c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likelihood'!$AN$248:$AN$254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2916608"/>
        <c:axId val="182918144"/>
      </c:barChart>
      <c:catAx>
        <c:axId val="18291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918144"/>
        <c:crosses val="autoZero"/>
        <c:auto val="1"/>
        <c:lblAlgn val="ctr"/>
        <c:lblOffset val="100"/>
        <c:noMultiLvlLbl val="0"/>
      </c:catAx>
      <c:valAx>
        <c:axId val="182918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91660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likelihood'!$AM$126:$AM$132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likelihood'!$AO$126:$AO$132</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9131520"/>
        <c:axId val="138678656"/>
      </c:barChart>
      <c:catAx>
        <c:axId val="13913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678656"/>
        <c:crosses val="autoZero"/>
        <c:auto val="1"/>
        <c:lblAlgn val="ctr"/>
        <c:lblOffset val="100"/>
        <c:tickLblSkip val="1"/>
        <c:noMultiLvlLbl val="0"/>
      </c:catAx>
      <c:valAx>
        <c:axId val="1386786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131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likelihood'!$AI$279</c:f>
              <c:strCache>
                <c:ptCount val="1"/>
                <c:pt idx="0">
                  <c:v>Forest owners/managers</c:v>
                </c:pt>
              </c:strCache>
            </c:strRef>
          </c:tx>
          <c:invertIfNegative val="0"/>
          <c:cat>
            <c:strRef>
              <c:f>'S30c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likelihood'!$AI$280:$AI$286</c:f>
              <c:numCache>
                <c:formatCode>0%</c:formatCode>
                <c:ptCount val="7"/>
                <c:pt idx="0">
                  <c:v>0.16666666666666666</c:v>
                </c:pt>
                <c:pt idx="1">
                  <c:v>0</c:v>
                </c:pt>
                <c:pt idx="2">
                  <c:v>0</c:v>
                </c:pt>
                <c:pt idx="3">
                  <c:v>0</c:v>
                </c:pt>
                <c:pt idx="4">
                  <c:v>0</c:v>
                </c:pt>
                <c:pt idx="5">
                  <c:v>0</c:v>
                </c:pt>
                <c:pt idx="6">
                  <c:v>0</c:v>
                </c:pt>
              </c:numCache>
            </c:numRef>
          </c:val>
        </c:ser>
        <c:ser>
          <c:idx val="1"/>
          <c:order val="1"/>
          <c:tx>
            <c:strRef>
              <c:f>'S30c likelihood'!$AJ$279</c:f>
              <c:strCache>
                <c:ptCount val="1"/>
                <c:pt idx="0">
                  <c:v>Pellet producers</c:v>
                </c:pt>
              </c:strCache>
            </c:strRef>
          </c:tx>
          <c:invertIfNegative val="0"/>
          <c:cat>
            <c:strRef>
              <c:f>'S30c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likelihood'!$AJ$280:$AJ$286</c:f>
              <c:numCache>
                <c:formatCode>0%</c:formatCode>
                <c:ptCount val="7"/>
                <c:pt idx="0">
                  <c:v>0</c:v>
                </c:pt>
                <c:pt idx="1">
                  <c:v>0.16666666666666666</c:v>
                </c:pt>
                <c:pt idx="2">
                  <c:v>0</c:v>
                </c:pt>
                <c:pt idx="3">
                  <c:v>0</c:v>
                </c:pt>
                <c:pt idx="4">
                  <c:v>0</c:v>
                </c:pt>
                <c:pt idx="5">
                  <c:v>0</c:v>
                </c:pt>
                <c:pt idx="6">
                  <c:v>0</c:v>
                </c:pt>
              </c:numCache>
            </c:numRef>
          </c:val>
        </c:ser>
        <c:ser>
          <c:idx val="2"/>
          <c:order val="2"/>
          <c:tx>
            <c:strRef>
              <c:f>'S30c likelihood'!$AK$279</c:f>
              <c:strCache>
                <c:ptCount val="1"/>
                <c:pt idx="0">
                  <c:v>Pellet users</c:v>
                </c:pt>
              </c:strCache>
            </c:strRef>
          </c:tx>
          <c:invertIfNegative val="0"/>
          <c:cat>
            <c:strRef>
              <c:f>'S30c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likelihood'!$AK$280:$AK$286</c:f>
              <c:numCache>
                <c:formatCode>0%</c:formatCode>
                <c:ptCount val="7"/>
                <c:pt idx="0">
                  <c:v>0</c:v>
                </c:pt>
                <c:pt idx="1">
                  <c:v>0.16666666666666666</c:v>
                </c:pt>
                <c:pt idx="2">
                  <c:v>0</c:v>
                </c:pt>
                <c:pt idx="3">
                  <c:v>0</c:v>
                </c:pt>
                <c:pt idx="4">
                  <c:v>0</c:v>
                </c:pt>
                <c:pt idx="5">
                  <c:v>0</c:v>
                </c:pt>
                <c:pt idx="6">
                  <c:v>0</c:v>
                </c:pt>
              </c:numCache>
            </c:numRef>
          </c:val>
        </c:ser>
        <c:ser>
          <c:idx val="3"/>
          <c:order val="3"/>
          <c:tx>
            <c:strRef>
              <c:f>'S30c likelihood'!$AL$279</c:f>
              <c:strCache>
                <c:ptCount val="1"/>
                <c:pt idx="0">
                  <c:v>Non-bioenergy wood users</c:v>
                </c:pt>
              </c:strCache>
            </c:strRef>
          </c:tx>
          <c:invertIfNegative val="0"/>
          <c:cat>
            <c:strRef>
              <c:f>'S30c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likelihood'!$AL$280:$AL$286</c:f>
              <c:numCache>
                <c:formatCode>0%</c:formatCode>
                <c:ptCount val="7"/>
                <c:pt idx="0">
                  <c:v>0.16666666666666666</c:v>
                </c:pt>
                <c:pt idx="1">
                  <c:v>0</c:v>
                </c:pt>
                <c:pt idx="2">
                  <c:v>0</c:v>
                </c:pt>
                <c:pt idx="3">
                  <c:v>0</c:v>
                </c:pt>
                <c:pt idx="4">
                  <c:v>0</c:v>
                </c:pt>
                <c:pt idx="5">
                  <c:v>0</c:v>
                </c:pt>
                <c:pt idx="6">
                  <c:v>0</c:v>
                </c:pt>
              </c:numCache>
            </c:numRef>
          </c:val>
        </c:ser>
        <c:ser>
          <c:idx val="4"/>
          <c:order val="4"/>
          <c:tx>
            <c:strRef>
              <c:f>'S30c likelihood'!$AM$279</c:f>
              <c:strCache>
                <c:ptCount val="1"/>
                <c:pt idx="0">
                  <c:v>Policy makers and academia</c:v>
                </c:pt>
              </c:strCache>
            </c:strRef>
          </c:tx>
          <c:invertIfNegative val="0"/>
          <c:cat>
            <c:strRef>
              <c:f>'S30c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likelihood'!$AM$280:$AM$286</c:f>
              <c:numCache>
                <c:formatCode>0%</c:formatCode>
                <c:ptCount val="7"/>
                <c:pt idx="0">
                  <c:v>0.16666666666666666</c:v>
                </c:pt>
                <c:pt idx="1">
                  <c:v>0</c:v>
                </c:pt>
                <c:pt idx="2">
                  <c:v>0</c:v>
                </c:pt>
                <c:pt idx="3">
                  <c:v>0</c:v>
                </c:pt>
                <c:pt idx="4">
                  <c:v>0</c:v>
                </c:pt>
                <c:pt idx="5">
                  <c:v>0</c:v>
                </c:pt>
                <c:pt idx="6">
                  <c:v>0</c:v>
                </c:pt>
              </c:numCache>
            </c:numRef>
          </c:val>
        </c:ser>
        <c:ser>
          <c:idx val="5"/>
          <c:order val="5"/>
          <c:tx>
            <c:strRef>
              <c:f>'S30c likelihood'!$AN$279</c:f>
              <c:strCache>
                <c:ptCount val="1"/>
                <c:pt idx="0">
                  <c:v>NGOs</c:v>
                </c:pt>
              </c:strCache>
            </c:strRef>
          </c:tx>
          <c:invertIfNegative val="0"/>
          <c:cat>
            <c:strRef>
              <c:f>'S30c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likelihood'!$AN$280:$AN$286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2950528"/>
        <c:axId val="182964608"/>
      </c:barChart>
      <c:catAx>
        <c:axId val="18295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2964608"/>
        <c:crosses val="autoZero"/>
        <c:auto val="1"/>
        <c:lblAlgn val="ctr"/>
        <c:lblOffset val="100"/>
        <c:noMultiLvlLbl val="0"/>
      </c:catAx>
      <c:valAx>
        <c:axId val="18296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9505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likelihood'!$AI$279</c:f>
              <c:strCache>
                <c:ptCount val="1"/>
                <c:pt idx="0">
                  <c:v>Forest owners/managers</c:v>
                </c:pt>
              </c:strCache>
            </c:strRef>
          </c:tx>
          <c:invertIfNegative val="0"/>
          <c:cat>
            <c:strRef>
              <c:f>'S30c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likelihood'!$AI$280:$AI$286</c:f>
              <c:numCache>
                <c:formatCode>0%</c:formatCode>
                <c:ptCount val="7"/>
                <c:pt idx="0">
                  <c:v>0.16666666666666666</c:v>
                </c:pt>
                <c:pt idx="1">
                  <c:v>0</c:v>
                </c:pt>
                <c:pt idx="2">
                  <c:v>0</c:v>
                </c:pt>
                <c:pt idx="3">
                  <c:v>0</c:v>
                </c:pt>
                <c:pt idx="4">
                  <c:v>0</c:v>
                </c:pt>
                <c:pt idx="5">
                  <c:v>0</c:v>
                </c:pt>
                <c:pt idx="6">
                  <c:v>0</c:v>
                </c:pt>
              </c:numCache>
            </c:numRef>
          </c:val>
        </c:ser>
        <c:ser>
          <c:idx val="1"/>
          <c:order val="1"/>
          <c:tx>
            <c:strRef>
              <c:f>'S30c likelihood'!$AJ$279</c:f>
              <c:strCache>
                <c:ptCount val="1"/>
                <c:pt idx="0">
                  <c:v>Pellet producers</c:v>
                </c:pt>
              </c:strCache>
            </c:strRef>
          </c:tx>
          <c:invertIfNegative val="0"/>
          <c:cat>
            <c:strRef>
              <c:f>'S30c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likelihood'!$AJ$280:$AJ$286</c:f>
              <c:numCache>
                <c:formatCode>0%</c:formatCode>
                <c:ptCount val="7"/>
                <c:pt idx="0">
                  <c:v>0</c:v>
                </c:pt>
                <c:pt idx="1">
                  <c:v>0.16666666666666666</c:v>
                </c:pt>
                <c:pt idx="2">
                  <c:v>0</c:v>
                </c:pt>
                <c:pt idx="3">
                  <c:v>0</c:v>
                </c:pt>
                <c:pt idx="4">
                  <c:v>0</c:v>
                </c:pt>
                <c:pt idx="5">
                  <c:v>0</c:v>
                </c:pt>
                <c:pt idx="6">
                  <c:v>0</c:v>
                </c:pt>
              </c:numCache>
            </c:numRef>
          </c:val>
        </c:ser>
        <c:ser>
          <c:idx val="2"/>
          <c:order val="2"/>
          <c:tx>
            <c:strRef>
              <c:f>'S30c likelihood'!$AK$279</c:f>
              <c:strCache>
                <c:ptCount val="1"/>
                <c:pt idx="0">
                  <c:v>Pellet users</c:v>
                </c:pt>
              </c:strCache>
            </c:strRef>
          </c:tx>
          <c:invertIfNegative val="0"/>
          <c:cat>
            <c:strRef>
              <c:f>'S30c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likelihood'!$AK$280:$AK$286</c:f>
              <c:numCache>
                <c:formatCode>0%</c:formatCode>
                <c:ptCount val="7"/>
                <c:pt idx="0">
                  <c:v>0</c:v>
                </c:pt>
                <c:pt idx="1">
                  <c:v>0.16666666666666666</c:v>
                </c:pt>
                <c:pt idx="2">
                  <c:v>0</c:v>
                </c:pt>
                <c:pt idx="3">
                  <c:v>0</c:v>
                </c:pt>
                <c:pt idx="4">
                  <c:v>0</c:v>
                </c:pt>
                <c:pt idx="5">
                  <c:v>0</c:v>
                </c:pt>
                <c:pt idx="6">
                  <c:v>0</c:v>
                </c:pt>
              </c:numCache>
            </c:numRef>
          </c:val>
        </c:ser>
        <c:ser>
          <c:idx val="3"/>
          <c:order val="3"/>
          <c:tx>
            <c:strRef>
              <c:f>'S30c likelihood'!$AL$279</c:f>
              <c:strCache>
                <c:ptCount val="1"/>
                <c:pt idx="0">
                  <c:v>Non-bioenergy wood users</c:v>
                </c:pt>
              </c:strCache>
            </c:strRef>
          </c:tx>
          <c:invertIfNegative val="0"/>
          <c:cat>
            <c:strRef>
              <c:f>'S30c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likelihood'!$AL$280:$AL$286</c:f>
              <c:numCache>
                <c:formatCode>0%</c:formatCode>
                <c:ptCount val="7"/>
                <c:pt idx="0">
                  <c:v>0.16666666666666666</c:v>
                </c:pt>
                <c:pt idx="1">
                  <c:v>0</c:v>
                </c:pt>
                <c:pt idx="2">
                  <c:v>0</c:v>
                </c:pt>
                <c:pt idx="3">
                  <c:v>0</c:v>
                </c:pt>
                <c:pt idx="4">
                  <c:v>0</c:v>
                </c:pt>
                <c:pt idx="5">
                  <c:v>0</c:v>
                </c:pt>
                <c:pt idx="6">
                  <c:v>0</c:v>
                </c:pt>
              </c:numCache>
            </c:numRef>
          </c:val>
        </c:ser>
        <c:ser>
          <c:idx val="4"/>
          <c:order val="4"/>
          <c:tx>
            <c:strRef>
              <c:f>'S30c likelihood'!$AM$279</c:f>
              <c:strCache>
                <c:ptCount val="1"/>
                <c:pt idx="0">
                  <c:v>Policy makers and academia</c:v>
                </c:pt>
              </c:strCache>
            </c:strRef>
          </c:tx>
          <c:invertIfNegative val="0"/>
          <c:cat>
            <c:strRef>
              <c:f>'S30c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likelihood'!$AM$280:$AM$286</c:f>
              <c:numCache>
                <c:formatCode>0%</c:formatCode>
                <c:ptCount val="7"/>
                <c:pt idx="0">
                  <c:v>0.16666666666666666</c:v>
                </c:pt>
                <c:pt idx="1">
                  <c:v>0</c:v>
                </c:pt>
                <c:pt idx="2">
                  <c:v>0</c:v>
                </c:pt>
                <c:pt idx="3">
                  <c:v>0</c:v>
                </c:pt>
                <c:pt idx="4">
                  <c:v>0</c:v>
                </c:pt>
                <c:pt idx="5">
                  <c:v>0</c:v>
                </c:pt>
                <c:pt idx="6">
                  <c:v>0</c:v>
                </c:pt>
              </c:numCache>
            </c:numRef>
          </c:val>
        </c:ser>
        <c:ser>
          <c:idx val="5"/>
          <c:order val="5"/>
          <c:tx>
            <c:strRef>
              <c:f>'S30c likelihood'!$AN$279</c:f>
              <c:strCache>
                <c:ptCount val="1"/>
                <c:pt idx="0">
                  <c:v>NGOs</c:v>
                </c:pt>
              </c:strCache>
            </c:strRef>
          </c:tx>
          <c:invertIfNegative val="0"/>
          <c:cat>
            <c:strRef>
              <c:f>'S30c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likelihood'!$AN$280:$AN$286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3083008"/>
        <c:axId val="183084544"/>
      </c:barChart>
      <c:catAx>
        <c:axId val="18308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084544"/>
        <c:crosses val="autoZero"/>
        <c:auto val="1"/>
        <c:lblAlgn val="ctr"/>
        <c:lblOffset val="100"/>
        <c:noMultiLvlLbl val="0"/>
      </c:catAx>
      <c:valAx>
        <c:axId val="183084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0830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likelihood'!$BB$72:$BB$78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likelihood'!$BD$72:$BD$78</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3444608"/>
        <c:axId val="183446144"/>
      </c:barChart>
      <c:catAx>
        <c:axId val="18344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446144"/>
        <c:crosses val="autoZero"/>
        <c:auto val="1"/>
        <c:lblAlgn val="ctr"/>
        <c:lblOffset val="100"/>
        <c:tickLblSkip val="1"/>
        <c:noMultiLvlLbl val="0"/>
      </c:catAx>
      <c:valAx>
        <c:axId val="1834461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444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likelihood'!$BB$99:$BB$105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likelihood'!$BD$99:$BD$105</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3470336"/>
        <c:axId val="183472128"/>
      </c:barChart>
      <c:catAx>
        <c:axId val="18347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472128"/>
        <c:crosses val="autoZero"/>
        <c:auto val="1"/>
        <c:lblAlgn val="ctr"/>
        <c:lblOffset val="100"/>
        <c:tickLblSkip val="1"/>
        <c:noMultiLvlLbl val="0"/>
      </c:catAx>
      <c:valAx>
        <c:axId val="1834721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470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likelihood'!$BB$126:$BB$132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likelihood'!$BD$126:$BD$132</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3479680"/>
        <c:axId val="183190656"/>
      </c:barChart>
      <c:catAx>
        <c:axId val="183479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190656"/>
        <c:crosses val="autoZero"/>
        <c:auto val="1"/>
        <c:lblAlgn val="ctr"/>
        <c:lblOffset val="100"/>
        <c:tickLblSkip val="1"/>
        <c:noMultiLvlLbl val="0"/>
      </c:catAx>
      <c:valAx>
        <c:axId val="1831906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479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likelihood'!$BB$153:$BB$159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likelihood'!$BD$153:$BD$159</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3206656"/>
        <c:axId val="183208192"/>
      </c:barChart>
      <c:catAx>
        <c:axId val="18320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208192"/>
        <c:crosses val="autoZero"/>
        <c:auto val="1"/>
        <c:lblAlgn val="ctr"/>
        <c:lblOffset val="100"/>
        <c:tickLblSkip val="1"/>
        <c:noMultiLvlLbl val="0"/>
      </c:catAx>
      <c:valAx>
        <c:axId val="183208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206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likelihood'!$BB$180:$BB$186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likelihood'!$BD$180:$BD$186</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3236480"/>
        <c:axId val="183238016"/>
      </c:barChart>
      <c:catAx>
        <c:axId val="183236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238016"/>
        <c:crosses val="autoZero"/>
        <c:auto val="1"/>
        <c:lblAlgn val="ctr"/>
        <c:lblOffset val="100"/>
        <c:tickLblSkip val="1"/>
        <c:noMultiLvlLbl val="0"/>
      </c:catAx>
      <c:valAx>
        <c:axId val="183238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236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likelihood'!$BB$207:$BB$213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likelihood'!$BD$207:$BD$213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3319936"/>
        <c:axId val="183350400"/>
      </c:barChart>
      <c:catAx>
        <c:axId val="18331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350400"/>
        <c:crosses val="autoZero"/>
        <c:auto val="1"/>
        <c:lblAlgn val="ctr"/>
        <c:lblOffset val="100"/>
        <c:tickLblSkip val="1"/>
        <c:noMultiLvlLbl val="0"/>
      </c:catAx>
      <c:valAx>
        <c:axId val="1833504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319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likelihood'!$BB$234:$BB$240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likelihood'!$BD$234:$BD$240</c:f>
              <c:numCache>
                <c:formatCode>0%</c:formatCode>
                <c:ptCount val="7"/>
                <c:pt idx="0">
                  <c:v>0.66666666666666663</c:v>
                </c:pt>
                <c:pt idx="1">
                  <c:v>0.33333333333333331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3386880"/>
        <c:axId val="183388416"/>
      </c:barChart>
      <c:catAx>
        <c:axId val="18338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388416"/>
        <c:crosses val="autoZero"/>
        <c:auto val="1"/>
        <c:lblAlgn val="ctr"/>
        <c:lblOffset val="100"/>
        <c:tickLblSkip val="1"/>
        <c:noMultiLvlLbl val="0"/>
      </c:catAx>
      <c:valAx>
        <c:axId val="183388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386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likelihood'!$AX$247</c:f>
              <c:strCache>
                <c:ptCount val="1"/>
                <c:pt idx="0">
                  <c:v>Forest owners/managers</c:v>
                </c:pt>
              </c:strCache>
            </c:strRef>
          </c:tx>
          <c:spPr>
            <a:solidFill>
              <a:schemeClr val="accent1"/>
            </a:solidFill>
            <a:ln>
              <a:noFill/>
            </a:ln>
            <a:effectLst/>
          </c:spPr>
          <c:invertIfNegative val="0"/>
          <c:cat>
            <c:strRef>
              <c:f>'S30c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likelihood'!$AX$248:$AX$254</c:f>
              <c:numCache>
                <c:formatCode>General</c:formatCode>
                <c:ptCount val="7"/>
                <c:pt idx="0">
                  <c:v>2</c:v>
                </c:pt>
                <c:pt idx="1">
                  <c:v>0</c:v>
                </c:pt>
                <c:pt idx="2">
                  <c:v>0</c:v>
                </c:pt>
                <c:pt idx="3">
                  <c:v>0</c:v>
                </c:pt>
                <c:pt idx="4">
                  <c:v>0</c:v>
                </c:pt>
                <c:pt idx="5">
                  <c:v>0</c:v>
                </c:pt>
                <c:pt idx="6">
                  <c:v>0</c:v>
                </c:pt>
              </c:numCache>
            </c:numRef>
          </c:val>
        </c:ser>
        <c:ser>
          <c:idx val="1"/>
          <c:order val="1"/>
          <c:tx>
            <c:strRef>
              <c:f>'S30c likelihood'!$AY$247</c:f>
              <c:strCache>
                <c:ptCount val="1"/>
                <c:pt idx="0">
                  <c:v>Pellet producers</c:v>
                </c:pt>
              </c:strCache>
            </c:strRef>
          </c:tx>
          <c:spPr>
            <a:solidFill>
              <a:schemeClr val="accent2"/>
            </a:solidFill>
            <a:ln>
              <a:noFill/>
            </a:ln>
            <a:effectLst/>
          </c:spPr>
          <c:invertIfNegative val="0"/>
          <c:cat>
            <c:strRef>
              <c:f>'S30c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likelihood'!$AY$248:$AY$254</c:f>
              <c:numCache>
                <c:formatCode>0</c:formatCode>
                <c:ptCount val="7"/>
                <c:pt idx="0">
                  <c:v>0</c:v>
                </c:pt>
                <c:pt idx="1">
                  <c:v>1</c:v>
                </c:pt>
                <c:pt idx="2">
                  <c:v>0</c:v>
                </c:pt>
                <c:pt idx="3">
                  <c:v>0</c:v>
                </c:pt>
                <c:pt idx="4">
                  <c:v>0</c:v>
                </c:pt>
                <c:pt idx="5">
                  <c:v>0</c:v>
                </c:pt>
                <c:pt idx="6">
                  <c:v>0</c:v>
                </c:pt>
              </c:numCache>
            </c:numRef>
          </c:val>
        </c:ser>
        <c:ser>
          <c:idx val="2"/>
          <c:order val="2"/>
          <c:tx>
            <c:strRef>
              <c:f>'S30c likelihood'!$AZ$247</c:f>
              <c:strCache>
                <c:ptCount val="1"/>
                <c:pt idx="0">
                  <c:v>Pellet users</c:v>
                </c:pt>
              </c:strCache>
            </c:strRef>
          </c:tx>
          <c:spPr>
            <a:solidFill>
              <a:schemeClr val="accent3"/>
            </a:solidFill>
            <a:ln>
              <a:noFill/>
            </a:ln>
            <a:effectLst/>
          </c:spPr>
          <c:invertIfNegative val="0"/>
          <c:cat>
            <c:strRef>
              <c:f>'S30c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likelihood'!$AZ$248:$AZ$254</c:f>
              <c:numCache>
                <c:formatCode>General</c:formatCode>
                <c:ptCount val="7"/>
                <c:pt idx="0">
                  <c:v>0</c:v>
                </c:pt>
                <c:pt idx="1">
                  <c:v>1</c:v>
                </c:pt>
                <c:pt idx="2">
                  <c:v>0</c:v>
                </c:pt>
                <c:pt idx="3">
                  <c:v>0</c:v>
                </c:pt>
                <c:pt idx="4">
                  <c:v>0</c:v>
                </c:pt>
                <c:pt idx="5">
                  <c:v>0</c:v>
                </c:pt>
                <c:pt idx="6">
                  <c:v>0</c:v>
                </c:pt>
              </c:numCache>
            </c:numRef>
          </c:val>
        </c:ser>
        <c:ser>
          <c:idx val="3"/>
          <c:order val="3"/>
          <c:tx>
            <c:strRef>
              <c:f>'S30c likelihood'!$BA$247</c:f>
              <c:strCache>
                <c:ptCount val="1"/>
                <c:pt idx="0">
                  <c:v>Non-bioenergy wood users</c:v>
                </c:pt>
              </c:strCache>
            </c:strRef>
          </c:tx>
          <c:spPr>
            <a:solidFill>
              <a:schemeClr val="accent4"/>
            </a:solidFill>
            <a:ln>
              <a:noFill/>
            </a:ln>
            <a:effectLst/>
          </c:spPr>
          <c:invertIfNegative val="0"/>
          <c:cat>
            <c:strRef>
              <c:f>'S30c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likelihood'!$BA$248:$BA$254</c:f>
              <c:numCache>
                <c:formatCode>General</c:formatCode>
                <c:ptCount val="7"/>
                <c:pt idx="0">
                  <c:v>1</c:v>
                </c:pt>
                <c:pt idx="1">
                  <c:v>0</c:v>
                </c:pt>
                <c:pt idx="2">
                  <c:v>0</c:v>
                </c:pt>
                <c:pt idx="3">
                  <c:v>0</c:v>
                </c:pt>
                <c:pt idx="4">
                  <c:v>0</c:v>
                </c:pt>
                <c:pt idx="5">
                  <c:v>0</c:v>
                </c:pt>
                <c:pt idx="6">
                  <c:v>0</c:v>
                </c:pt>
              </c:numCache>
            </c:numRef>
          </c:val>
        </c:ser>
        <c:ser>
          <c:idx val="4"/>
          <c:order val="4"/>
          <c:tx>
            <c:strRef>
              <c:f>'S30c likelihood'!$BB$247</c:f>
              <c:strCache>
                <c:ptCount val="1"/>
                <c:pt idx="0">
                  <c:v>Policy makers and academia</c:v>
                </c:pt>
              </c:strCache>
            </c:strRef>
          </c:tx>
          <c:spPr>
            <a:solidFill>
              <a:schemeClr val="accent5"/>
            </a:solidFill>
            <a:ln>
              <a:noFill/>
            </a:ln>
            <a:effectLst/>
          </c:spPr>
          <c:invertIfNegative val="0"/>
          <c:cat>
            <c:strRef>
              <c:f>'S30c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likelihood'!$BB$248:$BB$254</c:f>
              <c:numCache>
                <c:formatCode>0</c:formatCode>
                <c:ptCount val="7"/>
                <c:pt idx="0">
                  <c:v>1</c:v>
                </c:pt>
                <c:pt idx="1">
                  <c:v>0</c:v>
                </c:pt>
                <c:pt idx="2">
                  <c:v>0</c:v>
                </c:pt>
                <c:pt idx="3">
                  <c:v>0</c:v>
                </c:pt>
                <c:pt idx="4">
                  <c:v>0</c:v>
                </c:pt>
                <c:pt idx="5">
                  <c:v>0</c:v>
                </c:pt>
                <c:pt idx="6">
                  <c:v>0</c:v>
                </c:pt>
              </c:numCache>
            </c:numRef>
          </c:val>
        </c:ser>
        <c:ser>
          <c:idx val="5"/>
          <c:order val="5"/>
          <c:tx>
            <c:strRef>
              <c:f>'S30c likelihood'!$BC$247</c:f>
              <c:strCache>
                <c:ptCount val="1"/>
                <c:pt idx="0">
                  <c:v>NGOs</c:v>
                </c:pt>
              </c:strCache>
            </c:strRef>
          </c:tx>
          <c:spPr>
            <a:solidFill>
              <a:schemeClr val="accent6"/>
            </a:solidFill>
            <a:ln>
              <a:noFill/>
            </a:ln>
            <a:effectLst/>
          </c:spPr>
          <c:invertIfNegative val="0"/>
          <c:cat>
            <c:strRef>
              <c:f>'S30c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likelihood'!$BC$248:$BC$254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3420800"/>
        <c:axId val="183422336"/>
      </c:barChart>
      <c:catAx>
        <c:axId val="18342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422336"/>
        <c:crosses val="autoZero"/>
        <c:auto val="1"/>
        <c:lblAlgn val="ctr"/>
        <c:lblOffset val="100"/>
        <c:noMultiLvlLbl val="0"/>
      </c:catAx>
      <c:valAx>
        <c:axId val="183422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420800"/>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likelihood'!$AM$153:$AM$159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likelihood'!$AO$153:$AO$159</c:f>
              <c:numCache>
                <c:formatCode>0%</c:formatCode>
                <c:ptCount val="7"/>
                <c:pt idx="0">
                  <c:v>0</c:v>
                </c:pt>
                <c:pt idx="1">
                  <c:v>0.5</c:v>
                </c:pt>
                <c:pt idx="2">
                  <c:v>0</c:v>
                </c:pt>
                <c:pt idx="3">
                  <c:v>0</c:v>
                </c:pt>
                <c:pt idx="4">
                  <c:v>0</c:v>
                </c:pt>
                <c:pt idx="5">
                  <c:v>0</c:v>
                </c:pt>
                <c:pt idx="6">
                  <c:v>0.5</c:v>
                </c:pt>
              </c:numCache>
            </c:numRef>
          </c:val>
        </c:ser>
        <c:dLbls>
          <c:showLegendKey val="0"/>
          <c:showVal val="0"/>
          <c:showCatName val="0"/>
          <c:showSerName val="0"/>
          <c:showPercent val="0"/>
          <c:showBubbleSize val="0"/>
        </c:dLbls>
        <c:gapWidth val="219"/>
        <c:overlap val="-27"/>
        <c:axId val="138739712"/>
        <c:axId val="138741248"/>
      </c:barChart>
      <c:catAx>
        <c:axId val="13873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741248"/>
        <c:crosses val="autoZero"/>
        <c:auto val="1"/>
        <c:lblAlgn val="ctr"/>
        <c:lblOffset val="100"/>
        <c:tickLblSkip val="1"/>
        <c:noMultiLvlLbl val="0"/>
      </c:catAx>
      <c:valAx>
        <c:axId val="1387412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739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likelihood'!$AX$279</c:f>
              <c:strCache>
                <c:ptCount val="1"/>
                <c:pt idx="0">
                  <c:v>Forest owners/managers</c:v>
                </c:pt>
              </c:strCache>
            </c:strRef>
          </c:tx>
          <c:invertIfNegative val="0"/>
          <c:cat>
            <c:strRef>
              <c:f>'S30c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likelihood'!$AX$280:$AX$286</c:f>
              <c:numCache>
                <c:formatCode>0%</c:formatCode>
                <c:ptCount val="7"/>
                <c:pt idx="0">
                  <c:v>0.16666666666666666</c:v>
                </c:pt>
                <c:pt idx="1">
                  <c:v>0</c:v>
                </c:pt>
                <c:pt idx="2">
                  <c:v>0</c:v>
                </c:pt>
                <c:pt idx="3">
                  <c:v>0</c:v>
                </c:pt>
                <c:pt idx="4">
                  <c:v>0</c:v>
                </c:pt>
                <c:pt idx="5">
                  <c:v>0</c:v>
                </c:pt>
                <c:pt idx="6">
                  <c:v>0</c:v>
                </c:pt>
              </c:numCache>
            </c:numRef>
          </c:val>
        </c:ser>
        <c:ser>
          <c:idx val="1"/>
          <c:order val="1"/>
          <c:tx>
            <c:strRef>
              <c:f>'S30c likelihood'!$AY$279</c:f>
              <c:strCache>
                <c:ptCount val="1"/>
                <c:pt idx="0">
                  <c:v>Pellet producers</c:v>
                </c:pt>
              </c:strCache>
            </c:strRef>
          </c:tx>
          <c:invertIfNegative val="0"/>
          <c:cat>
            <c:strRef>
              <c:f>'S30c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likelihood'!$AY$280:$AY$286</c:f>
              <c:numCache>
                <c:formatCode>0%</c:formatCode>
                <c:ptCount val="7"/>
                <c:pt idx="0">
                  <c:v>0</c:v>
                </c:pt>
                <c:pt idx="1">
                  <c:v>0.16666666666666666</c:v>
                </c:pt>
                <c:pt idx="2">
                  <c:v>0</c:v>
                </c:pt>
                <c:pt idx="3">
                  <c:v>0</c:v>
                </c:pt>
                <c:pt idx="4">
                  <c:v>0</c:v>
                </c:pt>
                <c:pt idx="5">
                  <c:v>0</c:v>
                </c:pt>
                <c:pt idx="6">
                  <c:v>0</c:v>
                </c:pt>
              </c:numCache>
            </c:numRef>
          </c:val>
        </c:ser>
        <c:ser>
          <c:idx val="2"/>
          <c:order val="2"/>
          <c:tx>
            <c:strRef>
              <c:f>'S30c likelihood'!$AZ$279</c:f>
              <c:strCache>
                <c:ptCount val="1"/>
                <c:pt idx="0">
                  <c:v>Pellet users</c:v>
                </c:pt>
              </c:strCache>
            </c:strRef>
          </c:tx>
          <c:invertIfNegative val="0"/>
          <c:cat>
            <c:strRef>
              <c:f>'S30c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likelihood'!$AZ$280:$AZ$286</c:f>
              <c:numCache>
                <c:formatCode>0%</c:formatCode>
                <c:ptCount val="7"/>
                <c:pt idx="0">
                  <c:v>0</c:v>
                </c:pt>
                <c:pt idx="1">
                  <c:v>0.16666666666666666</c:v>
                </c:pt>
                <c:pt idx="2">
                  <c:v>0</c:v>
                </c:pt>
                <c:pt idx="3">
                  <c:v>0</c:v>
                </c:pt>
                <c:pt idx="4">
                  <c:v>0</c:v>
                </c:pt>
                <c:pt idx="5">
                  <c:v>0</c:v>
                </c:pt>
                <c:pt idx="6">
                  <c:v>0</c:v>
                </c:pt>
              </c:numCache>
            </c:numRef>
          </c:val>
        </c:ser>
        <c:ser>
          <c:idx val="3"/>
          <c:order val="3"/>
          <c:tx>
            <c:strRef>
              <c:f>'S30c likelihood'!$BA$279</c:f>
              <c:strCache>
                <c:ptCount val="1"/>
                <c:pt idx="0">
                  <c:v>Non-bioenergy wood users</c:v>
                </c:pt>
              </c:strCache>
            </c:strRef>
          </c:tx>
          <c:invertIfNegative val="0"/>
          <c:cat>
            <c:strRef>
              <c:f>'S30c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likelihood'!$BA$280:$BA$286</c:f>
              <c:numCache>
                <c:formatCode>0%</c:formatCode>
                <c:ptCount val="7"/>
                <c:pt idx="0">
                  <c:v>0.16666666666666666</c:v>
                </c:pt>
                <c:pt idx="1">
                  <c:v>0</c:v>
                </c:pt>
                <c:pt idx="2">
                  <c:v>0</c:v>
                </c:pt>
                <c:pt idx="3">
                  <c:v>0</c:v>
                </c:pt>
                <c:pt idx="4">
                  <c:v>0</c:v>
                </c:pt>
                <c:pt idx="5">
                  <c:v>0</c:v>
                </c:pt>
                <c:pt idx="6">
                  <c:v>0</c:v>
                </c:pt>
              </c:numCache>
            </c:numRef>
          </c:val>
        </c:ser>
        <c:ser>
          <c:idx val="4"/>
          <c:order val="4"/>
          <c:tx>
            <c:strRef>
              <c:f>'S30c likelihood'!$BB$279</c:f>
              <c:strCache>
                <c:ptCount val="1"/>
                <c:pt idx="0">
                  <c:v>Policy makers and academia</c:v>
                </c:pt>
              </c:strCache>
            </c:strRef>
          </c:tx>
          <c:invertIfNegative val="0"/>
          <c:cat>
            <c:strRef>
              <c:f>'S30c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likelihood'!$BB$280:$BB$286</c:f>
              <c:numCache>
                <c:formatCode>0%</c:formatCode>
                <c:ptCount val="7"/>
                <c:pt idx="0">
                  <c:v>0.16666666666666666</c:v>
                </c:pt>
                <c:pt idx="1">
                  <c:v>0</c:v>
                </c:pt>
                <c:pt idx="2">
                  <c:v>0</c:v>
                </c:pt>
                <c:pt idx="3">
                  <c:v>0</c:v>
                </c:pt>
                <c:pt idx="4">
                  <c:v>0</c:v>
                </c:pt>
                <c:pt idx="5">
                  <c:v>0</c:v>
                </c:pt>
                <c:pt idx="6">
                  <c:v>0</c:v>
                </c:pt>
              </c:numCache>
            </c:numRef>
          </c:val>
        </c:ser>
        <c:ser>
          <c:idx val="5"/>
          <c:order val="5"/>
          <c:tx>
            <c:strRef>
              <c:f>'S30c likelihood'!$BC$279</c:f>
              <c:strCache>
                <c:ptCount val="1"/>
                <c:pt idx="0">
                  <c:v>NGOs</c:v>
                </c:pt>
              </c:strCache>
            </c:strRef>
          </c:tx>
          <c:invertIfNegative val="0"/>
          <c:cat>
            <c:strRef>
              <c:f>'S30c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likelihood'!$BC$280:$BC$286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3806976"/>
        <c:axId val="183821056"/>
      </c:barChart>
      <c:catAx>
        <c:axId val="18380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821056"/>
        <c:crosses val="autoZero"/>
        <c:auto val="1"/>
        <c:lblAlgn val="ctr"/>
        <c:lblOffset val="100"/>
        <c:noMultiLvlLbl val="0"/>
      </c:catAx>
      <c:valAx>
        <c:axId val="183821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06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likelihood'!$AX$279</c:f>
              <c:strCache>
                <c:ptCount val="1"/>
                <c:pt idx="0">
                  <c:v>Forest owners/managers</c:v>
                </c:pt>
              </c:strCache>
            </c:strRef>
          </c:tx>
          <c:invertIfNegative val="0"/>
          <c:cat>
            <c:strRef>
              <c:f>'S30c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likelihood'!$AX$280:$AX$286</c:f>
              <c:numCache>
                <c:formatCode>0%</c:formatCode>
                <c:ptCount val="7"/>
                <c:pt idx="0">
                  <c:v>0.16666666666666666</c:v>
                </c:pt>
                <c:pt idx="1">
                  <c:v>0</c:v>
                </c:pt>
                <c:pt idx="2">
                  <c:v>0</c:v>
                </c:pt>
                <c:pt idx="3">
                  <c:v>0</c:v>
                </c:pt>
                <c:pt idx="4">
                  <c:v>0</c:v>
                </c:pt>
                <c:pt idx="5">
                  <c:v>0</c:v>
                </c:pt>
                <c:pt idx="6">
                  <c:v>0</c:v>
                </c:pt>
              </c:numCache>
            </c:numRef>
          </c:val>
        </c:ser>
        <c:ser>
          <c:idx val="1"/>
          <c:order val="1"/>
          <c:tx>
            <c:strRef>
              <c:f>'S30c likelihood'!$AY$279</c:f>
              <c:strCache>
                <c:ptCount val="1"/>
                <c:pt idx="0">
                  <c:v>Pellet producers</c:v>
                </c:pt>
              </c:strCache>
            </c:strRef>
          </c:tx>
          <c:invertIfNegative val="0"/>
          <c:cat>
            <c:strRef>
              <c:f>'S30c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likelihood'!$AY$280:$AY$286</c:f>
              <c:numCache>
                <c:formatCode>0%</c:formatCode>
                <c:ptCount val="7"/>
                <c:pt idx="0">
                  <c:v>0</c:v>
                </c:pt>
                <c:pt idx="1">
                  <c:v>0.16666666666666666</c:v>
                </c:pt>
                <c:pt idx="2">
                  <c:v>0</c:v>
                </c:pt>
                <c:pt idx="3">
                  <c:v>0</c:v>
                </c:pt>
                <c:pt idx="4">
                  <c:v>0</c:v>
                </c:pt>
                <c:pt idx="5">
                  <c:v>0</c:v>
                </c:pt>
                <c:pt idx="6">
                  <c:v>0</c:v>
                </c:pt>
              </c:numCache>
            </c:numRef>
          </c:val>
        </c:ser>
        <c:ser>
          <c:idx val="2"/>
          <c:order val="2"/>
          <c:tx>
            <c:strRef>
              <c:f>'S30c likelihood'!$AZ$279</c:f>
              <c:strCache>
                <c:ptCount val="1"/>
                <c:pt idx="0">
                  <c:v>Pellet users</c:v>
                </c:pt>
              </c:strCache>
            </c:strRef>
          </c:tx>
          <c:invertIfNegative val="0"/>
          <c:cat>
            <c:strRef>
              <c:f>'S30c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likelihood'!$AZ$280:$AZ$286</c:f>
              <c:numCache>
                <c:formatCode>0%</c:formatCode>
                <c:ptCount val="7"/>
                <c:pt idx="0">
                  <c:v>0</c:v>
                </c:pt>
                <c:pt idx="1">
                  <c:v>0.16666666666666666</c:v>
                </c:pt>
                <c:pt idx="2">
                  <c:v>0</c:v>
                </c:pt>
                <c:pt idx="3">
                  <c:v>0</c:v>
                </c:pt>
                <c:pt idx="4">
                  <c:v>0</c:v>
                </c:pt>
                <c:pt idx="5">
                  <c:v>0</c:v>
                </c:pt>
                <c:pt idx="6">
                  <c:v>0</c:v>
                </c:pt>
              </c:numCache>
            </c:numRef>
          </c:val>
        </c:ser>
        <c:ser>
          <c:idx val="3"/>
          <c:order val="3"/>
          <c:tx>
            <c:strRef>
              <c:f>'S30c likelihood'!$BA$279</c:f>
              <c:strCache>
                <c:ptCount val="1"/>
                <c:pt idx="0">
                  <c:v>Non-bioenergy wood users</c:v>
                </c:pt>
              </c:strCache>
            </c:strRef>
          </c:tx>
          <c:invertIfNegative val="0"/>
          <c:cat>
            <c:strRef>
              <c:f>'S30c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likelihood'!$BA$280:$BA$286</c:f>
              <c:numCache>
                <c:formatCode>0%</c:formatCode>
                <c:ptCount val="7"/>
                <c:pt idx="0">
                  <c:v>0.16666666666666666</c:v>
                </c:pt>
                <c:pt idx="1">
                  <c:v>0</c:v>
                </c:pt>
                <c:pt idx="2">
                  <c:v>0</c:v>
                </c:pt>
                <c:pt idx="3">
                  <c:v>0</c:v>
                </c:pt>
                <c:pt idx="4">
                  <c:v>0</c:v>
                </c:pt>
                <c:pt idx="5">
                  <c:v>0</c:v>
                </c:pt>
                <c:pt idx="6">
                  <c:v>0</c:v>
                </c:pt>
              </c:numCache>
            </c:numRef>
          </c:val>
        </c:ser>
        <c:ser>
          <c:idx val="4"/>
          <c:order val="4"/>
          <c:tx>
            <c:strRef>
              <c:f>'S30c likelihood'!$BB$279</c:f>
              <c:strCache>
                <c:ptCount val="1"/>
                <c:pt idx="0">
                  <c:v>Policy makers and academia</c:v>
                </c:pt>
              </c:strCache>
            </c:strRef>
          </c:tx>
          <c:invertIfNegative val="0"/>
          <c:cat>
            <c:strRef>
              <c:f>'S30c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likelihood'!$BB$280:$BB$286</c:f>
              <c:numCache>
                <c:formatCode>0%</c:formatCode>
                <c:ptCount val="7"/>
                <c:pt idx="0">
                  <c:v>0.16666666666666666</c:v>
                </c:pt>
                <c:pt idx="1">
                  <c:v>0</c:v>
                </c:pt>
                <c:pt idx="2">
                  <c:v>0</c:v>
                </c:pt>
                <c:pt idx="3">
                  <c:v>0</c:v>
                </c:pt>
                <c:pt idx="4">
                  <c:v>0</c:v>
                </c:pt>
                <c:pt idx="5">
                  <c:v>0</c:v>
                </c:pt>
                <c:pt idx="6">
                  <c:v>0</c:v>
                </c:pt>
              </c:numCache>
            </c:numRef>
          </c:val>
        </c:ser>
        <c:ser>
          <c:idx val="5"/>
          <c:order val="5"/>
          <c:tx>
            <c:strRef>
              <c:f>'S30c likelihood'!$BC$279</c:f>
              <c:strCache>
                <c:ptCount val="1"/>
                <c:pt idx="0">
                  <c:v>NGOs</c:v>
                </c:pt>
              </c:strCache>
            </c:strRef>
          </c:tx>
          <c:invertIfNegative val="0"/>
          <c:cat>
            <c:strRef>
              <c:f>'S30c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likelihood'!$BC$280:$BC$286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3611776"/>
        <c:axId val="183613312"/>
      </c:barChart>
      <c:catAx>
        <c:axId val="18361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613312"/>
        <c:crosses val="autoZero"/>
        <c:auto val="1"/>
        <c:lblAlgn val="ctr"/>
        <c:lblOffset val="100"/>
        <c:noMultiLvlLbl val="0"/>
      </c:catAx>
      <c:valAx>
        <c:axId val="183613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6117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likelihood'!$Z$72:$Z$78</c:f>
              <c:numCache>
                <c:formatCode>0%</c:formatCode>
                <c:ptCount val="7"/>
                <c:pt idx="0">
                  <c:v>0.25</c:v>
                </c:pt>
                <c:pt idx="1">
                  <c:v>0</c:v>
                </c:pt>
                <c:pt idx="2">
                  <c:v>0</c:v>
                </c:pt>
                <c:pt idx="3">
                  <c:v>0</c:v>
                </c:pt>
                <c:pt idx="4">
                  <c:v>0</c:v>
                </c:pt>
                <c:pt idx="5">
                  <c:v>0</c:v>
                </c:pt>
                <c:pt idx="6">
                  <c:v>0.75</c:v>
                </c:pt>
              </c:numCache>
            </c:numRef>
          </c:val>
        </c:ser>
        <c:dLbls>
          <c:showLegendKey val="0"/>
          <c:showVal val="0"/>
          <c:showCatName val="0"/>
          <c:showSerName val="0"/>
          <c:showPercent val="0"/>
          <c:showBubbleSize val="0"/>
        </c:dLbls>
        <c:gapWidth val="219"/>
        <c:overlap val="-27"/>
        <c:axId val="183641600"/>
        <c:axId val="183643136"/>
      </c:barChart>
      <c:catAx>
        <c:axId val="183641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643136"/>
        <c:crosses val="autoZero"/>
        <c:auto val="1"/>
        <c:lblAlgn val="ctr"/>
        <c:lblOffset val="100"/>
        <c:tickLblSkip val="1"/>
        <c:noMultiLvlLbl val="0"/>
      </c:catAx>
      <c:valAx>
        <c:axId val="1836431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641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likelihood'!$Z$99:$Z$105</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3667328"/>
        <c:axId val="183689600"/>
      </c:barChart>
      <c:catAx>
        <c:axId val="18366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689600"/>
        <c:crosses val="autoZero"/>
        <c:auto val="1"/>
        <c:lblAlgn val="ctr"/>
        <c:lblOffset val="100"/>
        <c:tickLblSkip val="1"/>
        <c:noMultiLvlLbl val="0"/>
      </c:catAx>
      <c:valAx>
        <c:axId val="1836896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667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likelihood'!$Z$126:$Z$132</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3705600"/>
        <c:axId val="183707136"/>
      </c:barChart>
      <c:catAx>
        <c:axId val="18370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707136"/>
        <c:crosses val="autoZero"/>
        <c:auto val="1"/>
        <c:lblAlgn val="ctr"/>
        <c:lblOffset val="100"/>
        <c:tickLblSkip val="1"/>
        <c:noMultiLvlLbl val="0"/>
      </c:catAx>
      <c:valAx>
        <c:axId val="1837071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705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likelihood'!$Z$153:$Z$159</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3739520"/>
        <c:axId val="183741056"/>
      </c:barChart>
      <c:catAx>
        <c:axId val="18373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741056"/>
        <c:crosses val="autoZero"/>
        <c:auto val="1"/>
        <c:lblAlgn val="ctr"/>
        <c:lblOffset val="100"/>
        <c:tickLblSkip val="1"/>
        <c:noMultiLvlLbl val="0"/>
      </c:catAx>
      <c:valAx>
        <c:axId val="1837410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73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likelihood'!$Z$180:$Z$186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3752960"/>
        <c:axId val="183894016"/>
      </c:barChart>
      <c:catAx>
        <c:axId val="18375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3894016"/>
        <c:crosses val="autoZero"/>
        <c:auto val="1"/>
        <c:lblAlgn val="ctr"/>
        <c:lblOffset val="100"/>
        <c:tickLblSkip val="1"/>
        <c:noMultiLvlLbl val="0"/>
      </c:catAx>
      <c:valAx>
        <c:axId val="183894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752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likelihood'!$Z$207:$Z$213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3929856"/>
        <c:axId val="183931648"/>
      </c:barChart>
      <c:catAx>
        <c:axId val="18392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931648"/>
        <c:crosses val="autoZero"/>
        <c:auto val="1"/>
        <c:lblAlgn val="ctr"/>
        <c:lblOffset val="100"/>
        <c:tickLblSkip val="1"/>
        <c:noMultiLvlLbl val="0"/>
      </c:catAx>
      <c:valAx>
        <c:axId val="1839316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929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likelihood'!$Z$234:$Z$240</c:f>
              <c:numCache>
                <c:formatCode>0%</c:formatCode>
                <c:ptCount val="7"/>
                <c:pt idx="0">
                  <c:v>0.2</c:v>
                </c:pt>
                <c:pt idx="1">
                  <c:v>0.2</c:v>
                </c:pt>
                <c:pt idx="2">
                  <c:v>0</c:v>
                </c:pt>
                <c:pt idx="3">
                  <c:v>0</c:v>
                </c:pt>
                <c:pt idx="4">
                  <c:v>0</c:v>
                </c:pt>
                <c:pt idx="5">
                  <c:v>0</c:v>
                </c:pt>
                <c:pt idx="6">
                  <c:v>0.6</c:v>
                </c:pt>
              </c:numCache>
            </c:numRef>
          </c:val>
        </c:ser>
        <c:dLbls>
          <c:showLegendKey val="0"/>
          <c:showVal val="0"/>
          <c:showCatName val="0"/>
          <c:showSerName val="0"/>
          <c:showPercent val="0"/>
          <c:showBubbleSize val="0"/>
        </c:dLbls>
        <c:gapWidth val="219"/>
        <c:overlap val="-27"/>
        <c:axId val="183968128"/>
        <c:axId val="183969664"/>
      </c:barChart>
      <c:catAx>
        <c:axId val="18396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3969664"/>
        <c:crosses val="autoZero"/>
        <c:auto val="1"/>
        <c:lblAlgn val="ctr"/>
        <c:lblOffset val="100"/>
        <c:tickLblSkip val="1"/>
        <c:noMultiLvlLbl val="0"/>
      </c:catAx>
      <c:valAx>
        <c:axId val="1839696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968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likelihood'!$T$247</c:f>
              <c:strCache>
                <c:ptCount val="1"/>
                <c:pt idx="0">
                  <c:v>Forest owners/managers</c:v>
                </c:pt>
              </c:strCache>
            </c:strRef>
          </c:tx>
          <c:spPr>
            <a:solidFill>
              <a:schemeClr val="accent1"/>
            </a:solidFill>
            <a:ln>
              <a:noFill/>
            </a:ln>
            <a:effectLst/>
          </c:spPr>
          <c:invertIfNegative val="0"/>
          <c:cat>
            <c:strRef>
              <c:f>'S30c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likelihood'!$T$248:$T$254</c:f>
              <c:numCache>
                <c:formatCode>General</c:formatCode>
                <c:ptCount val="7"/>
                <c:pt idx="0">
                  <c:v>1</c:v>
                </c:pt>
                <c:pt idx="1">
                  <c:v>0</c:v>
                </c:pt>
                <c:pt idx="2">
                  <c:v>0</c:v>
                </c:pt>
                <c:pt idx="3">
                  <c:v>0</c:v>
                </c:pt>
                <c:pt idx="4">
                  <c:v>0</c:v>
                </c:pt>
                <c:pt idx="5">
                  <c:v>0</c:v>
                </c:pt>
                <c:pt idx="6">
                  <c:v>3</c:v>
                </c:pt>
              </c:numCache>
            </c:numRef>
          </c:val>
        </c:ser>
        <c:ser>
          <c:idx val="1"/>
          <c:order val="1"/>
          <c:tx>
            <c:strRef>
              <c:f>'S30c likelihood'!$U$247</c:f>
              <c:strCache>
                <c:ptCount val="1"/>
                <c:pt idx="0">
                  <c:v>Pellet producers</c:v>
                </c:pt>
              </c:strCache>
            </c:strRef>
          </c:tx>
          <c:spPr>
            <a:solidFill>
              <a:schemeClr val="accent2"/>
            </a:solidFill>
            <a:ln>
              <a:noFill/>
            </a:ln>
            <a:effectLst/>
          </c:spPr>
          <c:invertIfNegative val="0"/>
          <c:cat>
            <c:strRef>
              <c:f>'S30c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likelihood'!$U$248:$U$254</c:f>
              <c:numCache>
                <c:formatCode>0</c:formatCode>
                <c:ptCount val="7"/>
                <c:pt idx="0">
                  <c:v>0</c:v>
                </c:pt>
                <c:pt idx="1">
                  <c:v>0</c:v>
                </c:pt>
                <c:pt idx="2">
                  <c:v>0</c:v>
                </c:pt>
                <c:pt idx="3">
                  <c:v>0</c:v>
                </c:pt>
                <c:pt idx="4">
                  <c:v>0</c:v>
                </c:pt>
                <c:pt idx="5">
                  <c:v>0</c:v>
                </c:pt>
                <c:pt idx="6">
                  <c:v>0</c:v>
                </c:pt>
              </c:numCache>
            </c:numRef>
          </c:val>
        </c:ser>
        <c:ser>
          <c:idx val="2"/>
          <c:order val="2"/>
          <c:tx>
            <c:strRef>
              <c:f>'S30c likelihood'!$V$247</c:f>
              <c:strCache>
                <c:ptCount val="1"/>
                <c:pt idx="0">
                  <c:v>Pellet users</c:v>
                </c:pt>
              </c:strCache>
            </c:strRef>
          </c:tx>
          <c:spPr>
            <a:solidFill>
              <a:schemeClr val="accent3"/>
            </a:solidFill>
            <a:ln>
              <a:noFill/>
            </a:ln>
            <a:effectLst/>
          </c:spPr>
          <c:invertIfNegative val="0"/>
          <c:cat>
            <c:strRef>
              <c:f>'S30c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likelihood'!$V$248:$V$254</c:f>
              <c:numCache>
                <c:formatCode>General</c:formatCode>
                <c:ptCount val="7"/>
                <c:pt idx="0">
                  <c:v>0</c:v>
                </c:pt>
                <c:pt idx="1">
                  <c:v>1</c:v>
                </c:pt>
                <c:pt idx="2">
                  <c:v>0</c:v>
                </c:pt>
                <c:pt idx="3">
                  <c:v>0</c:v>
                </c:pt>
                <c:pt idx="4">
                  <c:v>0</c:v>
                </c:pt>
                <c:pt idx="5">
                  <c:v>0</c:v>
                </c:pt>
                <c:pt idx="6">
                  <c:v>0</c:v>
                </c:pt>
              </c:numCache>
            </c:numRef>
          </c:val>
        </c:ser>
        <c:ser>
          <c:idx val="3"/>
          <c:order val="3"/>
          <c:tx>
            <c:strRef>
              <c:f>'S30c likelihood'!$W$247</c:f>
              <c:strCache>
                <c:ptCount val="1"/>
                <c:pt idx="0">
                  <c:v>Non-bioenergy wood users</c:v>
                </c:pt>
              </c:strCache>
            </c:strRef>
          </c:tx>
          <c:spPr>
            <a:solidFill>
              <a:schemeClr val="accent4"/>
            </a:solidFill>
            <a:ln>
              <a:noFill/>
            </a:ln>
            <a:effectLst/>
          </c:spPr>
          <c:invertIfNegative val="0"/>
          <c:cat>
            <c:strRef>
              <c:f>'S30c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likelihood'!$W$248:$W$254</c:f>
              <c:numCache>
                <c:formatCode>General</c:formatCode>
                <c:ptCount val="7"/>
                <c:pt idx="0">
                  <c:v>0</c:v>
                </c:pt>
                <c:pt idx="1">
                  <c:v>0</c:v>
                </c:pt>
                <c:pt idx="2">
                  <c:v>0</c:v>
                </c:pt>
                <c:pt idx="3">
                  <c:v>0</c:v>
                </c:pt>
                <c:pt idx="4">
                  <c:v>0</c:v>
                </c:pt>
                <c:pt idx="5">
                  <c:v>0</c:v>
                </c:pt>
                <c:pt idx="6">
                  <c:v>0</c:v>
                </c:pt>
              </c:numCache>
            </c:numRef>
          </c:val>
        </c:ser>
        <c:ser>
          <c:idx val="4"/>
          <c:order val="4"/>
          <c:tx>
            <c:strRef>
              <c:f>'S30c likelihood'!$X$247</c:f>
              <c:strCache>
                <c:ptCount val="1"/>
                <c:pt idx="0">
                  <c:v>Policy makers and academia</c:v>
                </c:pt>
              </c:strCache>
            </c:strRef>
          </c:tx>
          <c:spPr>
            <a:solidFill>
              <a:schemeClr val="accent5"/>
            </a:solidFill>
            <a:ln>
              <a:noFill/>
            </a:ln>
            <a:effectLst/>
          </c:spPr>
          <c:invertIfNegative val="0"/>
          <c:cat>
            <c:strRef>
              <c:f>'S30c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likelihood'!$X$248:$X$254</c:f>
              <c:numCache>
                <c:formatCode>0</c:formatCode>
                <c:ptCount val="7"/>
                <c:pt idx="0">
                  <c:v>0</c:v>
                </c:pt>
                <c:pt idx="1">
                  <c:v>0</c:v>
                </c:pt>
                <c:pt idx="2">
                  <c:v>0</c:v>
                </c:pt>
                <c:pt idx="3">
                  <c:v>0</c:v>
                </c:pt>
                <c:pt idx="4">
                  <c:v>0</c:v>
                </c:pt>
                <c:pt idx="5">
                  <c:v>0</c:v>
                </c:pt>
                <c:pt idx="6">
                  <c:v>0</c:v>
                </c:pt>
              </c:numCache>
            </c:numRef>
          </c:val>
        </c:ser>
        <c:ser>
          <c:idx val="5"/>
          <c:order val="5"/>
          <c:tx>
            <c:strRef>
              <c:f>'S30c likelihood'!$Y$247</c:f>
              <c:strCache>
                <c:ptCount val="1"/>
                <c:pt idx="0">
                  <c:v>NGOs</c:v>
                </c:pt>
              </c:strCache>
            </c:strRef>
          </c:tx>
          <c:spPr>
            <a:solidFill>
              <a:schemeClr val="accent6"/>
            </a:solidFill>
            <a:ln>
              <a:noFill/>
            </a:ln>
            <a:effectLst/>
          </c:spPr>
          <c:invertIfNegative val="0"/>
          <c:cat>
            <c:strRef>
              <c:f>'S30c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likelihood'!$Y$248:$Y$254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4014336"/>
        <c:axId val="184015872"/>
      </c:barChart>
      <c:catAx>
        <c:axId val="18401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4015872"/>
        <c:crosses val="autoZero"/>
        <c:auto val="1"/>
        <c:lblAlgn val="ctr"/>
        <c:lblOffset val="100"/>
        <c:noMultiLvlLbl val="0"/>
      </c:catAx>
      <c:valAx>
        <c:axId val="184015872"/>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014336"/>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likelihood'!$AM$180:$AM$186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likelihood'!$AO$180:$AO$186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8761344"/>
        <c:axId val="138762880"/>
      </c:barChart>
      <c:catAx>
        <c:axId val="13876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762880"/>
        <c:crosses val="autoZero"/>
        <c:auto val="1"/>
        <c:lblAlgn val="ctr"/>
        <c:lblOffset val="100"/>
        <c:tickLblSkip val="1"/>
        <c:noMultiLvlLbl val="0"/>
      </c:catAx>
      <c:valAx>
        <c:axId val="1387628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761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likelihood'!$T$279</c:f>
              <c:strCache>
                <c:ptCount val="1"/>
                <c:pt idx="0">
                  <c:v>Forest owners/managers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likelihood'!$T$280:$T$286</c:f>
              <c:numCache>
                <c:formatCode>0%</c:formatCode>
                <c:ptCount val="7"/>
                <c:pt idx="0">
                  <c:v>4.1666666666666664E-2</c:v>
                </c:pt>
                <c:pt idx="1">
                  <c:v>0</c:v>
                </c:pt>
                <c:pt idx="2">
                  <c:v>0</c:v>
                </c:pt>
                <c:pt idx="3">
                  <c:v>0</c:v>
                </c:pt>
                <c:pt idx="4">
                  <c:v>0</c:v>
                </c:pt>
                <c:pt idx="5">
                  <c:v>0</c:v>
                </c:pt>
                <c:pt idx="6">
                  <c:v>0.125</c:v>
                </c:pt>
              </c:numCache>
            </c:numRef>
          </c:val>
        </c:ser>
        <c:ser>
          <c:idx val="1"/>
          <c:order val="1"/>
          <c:tx>
            <c:strRef>
              <c:f>'S30c likelihood'!$U$279</c:f>
              <c:strCache>
                <c:ptCount val="1"/>
                <c:pt idx="0">
                  <c:v>Pellet producers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likelihood'!$U$280:$U$286</c:f>
              <c:numCache>
                <c:formatCode>0%</c:formatCode>
                <c:ptCount val="7"/>
                <c:pt idx="0">
                  <c:v>0</c:v>
                </c:pt>
                <c:pt idx="1">
                  <c:v>0</c:v>
                </c:pt>
                <c:pt idx="2">
                  <c:v>0</c:v>
                </c:pt>
                <c:pt idx="3">
                  <c:v>0</c:v>
                </c:pt>
                <c:pt idx="4">
                  <c:v>0</c:v>
                </c:pt>
                <c:pt idx="5">
                  <c:v>0</c:v>
                </c:pt>
                <c:pt idx="6">
                  <c:v>0</c:v>
                </c:pt>
              </c:numCache>
            </c:numRef>
          </c:val>
        </c:ser>
        <c:ser>
          <c:idx val="2"/>
          <c:order val="2"/>
          <c:tx>
            <c:strRef>
              <c:f>'S30c likelihood'!$V$279</c:f>
              <c:strCache>
                <c:ptCount val="1"/>
                <c:pt idx="0">
                  <c:v>Pellet users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likelihood'!$V$280:$V$286</c:f>
              <c:numCache>
                <c:formatCode>0%</c:formatCode>
                <c:ptCount val="7"/>
                <c:pt idx="0">
                  <c:v>0</c:v>
                </c:pt>
                <c:pt idx="1">
                  <c:v>0.16666666666666666</c:v>
                </c:pt>
                <c:pt idx="2">
                  <c:v>0</c:v>
                </c:pt>
                <c:pt idx="3">
                  <c:v>0</c:v>
                </c:pt>
                <c:pt idx="4">
                  <c:v>0</c:v>
                </c:pt>
                <c:pt idx="5">
                  <c:v>0</c:v>
                </c:pt>
                <c:pt idx="6">
                  <c:v>0</c:v>
                </c:pt>
              </c:numCache>
            </c:numRef>
          </c:val>
        </c:ser>
        <c:ser>
          <c:idx val="3"/>
          <c:order val="3"/>
          <c:tx>
            <c:strRef>
              <c:f>'S30c likelihood'!$W$279</c:f>
              <c:strCache>
                <c:ptCount val="1"/>
                <c:pt idx="0">
                  <c:v>Non-bioenergy wood users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likelihood'!$W$280:$W$286</c:f>
              <c:numCache>
                <c:formatCode>0%</c:formatCode>
                <c:ptCount val="7"/>
                <c:pt idx="0">
                  <c:v>0</c:v>
                </c:pt>
                <c:pt idx="1">
                  <c:v>0</c:v>
                </c:pt>
                <c:pt idx="2">
                  <c:v>0</c:v>
                </c:pt>
                <c:pt idx="3">
                  <c:v>0</c:v>
                </c:pt>
                <c:pt idx="4">
                  <c:v>0</c:v>
                </c:pt>
                <c:pt idx="5">
                  <c:v>0</c:v>
                </c:pt>
                <c:pt idx="6">
                  <c:v>0</c:v>
                </c:pt>
              </c:numCache>
            </c:numRef>
          </c:val>
        </c:ser>
        <c:ser>
          <c:idx val="4"/>
          <c:order val="4"/>
          <c:tx>
            <c:strRef>
              <c:f>'S30c likelihood'!$X$279</c:f>
              <c:strCache>
                <c:ptCount val="1"/>
                <c:pt idx="0">
                  <c:v>Policy makers and academia</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likelihood'!$X$280:$X$286</c:f>
              <c:numCache>
                <c:formatCode>0%</c:formatCode>
                <c:ptCount val="7"/>
                <c:pt idx="0">
                  <c:v>0</c:v>
                </c:pt>
                <c:pt idx="1">
                  <c:v>0</c:v>
                </c:pt>
                <c:pt idx="2">
                  <c:v>0</c:v>
                </c:pt>
                <c:pt idx="3">
                  <c:v>0</c:v>
                </c:pt>
                <c:pt idx="4">
                  <c:v>0</c:v>
                </c:pt>
                <c:pt idx="5">
                  <c:v>0</c:v>
                </c:pt>
                <c:pt idx="6">
                  <c:v>0</c:v>
                </c:pt>
              </c:numCache>
            </c:numRef>
          </c:val>
        </c:ser>
        <c:ser>
          <c:idx val="5"/>
          <c:order val="5"/>
          <c:tx>
            <c:strRef>
              <c:f>'S30c likelihood'!$Y$279</c:f>
              <c:strCache>
                <c:ptCount val="1"/>
                <c:pt idx="0">
                  <c:v>NGOs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likelihood'!$Y$280:$Y$286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4068736"/>
        <c:axId val="184078720"/>
      </c:barChart>
      <c:catAx>
        <c:axId val="184068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4078720"/>
        <c:crosses val="autoZero"/>
        <c:auto val="1"/>
        <c:lblAlgn val="ctr"/>
        <c:lblOffset val="100"/>
        <c:noMultiLvlLbl val="0"/>
      </c:catAx>
      <c:valAx>
        <c:axId val="184078720"/>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068736"/>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likelihood'!$T$279</c:f>
              <c:strCache>
                <c:ptCount val="1"/>
                <c:pt idx="0">
                  <c:v>Forest owners/managers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likelihood'!$T$280:$T$286</c:f>
              <c:numCache>
                <c:formatCode>0%</c:formatCode>
                <c:ptCount val="7"/>
                <c:pt idx="0">
                  <c:v>4.1666666666666664E-2</c:v>
                </c:pt>
                <c:pt idx="1">
                  <c:v>0</c:v>
                </c:pt>
                <c:pt idx="2">
                  <c:v>0</c:v>
                </c:pt>
                <c:pt idx="3">
                  <c:v>0</c:v>
                </c:pt>
                <c:pt idx="4">
                  <c:v>0</c:v>
                </c:pt>
                <c:pt idx="5">
                  <c:v>0</c:v>
                </c:pt>
                <c:pt idx="6">
                  <c:v>0.125</c:v>
                </c:pt>
              </c:numCache>
            </c:numRef>
          </c:val>
        </c:ser>
        <c:ser>
          <c:idx val="1"/>
          <c:order val="1"/>
          <c:tx>
            <c:strRef>
              <c:f>'S30c likelihood'!$U$279</c:f>
              <c:strCache>
                <c:ptCount val="1"/>
                <c:pt idx="0">
                  <c:v>Pellet producers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likelihood'!$U$280:$U$286</c:f>
              <c:numCache>
                <c:formatCode>0%</c:formatCode>
                <c:ptCount val="7"/>
                <c:pt idx="0">
                  <c:v>0</c:v>
                </c:pt>
                <c:pt idx="1">
                  <c:v>0</c:v>
                </c:pt>
                <c:pt idx="2">
                  <c:v>0</c:v>
                </c:pt>
                <c:pt idx="3">
                  <c:v>0</c:v>
                </c:pt>
                <c:pt idx="4">
                  <c:v>0</c:v>
                </c:pt>
                <c:pt idx="5">
                  <c:v>0</c:v>
                </c:pt>
                <c:pt idx="6">
                  <c:v>0</c:v>
                </c:pt>
              </c:numCache>
            </c:numRef>
          </c:val>
        </c:ser>
        <c:ser>
          <c:idx val="2"/>
          <c:order val="2"/>
          <c:tx>
            <c:strRef>
              <c:f>'S30c likelihood'!$V$279</c:f>
              <c:strCache>
                <c:ptCount val="1"/>
                <c:pt idx="0">
                  <c:v>Pellet users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likelihood'!$V$280:$V$286</c:f>
              <c:numCache>
                <c:formatCode>0%</c:formatCode>
                <c:ptCount val="7"/>
                <c:pt idx="0">
                  <c:v>0</c:v>
                </c:pt>
                <c:pt idx="1">
                  <c:v>0.16666666666666666</c:v>
                </c:pt>
                <c:pt idx="2">
                  <c:v>0</c:v>
                </c:pt>
                <c:pt idx="3">
                  <c:v>0</c:v>
                </c:pt>
                <c:pt idx="4">
                  <c:v>0</c:v>
                </c:pt>
                <c:pt idx="5">
                  <c:v>0</c:v>
                </c:pt>
                <c:pt idx="6">
                  <c:v>0</c:v>
                </c:pt>
              </c:numCache>
            </c:numRef>
          </c:val>
        </c:ser>
        <c:ser>
          <c:idx val="3"/>
          <c:order val="3"/>
          <c:tx>
            <c:strRef>
              <c:f>'S30c likelihood'!$W$279</c:f>
              <c:strCache>
                <c:ptCount val="1"/>
                <c:pt idx="0">
                  <c:v>Non-bioenergy wood users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likelihood'!$W$280:$W$286</c:f>
              <c:numCache>
                <c:formatCode>0%</c:formatCode>
                <c:ptCount val="7"/>
                <c:pt idx="0">
                  <c:v>0</c:v>
                </c:pt>
                <c:pt idx="1">
                  <c:v>0</c:v>
                </c:pt>
                <c:pt idx="2">
                  <c:v>0</c:v>
                </c:pt>
                <c:pt idx="3">
                  <c:v>0</c:v>
                </c:pt>
                <c:pt idx="4">
                  <c:v>0</c:v>
                </c:pt>
                <c:pt idx="5">
                  <c:v>0</c:v>
                </c:pt>
                <c:pt idx="6">
                  <c:v>0</c:v>
                </c:pt>
              </c:numCache>
            </c:numRef>
          </c:val>
        </c:ser>
        <c:ser>
          <c:idx val="4"/>
          <c:order val="4"/>
          <c:tx>
            <c:strRef>
              <c:f>'S30c likelihood'!$X$279</c:f>
              <c:strCache>
                <c:ptCount val="1"/>
                <c:pt idx="0">
                  <c:v>Policy makers and academia</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likelihood'!$X$280:$X$286</c:f>
              <c:numCache>
                <c:formatCode>0%</c:formatCode>
                <c:ptCount val="7"/>
                <c:pt idx="0">
                  <c:v>0</c:v>
                </c:pt>
                <c:pt idx="1">
                  <c:v>0</c:v>
                </c:pt>
                <c:pt idx="2">
                  <c:v>0</c:v>
                </c:pt>
                <c:pt idx="3">
                  <c:v>0</c:v>
                </c:pt>
                <c:pt idx="4">
                  <c:v>0</c:v>
                </c:pt>
                <c:pt idx="5">
                  <c:v>0</c:v>
                </c:pt>
                <c:pt idx="6">
                  <c:v>0</c:v>
                </c:pt>
              </c:numCache>
            </c:numRef>
          </c:val>
        </c:ser>
        <c:ser>
          <c:idx val="5"/>
          <c:order val="5"/>
          <c:tx>
            <c:strRef>
              <c:f>'S30c likelihood'!$Y$279</c:f>
              <c:strCache>
                <c:ptCount val="1"/>
                <c:pt idx="0">
                  <c:v>NGOs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likelihood'!$Y$280:$Y$286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78937856"/>
        <c:axId val="178939392"/>
      </c:barChart>
      <c:catAx>
        <c:axId val="1789378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8939392"/>
        <c:crosses val="autoZero"/>
        <c:auto val="1"/>
        <c:lblAlgn val="ctr"/>
        <c:lblOffset val="100"/>
        <c:noMultiLvlLbl val="0"/>
      </c:catAx>
      <c:valAx>
        <c:axId val="178939392"/>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937856"/>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likelihood'!$DP$72:$DP$76</c:f>
              <c:strCache>
                <c:ptCount val="5"/>
                <c:pt idx="0">
                  <c:v>Definitely not</c:v>
                </c:pt>
                <c:pt idx="1">
                  <c:v>Sometimes</c:v>
                </c:pt>
                <c:pt idx="2">
                  <c:v>Most of the time</c:v>
                </c:pt>
                <c:pt idx="3">
                  <c:v>Yes, always</c:v>
                </c:pt>
                <c:pt idx="4">
                  <c:v>I don’t know</c:v>
                </c:pt>
              </c:strCache>
            </c:strRef>
          </c:cat>
          <c:val>
            <c:numRef>
              <c:f>'S30c likelihood'!$DR$72:$DR$76</c:f>
              <c:numCache>
                <c:formatCode>0%</c:formatCode>
                <c:ptCount val="5"/>
                <c:pt idx="0">
                  <c:v>0.33333333333333331</c:v>
                </c:pt>
                <c:pt idx="1">
                  <c:v>0.33333333333333331</c:v>
                </c:pt>
                <c:pt idx="2">
                  <c:v>0.33333333333333331</c:v>
                </c:pt>
                <c:pt idx="3">
                  <c:v>0</c:v>
                </c:pt>
                <c:pt idx="4">
                  <c:v>0</c:v>
                </c:pt>
              </c:numCache>
            </c:numRef>
          </c:val>
        </c:ser>
        <c:dLbls>
          <c:showLegendKey val="0"/>
          <c:showVal val="0"/>
          <c:showCatName val="0"/>
          <c:showSerName val="0"/>
          <c:showPercent val="0"/>
          <c:showBubbleSize val="0"/>
        </c:dLbls>
        <c:gapWidth val="219"/>
        <c:overlap val="-27"/>
        <c:axId val="178963584"/>
        <c:axId val="178965120"/>
      </c:barChart>
      <c:catAx>
        <c:axId val="17896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8965120"/>
        <c:crosses val="autoZero"/>
        <c:auto val="1"/>
        <c:lblAlgn val="ctr"/>
        <c:lblOffset val="100"/>
        <c:tickLblSkip val="1"/>
        <c:noMultiLvlLbl val="0"/>
      </c:catAx>
      <c:valAx>
        <c:axId val="1789651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963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likelihood'!$DP$99:$DP$103</c:f>
              <c:strCache>
                <c:ptCount val="5"/>
                <c:pt idx="0">
                  <c:v>Definitely not</c:v>
                </c:pt>
                <c:pt idx="1">
                  <c:v>Sometimes</c:v>
                </c:pt>
                <c:pt idx="2">
                  <c:v>Most of the time</c:v>
                </c:pt>
                <c:pt idx="3">
                  <c:v>Yes, always</c:v>
                </c:pt>
                <c:pt idx="4">
                  <c:v>I don’t know</c:v>
                </c:pt>
              </c:strCache>
            </c:strRef>
          </c:cat>
          <c:val>
            <c:numRef>
              <c:f>'S30c likelihood'!$DR$99:$DR$103</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84580352"/>
        <c:axId val="184582144"/>
      </c:barChart>
      <c:catAx>
        <c:axId val="18458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4582144"/>
        <c:crosses val="autoZero"/>
        <c:auto val="1"/>
        <c:lblAlgn val="ctr"/>
        <c:lblOffset val="100"/>
        <c:tickLblSkip val="1"/>
        <c:noMultiLvlLbl val="0"/>
      </c:catAx>
      <c:valAx>
        <c:axId val="1845821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580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likelihood'!$DP$126:$DP$130</c:f>
              <c:strCache>
                <c:ptCount val="5"/>
                <c:pt idx="0">
                  <c:v>Definitely not</c:v>
                </c:pt>
                <c:pt idx="1">
                  <c:v>Sometimes</c:v>
                </c:pt>
                <c:pt idx="2">
                  <c:v>Most of the time</c:v>
                </c:pt>
                <c:pt idx="3">
                  <c:v>Yes, always</c:v>
                </c:pt>
                <c:pt idx="4">
                  <c:v>I don’t know</c:v>
                </c:pt>
              </c:strCache>
            </c:strRef>
          </c:cat>
          <c:val>
            <c:numRef>
              <c:f>'S30c likelihood'!$DR$126:$DR$130</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219"/>
        <c:overlap val="-27"/>
        <c:axId val="184597888"/>
        <c:axId val="184620160"/>
      </c:barChart>
      <c:catAx>
        <c:axId val="18459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4620160"/>
        <c:crosses val="autoZero"/>
        <c:auto val="1"/>
        <c:lblAlgn val="ctr"/>
        <c:lblOffset val="100"/>
        <c:tickLblSkip val="1"/>
        <c:noMultiLvlLbl val="0"/>
      </c:catAx>
      <c:valAx>
        <c:axId val="1846201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597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likelihood'!$DP$153:$DP$157</c:f>
              <c:strCache>
                <c:ptCount val="5"/>
                <c:pt idx="0">
                  <c:v>Definitely not</c:v>
                </c:pt>
                <c:pt idx="1">
                  <c:v>Sometimes</c:v>
                </c:pt>
                <c:pt idx="2">
                  <c:v>Most of the time</c:v>
                </c:pt>
                <c:pt idx="3">
                  <c:v>Yes, always</c:v>
                </c:pt>
                <c:pt idx="4">
                  <c:v>I don’t know</c:v>
                </c:pt>
              </c:strCache>
            </c:strRef>
          </c:cat>
          <c:val>
            <c:numRef>
              <c:f>'S30c likelihood'!$DR$153:$DR$157</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84632064"/>
        <c:axId val="184633600"/>
      </c:barChart>
      <c:catAx>
        <c:axId val="18463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4633600"/>
        <c:crosses val="autoZero"/>
        <c:auto val="1"/>
        <c:lblAlgn val="ctr"/>
        <c:lblOffset val="100"/>
        <c:tickLblSkip val="1"/>
        <c:noMultiLvlLbl val="0"/>
      </c:catAx>
      <c:valAx>
        <c:axId val="1846336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63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likelihood'!$DP$180:$DP$184</c:f>
              <c:strCache>
                <c:ptCount val="5"/>
                <c:pt idx="0">
                  <c:v>Definitely not</c:v>
                </c:pt>
                <c:pt idx="1">
                  <c:v>Sometimes</c:v>
                </c:pt>
                <c:pt idx="2">
                  <c:v>Most of the time</c:v>
                </c:pt>
                <c:pt idx="3">
                  <c:v>Yes, always</c:v>
                </c:pt>
                <c:pt idx="4">
                  <c:v>I don’t know</c:v>
                </c:pt>
              </c:strCache>
            </c:strRef>
          </c:cat>
          <c:val>
            <c:numRef>
              <c:f>'S30c likelihood'!$DR$180:$DR$184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84674176"/>
        <c:axId val="184675712"/>
      </c:barChart>
      <c:catAx>
        <c:axId val="1846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4675712"/>
        <c:crosses val="autoZero"/>
        <c:auto val="1"/>
        <c:lblAlgn val="ctr"/>
        <c:lblOffset val="100"/>
        <c:tickLblSkip val="1"/>
        <c:noMultiLvlLbl val="0"/>
      </c:catAx>
      <c:valAx>
        <c:axId val="184675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674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likelihood'!$DP$207:$DP$211</c:f>
              <c:strCache>
                <c:ptCount val="5"/>
                <c:pt idx="0">
                  <c:v>Definitely not</c:v>
                </c:pt>
                <c:pt idx="1">
                  <c:v>Sometimes</c:v>
                </c:pt>
                <c:pt idx="2">
                  <c:v>Most of the time</c:v>
                </c:pt>
                <c:pt idx="3">
                  <c:v>Yes, always</c:v>
                </c:pt>
                <c:pt idx="4">
                  <c:v>I don’t know</c:v>
                </c:pt>
              </c:strCache>
            </c:strRef>
          </c:cat>
          <c:val>
            <c:numRef>
              <c:f>'S30c likelihood'!$DR$207:$DR$211</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84368128"/>
        <c:axId val="184382208"/>
      </c:barChart>
      <c:catAx>
        <c:axId val="18436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4382208"/>
        <c:crosses val="autoZero"/>
        <c:auto val="1"/>
        <c:lblAlgn val="ctr"/>
        <c:lblOffset val="100"/>
        <c:tickLblSkip val="1"/>
        <c:noMultiLvlLbl val="0"/>
      </c:catAx>
      <c:valAx>
        <c:axId val="18438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4368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likelihood'!$DP$234:$DP$238</c:f>
              <c:strCache>
                <c:ptCount val="5"/>
                <c:pt idx="0">
                  <c:v>Definitely not</c:v>
                </c:pt>
                <c:pt idx="1">
                  <c:v>Sometimes</c:v>
                </c:pt>
                <c:pt idx="2">
                  <c:v>Most of the time</c:v>
                </c:pt>
                <c:pt idx="3">
                  <c:v>Yes, always</c:v>
                </c:pt>
                <c:pt idx="4">
                  <c:v>I don’t know</c:v>
                </c:pt>
              </c:strCache>
            </c:strRef>
          </c:cat>
          <c:val>
            <c:numRef>
              <c:f>'S30c likelihood'!$DR$234:$DR$238</c:f>
              <c:numCache>
                <c:formatCode>0%</c:formatCode>
                <c:ptCount val="5"/>
                <c:pt idx="0">
                  <c:v>0.25</c:v>
                </c:pt>
                <c:pt idx="1">
                  <c:v>0.5</c:v>
                </c:pt>
                <c:pt idx="2">
                  <c:v>0.25</c:v>
                </c:pt>
                <c:pt idx="3">
                  <c:v>0</c:v>
                </c:pt>
                <c:pt idx="4">
                  <c:v>0</c:v>
                </c:pt>
              </c:numCache>
            </c:numRef>
          </c:val>
        </c:ser>
        <c:dLbls>
          <c:showLegendKey val="0"/>
          <c:showVal val="0"/>
          <c:showCatName val="0"/>
          <c:showSerName val="0"/>
          <c:showPercent val="0"/>
          <c:showBubbleSize val="0"/>
        </c:dLbls>
        <c:gapWidth val="219"/>
        <c:overlap val="-27"/>
        <c:axId val="184414592"/>
        <c:axId val="184416128"/>
      </c:barChart>
      <c:catAx>
        <c:axId val="18441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4416128"/>
        <c:crosses val="autoZero"/>
        <c:auto val="1"/>
        <c:lblAlgn val="ctr"/>
        <c:lblOffset val="100"/>
        <c:tickLblSkip val="1"/>
        <c:noMultiLvlLbl val="0"/>
      </c:catAx>
      <c:valAx>
        <c:axId val="1844161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414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likelihood'!$Z$72:$Z$78</c:f>
              <c:numCache>
                <c:formatCode>0%</c:formatCode>
                <c:ptCount val="7"/>
                <c:pt idx="0">
                  <c:v>0.25</c:v>
                </c:pt>
                <c:pt idx="1">
                  <c:v>0</c:v>
                </c:pt>
                <c:pt idx="2">
                  <c:v>0</c:v>
                </c:pt>
                <c:pt idx="3">
                  <c:v>0</c:v>
                </c:pt>
                <c:pt idx="4">
                  <c:v>0</c:v>
                </c:pt>
                <c:pt idx="5">
                  <c:v>0</c:v>
                </c:pt>
                <c:pt idx="6">
                  <c:v>0.75</c:v>
                </c:pt>
              </c:numCache>
            </c:numRef>
          </c:val>
        </c:ser>
        <c:dLbls>
          <c:showLegendKey val="0"/>
          <c:showVal val="0"/>
          <c:showCatName val="0"/>
          <c:showSerName val="0"/>
          <c:showPercent val="0"/>
          <c:showBubbleSize val="0"/>
        </c:dLbls>
        <c:gapWidth val="219"/>
        <c:overlap val="-27"/>
        <c:axId val="184440320"/>
        <c:axId val="184441856"/>
      </c:barChart>
      <c:catAx>
        <c:axId val="18444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4441856"/>
        <c:crosses val="autoZero"/>
        <c:auto val="1"/>
        <c:lblAlgn val="ctr"/>
        <c:lblOffset val="100"/>
        <c:tickLblSkip val="1"/>
        <c:noMultiLvlLbl val="0"/>
      </c:catAx>
      <c:valAx>
        <c:axId val="1844418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440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likelihood'!$AM$207:$AM$213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likelihood'!$AO$207:$AO$213</c:f>
              <c:numCache>
                <c:formatCode>0%</c:formatCode>
                <c:ptCount val="7"/>
                <c:pt idx="0">
                  <c:v>0</c:v>
                </c:pt>
                <c:pt idx="1">
                  <c:v>0</c:v>
                </c:pt>
                <c:pt idx="2">
                  <c:v>0.75</c:v>
                </c:pt>
                <c:pt idx="3">
                  <c:v>0.25</c:v>
                </c:pt>
                <c:pt idx="4">
                  <c:v>0</c:v>
                </c:pt>
                <c:pt idx="5">
                  <c:v>0</c:v>
                </c:pt>
                <c:pt idx="6">
                  <c:v>0</c:v>
                </c:pt>
              </c:numCache>
            </c:numRef>
          </c:val>
        </c:ser>
        <c:dLbls>
          <c:showLegendKey val="0"/>
          <c:showVal val="0"/>
          <c:showCatName val="0"/>
          <c:showSerName val="0"/>
          <c:showPercent val="0"/>
          <c:showBubbleSize val="0"/>
        </c:dLbls>
        <c:gapWidth val="219"/>
        <c:overlap val="-27"/>
        <c:axId val="138782976"/>
        <c:axId val="138797056"/>
      </c:barChart>
      <c:catAx>
        <c:axId val="13878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8797056"/>
        <c:crosses val="autoZero"/>
        <c:auto val="1"/>
        <c:lblAlgn val="ctr"/>
        <c:lblOffset val="100"/>
        <c:tickLblSkip val="1"/>
        <c:noMultiLvlLbl val="0"/>
      </c:catAx>
      <c:valAx>
        <c:axId val="1387970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8782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likelihood'!$Z$99:$Z$105</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4478336"/>
        <c:axId val="184746368"/>
      </c:barChart>
      <c:catAx>
        <c:axId val="18447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4746368"/>
        <c:crosses val="autoZero"/>
        <c:auto val="1"/>
        <c:lblAlgn val="ctr"/>
        <c:lblOffset val="100"/>
        <c:tickLblSkip val="1"/>
        <c:noMultiLvlLbl val="0"/>
      </c:catAx>
      <c:valAx>
        <c:axId val="184746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478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likelihood'!$Z$126:$Z$132</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4795136"/>
        <c:axId val="184796672"/>
      </c:barChart>
      <c:catAx>
        <c:axId val="18479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4796672"/>
        <c:crosses val="autoZero"/>
        <c:auto val="1"/>
        <c:lblAlgn val="ctr"/>
        <c:lblOffset val="100"/>
        <c:tickLblSkip val="1"/>
        <c:noMultiLvlLbl val="0"/>
      </c:catAx>
      <c:valAx>
        <c:axId val="184796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795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likelihood'!$Z$153:$Z$159</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4808576"/>
        <c:axId val="184810112"/>
      </c:barChart>
      <c:catAx>
        <c:axId val="184808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4810112"/>
        <c:crosses val="autoZero"/>
        <c:auto val="1"/>
        <c:lblAlgn val="ctr"/>
        <c:lblOffset val="100"/>
        <c:tickLblSkip val="1"/>
        <c:noMultiLvlLbl val="0"/>
      </c:catAx>
      <c:valAx>
        <c:axId val="184810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808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likelihood'!$Z$180:$Z$186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4842496"/>
        <c:axId val="184848384"/>
      </c:barChart>
      <c:catAx>
        <c:axId val="1848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4848384"/>
        <c:crosses val="autoZero"/>
        <c:auto val="1"/>
        <c:lblAlgn val="ctr"/>
        <c:lblOffset val="100"/>
        <c:tickLblSkip val="1"/>
        <c:noMultiLvlLbl val="0"/>
      </c:catAx>
      <c:valAx>
        <c:axId val="1848483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842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likelihood'!$Z$207:$Z$213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4855936"/>
        <c:axId val="185148544"/>
      </c:barChart>
      <c:catAx>
        <c:axId val="18485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148544"/>
        <c:crosses val="autoZero"/>
        <c:auto val="1"/>
        <c:lblAlgn val="ctr"/>
        <c:lblOffset val="100"/>
        <c:tickLblSkip val="1"/>
        <c:noMultiLvlLbl val="0"/>
      </c:catAx>
      <c:valAx>
        <c:axId val="1851485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4855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'S30c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'S30c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likelihood'!$Z$234:$Z$240</c:f>
              <c:numCache>
                <c:formatCode>0%</c:formatCode>
                <c:ptCount val="7"/>
                <c:pt idx="0">
                  <c:v>0.2</c:v>
                </c:pt>
                <c:pt idx="1">
                  <c:v>0.2</c:v>
                </c:pt>
                <c:pt idx="2">
                  <c:v>0</c:v>
                </c:pt>
                <c:pt idx="3">
                  <c:v>0</c:v>
                </c:pt>
                <c:pt idx="4">
                  <c:v>0</c:v>
                </c:pt>
                <c:pt idx="5">
                  <c:v>0</c:v>
                </c:pt>
                <c:pt idx="6">
                  <c:v>0.6</c:v>
                </c:pt>
              </c:numCache>
            </c:numRef>
          </c:val>
        </c:ser>
        <c:dLbls>
          <c:showLegendKey val="0"/>
          <c:showVal val="0"/>
          <c:showCatName val="0"/>
          <c:showSerName val="0"/>
          <c:showPercent val="0"/>
          <c:showBubbleSize val="0"/>
        </c:dLbls>
        <c:gapWidth val="219"/>
        <c:overlap val="-27"/>
        <c:axId val="185193216"/>
        <c:axId val="185194752"/>
      </c:barChart>
      <c:catAx>
        <c:axId val="18519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194752"/>
        <c:crosses val="autoZero"/>
        <c:auto val="1"/>
        <c:lblAlgn val="ctr"/>
        <c:lblOffset val="100"/>
        <c:tickLblSkip val="1"/>
        <c:noMultiLvlLbl val="0"/>
      </c:catAx>
      <c:valAx>
        <c:axId val="1851947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193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likelihood'!$T$247</c:f>
              <c:strCache>
                <c:ptCount val="1"/>
                <c:pt idx="0">
                  <c:v>Forest owners/managers</c:v>
                </c:pt>
              </c:strCache>
            </c:strRef>
          </c:tx>
          <c:spPr>
            <a:solidFill>
              <a:schemeClr val="accent1"/>
            </a:solidFill>
            <a:ln>
              <a:noFill/>
            </a:ln>
            <a:effectLst/>
          </c:spPr>
          <c:invertIfNegative val="0"/>
          <c:cat>
            <c:strRef>
              <c:f>'S30c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likelihood'!$T$248:$T$254</c:f>
              <c:numCache>
                <c:formatCode>General</c:formatCode>
                <c:ptCount val="7"/>
                <c:pt idx="0">
                  <c:v>1</c:v>
                </c:pt>
                <c:pt idx="1">
                  <c:v>0</c:v>
                </c:pt>
                <c:pt idx="2">
                  <c:v>0</c:v>
                </c:pt>
                <c:pt idx="3">
                  <c:v>0</c:v>
                </c:pt>
                <c:pt idx="4">
                  <c:v>0</c:v>
                </c:pt>
                <c:pt idx="5">
                  <c:v>0</c:v>
                </c:pt>
                <c:pt idx="6">
                  <c:v>3</c:v>
                </c:pt>
              </c:numCache>
            </c:numRef>
          </c:val>
        </c:ser>
        <c:ser>
          <c:idx val="1"/>
          <c:order val="1"/>
          <c:tx>
            <c:strRef>
              <c:f>'S30c likelihood'!$U$247</c:f>
              <c:strCache>
                <c:ptCount val="1"/>
                <c:pt idx="0">
                  <c:v>Pellet producers</c:v>
                </c:pt>
              </c:strCache>
            </c:strRef>
          </c:tx>
          <c:spPr>
            <a:solidFill>
              <a:schemeClr val="accent2"/>
            </a:solidFill>
            <a:ln>
              <a:noFill/>
            </a:ln>
            <a:effectLst/>
          </c:spPr>
          <c:invertIfNegative val="0"/>
          <c:cat>
            <c:strRef>
              <c:f>'S30c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likelihood'!$U$248:$U$254</c:f>
              <c:numCache>
                <c:formatCode>0</c:formatCode>
                <c:ptCount val="7"/>
                <c:pt idx="0">
                  <c:v>0</c:v>
                </c:pt>
                <c:pt idx="1">
                  <c:v>0</c:v>
                </c:pt>
                <c:pt idx="2">
                  <c:v>0</c:v>
                </c:pt>
                <c:pt idx="3">
                  <c:v>0</c:v>
                </c:pt>
                <c:pt idx="4">
                  <c:v>0</c:v>
                </c:pt>
                <c:pt idx="5">
                  <c:v>0</c:v>
                </c:pt>
                <c:pt idx="6">
                  <c:v>0</c:v>
                </c:pt>
              </c:numCache>
            </c:numRef>
          </c:val>
        </c:ser>
        <c:ser>
          <c:idx val="2"/>
          <c:order val="2"/>
          <c:tx>
            <c:strRef>
              <c:f>'S30c likelihood'!$V$247</c:f>
              <c:strCache>
                <c:ptCount val="1"/>
                <c:pt idx="0">
                  <c:v>Pellet users</c:v>
                </c:pt>
              </c:strCache>
            </c:strRef>
          </c:tx>
          <c:spPr>
            <a:solidFill>
              <a:schemeClr val="accent3"/>
            </a:solidFill>
            <a:ln>
              <a:noFill/>
            </a:ln>
            <a:effectLst/>
          </c:spPr>
          <c:invertIfNegative val="0"/>
          <c:cat>
            <c:strRef>
              <c:f>'S30c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likelihood'!$V$248:$V$254</c:f>
              <c:numCache>
                <c:formatCode>General</c:formatCode>
                <c:ptCount val="7"/>
                <c:pt idx="0">
                  <c:v>0</c:v>
                </c:pt>
                <c:pt idx="1">
                  <c:v>1</c:v>
                </c:pt>
                <c:pt idx="2">
                  <c:v>0</c:v>
                </c:pt>
                <c:pt idx="3">
                  <c:v>0</c:v>
                </c:pt>
                <c:pt idx="4">
                  <c:v>0</c:v>
                </c:pt>
                <c:pt idx="5">
                  <c:v>0</c:v>
                </c:pt>
                <c:pt idx="6">
                  <c:v>0</c:v>
                </c:pt>
              </c:numCache>
            </c:numRef>
          </c:val>
        </c:ser>
        <c:ser>
          <c:idx val="3"/>
          <c:order val="3"/>
          <c:tx>
            <c:strRef>
              <c:f>'S30c likelihood'!$W$247</c:f>
              <c:strCache>
                <c:ptCount val="1"/>
                <c:pt idx="0">
                  <c:v>Non-bioenergy wood users</c:v>
                </c:pt>
              </c:strCache>
            </c:strRef>
          </c:tx>
          <c:spPr>
            <a:solidFill>
              <a:schemeClr val="accent4"/>
            </a:solidFill>
            <a:ln>
              <a:noFill/>
            </a:ln>
            <a:effectLst/>
          </c:spPr>
          <c:invertIfNegative val="0"/>
          <c:cat>
            <c:strRef>
              <c:f>'S30c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likelihood'!$W$248:$W$254</c:f>
              <c:numCache>
                <c:formatCode>General</c:formatCode>
                <c:ptCount val="7"/>
                <c:pt idx="0">
                  <c:v>0</c:v>
                </c:pt>
                <c:pt idx="1">
                  <c:v>0</c:v>
                </c:pt>
                <c:pt idx="2">
                  <c:v>0</c:v>
                </c:pt>
                <c:pt idx="3">
                  <c:v>0</c:v>
                </c:pt>
                <c:pt idx="4">
                  <c:v>0</c:v>
                </c:pt>
                <c:pt idx="5">
                  <c:v>0</c:v>
                </c:pt>
                <c:pt idx="6">
                  <c:v>0</c:v>
                </c:pt>
              </c:numCache>
            </c:numRef>
          </c:val>
        </c:ser>
        <c:ser>
          <c:idx val="4"/>
          <c:order val="4"/>
          <c:tx>
            <c:strRef>
              <c:f>'S30c likelihood'!$X$247</c:f>
              <c:strCache>
                <c:ptCount val="1"/>
                <c:pt idx="0">
                  <c:v>Policy makers and academia</c:v>
                </c:pt>
              </c:strCache>
            </c:strRef>
          </c:tx>
          <c:spPr>
            <a:solidFill>
              <a:schemeClr val="accent5"/>
            </a:solidFill>
            <a:ln>
              <a:noFill/>
            </a:ln>
            <a:effectLst/>
          </c:spPr>
          <c:invertIfNegative val="0"/>
          <c:cat>
            <c:strRef>
              <c:f>'S30c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likelihood'!$X$248:$X$254</c:f>
              <c:numCache>
                <c:formatCode>0</c:formatCode>
                <c:ptCount val="7"/>
                <c:pt idx="0">
                  <c:v>0</c:v>
                </c:pt>
                <c:pt idx="1">
                  <c:v>0</c:v>
                </c:pt>
                <c:pt idx="2">
                  <c:v>0</c:v>
                </c:pt>
                <c:pt idx="3">
                  <c:v>0</c:v>
                </c:pt>
                <c:pt idx="4">
                  <c:v>0</c:v>
                </c:pt>
                <c:pt idx="5">
                  <c:v>0</c:v>
                </c:pt>
                <c:pt idx="6">
                  <c:v>0</c:v>
                </c:pt>
              </c:numCache>
            </c:numRef>
          </c:val>
        </c:ser>
        <c:ser>
          <c:idx val="5"/>
          <c:order val="5"/>
          <c:tx>
            <c:strRef>
              <c:f>'S30c likelihood'!$Y$247</c:f>
              <c:strCache>
                <c:ptCount val="1"/>
                <c:pt idx="0">
                  <c:v>NGOs</c:v>
                </c:pt>
              </c:strCache>
            </c:strRef>
          </c:tx>
          <c:spPr>
            <a:solidFill>
              <a:schemeClr val="accent6"/>
            </a:solidFill>
            <a:ln>
              <a:noFill/>
            </a:ln>
            <a:effectLst/>
          </c:spPr>
          <c:invertIfNegative val="0"/>
          <c:cat>
            <c:strRef>
              <c:f>'S30c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likelihood'!$Y$248:$Y$254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4924032"/>
        <c:axId val="184925568"/>
      </c:barChart>
      <c:catAx>
        <c:axId val="1849240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4925568"/>
        <c:crosses val="autoZero"/>
        <c:auto val="1"/>
        <c:lblAlgn val="ctr"/>
        <c:lblOffset val="100"/>
        <c:noMultiLvlLbl val="0"/>
      </c:catAx>
      <c:valAx>
        <c:axId val="184925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924032"/>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likelihood'!$T$279</c:f>
              <c:strCache>
                <c:ptCount val="1"/>
                <c:pt idx="0">
                  <c:v>Forest owners/managers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likelihood'!$T$280:$T$286</c:f>
              <c:numCache>
                <c:formatCode>0%</c:formatCode>
                <c:ptCount val="7"/>
                <c:pt idx="0">
                  <c:v>4.1666666666666664E-2</c:v>
                </c:pt>
                <c:pt idx="1">
                  <c:v>0</c:v>
                </c:pt>
                <c:pt idx="2">
                  <c:v>0</c:v>
                </c:pt>
                <c:pt idx="3">
                  <c:v>0</c:v>
                </c:pt>
                <c:pt idx="4">
                  <c:v>0</c:v>
                </c:pt>
                <c:pt idx="5">
                  <c:v>0</c:v>
                </c:pt>
                <c:pt idx="6">
                  <c:v>0.125</c:v>
                </c:pt>
              </c:numCache>
            </c:numRef>
          </c:val>
        </c:ser>
        <c:ser>
          <c:idx val="1"/>
          <c:order val="1"/>
          <c:tx>
            <c:strRef>
              <c:f>'S30c likelihood'!$U$279</c:f>
              <c:strCache>
                <c:ptCount val="1"/>
                <c:pt idx="0">
                  <c:v>Pellet producers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likelihood'!$U$280:$U$286</c:f>
              <c:numCache>
                <c:formatCode>0%</c:formatCode>
                <c:ptCount val="7"/>
                <c:pt idx="0">
                  <c:v>0</c:v>
                </c:pt>
                <c:pt idx="1">
                  <c:v>0</c:v>
                </c:pt>
                <c:pt idx="2">
                  <c:v>0</c:v>
                </c:pt>
                <c:pt idx="3">
                  <c:v>0</c:v>
                </c:pt>
                <c:pt idx="4">
                  <c:v>0</c:v>
                </c:pt>
                <c:pt idx="5">
                  <c:v>0</c:v>
                </c:pt>
                <c:pt idx="6">
                  <c:v>0</c:v>
                </c:pt>
              </c:numCache>
            </c:numRef>
          </c:val>
        </c:ser>
        <c:ser>
          <c:idx val="2"/>
          <c:order val="2"/>
          <c:tx>
            <c:strRef>
              <c:f>'S30c likelihood'!$V$279</c:f>
              <c:strCache>
                <c:ptCount val="1"/>
                <c:pt idx="0">
                  <c:v>Pellet users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likelihood'!$V$280:$V$286</c:f>
              <c:numCache>
                <c:formatCode>0%</c:formatCode>
                <c:ptCount val="7"/>
                <c:pt idx="0">
                  <c:v>0</c:v>
                </c:pt>
                <c:pt idx="1">
                  <c:v>0.16666666666666666</c:v>
                </c:pt>
                <c:pt idx="2">
                  <c:v>0</c:v>
                </c:pt>
                <c:pt idx="3">
                  <c:v>0</c:v>
                </c:pt>
                <c:pt idx="4">
                  <c:v>0</c:v>
                </c:pt>
                <c:pt idx="5">
                  <c:v>0</c:v>
                </c:pt>
                <c:pt idx="6">
                  <c:v>0</c:v>
                </c:pt>
              </c:numCache>
            </c:numRef>
          </c:val>
        </c:ser>
        <c:ser>
          <c:idx val="3"/>
          <c:order val="3"/>
          <c:tx>
            <c:strRef>
              <c:f>'S30c likelihood'!$W$279</c:f>
              <c:strCache>
                <c:ptCount val="1"/>
                <c:pt idx="0">
                  <c:v>Non-bioenergy wood users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likelihood'!$W$280:$W$286</c:f>
              <c:numCache>
                <c:formatCode>0%</c:formatCode>
                <c:ptCount val="7"/>
                <c:pt idx="0">
                  <c:v>0</c:v>
                </c:pt>
                <c:pt idx="1">
                  <c:v>0</c:v>
                </c:pt>
                <c:pt idx="2">
                  <c:v>0</c:v>
                </c:pt>
                <c:pt idx="3">
                  <c:v>0</c:v>
                </c:pt>
                <c:pt idx="4">
                  <c:v>0</c:v>
                </c:pt>
                <c:pt idx="5">
                  <c:v>0</c:v>
                </c:pt>
                <c:pt idx="6">
                  <c:v>0</c:v>
                </c:pt>
              </c:numCache>
            </c:numRef>
          </c:val>
        </c:ser>
        <c:ser>
          <c:idx val="4"/>
          <c:order val="4"/>
          <c:tx>
            <c:strRef>
              <c:f>'S30c likelihood'!$X$279</c:f>
              <c:strCache>
                <c:ptCount val="1"/>
                <c:pt idx="0">
                  <c:v>Policy makers and academia</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likelihood'!$X$280:$X$286</c:f>
              <c:numCache>
                <c:formatCode>0%</c:formatCode>
                <c:ptCount val="7"/>
                <c:pt idx="0">
                  <c:v>0</c:v>
                </c:pt>
                <c:pt idx="1">
                  <c:v>0</c:v>
                </c:pt>
                <c:pt idx="2">
                  <c:v>0</c:v>
                </c:pt>
                <c:pt idx="3">
                  <c:v>0</c:v>
                </c:pt>
                <c:pt idx="4">
                  <c:v>0</c:v>
                </c:pt>
                <c:pt idx="5">
                  <c:v>0</c:v>
                </c:pt>
                <c:pt idx="6">
                  <c:v>0</c:v>
                </c:pt>
              </c:numCache>
            </c:numRef>
          </c:val>
        </c:ser>
        <c:ser>
          <c:idx val="5"/>
          <c:order val="5"/>
          <c:tx>
            <c:strRef>
              <c:f>'S30c likelihood'!$Y$279</c:f>
              <c:strCache>
                <c:ptCount val="1"/>
                <c:pt idx="0">
                  <c:v>NGOs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likelihood'!$Y$280:$Y$286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5023488"/>
        <c:axId val="185037568"/>
      </c:barChart>
      <c:catAx>
        <c:axId val="185023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037568"/>
        <c:crosses val="autoZero"/>
        <c:auto val="1"/>
        <c:lblAlgn val="ctr"/>
        <c:lblOffset val="100"/>
        <c:noMultiLvlLbl val="0"/>
      </c:catAx>
      <c:valAx>
        <c:axId val="185037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0234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likelihood'!$T$279</c:f>
              <c:strCache>
                <c:ptCount val="1"/>
                <c:pt idx="0">
                  <c:v>Forest owners/managers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likelihood'!$T$280:$T$286</c:f>
              <c:numCache>
                <c:formatCode>0%</c:formatCode>
                <c:ptCount val="7"/>
                <c:pt idx="0">
                  <c:v>4.1666666666666664E-2</c:v>
                </c:pt>
                <c:pt idx="1">
                  <c:v>0</c:v>
                </c:pt>
                <c:pt idx="2">
                  <c:v>0</c:v>
                </c:pt>
                <c:pt idx="3">
                  <c:v>0</c:v>
                </c:pt>
                <c:pt idx="4">
                  <c:v>0</c:v>
                </c:pt>
                <c:pt idx="5">
                  <c:v>0</c:v>
                </c:pt>
                <c:pt idx="6">
                  <c:v>0.125</c:v>
                </c:pt>
              </c:numCache>
            </c:numRef>
          </c:val>
        </c:ser>
        <c:ser>
          <c:idx val="1"/>
          <c:order val="1"/>
          <c:tx>
            <c:strRef>
              <c:f>'S30c likelihood'!$U$279</c:f>
              <c:strCache>
                <c:ptCount val="1"/>
                <c:pt idx="0">
                  <c:v>Pellet producers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likelihood'!$U$280:$U$286</c:f>
              <c:numCache>
                <c:formatCode>0%</c:formatCode>
                <c:ptCount val="7"/>
                <c:pt idx="0">
                  <c:v>0</c:v>
                </c:pt>
                <c:pt idx="1">
                  <c:v>0</c:v>
                </c:pt>
                <c:pt idx="2">
                  <c:v>0</c:v>
                </c:pt>
                <c:pt idx="3">
                  <c:v>0</c:v>
                </c:pt>
                <c:pt idx="4">
                  <c:v>0</c:v>
                </c:pt>
                <c:pt idx="5">
                  <c:v>0</c:v>
                </c:pt>
                <c:pt idx="6">
                  <c:v>0</c:v>
                </c:pt>
              </c:numCache>
            </c:numRef>
          </c:val>
        </c:ser>
        <c:ser>
          <c:idx val="2"/>
          <c:order val="2"/>
          <c:tx>
            <c:strRef>
              <c:f>'S30c likelihood'!$V$279</c:f>
              <c:strCache>
                <c:ptCount val="1"/>
                <c:pt idx="0">
                  <c:v>Pellet users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likelihood'!$V$280:$V$286</c:f>
              <c:numCache>
                <c:formatCode>0%</c:formatCode>
                <c:ptCount val="7"/>
                <c:pt idx="0">
                  <c:v>0</c:v>
                </c:pt>
                <c:pt idx="1">
                  <c:v>0.16666666666666666</c:v>
                </c:pt>
                <c:pt idx="2">
                  <c:v>0</c:v>
                </c:pt>
                <c:pt idx="3">
                  <c:v>0</c:v>
                </c:pt>
                <c:pt idx="4">
                  <c:v>0</c:v>
                </c:pt>
                <c:pt idx="5">
                  <c:v>0</c:v>
                </c:pt>
                <c:pt idx="6">
                  <c:v>0</c:v>
                </c:pt>
              </c:numCache>
            </c:numRef>
          </c:val>
        </c:ser>
        <c:ser>
          <c:idx val="3"/>
          <c:order val="3"/>
          <c:tx>
            <c:strRef>
              <c:f>'S30c likelihood'!$W$279</c:f>
              <c:strCache>
                <c:ptCount val="1"/>
                <c:pt idx="0">
                  <c:v>Non-bioenergy wood users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likelihood'!$W$280:$W$286</c:f>
              <c:numCache>
                <c:formatCode>0%</c:formatCode>
                <c:ptCount val="7"/>
                <c:pt idx="0">
                  <c:v>0</c:v>
                </c:pt>
                <c:pt idx="1">
                  <c:v>0</c:v>
                </c:pt>
                <c:pt idx="2">
                  <c:v>0</c:v>
                </c:pt>
                <c:pt idx="3">
                  <c:v>0</c:v>
                </c:pt>
                <c:pt idx="4">
                  <c:v>0</c:v>
                </c:pt>
                <c:pt idx="5">
                  <c:v>0</c:v>
                </c:pt>
                <c:pt idx="6">
                  <c:v>0</c:v>
                </c:pt>
              </c:numCache>
            </c:numRef>
          </c:val>
        </c:ser>
        <c:ser>
          <c:idx val="4"/>
          <c:order val="4"/>
          <c:tx>
            <c:strRef>
              <c:f>'S30c likelihood'!$X$279</c:f>
              <c:strCache>
                <c:ptCount val="1"/>
                <c:pt idx="0">
                  <c:v>Policy makers and academia</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likelihood'!$X$280:$X$286</c:f>
              <c:numCache>
                <c:formatCode>0%</c:formatCode>
                <c:ptCount val="7"/>
                <c:pt idx="0">
                  <c:v>0</c:v>
                </c:pt>
                <c:pt idx="1">
                  <c:v>0</c:v>
                </c:pt>
                <c:pt idx="2">
                  <c:v>0</c:v>
                </c:pt>
                <c:pt idx="3">
                  <c:v>0</c:v>
                </c:pt>
                <c:pt idx="4">
                  <c:v>0</c:v>
                </c:pt>
                <c:pt idx="5">
                  <c:v>0</c:v>
                </c:pt>
                <c:pt idx="6">
                  <c:v>0</c:v>
                </c:pt>
              </c:numCache>
            </c:numRef>
          </c:val>
        </c:ser>
        <c:ser>
          <c:idx val="5"/>
          <c:order val="5"/>
          <c:tx>
            <c:strRef>
              <c:f>'S30c likelihood'!$Y$279</c:f>
              <c:strCache>
                <c:ptCount val="1"/>
                <c:pt idx="0">
                  <c:v>NGOs</c:v>
                </c:pt>
              </c:strCache>
            </c:strRef>
          </c:tx>
          <c:invertIfNegative val="0"/>
          <c:cat>
            <c:strRef>
              <c:f>'S30c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'S30c likelihood'!$Y$280:$Y$286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4943360"/>
        <c:axId val="184944896"/>
      </c:barChart>
      <c:catAx>
        <c:axId val="1849433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4944896"/>
        <c:crosses val="autoZero"/>
        <c:auto val="1"/>
        <c:lblAlgn val="ctr"/>
        <c:lblOffset val="100"/>
        <c:noMultiLvlLbl val="0"/>
      </c:catAx>
      <c:valAx>
        <c:axId val="184944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9433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likelihood'!$DL$247</c:f>
              <c:strCache>
                <c:ptCount val="1"/>
                <c:pt idx="0">
                  <c:v>Forest owners/managers</c:v>
                </c:pt>
              </c:strCache>
            </c:strRef>
          </c:tx>
          <c:spPr>
            <a:solidFill>
              <a:schemeClr val="accent1"/>
            </a:solidFill>
            <a:ln>
              <a:noFill/>
            </a:ln>
            <a:effectLst/>
          </c:spPr>
          <c:invertIfNegative val="0"/>
          <c:cat>
            <c:strRef>
              <c:f>'S30c likelihood'!$DK$248:$DK$252</c:f>
              <c:strCache>
                <c:ptCount val="5"/>
                <c:pt idx="0">
                  <c:v>Definitely not</c:v>
                </c:pt>
                <c:pt idx="1">
                  <c:v>Sometimes</c:v>
                </c:pt>
                <c:pt idx="2">
                  <c:v>Most of the time</c:v>
                </c:pt>
                <c:pt idx="3">
                  <c:v>Yes, always</c:v>
                </c:pt>
                <c:pt idx="4">
                  <c:v>I don’t know</c:v>
                </c:pt>
              </c:strCache>
            </c:strRef>
          </c:cat>
          <c:val>
            <c:numRef>
              <c:f>'S30c likelihood'!$DL$248:$DL$252</c:f>
              <c:numCache>
                <c:formatCode>General</c:formatCode>
                <c:ptCount val="5"/>
                <c:pt idx="0">
                  <c:v>1</c:v>
                </c:pt>
                <c:pt idx="1">
                  <c:v>1</c:v>
                </c:pt>
                <c:pt idx="2">
                  <c:v>1</c:v>
                </c:pt>
                <c:pt idx="3">
                  <c:v>0</c:v>
                </c:pt>
                <c:pt idx="4">
                  <c:v>0</c:v>
                </c:pt>
              </c:numCache>
            </c:numRef>
          </c:val>
        </c:ser>
        <c:ser>
          <c:idx val="1"/>
          <c:order val="1"/>
          <c:tx>
            <c:strRef>
              <c:f>'S30c likelihood'!$DM$247</c:f>
              <c:strCache>
                <c:ptCount val="1"/>
                <c:pt idx="0">
                  <c:v>Pellet producers</c:v>
                </c:pt>
              </c:strCache>
            </c:strRef>
          </c:tx>
          <c:spPr>
            <a:solidFill>
              <a:schemeClr val="accent2"/>
            </a:solidFill>
            <a:ln>
              <a:noFill/>
            </a:ln>
            <a:effectLst/>
          </c:spPr>
          <c:invertIfNegative val="0"/>
          <c:cat>
            <c:strRef>
              <c:f>'S30c likelihood'!$DK$248:$DK$252</c:f>
              <c:strCache>
                <c:ptCount val="5"/>
                <c:pt idx="0">
                  <c:v>Definitely not</c:v>
                </c:pt>
                <c:pt idx="1">
                  <c:v>Sometimes</c:v>
                </c:pt>
                <c:pt idx="2">
                  <c:v>Most of the time</c:v>
                </c:pt>
                <c:pt idx="3">
                  <c:v>Yes, always</c:v>
                </c:pt>
                <c:pt idx="4">
                  <c:v>I don’t know</c:v>
                </c:pt>
              </c:strCache>
            </c:strRef>
          </c:cat>
          <c:val>
            <c:numRef>
              <c:f>'S30c likelihood'!$DM$248:$DM$252</c:f>
              <c:numCache>
                <c:formatCode>0</c:formatCode>
                <c:ptCount val="5"/>
                <c:pt idx="0">
                  <c:v>0</c:v>
                </c:pt>
                <c:pt idx="1">
                  <c:v>0</c:v>
                </c:pt>
                <c:pt idx="2">
                  <c:v>0</c:v>
                </c:pt>
                <c:pt idx="3">
                  <c:v>0</c:v>
                </c:pt>
                <c:pt idx="4">
                  <c:v>0</c:v>
                </c:pt>
              </c:numCache>
            </c:numRef>
          </c:val>
        </c:ser>
        <c:ser>
          <c:idx val="2"/>
          <c:order val="2"/>
          <c:tx>
            <c:strRef>
              <c:f>'S30c likelihood'!$DN$247</c:f>
              <c:strCache>
                <c:ptCount val="1"/>
                <c:pt idx="0">
                  <c:v>Pellet users</c:v>
                </c:pt>
              </c:strCache>
            </c:strRef>
          </c:tx>
          <c:spPr>
            <a:solidFill>
              <a:schemeClr val="accent3"/>
            </a:solidFill>
            <a:ln>
              <a:noFill/>
            </a:ln>
            <a:effectLst/>
          </c:spPr>
          <c:invertIfNegative val="0"/>
          <c:cat>
            <c:strRef>
              <c:f>'S30c likelihood'!$DK$248:$DK$252</c:f>
              <c:strCache>
                <c:ptCount val="5"/>
                <c:pt idx="0">
                  <c:v>Definitely not</c:v>
                </c:pt>
                <c:pt idx="1">
                  <c:v>Sometimes</c:v>
                </c:pt>
                <c:pt idx="2">
                  <c:v>Most of the time</c:v>
                </c:pt>
                <c:pt idx="3">
                  <c:v>Yes, always</c:v>
                </c:pt>
                <c:pt idx="4">
                  <c:v>I don’t know</c:v>
                </c:pt>
              </c:strCache>
            </c:strRef>
          </c:cat>
          <c:val>
            <c:numRef>
              <c:f>'S30c likelihood'!$DN$248:$DN$252</c:f>
              <c:numCache>
                <c:formatCode>General</c:formatCode>
                <c:ptCount val="5"/>
                <c:pt idx="0">
                  <c:v>0</c:v>
                </c:pt>
                <c:pt idx="1">
                  <c:v>1</c:v>
                </c:pt>
                <c:pt idx="2">
                  <c:v>0</c:v>
                </c:pt>
                <c:pt idx="3">
                  <c:v>0</c:v>
                </c:pt>
                <c:pt idx="4">
                  <c:v>0</c:v>
                </c:pt>
              </c:numCache>
            </c:numRef>
          </c:val>
        </c:ser>
        <c:ser>
          <c:idx val="3"/>
          <c:order val="3"/>
          <c:tx>
            <c:strRef>
              <c:f>'S30c likelihood'!$DO$247</c:f>
              <c:strCache>
                <c:ptCount val="1"/>
                <c:pt idx="0">
                  <c:v>Non-bioenergy wood users</c:v>
                </c:pt>
              </c:strCache>
            </c:strRef>
          </c:tx>
          <c:spPr>
            <a:solidFill>
              <a:schemeClr val="accent4"/>
            </a:solidFill>
            <a:ln>
              <a:noFill/>
            </a:ln>
            <a:effectLst/>
          </c:spPr>
          <c:invertIfNegative val="0"/>
          <c:cat>
            <c:strRef>
              <c:f>'S30c likelihood'!$DK$248:$DK$252</c:f>
              <c:strCache>
                <c:ptCount val="5"/>
                <c:pt idx="0">
                  <c:v>Definitely not</c:v>
                </c:pt>
                <c:pt idx="1">
                  <c:v>Sometimes</c:v>
                </c:pt>
                <c:pt idx="2">
                  <c:v>Most of the time</c:v>
                </c:pt>
                <c:pt idx="3">
                  <c:v>Yes, always</c:v>
                </c:pt>
                <c:pt idx="4">
                  <c:v>I don’t know</c:v>
                </c:pt>
              </c:strCache>
            </c:strRef>
          </c:cat>
          <c:val>
            <c:numRef>
              <c:f>'S30c likelihood'!$DO$248:$DO$252</c:f>
              <c:numCache>
                <c:formatCode>General</c:formatCode>
                <c:ptCount val="5"/>
                <c:pt idx="0">
                  <c:v>0</c:v>
                </c:pt>
                <c:pt idx="1">
                  <c:v>0</c:v>
                </c:pt>
                <c:pt idx="2">
                  <c:v>0</c:v>
                </c:pt>
                <c:pt idx="3">
                  <c:v>0</c:v>
                </c:pt>
                <c:pt idx="4">
                  <c:v>0</c:v>
                </c:pt>
              </c:numCache>
            </c:numRef>
          </c:val>
        </c:ser>
        <c:ser>
          <c:idx val="4"/>
          <c:order val="4"/>
          <c:tx>
            <c:strRef>
              <c:f>'S30c likelihood'!$DP$247</c:f>
              <c:strCache>
                <c:ptCount val="1"/>
                <c:pt idx="0">
                  <c:v>Policy makers and academia</c:v>
                </c:pt>
              </c:strCache>
            </c:strRef>
          </c:tx>
          <c:spPr>
            <a:solidFill>
              <a:schemeClr val="accent5"/>
            </a:solidFill>
            <a:ln>
              <a:noFill/>
            </a:ln>
            <a:effectLst/>
          </c:spPr>
          <c:invertIfNegative val="0"/>
          <c:cat>
            <c:strRef>
              <c:f>'S30c likelihood'!$DK$248:$DK$252</c:f>
              <c:strCache>
                <c:ptCount val="5"/>
                <c:pt idx="0">
                  <c:v>Definitely not</c:v>
                </c:pt>
                <c:pt idx="1">
                  <c:v>Sometimes</c:v>
                </c:pt>
                <c:pt idx="2">
                  <c:v>Most of the time</c:v>
                </c:pt>
                <c:pt idx="3">
                  <c:v>Yes, always</c:v>
                </c:pt>
                <c:pt idx="4">
                  <c:v>I don’t know</c:v>
                </c:pt>
              </c:strCache>
            </c:strRef>
          </c:cat>
          <c:val>
            <c:numRef>
              <c:f>'S30c likelihood'!$DP$248:$DP$252</c:f>
              <c:numCache>
                <c:formatCode>0</c:formatCode>
                <c:ptCount val="5"/>
                <c:pt idx="0">
                  <c:v>0</c:v>
                </c:pt>
                <c:pt idx="1">
                  <c:v>0</c:v>
                </c:pt>
                <c:pt idx="2">
                  <c:v>0</c:v>
                </c:pt>
                <c:pt idx="3">
                  <c:v>0</c:v>
                </c:pt>
                <c:pt idx="4">
                  <c:v>0</c:v>
                </c:pt>
              </c:numCache>
            </c:numRef>
          </c:val>
        </c:ser>
        <c:ser>
          <c:idx val="5"/>
          <c:order val="5"/>
          <c:tx>
            <c:strRef>
              <c:f>'S30c likelihood'!$DQ$247</c:f>
              <c:strCache>
                <c:ptCount val="1"/>
                <c:pt idx="0">
                  <c:v>NGOs</c:v>
                </c:pt>
              </c:strCache>
            </c:strRef>
          </c:tx>
          <c:spPr>
            <a:solidFill>
              <a:schemeClr val="accent6"/>
            </a:solidFill>
            <a:ln>
              <a:noFill/>
            </a:ln>
            <a:effectLst/>
          </c:spPr>
          <c:invertIfNegative val="0"/>
          <c:cat>
            <c:strRef>
              <c:f>'S30c likelihood'!$DK$248:$DK$252</c:f>
              <c:strCache>
                <c:ptCount val="5"/>
                <c:pt idx="0">
                  <c:v>Definitely not</c:v>
                </c:pt>
                <c:pt idx="1">
                  <c:v>Sometimes</c:v>
                </c:pt>
                <c:pt idx="2">
                  <c:v>Most of the time</c:v>
                </c:pt>
                <c:pt idx="3">
                  <c:v>Yes, always</c:v>
                </c:pt>
                <c:pt idx="4">
                  <c:v>I don’t know</c:v>
                </c:pt>
              </c:strCache>
            </c:strRef>
          </c:cat>
          <c:val>
            <c:numRef>
              <c:f>'S30c likelihood'!$DQ$248:$DQ$252</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84997376"/>
        <c:axId val="184998912"/>
      </c:barChart>
      <c:catAx>
        <c:axId val="18499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4998912"/>
        <c:crosses val="autoZero"/>
        <c:auto val="1"/>
        <c:lblAlgn val="ctr"/>
        <c:lblOffset val="100"/>
        <c:noMultiLvlLbl val="0"/>
      </c:catAx>
      <c:valAx>
        <c:axId val="184998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84997376"/>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likelihood'!$AM$234:$AM$240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likelihood'!$AO$234:$AO$240</c:f>
              <c:numCache>
                <c:formatCode>0%</c:formatCode>
                <c:ptCount val="7"/>
                <c:pt idx="0">
                  <c:v>0.5625</c:v>
                </c:pt>
                <c:pt idx="1">
                  <c:v>0.125</c:v>
                </c:pt>
                <c:pt idx="2">
                  <c:v>0.1875</c:v>
                </c:pt>
                <c:pt idx="3">
                  <c:v>6.25E-2</c:v>
                </c:pt>
                <c:pt idx="4">
                  <c:v>0</c:v>
                </c:pt>
                <c:pt idx="5">
                  <c:v>0</c:v>
                </c:pt>
                <c:pt idx="6">
                  <c:v>6.25E-2</c:v>
                </c:pt>
              </c:numCache>
            </c:numRef>
          </c:val>
        </c:ser>
        <c:dLbls>
          <c:showLegendKey val="0"/>
          <c:showVal val="0"/>
          <c:showCatName val="0"/>
          <c:showSerName val="0"/>
          <c:showPercent val="0"/>
          <c:showBubbleSize val="0"/>
        </c:dLbls>
        <c:gapWidth val="219"/>
        <c:overlap val="-27"/>
        <c:axId val="139398528"/>
        <c:axId val="139412608"/>
      </c:barChart>
      <c:catAx>
        <c:axId val="139398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9412608"/>
        <c:crosses val="autoZero"/>
        <c:auto val="1"/>
        <c:lblAlgn val="ctr"/>
        <c:lblOffset val="100"/>
        <c:tickLblSkip val="1"/>
        <c:noMultiLvlLbl val="0"/>
      </c:catAx>
      <c:valAx>
        <c:axId val="1394126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398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'S30c likelihood'!$DL$279</c:f>
              <c:strCache>
                <c:ptCount val="1"/>
                <c:pt idx="0">
                  <c:v>Forest owners/managers</c:v>
                </c:pt>
              </c:strCache>
            </c:strRef>
          </c:tx>
          <c:invertIfNegative val="0"/>
          <c:cat>
            <c:strRef>
              <c:f>'S30c likelihood'!$DK$280:$DK$284</c:f>
              <c:strCache>
                <c:ptCount val="5"/>
                <c:pt idx="0">
                  <c:v>Definitely not</c:v>
                </c:pt>
                <c:pt idx="1">
                  <c:v>Sometimes</c:v>
                </c:pt>
                <c:pt idx="2">
                  <c:v>Most of the time</c:v>
                </c:pt>
                <c:pt idx="3">
                  <c:v>Yes, always</c:v>
                </c:pt>
                <c:pt idx="4">
                  <c:v>I don’t know</c:v>
                </c:pt>
              </c:strCache>
            </c:strRef>
          </c:cat>
          <c:val>
            <c:numRef>
              <c:f>'S30c likelihood'!$DL$280:$DL$284</c:f>
              <c:numCache>
                <c:formatCode>0%</c:formatCode>
                <c:ptCount val="5"/>
                <c:pt idx="0">
                  <c:v>5.5555555555555552E-2</c:v>
                </c:pt>
                <c:pt idx="1">
                  <c:v>5.5555555555555552E-2</c:v>
                </c:pt>
                <c:pt idx="2">
                  <c:v>5.5555555555555552E-2</c:v>
                </c:pt>
                <c:pt idx="3">
                  <c:v>0</c:v>
                </c:pt>
                <c:pt idx="4">
                  <c:v>0</c:v>
                </c:pt>
              </c:numCache>
            </c:numRef>
          </c:val>
        </c:ser>
        <c:ser>
          <c:idx val="1"/>
          <c:order val="1"/>
          <c:tx>
            <c:strRef>
              <c:f>'S30c likelihood'!$DM$279</c:f>
              <c:strCache>
                <c:ptCount val="1"/>
                <c:pt idx="0">
                  <c:v>Pellet producers</c:v>
                </c:pt>
              </c:strCache>
            </c:strRef>
          </c:tx>
          <c:invertIfNegative val="0"/>
          <c:cat>
            <c:strRef>
              <c:f>'S30c likelihood'!$DK$280:$DK$284</c:f>
              <c:strCache>
                <c:ptCount val="5"/>
                <c:pt idx="0">
                  <c:v>Definitely not</c:v>
                </c:pt>
                <c:pt idx="1">
                  <c:v>Sometimes</c:v>
                </c:pt>
                <c:pt idx="2">
                  <c:v>Most of the time</c:v>
                </c:pt>
                <c:pt idx="3">
                  <c:v>Yes, always</c:v>
                </c:pt>
                <c:pt idx="4">
                  <c:v>I don’t know</c:v>
                </c:pt>
              </c:strCache>
            </c:strRef>
          </c:cat>
          <c:val>
            <c:numRef>
              <c:f>'S30c likelihood'!$DM$280:$DM$284</c:f>
              <c:numCache>
                <c:formatCode>0%</c:formatCode>
                <c:ptCount val="5"/>
                <c:pt idx="0">
                  <c:v>0</c:v>
                </c:pt>
                <c:pt idx="1">
                  <c:v>0</c:v>
                </c:pt>
                <c:pt idx="2">
                  <c:v>0</c:v>
                </c:pt>
                <c:pt idx="3">
                  <c:v>0</c:v>
                </c:pt>
                <c:pt idx="4">
                  <c:v>0</c:v>
                </c:pt>
              </c:numCache>
            </c:numRef>
          </c:val>
        </c:ser>
        <c:ser>
          <c:idx val="2"/>
          <c:order val="2"/>
          <c:tx>
            <c:strRef>
              <c:f>'S30c likelihood'!$DN$279</c:f>
              <c:strCache>
                <c:ptCount val="1"/>
                <c:pt idx="0">
                  <c:v>Pellet users</c:v>
                </c:pt>
              </c:strCache>
            </c:strRef>
          </c:tx>
          <c:invertIfNegative val="0"/>
          <c:cat>
            <c:strRef>
              <c:f>'S30c likelihood'!$DK$280:$DK$284</c:f>
              <c:strCache>
                <c:ptCount val="5"/>
                <c:pt idx="0">
                  <c:v>Definitely not</c:v>
                </c:pt>
                <c:pt idx="1">
                  <c:v>Sometimes</c:v>
                </c:pt>
                <c:pt idx="2">
                  <c:v>Most of the time</c:v>
                </c:pt>
                <c:pt idx="3">
                  <c:v>Yes, always</c:v>
                </c:pt>
                <c:pt idx="4">
                  <c:v>I don’t know</c:v>
                </c:pt>
              </c:strCache>
            </c:strRef>
          </c:cat>
          <c:val>
            <c:numRef>
              <c:f>'S30c likelihood'!$DN$280:$DN$284</c:f>
              <c:numCache>
                <c:formatCode>0%</c:formatCode>
                <c:ptCount val="5"/>
                <c:pt idx="0">
                  <c:v>0</c:v>
                </c:pt>
                <c:pt idx="1">
                  <c:v>0.16666666666666666</c:v>
                </c:pt>
                <c:pt idx="2">
                  <c:v>0</c:v>
                </c:pt>
                <c:pt idx="3">
                  <c:v>0</c:v>
                </c:pt>
                <c:pt idx="4">
                  <c:v>0</c:v>
                </c:pt>
              </c:numCache>
            </c:numRef>
          </c:val>
        </c:ser>
        <c:ser>
          <c:idx val="3"/>
          <c:order val="3"/>
          <c:tx>
            <c:strRef>
              <c:f>'S30c likelihood'!$DO$279</c:f>
              <c:strCache>
                <c:ptCount val="1"/>
                <c:pt idx="0">
                  <c:v>Non-bioenergy wood users</c:v>
                </c:pt>
              </c:strCache>
            </c:strRef>
          </c:tx>
          <c:invertIfNegative val="0"/>
          <c:cat>
            <c:strRef>
              <c:f>'S30c likelihood'!$DK$280:$DK$284</c:f>
              <c:strCache>
                <c:ptCount val="5"/>
                <c:pt idx="0">
                  <c:v>Definitely not</c:v>
                </c:pt>
                <c:pt idx="1">
                  <c:v>Sometimes</c:v>
                </c:pt>
                <c:pt idx="2">
                  <c:v>Most of the time</c:v>
                </c:pt>
                <c:pt idx="3">
                  <c:v>Yes, always</c:v>
                </c:pt>
                <c:pt idx="4">
                  <c:v>I don’t know</c:v>
                </c:pt>
              </c:strCache>
            </c:strRef>
          </c:cat>
          <c:val>
            <c:numRef>
              <c:f>'S30c likelihood'!$DO$280:$DO$284</c:f>
              <c:numCache>
                <c:formatCode>0%</c:formatCode>
                <c:ptCount val="5"/>
                <c:pt idx="0">
                  <c:v>0</c:v>
                </c:pt>
                <c:pt idx="1">
                  <c:v>0</c:v>
                </c:pt>
                <c:pt idx="2">
                  <c:v>0</c:v>
                </c:pt>
                <c:pt idx="3">
                  <c:v>0</c:v>
                </c:pt>
                <c:pt idx="4">
                  <c:v>0</c:v>
                </c:pt>
              </c:numCache>
            </c:numRef>
          </c:val>
        </c:ser>
        <c:ser>
          <c:idx val="4"/>
          <c:order val="4"/>
          <c:tx>
            <c:strRef>
              <c:f>'S30c likelihood'!$DP$279</c:f>
              <c:strCache>
                <c:ptCount val="1"/>
                <c:pt idx="0">
                  <c:v>Policy makers and academia</c:v>
                </c:pt>
              </c:strCache>
            </c:strRef>
          </c:tx>
          <c:invertIfNegative val="0"/>
          <c:cat>
            <c:strRef>
              <c:f>'S30c likelihood'!$DK$280:$DK$284</c:f>
              <c:strCache>
                <c:ptCount val="5"/>
                <c:pt idx="0">
                  <c:v>Definitely not</c:v>
                </c:pt>
                <c:pt idx="1">
                  <c:v>Sometimes</c:v>
                </c:pt>
                <c:pt idx="2">
                  <c:v>Most of the time</c:v>
                </c:pt>
                <c:pt idx="3">
                  <c:v>Yes, always</c:v>
                </c:pt>
                <c:pt idx="4">
                  <c:v>I don’t know</c:v>
                </c:pt>
              </c:strCache>
            </c:strRef>
          </c:cat>
          <c:val>
            <c:numRef>
              <c:f>'S30c likelihood'!$DP$280:$DP$284</c:f>
              <c:numCache>
                <c:formatCode>0%</c:formatCode>
                <c:ptCount val="5"/>
                <c:pt idx="0">
                  <c:v>0</c:v>
                </c:pt>
                <c:pt idx="1">
                  <c:v>0</c:v>
                </c:pt>
                <c:pt idx="2">
                  <c:v>0</c:v>
                </c:pt>
                <c:pt idx="3">
                  <c:v>0</c:v>
                </c:pt>
                <c:pt idx="4">
                  <c:v>0</c:v>
                </c:pt>
              </c:numCache>
            </c:numRef>
          </c:val>
        </c:ser>
        <c:ser>
          <c:idx val="5"/>
          <c:order val="5"/>
          <c:tx>
            <c:strRef>
              <c:f>'S30c likelihood'!$DQ$279</c:f>
              <c:strCache>
                <c:ptCount val="1"/>
                <c:pt idx="0">
                  <c:v>NGOs</c:v>
                </c:pt>
              </c:strCache>
            </c:strRef>
          </c:tx>
          <c:invertIfNegative val="0"/>
          <c:cat>
            <c:strRef>
              <c:f>'S30c likelihood'!$DK$280:$DK$284</c:f>
              <c:strCache>
                <c:ptCount val="5"/>
                <c:pt idx="0">
                  <c:v>Definitely not</c:v>
                </c:pt>
                <c:pt idx="1">
                  <c:v>Sometimes</c:v>
                </c:pt>
                <c:pt idx="2">
                  <c:v>Most of the time</c:v>
                </c:pt>
                <c:pt idx="3">
                  <c:v>Yes, always</c:v>
                </c:pt>
                <c:pt idx="4">
                  <c:v>I don’t know</c:v>
                </c:pt>
              </c:strCache>
            </c:strRef>
          </c:cat>
          <c:val>
            <c:numRef>
              <c:f>'S30c likelihood'!$DQ$280:$DQ$284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55"/>
        <c:overlap val="100"/>
        <c:axId val="185100928"/>
        <c:axId val="185119104"/>
      </c:barChart>
      <c:catAx>
        <c:axId val="18510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119104"/>
        <c:crosses val="autoZero"/>
        <c:auto val="1"/>
        <c:lblAlgn val="ctr"/>
        <c:lblOffset val="100"/>
        <c:noMultiLvlLbl val="0"/>
      </c:catAx>
      <c:valAx>
        <c:axId val="185119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1009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likelihood'!$B$54</c:f>
          <c:strCache>
            <c:ptCount val="1"/>
            <c:pt idx="0">
              <c:v>Forest owners/managers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4358976678211456E-2"/>
          <c:y val="0.19836010498687665"/>
          <c:w val="0.90741367371914783"/>
          <c:h val="0.655016062992126"/>
        </c:manualLayout>
      </c:layout>
      <c:barChart>
        <c:barDir val="col"/>
        <c:grouping val="clustered"/>
        <c:varyColors val="0"/>
        <c:ser>
          <c:idx val="0"/>
          <c:order val="0"/>
          <c:spPr>
            <a:solidFill>
              <a:schemeClr val="accent1"/>
            </a:solidFill>
            <a:ln>
              <a:noFill/>
            </a:ln>
            <a:effectLst/>
          </c:spPr>
          <c:invertIfNegative val="0"/>
          <c:cat>
            <c:strRef>
              <c:f>'S30d likelihood'!$G$72:$G$76</c:f>
              <c:strCache>
                <c:ptCount val="5"/>
                <c:pt idx="0">
                  <c:v>Definitely not</c:v>
                </c:pt>
                <c:pt idx="1">
                  <c:v>Sometimes</c:v>
                </c:pt>
                <c:pt idx="2">
                  <c:v>Most of the time</c:v>
                </c:pt>
                <c:pt idx="3">
                  <c:v>Yes, always</c:v>
                </c:pt>
                <c:pt idx="4">
                  <c:v>I don’t know</c:v>
                </c:pt>
              </c:strCache>
            </c:strRef>
          </c:cat>
          <c:val>
            <c:numRef>
              <c:f>'S30d likelihood'!$I$72:$I$76</c:f>
              <c:numCache>
                <c:formatCode>0%</c:formatCode>
                <c:ptCount val="5"/>
                <c:pt idx="0">
                  <c:v>0.5</c:v>
                </c:pt>
                <c:pt idx="1">
                  <c:v>0</c:v>
                </c:pt>
                <c:pt idx="2">
                  <c:v>0</c:v>
                </c:pt>
                <c:pt idx="3">
                  <c:v>0</c:v>
                </c:pt>
                <c:pt idx="4">
                  <c:v>0.5</c:v>
                </c:pt>
              </c:numCache>
            </c:numRef>
          </c:val>
        </c:ser>
        <c:dLbls>
          <c:showLegendKey val="0"/>
          <c:showVal val="0"/>
          <c:showCatName val="0"/>
          <c:showSerName val="0"/>
          <c:showPercent val="0"/>
          <c:showBubbleSize val="0"/>
        </c:dLbls>
        <c:gapWidth val="219"/>
        <c:overlap val="-27"/>
        <c:axId val="186087680"/>
        <c:axId val="186089472"/>
      </c:barChart>
      <c:catAx>
        <c:axId val="1860876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089472"/>
        <c:crosses val="autoZero"/>
        <c:auto val="0"/>
        <c:lblAlgn val="ctr"/>
        <c:lblOffset val="100"/>
        <c:tickLblSkip val="1"/>
        <c:noMultiLvlLbl val="0"/>
      </c:catAx>
      <c:valAx>
        <c:axId val="1860894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087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likelihood'!$B$81</c:f>
          <c:strCache>
            <c:ptCount val="1"/>
            <c:pt idx="0">
              <c:v>Pellet producers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likelihood'!$G$99:$G$103</c:f>
              <c:strCache>
                <c:ptCount val="5"/>
                <c:pt idx="0">
                  <c:v>Definitely not</c:v>
                </c:pt>
                <c:pt idx="1">
                  <c:v>Sometimes</c:v>
                </c:pt>
                <c:pt idx="2">
                  <c:v>Most of the time</c:v>
                </c:pt>
                <c:pt idx="3">
                  <c:v>Yes, always</c:v>
                </c:pt>
                <c:pt idx="4">
                  <c:v>I don’t know</c:v>
                </c:pt>
              </c:strCache>
            </c:strRef>
          </c:cat>
          <c:val>
            <c:numRef>
              <c:f>'S30d likelihood'!$I$99:$I$103</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86096640"/>
        <c:axId val="186118912"/>
      </c:barChart>
      <c:catAx>
        <c:axId val="18609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118912"/>
        <c:crosses val="autoZero"/>
        <c:auto val="1"/>
        <c:lblAlgn val="ctr"/>
        <c:lblOffset val="100"/>
        <c:tickLblSkip val="1"/>
        <c:noMultiLvlLbl val="0"/>
      </c:catAx>
      <c:valAx>
        <c:axId val="1861189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096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likelihood'!$B$108</c:f>
          <c:strCache>
            <c:ptCount val="1"/>
            <c:pt idx="0">
              <c:v>Pellet users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likelihood'!$G$126:$G$130</c:f>
              <c:strCache>
                <c:ptCount val="5"/>
                <c:pt idx="0">
                  <c:v>Definitely not</c:v>
                </c:pt>
                <c:pt idx="1">
                  <c:v>Sometimes</c:v>
                </c:pt>
                <c:pt idx="2">
                  <c:v>Most of the time</c:v>
                </c:pt>
                <c:pt idx="3">
                  <c:v>Yes, always</c:v>
                </c:pt>
                <c:pt idx="4">
                  <c:v>I don’t know</c:v>
                </c:pt>
              </c:strCache>
            </c:strRef>
          </c:cat>
          <c:val>
            <c:numRef>
              <c:f>'S30d likelihood'!$I$126:$I$130</c:f>
              <c:numCache>
                <c:formatCode>0%</c:formatCode>
                <c:ptCount val="5"/>
                <c:pt idx="0">
                  <c:v>1</c:v>
                </c:pt>
                <c:pt idx="1">
                  <c:v>0</c:v>
                </c:pt>
                <c:pt idx="2">
                  <c:v>0</c:v>
                </c:pt>
                <c:pt idx="3">
                  <c:v>0</c:v>
                </c:pt>
                <c:pt idx="4">
                  <c:v>0</c:v>
                </c:pt>
              </c:numCache>
            </c:numRef>
          </c:val>
        </c:ser>
        <c:dLbls>
          <c:showLegendKey val="0"/>
          <c:showVal val="0"/>
          <c:showCatName val="0"/>
          <c:showSerName val="0"/>
          <c:showPercent val="0"/>
          <c:showBubbleSize val="0"/>
        </c:dLbls>
        <c:gapWidth val="219"/>
        <c:overlap val="-27"/>
        <c:axId val="186151296"/>
        <c:axId val="186152832"/>
      </c:barChart>
      <c:catAx>
        <c:axId val="18615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152832"/>
        <c:crosses val="autoZero"/>
        <c:auto val="1"/>
        <c:lblAlgn val="ctr"/>
        <c:lblOffset val="100"/>
        <c:tickLblSkip val="1"/>
        <c:noMultiLvlLbl val="0"/>
      </c:catAx>
      <c:valAx>
        <c:axId val="186152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151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285969007374033E-2"/>
          <c:y val="0.21013864133923571"/>
          <c:w val="0.88492496601529258"/>
          <c:h val="0.55709476178167172"/>
        </c:manualLayout>
      </c:layout>
      <c:barChart>
        <c:barDir val="col"/>
        <c:grouping val="clustered"/>
        <c:varyColors val="0"/>
        <c:ser>
          <c:idx val="0"/>
          <c:order val="0"/>
          <c:spPr>
            <a:solidFill>
              <a:schemeClr val="accent1"/>
            </a:solidFill>
            <a:ln>
              <a:noFill/>
            </a:ln>
            <a:effectLst/>
          </c:spPr>
          <c:invertIfNegative val="0"/>
          <c:cat>
            <c:strRef>
              <c:f>'S30d likelihood'!$G$234:$G$238</c:f>
              <c:strCache>
                <c:ptCount val="5"/>
                <c:pt idx="0">
                  <c:v>Definitely not</c:v>
                </c:pt>
                <c:pt idx="1">
                  <c:v>Sometimes</c:v>
                </c:pt>
                <c:pt idx="2">
                  <c:v>Most of the time</c:v>
                </c:pt>
                <c:pt idx="3">
                  <c:v>Yes, always</c:v>
                </c:pt>
                <c:pt idx="4">
                  <c:v>I don’t know</c:v>
                </c:pt>
              </c:strCache>
            </c:strRef>
          </c:cat>
          <c:val>
            <c:numRef>
              <c:f>'S30d likelihood'!$I$234:$I$238</c:f>
              <c:numCache>
                <c:formatCode>0%</c:formatCode>
                <c:ptCount val="5"/>
                <c:pt idx="0">
                  <c:v>0.55555555555555558</c:v>
                </c:pt>
                <c:pt idx="1">
                  <c:v>0.1111111111111111</c:v>
                </c:pt>
                <c:pt idx="2">
                  <c:v>0</c:v>
                </c:pt>
                <c:pt idx="3">
                  <c:v>0</c:v>
                </c:pt>
                <c:pt idx="4">
                  <c:v>0.33333333333333331</c:v>
                </c:pt>
              </c:numCache>
            </c:numRef>
          </c:val>
        </c:ser>
        <c:dLbls>
          <c:showLegendKey val="0"/>
          <c:showVal val="0"/>
          <c:showCatName val="0"/>
          <c:showSerName val="0"/>
          <c:showPercent val="0"/>
          <c:showBubbleSize val="0"/>
        </c:dLbls>
        <c:gapWidth val="219"/>
        <c:overlap val="-27"/>
        <c:axId val="186164736"/>
        <c:axId val="186166272"/>
      </c:barChart>
      <c:catAx>
        <c:axId val="18616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166272"/>
        <c:crosses val="autoZero"/>
        <c:auto val="1"/>
        <c:lblAlgn val="ctr"/>
        <c:lblOffset val="100"/>
        <c:tickLblSkip val="1"/>
        <c:noMultiLvlLbl val="0"/>
      </c:catAx>
      <c:valAx>
        <c:axId val="1861662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164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likelihood'!$C$247</c:f>
              <c:strCache>
                <c:ptCount val="1"/>
                <c:pt idx="0">
                  <c:v>Forest owners/managers</c:v>
                </c:pt>
              </c:strCache>
            </c:strRef>
          </c:tx>
          <c:spPr>
            <a:solidFill>
              <a:schemeClr val="accent1"/>
            </a:solidFill>
            <a:ln>
              <a:noFill/>
            </a:ln>
            <a:effectLst/>
          </c:spPr>
          <c:invertIfNegative val="0"/>
          <c:cat>
            <c:strRef>
              <c:f>'S30d likelihood'!$B$248:$B$252</c:f>
              <c:strCache>
                <c:ptCount val="5"/>
                <c:pt idx="0">
                  <c:v>Definitely not</c:v>
                </c:pt>
                <c:pt idx="1">
                  <c:v>Sometimes</c:v>
                </c:pt>
                <c:pt idx="2">
                  <c:v>Most of the time</c:v>
                </c:pt>
                <c:pt idx="3">
                  <c:v>Yes, always</c:v>
                </c:pt>
                <c:pt idx="4">
                  <c:v>I don’t know</c:v>
                </c:pt>
              </c:strCache>
            </c:strRef>
          </c:cat>
          <c:val>
            <c:numRef>
              <c:f>'S30d likelihood'!$C$248:$C$252</c:f>
              <c:numCache>
                <c:formatCode>General</c:formatCode>
                <c:ptCount val="5"/>
                <c:pt idx="0">
                  <c:v>2</c:v>
                </c:pt>
                <c:pt idx="1">
                  <c:v>0</c:v>
                </c:pt>
                <c:pt idx="2">
                  <c:v>0</c:v>
                </c:pt>
                <c:pt idx="3">
                  <c:v>0</c:v>
                </c:pt>
                <c:pt idx="4">
                  <c:v>2</c:v>
                </c:pt>
              </c:numCache>
            </c:numRef>
          </c:val>
        </c:ser>
        <c:ser>
          <c:idx val="1"/>
          <c:order val="1"/>
          <c:tx>
            <c:strRef>
              <c:f>'S30d likelihood'!$D$247</c:f>
              <c:strCache>
                <c:ptCount val="1"/>
                <c:pt idx="0">
                  <c:v>Pellet producers</c:v>
                </c:pt>
              </c:strCache>
            </c:strRef>
          </c:tx>
          <c:spPr>
            <a:solidFill>
              <a:schemeClr val="accent2"/>
            </a:solidFill>
            <a:ln>
              <a:noFill/>
            </a:ln>
            <a:effectLst/>
          </c:spPr>
          <c:invertIfNegative val="0"/>
          <c:cat>
            <c:strRef>
              <c:f>'S30d likelihood'!$B$248:$B$252</c:f>
              <c:strCache>
                <c:ptCount val="5"/>
                <c:pt idx="0">
                  <c:v>Definitely not</c:v>
                </c:pt>
                <c:pt idx="1">
                  <c:v>Sometimes</c:v>
                </c:pt>
                <c:pt idx="2">
                  <c:v>Most of the time</c:v>
                </c:pt>
                <c:pt idx="3">
                  <c:v>Yes, always</c:v>
                </c:pt>
                <c:pt idx="4">
                  <c:v>I don’t know</c:v>
                </c:pt>
              </c:strCache>
            </c:strRef>
          </c:cat>
          <c:val>
            <c:numRef>
              <c:f>'S30d likelihood'!$D$248:$D$252</c:f>
              <c:numCache>
                <c:formatCode>0</c:formatCode>
                <c:ptCount val="5"/>
                <c:pt idx="0">
                  <c:v>0</c:v>
                </c:pt>
                <c:pt idx="1">
                  <c:v>0</c:v>
                </c:pt>
                <c:pt idx="2">
                  <c:v>0</c:v>
                </c:pt>
                <c:pt idx="3">
                  <c:v>0</c:v>
                </c:pt>
                <c:pt idx="4">
                  <c:v>0</c:v>
                </c:pt>
              </c:numCache>
            </c:numRef>
          </c:val>
        </c:ser>
        <c:ser>
          <c:idx val="2"/>
          <c:order val="2"/>
          <c:tx>
            <c:strRef>
              <c:f>'S30d likelihood'!$E$247</c:f>
              <c:strCache>
                <c:ptCount val="1"/>
                <c:pt idx="0">
                  <c:v>Pellet users</c:v>
                </c:pt>
              </c:strCache>
            </c:strRef>
          </c:tx>
          <c:spPr>
            <a:solidFill>
              <a:schemeClr val="accent3"/>
            </a:solidFill>
            <a:ln>
              <a:noFill/>
            </a:ln>
            <a:effectLst/>
          </c:spPr>
          <c:invertIfNegative val="0"/>
          <c:cat>
            <c:strRef>
              <c:f>'S30d likelihood'!$B$248:$B$252</c:f>
              <c:strCache>
                <c:ptCount val="5"/>
                <c:pt idx="0">
                  <c:v>Definitely not</c:v>
                </c:pt>
                <c:pt idx="1">
                  <c:v>Sometimes</c:v>
                </c:pt>
                <c:pt idx="2">
                  <c:v>Most of the time</c:v>
                </c:pt>
                <c:pt idx="3">
                  <c:v>Yes, always</c:v>
                </c:pt>
                <c:pt idx="4">
                  <c:v>I don’t know</c:v>
                </c:pt>
              </c:strCache>
            </c:strRef>
          </c:cat>
          <c:val>
            <c:numRef>
              <c:f>'S30d likelihood'!$E$248:$E$252</c:f>
              <c:numCache>
                <c:formatCode>General</c:formatCode>
                <c:ptCount val="5"/>
                <c:pt idx="0">
                  <c:v>2</c:v>
                </c:pt>
                <c:pt idx="1">
                  <c:v>0</c:v>
                </c:pt>
                <c:pt idx="2">
                  <c:v>0</c:v>
                </c:pt>
                <c:pt idx="3">
                  <c:v>0</c:v>
                </c:pt>
                <c:pt idx="4">
                  <c:v>0</c:v>
                </c:pt>
              </c:numCache>
            </c:numRef>
          </c:val>
        </c:ser>
        <c:ser>
          <c:idx val="3"/>
          <c:order val="3"/>
          <c:tx>
            <c:strRef>
              <c:f>'S30d likelihood'!$F$247</c:f>
              <c:strCache>
                <c:ptCount val="1"/>
                <c:pt idx="0">
                  <c:v>Non-bioenergy wood users</c:v>
                </c:pt>
              </c:strCache>
            </c:strRef>
          </c:tx>
          <c:spPr>
            <a:solidFill>
              <a:schemeClr val="accent4"/>
            </a:solidFill>
            <a:ln>
              <a:noFill/>
            </a:ln>
            <a:effectLst/>
          </c:spPr>
          <c:invertIfNegative val="0"/>
          <c:cat>
            <c:strRef>
              <c:f>'S30d likelihood'!$B$248:$B$252</c:f>
              <c:strCache>
                <c:ptCount val="5"/>
                <c:pt idx="0">
                  <c:v>Definitely not</c:v>
                </c:pt>
                <c:pt idx="1">
                  <c:v>Sometimes</c:v>
                </c:pt>
                <c:pt idx="2">
                  <c:v>Most of the time</c:v>
                </c:pt>
                <c:pt idx="3">
                  <c:v>Yes, always</c:v>
                </c:pt>
                <c:pt idx="4">
                  <c:v>I don’t know</c:v>
                </c:pt>
              </c:strCache>
            </c:strRef>
          </c:cat>
          <c:val>
            <c:numRef>
              <c:f>'S30d likelihood'!$F$248:$F$252</c:f>
              <c:numCache>
                <c:formatCode>General</c:formatCode>
                <c:ptCount val="5"/>
                <c:pt idx="0">
                  <c:v>0</c:v>
                </c:pt>
                <c:pt idx="1">
                  <c:v>0</c:v>
                </c:pt>
                <c:pt idx="2">
                  <c:v>0</c:v>
                </c:pt>
                <c:pt idx="3">
                  <c:v>0</c:v>
                </c:pt>
                <c:pt idx="4">
                  <c:v>1</c:v>
                </c:pt>
              </c:numCache>
            </c:numRef>
          </c:val>
        </c:ser>
        <c:ser>
          <c:idx val="4"/>
          <c:order val="4"/>
          <c:tx>
            <c:strRef>
              <c:f>'S30d likelihood'!$G$247</c:f>
              <c:strCache>
                <c:ptCount val="1"/>
                <c:pt idx="0">
                  <c:v>Policy makers and academia</c:v>
                </c:pt>
              </c:strCache>
            </c:strRef>
          </c:tx>
          <c:spPr>
            <a:solidFill>
              <a:schemeClr val="accent5"/>
            </a:solidFill>
            <a:ln>
              <a:noFill/>
            </a:ln>
            <a:effectLst/>
          </c:spPr>
          <c:invertIfNegative val="0"/>
          <c:cat>
            <c:strRef>
              <c:f>'S30d likelihood'!$B$248:$B$252</c:f>
              <c:strCache>
                <c:ptCount val="5"/>
                <c:pt idx="0">
                  <c:v>Definitely not</c:v>
                </c:pt>
                <c:pt idx="1">
                  <c:v>Sometimes</c:v>
                </c:pt>
                <c:pt idx="2">
                  <c:v>Most of the time</c:v>
                </c:pt>
                <c:pt idx="3">
                  <c:v>Yes, always</c:v>
                </c:pt>
                <c:pt idx="4">
                  <c:v>I don’t know</c:v>
                </c:pt>
              </c:strCache>
            </c:strRef>
          </c:cat>
          <c:val>
            <c:numRef>
              <c:f>'S30d likelihood'!$G$248:$G$252</c:f>
              <c:numCache>
                <c:formatCode>0</c:formatCode>
                <c:ptCount val="5"/>
                <c:pt idx="0">
                  <c:v>1</c:v>
                </c:pt>
                <c:pt idx="1">
                  <c:v>1</c:v>
                </c:pt>
                <c:pt idx="2">
                  <c:v>0</c:v>
                </c:pt>
                <c:pt idx="3">
                  <c:v>0</c:v>
                </c:pt>
                <c:pt idx="4">
                  <c:v>0</c:v>
                </c:pt>
              </c:numCache>
            </c:numRef>
          </c:val>
        </c:ser>
        <c:ser>
          <c:idx val="5"/>
          <c:order val="5"/>
          <c:tx>
            <c:strRef>
              <c:f>'S30d likelihood'!$H$247</c:f>
              <c:strCache>
                <c:ptCount val="1"/>
                <c:pt idx="0">
                  <c:v>NGOs</c:v>
                </c:pt>
              </c:strCache>
            </c:strRef>
          </c:tx>
          <c:spPr>
            <a:solidFill>
              <a:schemeClr val="accent6"/>
            </a:solidFill>
            <a:ln>
              <a:noFill/>
            </a:ln>
            <a:effectLst/>
          </c:spPr>
          <c:invertIfNegative val="0"/>
          <c:cat>
            <c:strRef>
              <c:f>'S30d likelihood'!$B$248:$B$252</c:f>
              <c:strCache>
                <c:ptCount val="5"/>
                <c:pt idx="0">
                  <c:v>Definitely not</c:v>
                </c:pt>
                <c:pt idx="1">
                  <c:v>Sometimes</c:v>
                </c:pt>
                <c:pt idx="2">
                  <c:v>Most of the time</c:v>
                </c:pt>
                <c:pt idx="3">
                  <c:v>Yes, always</c:v>
                </c:pt>
                <c:pt idx="4">
                  <c:v>I don’t know</c:v>
                </c:pt>
              </c:strCache>
            </c:strRef>
          </c:cat>
          <c:val>
            <c:numRef>
              <c:f>'S30d likelihood'!$H$248:$H$252</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85899648"/>
        <c:axId val="185917824"/>
      </c:barChart>
      <c:catAx>
        <c:axId val="1858996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917824"/>
        <c:crosses val="autoZero"/>
        <c:auto val="1"/>
        <c:lblAlgn val="ctr"/>
        <c:lblOffset val="100"/>
        <c:noMultiLvlLbl val="0"/>
      </c:catAx>
      <c:valAx>
        <c:axId val="185917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8589964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likelihood'!$C$279</c:f>
              <c:strCache>
                <c:ptCount val="1"/>
                <c:pt idx="0">
                  <c:v>Forest owners/managers</c:v>
                </c:pt>
              </c:strCache>
            </c:strRef>
          </c:tx>
          <c:invertIfNegative val="0"/>
          <c:cat>
            <c:strRef>
              <c:f>'S30d likelihood'!$B$280:$B$284</c:f>
              <c:strCache>
                <c:ptCount val="5"/>
                <c:pt idx="0">
                  <c:v>Definitely not</c:v>
                </c:pt>
                <c:pt idx="1">
                  <c:v>Sometimes</c:v>
                </c:pt>
                <c:pt idx="2">
                  <c:v>Most of the time</c:v>
                </c:pt>
                <c:pt idx="3">
                  <c:v>Yes, always</c:v>
                </c:pt>
                <c:pt idx="4">
                  <c:v>I don’t know</c:v>
                </c:pt>
              </c:strCache>
            </c:strRef>
          </c:cat>
          <c:val>
            <c:numRef>
              <c:f>'S30d likelihood'!$C$280:$C$284</c:f>
              <c:numCache>
                <c:formatCode>0%</c:formatCode>
                <c:ptCount val="5"/>
                <c:pt idx="0">
                  <c:v>8.3333333333333329E-2</c:v>
                </c:pt>
                <c:pt idx="1">
                  <c:v>0</c:v>
                </c:pt>
                <c:pt idx="2">
                  <c:v>0</c:v>
                </c:pt>
                <c:pt idx="3">
                  <c:v>0</c:v>
                </c:pt>
                <c:pt idx="4">
                  <c:v>8.3333333333333329E-2</c:v>
                </c:pt>
              </c:numCache>
            </c:numRef>
          </c:val>
        </c:ser>
        <c:ser>
          <c:idx val="1"/>
          <c:order val="1"/>
          <c:tx>
            <c:strRef>
              <c:f>'S30d likelihood'!$D$279</c:f>
              <c:strCache>
                <c:ptCount val="1"/>
                <c:pt idx="0">
                  <c:v>Pellet producers</c:v>
                </c:pt>
              </c:strCache>
            </c:strRef>
          </c:tx>
          <c:invertIfNegative val="0"/>
          <c:cat>
            <c:strRef>
              <c:f>'S30d likelihood'!$B$280:$B$284</c:f>
              <c:strCache>
                <c:ptCount val="5"/>
                <c:pt idx="0">
                  <c:v>Definitely not</c:v>
                </c:pt>
                <c:pt idx="1">
                  <c:v>Sometimes</c:v>
                </c:pt>
                <c:pt idx="2">
                  <c:v>Most of the time</c:v>
                </c:pt>
                <c:pt idx="3">
                  <c:v>Yes, always</c:v>
                </c:pt>
                <c:pt idx="4">
                  <c:v>I don’t know</c:v>
                </c:pt>
              </c:strCache>
            </c:strRef>
          </c:cat>
          <c:val>
            <c:numRef>
              <c:f>'S30d likelihood'!$D$280:$D$284</c:f>
              <c:numCache>
                <c:formatCode>0%</c:formatCode>
                <c:ptCount val="5"/>
                <c:pt idx="0">
                  <c:v>0</c:v>
                </c:pt>
                <c:pt idx="1">
                  <c:v>0</c:v>
                </c:pt>
                <c:pt idx="2">
                  <c:v>0</c:v>
                </c:pt>
                <c:pt idx="3">
                  <c:v>0</c:v>
                </c:pt>
                <c:pt idx="4">
                  <c:v>0</c:v>
                </c:pt>
              </c:numCache>
            </c:numRef>
          </c:val>
        </c:ser>
        <c:ser>
          <c:idx val="2"/>
          <c:order val="2"/>
          <c:tx>
            <c:strRef>
              <c:f>'S30d likelihood'!$E$279</c:f>
              <c:strCache>
                <c:ptCount val="1"/>
                <c:pt idx="0">
                  <c:v>Pellet users</c:v>
                </c:pt>
              </c:strCache>
            </c:strRef>
          </c:tx>
          <c:invertIfNegative val="0"/>
          <c:cat>
            <c:strRef>
              <c:f>'S30d likelihood'!$B$280:$B$284</c:f>
              <c:strCache>
                <c:ptCount val="5"/>
                <c:pt idx="0">
                  <c:v>Definitely not</c:v>
                </c:pt>
                <c:pt idx="1">
                  <c:v>Sometimes</c:v>
                </c:pt>
                <c:pt idx="2">
                  <c:v>Most of the time</c:v>
                </c:pt>
                <c:pt idx="3">
                  <c:v>Yes, always</c:v>
                </c:pt>
                <c:pt idx="4">
                  <c:v>I don’t know</c:v>
                </c:pt>
              </c:strCache>
            </c:strRef>
          </c:cat>
          <c:val>
            <c:numRef>
              <c:f>'S30d likelihood'!$E$280:$E$284</c:f>
              <c:numCache>
                <c:formatCode>0%</c:formatCode>
                <c:ptCount val="5"/>
                <c:pt idx="0">
                  <c:v>0.16666666666666666</c:v>
                </c:pt>
                <c:pt idx="1">
                  <c:v>0</c:v>
                </c:pt>
                <c:pt idx="2">
                  <c:v>0</c:v>
                </c:pt>
                <c:pt idx="3">
                  <c:v>0</c:v>
                </c:pt>
                <c:pt idx="4">
                  <c:v>0</c:v>
                </c:pt>
              </c:numCache>
            </c:numRef>
          </c:val>
        </c:ser>
        <c:ser>
          <c:idx val="3"/>
          <c:order val="3"/>
          <c:tx>
            <c:strRef>
              <c:f>'S30d likelihood'!$F$279</c:f>
              <c:strCache>
                <c:ptCount val="1"/>
                <c:pt idx="0">
                  <c:v>Non-bioenergy wood users</c:v>
                </c:pt>
              </c:strCache>
            </c:strRef>
          </c:tx>
          <c:invertIfNegative val="0"/>
          <c:cat>
            <c:strRef>
              <c:f>'S30d likelihood'!$B$280:$B$284</c:f>
              <c:strCache>
                <c:ptCount val="5"/>
                <c:pt idx="0">
                  <c:v>Definitely not</c:v>
                </c:pt>
                <c:pt idx="1">
                  <c:v>Sometimes</c:v>
                </c:pt>
                <c:pt idx="2">
                  <c:v>Most of the time</c:v>
                </c:pt>
                <c:pt idx="3">
                  <c:v>Yes, always</c:v>
                </c:pt>
                <c:pt idx="4">
                  <c:v>I don’t know</c:v>
                </c:pt>
              </c:strCache>
            </c:strRef>
          </c:cat>
          <c:val>
            <c:numRef>
              <c:f>'S30d likelihood'!$F$280:$F$284</c:f>
              <c:numCache>
                <c:formatCode>0%</c:formatCode>
                <c:ptCount val="5"/>
                <c:pt idx="0">
                  <c:v>0</c:v>
                </c:pt>
                <c:pt idx="1">
                  <c:v>0</c:v>
                </c:pt>
                <c:pt idx="2">
                  <c:v>0</c:v>
                </c:pt>
                <c:pt idx="3">
                  <c:v>0</c:v>
                </c:pt>
                <c:pt idx="4">
                  <c:v>0.16666666666666666</c:v>
                </c:pt>
              </c:numCache>
            </c:numRef>
          </c:val>
        </c:ser>
        <c:ser>
          <c:idx val="4"/>
          <c:order val="4"/>
          <c:tx>
            <c:strRef>
              <c:f>'S30d likelihood'!$G$279</c:f>
              <c:strCache>
                <c:ptCount val="1"/>
                <c:pt idx="0">
                  <c:v>Policy makers and academia</c:v>
                </c:pt>
              </c:strCache>
            </c:strRef>
          </c:tx>
          <c:invertIfNegative val="0"/>
          <c:cat>
            <c:strRef>
              <c:f>'S30d likelihood'!$B$280:$B$284</c:f>
              <c:strCache>
                <c:ptCount val="5"/>
                <c:pt idx="0">
                  <c:v>Definitely not</c:v>
                </c:pt>
                <c:pt idx="1">
                  <c:v>Sometimes</c:v>
                </c:pt>
                <c:pt idx="2">
                  <c:v>Most of the time</c:v>
                </c:pt>
                <c:pt idx="3">
                  <c:v>Yes, always</c:v>
                </c:pt>
                <c:pt idx="4">
                  <c:v>I don’t know</c:v>
                </c:pt>
              </c:strCache>
            </c:strRef>
          </c:cat>
          <c:val>
            <c:numRef>
              <c:f>'S30d likelihood'!$G$280:$G$284</c:f>
              <c:numCache>
                <c:formatCode>0%</c:formatCode>
                <c:ptCount val="5"/>
                <c:pt idx="0">
                  <c:v>8.3333333333333329E-2</c:v>
                </c:pt>
                <c:pt idx="1">
                  <c:v>8.3333333333333329E-2</c:v>
                </c:pt>
                <c:pt idx="2">
                  <c:v>0</c:v>
                </c:pt>
                <c:pt idx="3">
                  <c:v>0</c:v>
                </c:pt>
                <c:pt idx="4">
                  <c:v>0</c:v>
                </c:pt>
              </c:numCache>
            </c:numRef>
          </c:val>
        </c:ser>
        <c:ser>
          <c:idx val="5"/>
          <c:order val="5"/>
          <c:tx>
            <c:strRef>
              <c:f>'S30d likelihood'!$H$279</c:f>
              <c:strCache>
                <c:ptCount val="1"/>
                <c:pt idx="0">
                  <c:v>NGOs</c:v>
                </c:pt>
              </c:strCache>
            </c:strRef>
          </c:tx>
          <c:invertIfNegative val="0"/>
          <c:cat>
            <c:strRef>
              <c:f>'S30d likelihood'!$B$280:$B$284</c:f>
              <c:strCache>
                <c:ptCount val="5"/>
                <c:pt idx="0">
                  <c:v>Definitely not</c:v>
                </c:pt>
                <c:pt idx="1">
                  <c:v>Sometimes</c:v>
                </c:pt>
                <c:pt idx="2">
                  <c:v>Most of the time</c:v>
                </c:pt>
                <c:pt idx="3">
                  <c:v>Yes, always</c:v>
                </c:pt>
                <c:pt idx="4">
                  <c:v>I don’t know</c:v>
                </c:pt>
              </c:strCache>
            </c:strRef>
          </c:cat>
          <c:val>
            <c:numRef>
              <c:f>'S30d likelihood'!$H$280:$H$284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85970688"/>
        <c:axId val="185972224"/>
      </c:barChart>
      <c:catAx>
        <c:axId val="1859706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72224"/>
        <c:crosses val="autoZero"/>
        <c:auto val="1"/>
        <c:lblAlgn val="ctr"/>
        <c:lblOffset val="100"/>
        <c:noMultiLvlLbl val="0"/>
      </c:catAx>
      <c:valAx>
        <c:axId val="185972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70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likelihood'!$BQ$72:$BQ$78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likelihood'!$BS$72:$BS$78</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5988224"/>
        <c:axId val="185989760"/>
      </c:barChart>
      <c:catAx>
        <c:axId val="185988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989760"/>
        <c:crosses val="autoZero"/>
        <c:auto val="1"/>
        <c:lblAlgn val="ctr"/>
        <c:lblOffset val="100"/>
        <c:tickLblSkip val="1"/>
        <c:noMultiLvlLbl val="0"/>
      </c:catAx>
      <c:valAx>
        <c:axId val="1859897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88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likelihood'!$BQ$99:$BQ$105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likelihood'!$BS$99:$BS$105</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6468608"/>
        <c:axId val="186486784"/>
      </c:barChart>
      <c:catAx>
        <c:axId val="18646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486784"/>
        <c:crosses val="autoZero"/>
        <c:auto val="1"/>
        <c:lblAlgn val="ctr"/>
        <c:lblOffset val="100"/>
        <c:tickLblSkip val="1"/>
        <c:noMultiLvlLbl val="0"/>
      </c:catAx>
      <c:valAx>
        <c:axId val="1864867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468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likelihood'!$BQ$126:$BQ$132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likelihood'!$BS$126:$BS$132</c:f>
              <c:numCache>
                <c:formatCode>0%</c:formatCode>
                <c:ptCount val="7"/>
                <c:pt idx="0">
                  <c:v>0</c:v>
                </c:pt>
                <c:pt idx="1">
                  <c:v>0.5</c:v>
                </c:pt>
                <c:pt idx="2">
                  <c:v>0</c:v>
                </c:pt>
                <c:pt idx="3">
                  <c:v>0.5</c:v>
                </c:pt>
                <c:pt idx="4">
                  <c:v>0</c:v>
                </c:pt>
                <c:pt idx="5">
                  <c:v>0</c:v>
                </c:pt>
                <c:pt idx="6">
                  <c:v>0</c:v>
                </c:pt>
              </c:numCache>
            </c:numRef>
          </c:val>
        </c:ser>
        <c:dLbls>
          <c:showLegendKey val="0"/>
          <c:showVal val="0"/>
          <c:showCatName val="0"/>
          <c:showSerName val="0"/>
          <c:showPercent val="0"/>
          <c:showBubbleSize val="0"/>
        </c:dLbls>
        <c:gapWidth val="219"/>
        <c:overlap val="-27"/>
        <c:axId val="186523008"/>
        <c:axId val="186524800"/>
      </c:barChart>
      <c:catAx>
        <c:axId val="18652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524800"/>
        <c:crosses val="autoZero"/>
        <c:auto val="1"/>
        <c:lblAlgn val="ctr"/>
        <c:lblOffset val="100"/>
        <c:tickLblSkip val="1"/>
        <c:noMultiLvlLbl val="0"/>
      </c:catAx>
      <c:valAx>
        <c:axId val="186524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523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likelihood'!$AI$247</c:f>
              <c:strCache>
                <c:ptCount val="1"/>
                <c:pt idx="0">
                  <c:v>Forest owners/managers</c:v>
                </c:pt>
              </c:strCache>
            </c:strRef>
          </c:tx>
          <c:spPr>
            <a:solidFill>
              <a:schemeClr val="accent1"/>
            </a:solidFill>
            <a:ln>
              <a:noFill/>
            </a:ln>
            <a:effectLst/>
          </c:spPr>
          <c:invertIfNegative val="0"/>
          <c:cat>
            <c:strRef>
              <c:f>'S26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likelihood'!$AI$248:$AI$254</c:f>
              <c:numCache>
                <c:formatCode>General</c:formatCode>
                <c:ptCount val="7"/>
                <c:pt idx="0">
                  <c:v>3</c:v>
                </c:pt>
                <c:pt idx="1">
                  <c:v>1</c:v>
                </c:pt>
                <c:pt idx="2">
                  <c:v>0</c:v>
                </c:pt>
                <c:pt idx="3">
                  <c:v>0</c:v>
                </c:pt>
                <c:pt idx="4">
                  <c:v>0</c:v>
                </c:pt>
                <c:pt idx="5">
                  <c:v>0</c:v>
                </c:pt>
                <c:pt idx="6">
                  <c:v>0</c:v>
                </c:pt>
              </c:numCache>
            </c:numRef>
          </c:val>
        </c:ser>
        <c:ser>
          <c:idx val="1"/>
          <c:order val="1"/>
          <c:tx>
            <c:strRef>
              <c:f>'S26 likelihood'!$AJ$247</c:f>
              <c:strCache>
                <c:ptCount val="1"/>
                <c:pt idx="0">
                  <c:v>Pellet producers</c:v>
                </c:pt>
              </c:strCache>
            </c:strRef>
          </c:tx>
          <c:spPr>
            <a:solidFill>
              <a:schemeClr val="accent2"/>
            </a:solidFill>
            <a:ln>
              <a:noFill/>
            </a:ln>
            <a:effectLst/>
          </c:spPr>
          <c:invertIfNegative val="0"/>
          <c:cat>
            <c:strRef>
              <c:f>'S26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likelihood'!$AJ$248:$AJ$254</c:f>
              <c:numCache>
                <c:formatCode>0</c:formatCode>
                <c:ptCount val="7"/>
                <c:pt idx="0">
                  <c:v>4</c:v>
                </c:pt>
                <c:pt idx="1">
                  <c:v>0</c:v>
                </c:pt>
                <c:pt idx="2">
                  <c:v>0</c:v>
                </c:pt>
                <c:pt idx="3">
                  <c:v>0</c:v>
                </c:pt>
                <c:pt idx="4">
                  <c:v>0</c:v>
                </c:pt>
                <c:pt idx="5">
                  <c:v>0</c:v>
                </c:pt>
                <c:pt idx="6">
                  <c:v>0</c:v>
                </c:pt>
              </c:numCache>
            </c:numRef>
          </c:val>
        </c:ser>
        <c:ser>
          <c:idx val="2"/>
          <c:order val="2"/>
          <c:tx>
            <c:strRef>
              <c:f>'S26 likelihood'!$AK$247</c:f>
              <c:strCache>
                <c:ptCount val="1"/>
                <c:pt idx="0">
                  <c:v>Pellet users</c:v>
                </c:pt>
              </c:strCache>
            </c:strRef>
          </c:tx>
          <c:spPr>
            <a:solidFill>
              <a:schemeClr val="accent3"/>
            </a:solidFill>
            <a:ln>
              <a:noFill/>
            </a:ln>
            <a:effectLst/>
          </c:spPr>
          <c:invertIfNegative val="0"/>
          <c:cat>
            <c:strRef>
              <c:f>'S26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likelihood'!$AK$248:$AK$254</c:f>
              <c:numCache>
                <c:formatCode>General</c:formatCode>
                <c:ptCount val="7"/>
                <c:pt idx="0">
                  <c:v>2</c:v>
                </c:pt>
                <c:pt idx="1">
                  <c:v>0</c:v>
                </c:pt>
                <c:pt idx="2">
                  <c:v>0</c:v>
                </c:pt>
                <c:pt idx="3">
                  <c:v>0</c:v>
                </c:pt>
                <c:pt idx="4">
                  <c:v>0</c:v>
                </c:pt>
                <c:pt idx="5">
                  <c:v>0</c:v>
                </c:pt>
                <c:pt idx="6">
                  <c:v>0</c:v>
                </c:pt>
              </c:numCache>
            </c:numRef>
          </c:val>
        </c:ser>
        <c:ser>
          <c:idx val="3"/>
          <c:order val="3"/>
          <c:tx>
            <c:strRef>
              <c:f>'S26 likelihood'!$AL$247</c:f>
              <c:strCache>
                <c:ptCount val="1"/>
                <c:pt idx="0">
                  <c:v>Non-bioenergy wood users</c:v>
                </c:pt>
              </c:strCache>
            </c:strRef>
          </c:tx>
          <c:spPr>
            <a:solidFill>
              <a:schemeClr val="accent4"/>
            </a:solidFill>
            <a:ln>
              <a:noFill/>
            </a:ln>
            <a:effectLst/>
          </c:spPr>
          <c:invertIfNegative val="0"/>
          <c:cat>
            <c:strRef>
              <c:f>'S26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likelihood'!$AL$248:$AL$254</c:f>
              <c:numCache>
                <c:formatCode>General</c:formatCode>
                <c:ptCount val="7"/>
                <c:pt idx="0">
                  <c:v>0</c:v>
                </c:pt>
                <c:pt idx="1">
                  <c:v>1</c:v>
                </c:pt>
                <c:pt idx="2">
                  <c:v>0</c:v>
                </c:pt>
                <c:pt idx="3">
                  <c:v>0</c:v>
                </c:pt>
                <c:pt idx="4">
                  <c:v>0</c:v>
                </c:pt>
                <c:pt idx="5">
                  <c:v>0</c:v>
                </c:pt>
                <c:pt idx="6">
                  <c:v>1</c:v>
                </c:pt>
              </c:numCache>
            </c:numRef>
          </c:val>
        </c:ser>
        <c:ser>
          <c:idx val="4"/>
          <c:order val="4"/>
          <c:tx>
            <c:strRef>
              <c:f>'S26 likelihood'!$AM$247</c:f>
              <c:strCache>
                <c:ptCount val="1"/>
                <c:pt idx="0">
                  <c:v>Policy makers and academia</c:v>
                </c:pt>
              </c:strCache>
            </c:strRef>
          </c:tx>
          <c:spPr>
            <a:solidFill>
              <a:schemeClr val="accent5"/>
            </a:solidFill>
            <a:ln>
              <a:noFill/>
            </a:ln>
            <a:effectLst/>
          </c:spPr>
          <c:invertIfNegative val="0"/>
          <c:cat>
            <c:strRef>
              <c:f>'S26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likelihood'!$AM$248:$AM$254</c:f>
              <c:numCache>
                <c:formatCode>0</c:formatCode>
                <c:ptCount val="7"/>
                <c:pt idx="0">
                  <c:v>0</c:v>
                </c:pt>
                <c:pt idx="1">
                  <c:v>0</c:v>
                </c:pt>
                <c:pt idx="2">
                  <c:v>0</c:v>
                </c:pt>
                <c:pt idx="3">
                  <c:v>0</c:v>
                </c:pt>
                <c:pt idx="4">
                  <c:v>0</c:v>
                </c:pt>
                <c:pt idx="5">
                  <c:v>0</c:v>
                </c:pt>
                <c:pt idx="6">
                  <c:v>0</c:v>
                </c:pt>
              </c:numCache>
            </c:numRef>
          </c:val>
        </c:ser>
        <c:ser>
          <c:idx val="5"/>
          <c:order val="5"/>
          <c:tx>
            <c:strRef>
              <c:f>'S26 likelihood'!$AN$247</c:f>
              <c:strCache>
                <c:ptCount val="1"/>
                <c:pt idx="0">
                  <c:v>NGOs</c:v>
                </c:pt>
              </c:strCache>
            </c:strRef>
          </c:tx>
          <c:spPr>
            <a:solidFill>
              <a:schemeClr val="accent6"/>
            </a:solidFill>
            <a:ln>
              <a:noFill/>
            </a:ln>
            <a:effectLst/>
          </c:spPr>
          <c:invertIfNegative val="0"/>
          <c:cat>
            <c:strRef>
              <c:f>'S26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likelihood'!$AN$248:$AN$254</c:f>
              <c:numCache>
                <c:formatCode>General</c:formatCode>
                <c:ptCount val="7"/>
                <c:pt idx="0">
                  <c:v>0</c:v>
                </c:pt>
                <c:pt idx="1">
                  <c:v>0</c:v>
                </c:pt>
                <c:pt idx="2">
                  <c:v>3</c:v>
                </c:pt>
                <c:pt idx="3">
                  <c:v>1</c:v>
                </c:pt>
                <c:pt idx="4">
                  <c:v>0</c:v>
                </c:pt>
                <c:pt idx="5">
                  <c:v>0</c:v>
                </c:pt>
                <c:pt idx="6">
                  <c:v>0</c:v>
                </c:pt>
              </c:numCache>
            </c:numRef>
          </c:val>
        </c:ser>
        <c:dLbls>
          <c:showLegendKey val="0"/>
          <c:showVal val="0"/>
          <c:showCatName val="0"/>
          <c:showSerName val="0"/>
          <c:showPercent val="0"/>
          <c:showBubbleSize val="0"/>
        </c:dLbls>
        <c:gapWidth val="150"/>
        <c:overlap val="100"/>
        <c:axId val="139215616"/>
        <c:axId val="139217152"/>
      </c:barChart>
      <c:catAx>
        <c:axId val="13921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9217152"/>
        <c:crosses val="autoZero"/>
        <c:auto val="1"/>
        <c:lblAlgn val="ctr"/>
        <c:lblOffset val="100"/>
        <c:noMultiLvlLbl val="0"/>
      </c:catAx>
      <c:valAx>
        <c:axId val="139217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215616"/>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likelihood'!$BQ$153:$BQ$159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likelihood'!$BS$153:$BS$159</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6544896"/>
        <c:axId val="186546432"/>
      </c:barChart>
      <c:catAx>
        <c:axId val="18654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546432"/>
        <c:crosses val="autoZero"/>
        <c:auto val="1"/>
        <c:lblAlgn val="ctr"/>
        <c:lblOffset val="100"/>
        <c:tickLblSkip val="1"/>
        <c:noMultiLvlLbl val="0"/>
      </c:catAx>
      <c:valAx>
        <c:axId val="1865464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544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likelihood'!$B$135</c:f>
          <c:strCache>
            <c:ptCount val="1"/>
            <c:pt idx="0">
              <c:v>Non-bioenergy wood users</c:v>
            </c:pt>
          </c:strCache>
        </c:strRef>
      </c:tx>
      <c:layout>
        <c:manualLayout>
          <c:xMode val="edge"/>
          <c:yMode val="edge"/>
          <c:x val="0.27968954167925908"/>
          <c:y val="3.07354608564545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likelihood'!$G$153:$G$157</c:f>
              <c:strCache>
                <c:ptCount val="5"/>
                <c:pt idx="0">
                  <c:v>Definitely not</c:v>
                </c:pt>
                <c:pt idx="1">
                  <c:v>Sometimes</c:v>
                </c:pt>
                <c:pt idx="2">
                  <c:v>Most of the time</c:v>
                </c:pt>
                <c:pt idx="3">
                  <c:v>Yes, always</c:v>
                </c:pt>
                <c:pt idx="4">
                  <c:v>I don’t know</c:v>
                </c:pt>
              </c:strCache>
            </c:strRef>
          </c:cat>
          <c:val>
            <c:numRef>
              <c:f>'S30d likelihood'!$I$153:$I$157</c:f>
              <c:numCache>
                <c:formatCode>0%</c:formatCode>
                <c:ptCount val="5"/>
                <c:pt idx="0">
                  <c:v>0</c:v>
                </c:pt>
                <c:pt idx="1">
                  <c:v>0</c:v>
                </c:pt>
                <c:pt idx="2">
                  <c:v>0</c:v>
                </c:pt>
                <c:pt idx="3">
                  <c:v>0</c:v>
                </c:pt>
                <c:pt idx="4">
                  <c:v>1</c:v>
                </c:pt>
              </c:numCache>
            </c:numRef>
          </c:val>
        </c:ser>
        <c:dLbls>
          <c:showLegendKey val="0"/>
          <c:showVal val="0"/>
          <c:showCatName val="0"/>
          <c:showSerName val="0"/>
          <c:showPercent val="0"/>
          <c:showBubbleSize val="0"/>
        </c:dLbls>
        <c:gapWidth val="219"/>
        <c:overlap val="-27"/>
        <c:axId val="186587008"/>
        <c:axId val="186588544"/>
      </c:barChart>
      <c:catAx>
        <c:axId val="186587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588544"/>
        <c:crosses val="autoZero"/>
        <c:auto val="1"/>
        <c:lblAlgn val="ctr"/>
        <c:lblOffset val="100"/>
        <c:tickLblSkip val="1"/>
        <c:noMultiLvlLbl val="0"/>
      </c:catAx>
      <c:valAx>
        <c:axId val="1865885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587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likelihood'!$BQ$180:$BQ$186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likelihood'!$BS$180:$BS$186</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86608640"/>
        <c:axId val="186635008"/>
      </c:barChart>
      <c:catAx>
        <c:axId val="186608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635008"/>
        <c:crosses val="autoZero"/>
        <c:auto val="1"/>
        <c:lblAlgn val="ctr"/>
        <c:lblOffset val="100"/>
        <c:tickLblSkip val="1"/>
        <c:noMultiLvlLbl val="0"/>
      </c:catAx>
      <c:valAx>
        <c:axId val="1866350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608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likelihood'!$B$162</c:f>
          <c:strCache>
            <c:ptCount val="1"/>
            <c:pt idx="0">
              <c:v>Policy makers and academia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likelihood'!$G$180:$G$184</c:f>
              <c:strCache>
                <c:ptCount val="5"/>
                <c:pt idx="0">
                  <c:v>Definitely not</c:v>
                </c:pt>
                <c:pt idx="1">
                  <c:v>Sometimes</c:v>
                </c:pt>
                <c:pt idx="2">
                  <c:v>Most of the time</c:v>
                </c:pt>
                <c:pt idx="3">
                  <c:v>Yes, always</c:v>
                </c:pt>
                <c:pt idx="4">
                  <c:v>I don’t know</c:v>
                </c:pt>
              </c:strCache>
            </c:strRef>
          </c:cat>
          <c:val>
            <c:numRef>
              <c:f>'S30d likelihood'!$I$180:$I$184</c:f>
              <c:numCache>
                <c:formatCode>0%</c:formatCode>
                <c:ptCount val="5"/>
                <c:pt idx="0">
                  <c:v>0.5</c:v>
                </c:pt>
                <c:pt idx="1">
                  <c:v>0.5</c:v>
                </c:pt>
                <c:pt idx="2">
                  <c:v>0</c:v>
                </c:pt>
                <c:pt idx="3">
                  <c:v>0</c:v>
                </c:pt>
                <c:pt idx="4">
                  <c:v>0</c:v>
                </c:pt>
              </c:numCache>
            </c:numRef>
          </c:val>
        </c:ser>
        <c:dLbls>
          <c:showLegendKey val="0"/>
          <c:showVal val="0"/>
          <c:showCatName val="0"/>
          <c:showSerName val="0"/>
          <c:showPercent val="0"/>
          <c:showBubbleSize val="0"/>
        </c:dLbls>
        <c:gapWidth val="219"/>
        <c:overlap val="-27"/>
        <c:axId val="186720640"/>
        <c:axId val="186722176"/>
      </c:barChart>
      <c:catAx>
        <c:axId val="18672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722176"/>
        <c:crosses val="autoZero"/>
        <c:auto val="1"/>
        <c:lblAlgn val="ctr"/>
        <c:lblOffset val="100"/>
        <c:tickLblSkip val="1"/>
        <c:noMultiLvlLbl val="0"/>
      </c:catAx>
      <c:valAx>
        <c:axId val="1867221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20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likelihood'!$B$189</c:f>
          <c:strCache>
            <c:ptCount val="1"/>
            <c:pt idx="0">
              <c:v>NGOs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likelihood'!$G$207:$G$211</c:f>
              <c:strCache>
                <c:ptCount val="5"/>
                <c:pt idx="0">
                  <c:v>Definitely not</c:v>
                </c:pt>
                <c:pt idx="1">
                  <c:v>Sometimes</c:v>
                </c:pt>
                <c:pt idx="2">
                  <c:v>Most of the time</c:v>
                </c:pt>
                <c:pt idx="3">
                  <c:v>Yes, always</c:v>
                </c:pt>
                <c:pt idx="4">
                  <c:v>I don’t know</c:v>
                </c:pt>
              </c:strCache>
            </c:strRef>
          </c:cat>
          <c:val>
            <c:numRef>
              <c:f>'S30d likelihood'!$I$207:$I$211</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86758656"/>
        <c:axId val="186760192"/>
      </c:barChart>
      <c:catAx>
        <c:axId val="18675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760192"/>
        <c:crosses val="autoZero"/>
        <c:auto val="1"/>
        <c:lblAlgn val="ctr"/>
        <c:lblOffset val="100"/>
        <c:tickLblSkip val="1"/>
        <c:noMultiLvlLbl val="0"/>
      </c:catAx>
      <c:valAx>
        <c:axId val="186760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758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likelihood'!$BQ$207:$BQ$213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likelihood'!$BS$207:$BS$213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6776192"/>
        <c:axId val="186200448"/>
      </c:barChart>
      <c:catAx>
        <c:axId val="186776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200448"/>
        <c:crosses val="autoZero"/>
        <c:auto val="1"/>
        <c:lblAlgn val="ctr"/>
        <c:lblOffset val="100"/>
        <c:tickLblSkip val="1"/>
        <c:noMultiLvlLbl val="0"/>
      </c:catAx>
      <c:valAx>
        <c:axId val="1862004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776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likelihood'!$BQ$234:$BQ$240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likelihood'!$BS$234:$BS$240</c:f>
              <c:numCache>
                <c:formatCode>0%</c:formatCode>
                <c:ptCount val="7"/>
                <c:pt idx="0">
                  <c:v>0.42857142857142855</c:v>
                </c:pt>
                <c:pt idx="1">
                  <c:v>0.2857142857142857</c:v>
                </c:pt>
                <c:pt idx="2">
                  <c:v>0</c:v>
                </c:pt>
                <c:pt idx="3">
                  <c:v>0.14285714285714285</c:v>
                </c:pt>
                <c:pt idx="4">
                  <c:v>0.14285714285714285</c:v>
                </c:pt>
                <c:pt idx="5">
                  <c:v>0</c:v>
                </c:pt>
                <c:pt idx="6">
                  <c:v>0</c:v>
                </c:pt>
              </c:numCache>
            </c:numRef>
          </c:val>
        </c:ser>
        <c:dLbls>
          <c:showLegendKey val="0"/>
          <c:showVal val="0"/>
          <c:showCatName val="0"/>
          <c:showSerName val="0"/>
          <c:showPercent val="0"/>
          <c:showBubbleSize val="0"/>
        </c:dLbls>
        <c:gapWidth val="219"/>
        <c:overlap val="-27"/>
        <c:axId val="186245120"/>
        <c:axId val="186246656"/>
      </c:barChart>
      <c:catAx>
        <c:axId val="18624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246656"/>
        <c:crosses val="autoZero"/>
        <c:auto val="1"/>
        <c:lblAlgn val="ctr"/>
        <c:lblOffset val="100"/>
        <c:tickLblSkip val="1"/>
        <c:noMultiLvlLbl val="0"/>
      </c:catAx>
      <c:valAx>
        <c:axId val="1862466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245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likelihood'!$BM$247</c:f>
              <c:strCache>
                <c:ptCount val="1"/>
                <c:pt idx="0">
                  <c:v>Forest owners/managers</c:v>
                </c:pt>
              </c:strCache>
            </c:strRef>
          </c:tx>
          <c:spPr>
            <a:solidFill>
              <a:schemeClr val="accent1"/>
            </a:solidFill>
            <a:ln>
              <a:noFill/>
            </a:ln>
            <a:effectLst/>
          </c:spPr>
          <c:invertIfNegative val="0"/>
          <c:cat>
            <c:strRef>
              <c:f>'S30d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likelihood'!$BM$248:$BM$254</c:f>
              <c:numCache>
                <c:formatCode>General</c:formatCode>
                <c:ptCount val="7"/>
                <c:pt idx="0">
                  <c:v>2</c:v>
                </c:pt>
                <c:pt idx="1">
                  <c:v>0</c:v>
                </c:pt>
                <c:pt idx="2">
                  <c:v>0</c:v>
                </c:pt>
                <c:pt idx="3">
                  <c:v>0</c:v>
                </c:pt>
                <c:pt idx="4">
                  <c:v>0</c:v>
                </c:pt>
                <c:pt idx="5">
                  <c:v>0</c:v>
                </c:pt>
                <c:pt idx="6">
                  <c:v>0</c:v>
                </c:pt>
              </c:numCache>
            </c:numRef>
          </c:val>
        </c:ser>
        <c:ser>
          <c:idx val="1"/>
          <c:order val="1"/>
          <c:tx>
            <c:strRef>
              <c:f>'S30d likelihood'!$BN$247</c:f>
              <c:strCache>
                <c:ptCount val="1"/>
                <c:pt idx="0">
                  <c:v>Pellet producers</c:v>
                </c:pt>
              </c:strCache>
            </c:strRef>
          </c:tx>
          <c:spPr>
            <a:solidFill>
              <a:schemeClr val="accent2"/>
            </a:solidFill>
            <a:ln>
              <a:noFill/>
            </a:ln>
            <a:effectLst/>
          </c:spPr>
          <c:invertIfNegative val="0"/>
          <c:cat>
            <c:strRef>
              <c:f>'S30d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likelihood'!$BN$248:$BN$254</c:f>
              <c:numCache>
                <c:formatCode>0</c:formatCode>
                <c:ptCount val="7"/>
                <c:pt idx="0">
                  <c:v>1</c:v>
                </c:pt>
                <c:pt idx="1">
                  <c:v>0</c:v>
                </c:pt>
                <c:pt idx="2">
                  <c:v>0</c:v>
                </c:pt>
                <c:pt idx="3">
                  <c:v>0</c:v>
                </c:pt>
                <c:pt idx="4">
                  <c:v>0</c:v>
                </c:pt>
                <c:pt idx="5">
                  <c:v>0</c:v>
                </c:pt>
                <c:pt idx="6">
                  <c:v>0</c:v>
                </c:pt>
              </c:numCache>
            </c:numRef>
          </c:val>
        </c:ser>
        <c:ser>
          <c:idx val="2"/>
          <c:order val="2"/>
          <c:tx>
            <c:strRef>
              <c:f>'S30d likelihood'!$BO$247</c:f>
              <c:strCache>
                <c:ptCount val="1"/>
                <c:pt idx="0">
                  <c:v>Pellet users</c:v>
                </c:pt>
              </c:strCache>
            </c:strRef>
          </c:tx>
          <c:spPr>
            <a:solidFill>
              <a:schemeClr val="accent3"/>
            </a:solidFill>
            <a:ln>
              <a:noFill/>
            </a:ln>
            <a:effectLst/>
          </c:spPr>
          <c:invertIfNegative val="0"/>
          <c:cat>
            <c:strRef>
              <c:f>'S30d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likelihood'!$BO$248:$BO$254</c:f>
              <c:numCache>
                <c:formatCode>General</c:formatCode>
                <c:ptCount val="7"/>
                <c:pt idx="0">
                  <c:v>0</c:v>
                </c:pt>
                <c:pt idx="1">
                  <c:v>1</c:v>
                </c:pt>
                <c:pt idx="2">
                  <c:v>0</c:v>
                </c:pt>
                <c:pt idx="3">
                  <c:v>1</c:v>
                </c:pt>
                <c:pt idx="4">
                  <c:v>0</c:v>
                </c:pt>
                <c:pt idx="5">
                  <c:v>0</c:v>
                </c:pt>
                <c:pt idx="6">
                  <c:v>0</c:v>
                </c:pt>
              </c:numCache>
            </c:numRef>
          </c:val>
        </c:ser>
        <c:ser>
          <c:idx val="3"/>
          <c:order val="3"/>
          <c:tx>
            <c:strRef>
              <c:f>'S30d likelihood'!$BP$247</c:f>
              <c:strCache>
                <c:ptCount val="1"/>
                <c:pt idx="0">
                  <c:v>Non-bioenergy wood users</c:v>
                </c:pt>
              </c:strCache>
            </c:strRef>
          </c:tx>
          <c:spPr>
            <a:solidFill>
              <a:schemeClr val="accent4"/>
            </a:solidFill>
            <a:ln>
              <a:noFill/>
            </a:ln>
            <a:effectLst/>
          </c:spPr>
          <c:invertIfNegative val="0"/>
          <c:cat>
            <c:strRef>
              <c:f>'S30d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likelihood'!$BP$248:$BP$254</c:f>
              <c:numCache>
                <c:formatCode>General</c:formatCode>
                <c:ptCount val="7"/>
                <c:pt idx="0">
                  <c:v>0</c:v>
                </c:pt>
                <c:pt idx="1">
                  <c:v>1</c:v>
                </c:pt>
                <c:pt idx="2">
                  <c:v>0</c:v>
                </c:pt>
                <c:pt idx="3">
                  <c:v>0</c:v>
                </c:pt>
                <c:pt idx="4">
                  <c:v>0</c:v>
                </c:pt>
                <c:pt idx="5">
                  <c:v>0</c:v>
                </c:pt>
                <c:pt idx="6">
                  <c:v>0</c:v>
                </c:pt>
              </c:numCache>
            </c:numRef>
          </c:val>
        </c:ser>
        <c:ser>
          <c:idx val="4"/>
          <c:order val="4"/>
          <c:tx>
            <c:strRef>
              <c:f>'S30d likelihood'!$BQ$247</c:f>
              <c:strCache>
                <c:ptCount val="1"/>
                <c:pt idx="0">
                  <c:v>Policy makers and academia</c:v>
                </c:pt>
              </c:strCache>
            </c:strRef>
          </c:tx>
          <c:spPr>
            <a:solidFill>
              <a:schemeClr val="accent5"/>
            </a:solidFill>
            <a:ln>
              <a:noFill/>
            </a:ln>
            <a:effectLst/>
          </c:spPr>
          <c:invertIfNegative val="0"/>
          <c:cat>
            <c:strRef>
              <c:f>'S30d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likelihood'!$BQ$248:$BQ$254</c:f>
              <c:numCache>
                <c:formatCode>0</c:formatCode>
                <c:ptCount val="7"/>
                <c:pt idx="0">
                  <c:v>0</c:v>
                </c:pt>
                <c:pt idx="1">
                  <c:v>0</c:v>
                </c:pt>
                <c:pt idx="2">
                  <c:v>0</c:v>
                </c:pt>
                <c:pt idx="3">
                  <c:v>0</c:v>
                </c:pt>
                <c:pt idx="4">
                  <c:v>1</c:v>
                </c:pt>
                <c:pt idx="5">
                  <c:v>0</c:v>
                </c:pt>
                <c:pt idx="6">
                  <c:v>0</c:v>
                </c:pt>
              </c:numCache>
            </c:numRef>
          </c:val>
        </c:ser>
        <c:ser>
          <c:idx val="5"/>
          <c:order val="5"/>
          <c:tx>
            <c:strRef>
              <c:f>'S30d likelihood'!$BR$247</c:f>
              <c:strCache>
                <c:ptCount val="1"/>
                <c:pt idx="0">
                  <c:v>NGOs</c:v>
                </c:pt>
              </c:strCache>
            </c:strRef>
          </c:tx>
          <c:spPr>
            <a:solidFill>
              <a:schemeClr val="accent6"/>
            </a:solidFill>
            <a:ln>
              <a:noFill/>
            </a:ln>
            <a:effectLst/>
          </c:spPr>
          <c:invertIfNegative val="0"/>
          <c:cat>
            <c:strRef>
              <c:f>'S30d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likelihood'!$BR$248:$BR$254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6291328"/>
        <c:axId val="186292864"/>
      </c:barChart>
      <c:catAx>
        <c:axId val="186291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292864"/>
        <c:crosses val="autoZero"/>
        <c:auto val="1"/>
        <c:lblAlgn val="ctr"/>
        <c:lblOffset val="100"/>
        <c:noMultiLvlLbl val="0"/>
      </c:catAx>
      <c:valAx>
        <c:axId val="186292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29132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likelihood'!$C$279</c:f>
              <c:strCache>
                <c:ptCount val="1"/>
                <c:pt idx="0">
                  <c:v>Forest owners/managers</c:v>
                </c:pt>
              </c:strCache>
            </c:strRef>
          </c:tx>
          <c:invertIfNegative val="0"/>
          <c:cat>
            <c:strRef>
              <c:f>'S30d likelihood'!$B$280:$B$284</c:f>
              <c:strCache>
                <c:ptCount val="5"/>
                <c:pt idx="0">
                  <c:v>Definitely not</c:v>
                </c:pt>
                <c:pt idx="1">
                  <c:v>Sometimes</c:v>
                </c:pt>
                <c:pt idx="2">
                  <c:v>Most of the time</c:v>
                </c:pt>
                <c:pt idx="3">
                  <c:v>Yes, always</c:v>
                </c:pt>
                <c:pt idx="4">
                  <c:v>I don’t know</c:v>
                </c:pt>
              </c:strCache>
            </c:strRef>
          </c:cat>
          <c:val>
            <c:numRef>
              <c:f>'S30d likelihood'!$C$280:$C$284</c:f>
              <c:numCache>
                <c:formatCode>0%</c:formatCode>
                <c:ptCount val="5"/>
                <c:pt idx="0">
                  <c:v>8.3333333333333329E-2</c:v>
                </c:pt>
                <c:pt idx="1">
                  <c:v>0</c:v>
                </c:pt>
                <c:pt idx="2">
                  <c:v>0</c:v>
                </c:pt>
                <c:pt idx="3">
                  <c:v>0</c:v>
                </c:pt>
                <c:pt idx="4">
                  <c:v>8.3333333333333329E-2</c:v>
                </c:pt>
              </c:numCache>
            </c:numRef>
          </c:val>
        </c:ser>
        <c:ser>
          <c:idx val="1"/>
          <c:order val="1"/>
          <c:tx>
            <c:strRef>
              <c:f>'S30d likelihood'!$D$279</c:f>
              <c:strCache>
                <c:ptCount val="1"/>
                <c:pt idx="0">
                  <c:v>Pellet producers</c:v>
                </c:pt>
              </c:strCache>
            </c:strRef>
          </c:tx>
          <c:invertIfNegative val="0"/>
          <c:cat>
            <c:strRef>
              <c:f>'S30d likelihood'!$B$280:$B$284</c:f>
              <c:strCache>
                <c:ptCount val="5"/>
                <c:pt idx="0">
                  <c:v>Definitely not</c:v>
                </c:pt>
                <c:pt idx="1">
                  <c:v>Sometimes</c:v>
                </c:pt>
                <c:pt idx="2">
                  <c:v>Most of the time</c:v>
                </c:pt>
                <c:pt idx="3">
                  <c:v>Yes, always</c:v>
                </c:pt>
                <c:pt idx="4">
                  <c:v>I don’t know</c:v>
                </c:pt>
              </c:strCache>
            </c:strRef>
          </c:cat>
          <c:val>
            <c:numRef>
              <c:f>'S30d likelihood'!$D$280:$D$284</c:f>
              <c:numCache>
                <c:formatCode>0%</c:formatCode>
                <c:ptCount val="5"/>
                <c:pt idx="0">
                  <c:v>0</c:v>
                </c:pt>
                <c:pt idx="1">
                  <c:v>0</c:v>
                </c:pt>
                <c:pt idx="2">
                  <c:v>0</c:v>
                </c:pt>
                <c:pt idx="3">
                  <c:v>0</c:v>
                </c:pt>
                <c:pt idx="4">
                  <c:v>0</c:v>
                </c:pt>
              </c:numCache>
            </c:numRef>
          </c:val>
        </c:ser>
        <c:ser>
          <c:idx val="2"/>
          <c:order val="2"/>
          <c:tx>
            <c:strRef>
              <c:f>'S30d likelihood'!$E$279</c:f>
              <c:strCache>
                <c:ptCount val="1"/>
                <c:pt idx="0">
                  <c:v>Pellet users</c:v>
                </c:pt>
              </c:strCache>
            </c:strRef>
          </c:tx>
          <c:invertIfNegative val="0"/>
          <c:cat>
            <c:strRef>
              <c:f>'S30d likelihood'!$B$280:$B$284</c:f>
              <c:strCache>
                <c:ptCount val="5"/>
                <c:pt idx="0">
                  <c:v>Definitely not</c:v>
                </c:pt>
                <c:pt idx="1">
                  <c:v>Sometimes</c:v>
                </c:pt>
                <c:pt idx="2">
                  <c:v>Most of the time</c:v>
                </c:pt>
                <c:pt idx="3">
                  <c:v>Yes, always</c:v>
                </c:pt>
                <c:pt idx="4">
                  <c:v>I don’t know</c:v>
                </c:pt>
              </c:strCache>
            </c:strRef>
          </c:cat>
          <c:val>
            <c:numRef>
              <c:f>'S30d likelihood'!$E$280:$E$284</c:f>
              <c:numCache>
                <c:formatCode>0%</c:formatCode>
                <c:ptCount val="5"/>
                <c:pt idx="0">
                  <c:v>0.16666666666666666</c:v>
                </c:pt>
                <c:pt idx="1">
                  <c:v>0</c:v>
                </c:pt>
                <c:pt idx="2">
                  <c:v>0</c:v>
                </c:pt>
                <c:pt idx="3">
                  <c:v>0</c:v>
                </c:pt>
                <c:pt idx="4">
                  <c:v>0</c:v>
                </c:pt>
              </c:numCache>
            </c:numRef>
          </c:val>
        </c:ser>
        <c:ser>
          <c:idx val="3"/>
          <c:order val="3"/>
          <c:tx>
            <c:strRef>
              <c:f>'S30d likelihood'!$F$279</c:f>
              <c:strCache>
                <c:ptCount val="1"/>
                <c:pt idx="0">
                  <c:v>Non-bioenergy wood users</c:v>
                </c:pt>
              </c:strCache>
            </c:strRef>
          </c:tx>
          <c:invertIfNegative val="0"/>
          <c:cat>
            <c:strRef>
              <c:f>'S30d likelihood'!$B$280:$B$284</c:f>
              <c:strCache>
                <c:ptCount val="5"/>
                <c:pt idx="0">
                  <c:v>Definitely not</c:v>
                </c:pt>
                <c:pt idx="1">
                  <c:v>Sometimes</c:v>
                </c:pt>
                <c:pt idx="2">
                  <c:v>Most of the time</c:v>
                </c:pt>
                <c:pt idx="3">
                  <c:v>Yes, always</c:v>
                </c:pt>
                <c:pt idx="4">
                  <c:v>I don’t know</c:v>
                </c:pt>
              </c:strCache>
            </c:strRef>
          </c:cat>
          <c:val>
            <c:numRef>
              <c:f>'S30d likelihood'!$F$280:$F$284</c:f>
              <c:numCache>
                <c:formatCode>0%</c:formatCode>
                <c:ptCount val="5"/>
                <c:pt idx="0">
                  <c:v>0</c:v>
                </c:pt>
                <c:pt idx="1">
                  <c:v>0</c:v>
                </c:pt>
                <c:pt idx="2">
                  <c:v>0</c:v>
                </c:pt>
                <c:pt idx="3">
                  <c:v>0</c:v>
                </c:pt>
                <c:pt idx="4">
                  <c:v>0.16666666666666666</c:v>
                </c:pt>
              </c:numCache>
            </c:numRef>
          </c:val>
        </c:ser>
        <c:ser>
          <c:idx val="4"/>
          <c:order val="4"/>
          <c:tx>
            <c:strRef>
              <c:f>'S30d likelihood'!$G$279</c:f>
              <c:strCache>
                <c:ptCount val="1"/>
                <c:pt idx="0">
                  <c:v>Policy makers and academia</c:v>
                </c:pt>
              </c:strCache>
            </c:strRef>
          </c:tx>
          <c:invertIfNegative val="0"/>
          <c:cat>
            <c:strRef>
              <c:f>'S30d likelihood'!$B$280:$B$284</c:f>
              <c:strCache>
                <c:ptCount val="5"/>
                <c:pt idx="0">
                  <c:v>Definitely not</c:v>
                </c:pt>
                <c:pt idx="1">
                  <c:v>Sometimes</c:v>
                </c:pt>
                <c:pt idx="2">
                  <c:v>Most of the time</c:v>
                </c:pt>
                <c:pt idx="3">
                  <c:v>Yes, always</c:v>
                </c:pt>
                <c:pt idx="4">
                  <c:v>I don’t know</c:v>
                </c:pt>
              </c:strCache>
            </c:strRef>
          </c:cat>
          <c:val>
            <c:numRef>
              <c:f>'S30d likelihood'!$G$280:$G$284</c:f>
              <c:numCache>
                <c:formatCode>0%</c:formatCode>
                <c:ptCount val="5"/>
                <c:pt idx="0">
                  <c:v>8.3333333333333329E-2</c:v>
                </c:pt>
                <c:pt idx="1">
                  <c:v>8.3333333333333329E-2</c:v>
                </c:pt>
                <c:pt idx="2">
                  <c:v>0</c:v>
                </c:pt>
                <c:pt idx="3">
                  <c:v>0</c:v>
                </c:pt>
                <c:pt idx="4">
                  <c:v>0</c:v>
                </c:pt>
              </c:numCache>
            </c:numRef>
          </c:val>
        </c:ser>
        <c:ser>
          <c:idx val="5"/>
          <c:order val="5"/>
          <c:tx>
            <c:strRef>
              <c:f>'S30d likelihood'!$H$279</c:f>
              <c:strCache>
                <c:ptCount val="1"/>
                <c:pt idx="0">
                  <c:v>NGOs</c:v>
                </c:pt>
              </c:strCache>
            </c:strRef>
          </c:tx>
          <c:invertIfNegative val="0"/>
          <c:cat>
            <c:strRef>
              <c:f>'S30d likelihood'!$B$280:$B$284</c:f>
              <c:strCache>
                <c:ptCount val="5"/>
                <c:pt idx="0">
                  <c:v>Definitely not</c:v>
                </c:pt>
                <c:pt idx="1">
                  <c:v>Sometimes</c:v>
                </c:pt>
                <c:pt idx="2">
                  <c:v>Most of the time</c:v>
                </c:pt>
                <c:pt idx="3">
                  <c:v>Yes, always</c:v>
                </c:pt>
                <c:pt idx="4">
                  <c:v>I don’t know</c:v>
                </c:pt>
              </c:strCache>
            </c:strRef>
          </c:cat>
          <c:val>
            <c:numRef>
              <c:f>'S30d likelihood'!$H$280:$H$284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55"/>
        <c:overlap val="100"/>
        <c:axId val="186403072"/>
        <c:axId val="186421248"/>
      </c:barChart>
      <c:catAx>
        <c:axId val="18640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6421248"/>
        <c:crosses val="autoZero"/>
        <c:auto val="1"/>
        <c:lblAlgn val="ctr"/>
        <c:lblOffset val="100"/>
        <c:noMultiLvlLbl val="0"/>
      </c:catAx>
      <c:valAx>
        <c:axId val="186421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6403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likelihood'!$BM$279</c:f>
              <c:strCache>
                <c:ptCount val="1"/>
                <c:pt idx="0">
                  <c:v>Forest owners/managers</c:v>
                </c:pt>
              </c:strCache>
            </c:strRef>
          </c:tx>
          <c:invertIfNegative val="0"/>
          <c:cat>
            <c:strRef>
              <c:f>'S30d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likelihood'!$BM$280:$BM$286</c:f>
              <c:numCache>
                <c:formatCode>0%</c:formatCode>
                <c:ptCount val="7"/>
                <c:pt idx="0">
                  <c:v>0.16666666666666666</c:v>
                </c:pt>
                <c:pt idx="1">
                  <c:v>0</c:v>
                </c:pt>
                <c:pt idx="2">
                  <c:v>0</c:v>
                </c:pt>
                <c:pt idx="3">
                  <c:v>0</c:v>
                </c:pt>
                <c:pt idx="4">
                  <c:v>0</c:v>
                </c:pt>
                <c:pt idx="5">
                  <c:v>0</c:v>
                </c:pt>
                <c:pt idx="6">
                  <c:v>0</c:v>
                </c:pt>
              </c:numCache>
            </c:numRef>
          </c:val>
        </c:ser>
        <c:ser>
          <c:idx val="1"/>
          <c:order val="1"/>
          <c:tx>
            <c:strRef>
              <c:f>'S30d likelihood'!$BN$279</c:f>
              <c:strCache>
                <c:ptCount val="1"/>
                <c:pt idx="0">
                  <c:v>Pellet producers</c:v>
                </c:pt>
              </c:strCache>
            </c:strRef>
          </c:tx>
          <c:invertIfNegative val="0"/>
          <c:cat>
            <c:strRef>
              <c:f>'S30d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likelihood'!$BN$280:$BN$286</c:f>
              <c:numCache>
                <c:formatCode>0%</c:formatCode>
                <c:ptCount val="7"/>
                <c:pt idx="0">
                  <c:v>0.16666666666666666</c:v>
                </c:pt>
                <c:pt idx="1">
                  <c:v>0</c:v>
                </c:pt>
                <c:pt idx="2">
                  <c:v>0</c:v>
                </c:pt>
                <c:pt idx="3">
                  <c:v>0</c:v>
                </c:pt>
                <c:pt idx="4">
                  <c:v>0</c:v>
                </c:pt>
                <c:pt idx="5">
                  <c:v>0</c:v>
                </c:pt>
                <c:pt idx="6">
                  <c:v>0</c:v>
                </c:pt>
              </c:numCache>
            </c:numRef>
          </c:val>
        </c:ser>
        <c:ser>
          <c:idx val="2"/>
          <c:order val="2"/>
          <c:tx>
            <c:strRef>
              <c:f>'S30d likelihood'!$BO$279</c:f>
              <c:strCache>
                <c:ptCount val="1"/>
                <c:pt idx="0">
                  <c:v>Pellet users</c:v>
                </c:pt>
              </c:strCache>
            </c:strRef>
          </c:tx>
          <c:invertIfNegative val="0"/>
          <c:cat>
            <c:strRef>
              <c:f>'S30d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likelihood'!$BO$280:$BO$286</c:f>
              <c:numCache>
                <c:formatCode>0%</c:formatCode>
                <c:ptCount val="7"/>
                <c:pt idx="0">
                  <c:v>0</c:v>
                </c:pt>
                <c:pt idx="1">
                  <c:v>8.3333333333333329E-2</c:v>
                </c:pt>
                <c:pt idx="2">
                  <c:v>0</c:v>
                </c:pt>
                <c:pt idx="3">
                  <c:v>8.3333333333333329E-2</c:v>
                </c:pt>
                <c:pt idx="4">
                  <c:v>0</c:v>
                </c:pt>
                <c:pt idx="5">
                  <c:v>0</c:v>
                </c:pt>
                <c:pt idx="6">
                  <c:v>0</c:v>
                </c:pt>
              </c:numCache>
            </c:numRef>
          </c:val>
        </c:ser>
        <c:ser>
          <c:idx val="3"/>
          <c:order val="3"/>
          <c:tx>
            <c:strRef>
              <c:f>'S30d likelihood'!$BP$279</c:f>
              <c:strCache>
                <c:ptCount val="1"/>
                <c:pt idx="0">
                  <c:v>Non-bioenergy wood users</c:v>
                </c:pt>
              </c:strCache>
            </c:strRef>
          </c:tx>
          <c:invertIfNegative val="0"/>
          <c:cat>
            <c:strRef>
              <c:f>'S30d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likelihood'!$BP$280:$BP$286</c:f>
              <c:numCache>
                <c:formatCode>0%</c:formatCode>
                <c:ptCount val="7"/>
                <c:pt idx="0">
                  <c:v>0</c:v>
                </c:pt>
                <c:pt idx="1">
                  <c:v>0.16666666666666666</c:v>
                </c:pt>
                <c:pt idx="2">
                  <c:v>0</c:v>
                </c:pt>
                <c:pt idx="3">
                  <c:v>0</c:v>
                </c:pt>
                <c:pt idx="4">
                  <c:v>0</c:v>
                </c:pt>
                <c:pt idx="5">
                  <c:v>0</c:v>
                </c:pt>
                <c:pt idx="6">
                  <c:v>0</c:v>
                </c:pt>
              </c:numCache>
            </c:numRef>
          </c:val>
        </c:ser>
        <c:ser>
          <c:idx val="4"/>
          <c:order val="4"/>
          <c:tx>
            <c:strRef>
              <c:f>'S30d likelihood'!$BQ$279</c:f>
              <c:strCache>
                <c:ptCount val="1"/>
                <c:pt idx="0">
                  <c:v>Policy makers and academia</c:v>
                </c:pt>
              </c:strCache>
            </c:strRef>
          </c:tx>
          <c:invertIfNegative val="0"/>
          <c:cat>
            <c:strRef>
              <c:f>'S30d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likelihood'!$BQ$280:$BQ$286</c:f>
              <c:numCache>
                <c:formatCode>0%</c:formatCode>
                <c:ptCount val="7"/>
                <c:pt idx="0">
                  <c:v>0</c:v>
                </c:pt>
                <c:pt idx="1">
                  <c:v>0</c:v>
                </c:pt>
                <c:pt idx="2">
                  <c:v>0</c:v>
                </c:pt>
                <c:pt idx="3">
                  <c:v>0</c:v>
                </c:pt>
                <c:pt idx="4">
                  <c:v>0.16666666666666666</c:v>
                </c:pt>
                <c:pt idx="5">
                  <c:v>0</c:v>
                </c:pt>
                <c:pt idx="6">
                  <c:v>0</c:v>
                </c:pt>
              </c:numCache>
            </c:numRef>
          </c:val>
        </c:ser>
        <c:ser>
          <c:idx val="5"/>
          <c:order val="5"/>
          <c:tx>
            <c:strRef>
              <c:f>'S30d likelihood'!$BR$279</c:f>
              <c:strCache>
                <c:ptCount val="1"/>
                <c:pt idx="0">
                  <c:v>NGOs</c:v>
                </c:pt>
              </c:strCache>
            </c:strRef>
          </c:tx>
          <c:invertIfNegative val="0"/>
          <c:cat>
            <c:strRef>
              <c:f>'S30d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likelihood'!$BR$280:$BR$286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7043840"/>
        <c:axId val="187045376"/>
      </c:barChart>
      <c:catAx>
        <c:axId val="1870438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045376"/>
        <c:crosses val="autoZero"/>
        <c:auto val="1"/>
        <c:lblAlgn val="ctr"/>
        <c:lblOffset val="100"/>
        <c:noMultiLvlLbl val="0"/>
      </c:catAx>
      <c:valAx>
        <c:axId val="187045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043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likelihood'!$B$108</c:f>
          <c:strCache>
            <c:ptCount val="1"/>
            <c:pt idx="0">
              <c:v>Pellet users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likelihood'!$G$126:$G$130</c:f>
              <c:strCache>
                <c:ptCount val="5"/>
                <c:pt idx="0">
                  <c:v>Definitely not</c:v>
                </c:pt>
                <c:pt idx="1">
                  <c:v>Sometimes</c:v>
                </c:pt>
                <c:pt idx="2">
                  <c:v>Most of the time</c:v>
                </c:pt>
                <c:pt idx="3">
                  <c:v>Yes, always</c:v>
                </c:pt>
                <c:pt idx="4">
                  <c:v>I don’t know</c:v>
                </c:pt>
              </c:strCache>
            </c:strRef>
          </c:cat>
          <c:val>
            <c:numRef>
              <c:f>'S26 likelihood'!$I$126:$I$130</c:f>
              <c:numCache>
                <c:formatCode>0%</c:formatCode>
                <c:ptCount val="5"/>
                <c:pt idx="0">
                  <c:v>0.5</c:v>
                </c:pt>
                <c:pt idx="1">
                  <c:v>0.5</c:v>
                </c:pt>
                <c:pt idx="2">
                  <c:v>0</c:v>
                </c:pt>
                <c:pt idx="3">
                  <c:v>0</c:v>
                </c:pt>
                <c:pt idx="4">
                  <c:v>0</c:v>
                </c:pt>
              </c:numCache>
            </c:numRef>
          </c:val>
        </c:ser>
        <c:dLbls>
          <c:showLegendKey val="0"/>
          <c:showVal val="0"/>
          <c:showCatName val="0"/>
          <c:showSerName val="0"/>
          <c:showPercent val="0"/>
          <c:showBubbleSize val="0"/>
        </c:dLbls>
        <c:gapWidth val="219"/>
        <c:overlap val="-27"/>
        <c:axId val="137758592"/>
        <c:axId val="137760128"/>
      </c:barChart>
      <c:catAx>
        <c:axId val="13775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7760128"/>
        <c:crosses val="autoZero"/>
        <c:auto val="1"/>
        <c:lblAlgn val="ctr"/>
        <c:lblOffset val="100"/>
        <c:tickLblSkip val="1"/>
        <c:noMultiLvlLbl val="0"/>
      </c:catAx>
      <c:valAx>
        <c:axId val="1377601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758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likelihood'!$AI$279</c:f>
              <c:strCache>
                <c:ptCount val="1"/>
                <c:pt idx="0">
                  <c:v>Forest owners/managers</c:v>
                </c:pt>
              </c:strCache>
            </c:strRef>
          </c:tx>
          <c:invertIfNegative val="0"/>
          <c:cat>
            <c:strRef>
              <c:f>'S26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likelihood'!$AI$280:$AI$286</c:f>
              <c:numCache>
                <c:formatCode>0%</c:formatCode>
                <c:ptCount val="7"/>
                <c:pt idx="0">
                  <c:v>0.125</c:v>
                </c:pt>
                <c:pt idx="1">
                  <c:v>4.1666666666666664E-2</c:v>
                </c:pt>
                <c:pt idx="2">
                  <c:v>0</c:v>
                </c:pt>
                <c:pt idx="3">
                  <c:v>0</c:v>
                </c:pt>
                <c:pt idx="4">
                  <c:v>0</c:v>
                </c:pt>
                <c:pt idx="5">
                  <c:v>0</c:v>
                </c:pt>
                <c:pt idx="6">
                  <c:v>0</c:v>
                </c:pt>
              </c:numCache>
            </c:numRef>
          </c:val>
        </c:ser>
        <c:ser>
          <c:idx val="1"/>
          <c:order val="1"/>
          <c:tx>
            <c:strRef>
              <c:f>'S26 likelihood'!$AJ$279</c:f>
              <c:strCache>
                <c:ptCount val="1"/>
                <c:pt idx="0">
                  <c:v>Pellet producers</c:v>
                </c:pt>
              </c:strCache>
            </c:strRef>
          </c:tx>
          <c:invertIfNegative val="0"/>
          <c:cat>
            <c:strRef>
              <c:f>'S26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likelihood'!$AJ$280:$AJ$286</c:f>
              <c:numCache>
                <c:formatCode>0%</c:formatCode>
                <c:ptCount val="7"/>
                <c:pt idx="0">
                  <c:v>0.16666666666666666</c:v>
                </c:pt>
                <c:pt idx="1">
                  <c:v>0</c:v>
                </c:pt>
                <c:pt idx="2">
                  <c:v>0</c:v>
                </c:pt>
                <c:pt idx="3">
                  <c:v>0</c:v>
                </c:pt>
                <c:pt idx="4">
                  <c:v>0</c:v>
                </c:pt>
                <c:pt idx="5">
                  <c:v>0</c:v>
                </c:pt>
                <c:pt idx="6">
                  <c:v>0</c:v>
                </c:pt>
              </c:numCache>
            </c:numRef>
          </c:val>
        </c:ser>
        <c:ser>
          <c:idx val="2"/>
          <c:order val="2"/>
          <c:tx>
            <c:strRef>
              <c:f>'S26 likelihood'!$AK$279</c:f>
              <c:strCache>
                <c:ptCount val="1"/>
                <c:pt idx="0">
                  <c:v>Pellet users</c:v>
                </c:pt>
              </c:strCache>
            </c:strRef>
          </c:tx>
          <c:invertIfNegative val="0"/>
          <c:cat>
            <c:strRef>
              <c:f>'S26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likelihood'!$AK$280:$AK$286</c:f>
              <c:numCache>
                <c:formatCode>0%</c:formatCode>
                <c:ptCount val="7"/>
                <c:pt idx="0">
                  <c:v>0.16666666666666666</c:v>
                </c:pt>
                <c:pt idx="1">
                  <c:v>0</c:v>
                </c:pt>
                <c:pt idx="2">
                  <c:v>0</c:v>
                </c:pt>
                <c:pt idx="3">
                  <c:v>0</c:v>
                </c:pt>
                <c:pt idx="4">
                  <c:v>0</c:v>
                </c:pt>
                <c:pt idx="5">
                  <c:v>0</c:v>
                </c:pt>
                <c:pt idx="6">
                  <c:v>0</c:v>
                </c:pt>
              </c:numCache>
            </c:numRef>
          </c:val>
        </c:ser>
        <c:ser>
          <c:idx val="3"/>
          <c:order val="3"/>
          <c:tx>
            <c:strRef>
              <c:f>'S26 likelihood'!$AL$279</c:f>
              <c:strCache>
                <c:ptCount val="1"/>
                <c:pt idx="0">
                  <c:v>Non-bioenergy wood users</c:v>
                </c:pt>
              </c:strCache>
            </c:strRef>
          </c:tx>
          <c:invertIfNegative val="0"/>
          <c:cat>
            <c:strRef>
              <c:f>'S26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likelihood'!$AL$280:$AL$286</c:f>
              <c:numCache>
                <c:formatCode>0%</c:formatCode>
                <c:ptCount val="7"/>
                <c:pt idx="0">
                  <c:v>0</c:v>
                </c:pt>
                <c:pt idx="1">
                  <c:v>8.3333333333333329E-2</c:v>
                </c:pt>
                <c:pt idx="2">
                  <c:v>0</c:v>
                </c:pt>
                <c:pt idx="3">
                  <c:v>0</c:v>
                </c:pt>
                <c:pt idx="4">
                  <c:v>0</c:v>
                </c:pt>
                <c:pt idx="5">
                  <c:v>0</c:v>
                </c:pt>
                <c:pt idx="6">
                  <c:v>8.3333333333333329E-2</c:v>
                </c:pt>
              </c:numCache>
            </c:numRef>
          </c:val>
        </c:ser>
        <c:ser>
          <c:idx val="4"/>
          <c:order val="4"/>
          <c:tx>
            <c:strRef>
              <c:f>'S26 likelihood'!$AM$279</c:f>
              <c:strCache>
                <c:ptCount val="1"/>
                <c:pt idx="0">
                  <c:v>Policy makers and academia</c:v>
                </c:pt>
              </c:strCache>
            </c:strRef>
          </c:tx>
          <c:invertIfNegative val="0"/>
          <c:cat>
            <c:strRef>
              <c:f>'S26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likelihood'!$AM$280:$AM$286</c:f>
              <c:numCache>
                <c:formatCode>0%</c:formatCode>
                <c:ptCount val="7"/>
                <c:pt idx="0">
                  <c:v>0</c:v>
                </c:pt>
                <c:pt idx="1">
                  <c:v>0</c:v>
                </c:pt>
                <c:pt idx="2">
                  <c:v>0</c:v>
                </c:pt>
                <c:pt idx="3">
                  <c:v>0</c:v>
                </c:pt>
                <c:pt idx="4">
                  <c:v>0</c:v>
                </c:pt>
                <c:pt idx="5">
                  <c:v>0</c:v>
                </c:pt>
                <c:pt idx="6">
                  <c:v>0</c:v>
                </c:pt>
              </c:numCache>
            </c:numRef>
          </c:val>
        </c:ser>
        <c:ser>
          <c:idx val="5"/>
          <c:order val="5"/>
          <c:tx>
            <c:strRef>
              <c:f>'S26 likelihood'!$AN$279</c:f>
              <c:strCache>
                <c:ptCount val="1"/>
                <c:pt idx="0">
                  <c:v>NGOs</c:v>
                </c:pt>
              </c:strCache>
            </c:strRef>
          </c:tx>
          <c:invertIfNegative val="0"/>
          <c:cat>
            <c:strRef>
              <c:f>'S26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likelihood'!$AN$280:$AN$286</c:f>
              <c:numCache>
                <c:formatCode>0%</c:formatCode>
                <c:ptCount val="7"/>
                <c:pt idx="0">
                  <c:v>0</c:v>
                </c:pt>
                <c:pt idx="1">
                  <c:v>0</c:v>
                </c:pt>
                <c:pt idx="2">
                  <c:v>0.125</c:v>
                </c:pt>
                <c:pt idx="3">
                  <c:v>4.1666666666666664E-2</c:v>
                </c:pt>
                <c:pt idx="4">
                  <c:v>0</c:v>
                </c:pt>
                <c:pt idx="5">
                  <c:v>0</c:v>
                </c:pt>
                <c:pt idx="6">
                  <c:v>0</c:v>
                </c:pt>
              </c:numCache>
            </c:numRef>
          </c:val>
        </c:ser>
        <c:dLbls>
          <c:showLegendKey val="0"/>
          <c:showVal val="0"/>
          <c:showCatName val="0"/>
          <c:showSerName val="0"/>
          <c:showPercent val="0"/>
          <c:showBubbleSize val="0"/>
        </c:dLbls>
        <c:gapWidth val="150"/>
        <c:overlap val="100"/>
        <c:axId val="139257728"/>
        <c:axId val="139259264"/>
      </c:barChart>
      <c:catAx>
        <c:axId val="13925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9259264"/>
        <c:crosses val="autoZero"/>
        <c:auto val="1"/>
        <c:lblAlgn val="ctr"/>
        <c:lblOffset val="100"/>
        <c:noMultiLvlLbl val="0"/>
      </c:catAx>
      <c:valAx>
        <c:axId val="139259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257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likelihood'!$BM$279</c:f>
              <c:strCache>
                <c:ptCount val="1"/>
                <c:pt idx="0">
                  <c:v>Forest owners/managers</c:v>
                </c:pt>
              </c:strCache>
            </c:strRef>
          </c:tx>
          <c:invertIfNegative val="0"/>
          <c:cat>
            <c:strRef>
              <c:f>'S30d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likelihood'!$BM$280:$BM$286</c:f>
              <c:numCache>
                <c:formatCode>0%</c:formatCode>
                <c:ptCount val="7"/>
                <c:pt idx="0">
                  <c:v>0.16666666666666666</c:v>
                </c:pt>
                <c:pt idx="1">
                  <c:v>0</c:v>
                </c:pt>
                <c:pt idx="2">
                  <c:v>0</c:v>
                </c:pt>
                <c:pt idx="3">
                  <c:v>0</c:v>
                </c:pt>
                <c:pt idx="4">
                  <c:v>0</c:v>
                </c:pt>
                <c:pt idx="5">
                  <c:v>0</c:v>
                </c:pt>
                <c:pt idx="6">
                  <c:v>0</c:v>
                </c:pt>
              </c:numCache>
            </c:numRef>
          </c:val>
        </c:ser>
        <c:ser>
          <c:idx val="1"/>
          <c:order val="1"/>
          <c:tx>
            <c:strRef>
              <c:f>'S30d likelihood'!$BN$279</c:f>
              <c:strCache>
                <c:ptCount val="1"/>
                <c:pt idx="0">
                  <c:v>Pellet producers</c:v>
                </c:pt>
              </c:strCache>
            </c:strRef>
          </c:tx>
          <c:invertIfNegative val="0"/>
          <c:cat>
            <c:strRef>
              <c:f>'S30d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likelihood'!$BN$280:$BN$286</c:f>
              <c:numCache>
                <c:formatCode>0%</c:formatCode>
                <c:ptCount val="7"/>
                <c:pt idx="0">
                  <c:v>0.16666666666666666</c:v>
                </c:pt>
                <c:pt idx="1">
                  <c:v>0</c:v>
                </c:pt>
                <c:pt idx="2">
                  <c:v>0</c:v>
                </c:pt>
                <c:pt idx="3">
                  <c:v>0</c:v>
                </c:pt>
                <c:pt idx="4">
                  <c:v>0</c:v>
                </c:pt>
                <c:pt idx="5">
                  <c:v>0</c:v>
                </c:pt>
                <c:pt idx="6">
                  <c:v>0</c:v>
                </c:pt>
              </c:numCache>
            </c:numRef>
          </c:val>
        </c:ser>
        <c:ser>
          <c:idx val="2"/>
          <c:order val="2"/>
          <c:tx>
            <c:strRef>
              <c:f>'S30d likelihood'!$BO$279</c:f>
              <c:strCache>
                <c:ptCount val="1"/>
                <c:pt idx="0">
                  <c:v>Pellet users</c:v>
                </c:pt>
              </c:strCache>
            </c:strRef>
          </c:tx>
          <c:invertIfNegative val="0"/>
          <c:cat>
            <c:strRef>
              <c:f>'S30d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likelihood'!$BO$280:$BO$286</c:f>
              <c:numCache>
                <c:formatCode>0%</c:formatCode>
                <c:ptCount val="7"/>
                <c:pt idx="0">
                  <c:v>0</c:v>
                </c:pt>
                <c:pt idx="1">
                  <c:v>8.3333333333333329E-2</c:v>
                </c:pt>
                <c:pt idx="2">
                  <c:v>0</c:v>
                </c:pt>
                <c:pt idx="3">
                  <c:v>8.3333333333333329E-2</c:v>
                </c:pt>
                <c:pt idx="4">
                  <c:v>0</c:v>
                </c:pt>
                <c:pt idx="5">
                  <c:v>0</c:v>
                </c:pt>
                <c:pt idx="6">
                  <c:v>0</c:v>
                </c:pt>
              </c:numCache>
            </c:numRef>
          </c:val>
        </c:ser>
        <c:ser>
          <c:idx val="3"/>
          <c:order val="3"/>
          <c:tx>
            <c:strRef>
              <c:f>'S30d likelihood'!$BP$279</c:f>
              <c:strCache>
                <c:ptCount val="1"/>
                <c:pt idx="0">
                  <c:v>Non-bioenergy wood users</c:v>
                </c:pt>
              </c:strCache>
            </c:strRef>
          </c:tx>
          <c:invertIfNegative val="0"/>
          <c:cat>
            <c:strRef>
              <c:f>'S30d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likelihood'!$BP$280:$BP$286</c:f>
              <c:numCache>
                <c:formatCode>0%</c:formatCode>
                <c:ptCount val="7"/>
                <c:pt idx="0">
                  <c:v>0</c:v>
                </c:pt>
                <c:pt idx="1">
                  <c:v>0.16666666666666666</c:v>
                </c:pt>
                <c:pt idx="2">
                  <c:v>0</c:v>
                </c:pt>
                <c:pt idx="3">
                  <c:v>0</c:v>
                </c:pt>
                <c:pt idx="4">
                  <c:v>0</c:v>
                </c:pt>
                <c:pt idx="5">
                  <c:v>0</c:v>
                </c:pt>
                <c:pt idx="6">
                  <c:v>0</c:v>
                </c:pt>
              </c:numCache>
            </c:numRef>
          </c:val>
        </c:ser>
        <c:ser>
          <c:idx val="4"/>
          <c:order val="4"/>
          <c:tx>
            <c:strRef>
              <c:f>'S30d likelihood'!$BQ$279</c:f>
              <c:strCache>
                <c:ptCount val="1"/>
                <c:pt idx="0">
                  <c:v>Policy makers and academia</c:v>
                </c:pt>
              </c:strCache>
            </c:strRef>
          </c:tx>
          <c:invertIfNegative val="0"/>
          <c:cat>
            <c:strRef>
              <c:f>'S30d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likelihood'!$BQ$280:$BQ$286</c:f>
              <c:numCache>
                <c:formatCode>0%</c:formatCode>
                <c:ptCount val="7"/>
                <c:pt idx="0">
                  <c:v>0</c:v>
                </c:pt>
                <c:pt idx="1">
                  <c:v>0</c:v>
                </c:pt>
                <c:pt idx="2">
                  <c:v>0</c:v>
                </c:pt>
                <c:pt idx="3">
                  <c:v>0</c:v>
                </c:pt>
                <c:pt idx="4">
                  <c:v>0.16666666666666666</c:v>
                </c:pt>
                <c:pt idx="5">
                  <c:v>0</c:v>
                </c:pt>
                <c:pt idx="6">
                  <c:v>0</c:v>
                </c:pt>
              </c:numCache>
            </c:numRef>
          </c:val>
        </c:ser>
        <c:ser>
          <c:idx val="5"/>
          <c:order val="5"/>
          <c:tx>
            <c:strRef>
              <c:f>'S30d likelihood'!$BR$279</c:f>
              <c:strCache>
                <c:ptCount val="1"/>
                <c:pt idx="0">
                  <c:v>NGOs</c:v>
                </c:pt>
              </c:strCache>
            </c:strRef>
          </c:tx>
          <c:invertIfNegative val="0"/>
          <c:cat>
            <c:strRef>
              <c:f>'S30d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likelihood'!$BR$280:$BR$286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7094144"/>
        <c:axId val="187095680"/>
      </c:barChart>
      <c:catAx>
        <c:axId val="187094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095680"/>
        <c:crosses val="autoZero"/>
        <c:auto val="1"/>
        <c:lblAlgn val="ctr"/>
        <c:lblOffset val="100"/>
        <c:noMultiLvlLbl val="0"/>
      </c:catAx>
      <c:valAx>
        <c:axId val="187095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0941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likelihood'!$DL$279</c:f>
              <c:strCache>
                <c:ptCount val="1"/>
                <c:pt idx="0">
                  <c:v>Forest owners/managers</c:v>
                </c:pt>
              </c:strCache>
            </c:strRef>
          </c:tx>
          <c:invertIfNegative val="0"/>
          <c:cat>
            <c:strRef>
              <c:f>'S30d likelihood'!$DK$280:$DK$284</c:f>
              <c:strCache>
                <c:ptCount val="5"/>
                <c:pt idx="0">
                  <c:v>Definitely not</c:v>
                </c:pt>
                <c:pt idx="1">
                  <c:v>Sometimes</c:v>
                </c:pt>
                <c:pt idx="2">
                  <c:v>Most of the time</c:v>
                </c:pt>
                <c:pt idx="3">
                  <c:v>Yes, always</c:v>
                </c:pt>
                <c:pt idx="4">
                  <c:v>I don’t know</c:v>
                </c:pt>
              </c:strCache>
            </c:strRef>
          </c:cat>
          <c:val>
            <c:numRef>
              <c:f>'S30d likelihood'!$DL$280:$DL$284</c:f>
              <c:numCache>
                <c:formatCode>0%</c:formatCode>
                <c:ptCount val="5"/>
                <c:pt idx="0">
                  <c:v>4.1666666666666664E-2</c:v>
                </c:pt>
                <c:pt idx="1">
                  <c:v>4.1666666666666664E-2</c:v>
                </c:pt>
                <c:pt idx="2">
                  <c:v>4.1666666666666664E-2</c:v>
                </c:pt>
                <c:pt idx="3">
                  <c:v>4.1666666666666664E-2</c:v>
                </c:pt>
                <c:pt idx="4">
                  <c:v>0</c:v>
                </c:pt>
              </c:numCache>
            </c:numRef>
          </c:val>
        </c:ser>
        <c:ser>
          <c:idx val="1"/>
          <c:order val="1"/>
          <c:tx>
            <c:strRef>
              <c:f>'S30d likelihood'!$DM$279</c:f>
              <c:strCache>
                <c:ptCount val="1"/>
                <c:pt idx="0">
                  <c:v>Pellet producers</c:v>
                </c:pt>
              </c:strCache>
            </c:strRef>
          </c:tx>
          <c:invertIfNegative val="0"/>
          <c:cat>
            <c:strRef>
              <c:f>'S30d likelihood'!$DK$280:$DK$284</c:f>
              <c:strCache>
                <c:ptCount val="5"/>
                <c:pt idx="0">
                  <c:v>Definitely not</c:v>
                </c:pt>
                <c:pt idx="1">
                  <c:v>Sometimes</c:v>
                </c:pt>
                <c:pt idx="2">
                  <c:v>Most of the time</c:v>
                </c:pt>
                <c:pt idx="3">
                  <c:v>Yes, always</c:v>
                </c:pt>
                <c:pt idx="4">
                  <c:v>I don’t know</c:v>
                </c:pt>
              </c:strCache>
            </c:strRef>
          </c:cat>
          <c:val>
            <c:numRef>
              <c:f>'S30d likelihood'!$DM$280:$DM$284</c:f>
              <c:numCache>
                <c:formatCode>0%</c:formatCode>
                <c:ptCount val="5"/>
                <c:pt idx="0">
                  <c:v>0</c:v>
                </c:pt>
                <c:pt idx="1">
                  <c:v>0</c:v>
                </c:pt>
                <c:pt idx="2">
                  <c:v>0</c:v>
                </c:pt>
                <c:pt idx="3">
                  <c:v>0</c:v>
                </c:pt>
                <c:pt idx="4">
                  <c:v>0</c:v>
                </c:pt>
              </c:numCache>
            </c:numRef>
          </c:val>
        </c:ser>
        <c:ser>
          <c:idx val="2"/>
          <c:order val="2"/>
          <c:tx>
            <c:strRef>
              <c:f>'S30d likelihood'!$DN$279</c:f>
              <c:strCache>
                <c:ptCount val="1"/>
                <c:pt idx="0">
                  <c:v>Pellet users</c:v>
                </c:pt>
              </c:strCache>
            </c:strRef>
          </c:tx>
          <c:invertIfNegative val="0"/>
          <c:cat>
            <c:strRef>
              <c:f>'S30d likelihood'!$DK$280:$DK$284</c:f>
              <c:strCache>
                <c:ptCount val="5"/>
                <c:pt idx="0">
                  <c:v>Definitely not</c:v>
                </c:pt>
                <c:pt idx="1">
                  <c:v>Sometimes</c:v>
                </c:pt>
                <c:pt idx="2">
                  <c:v>Most of the time</c:v>
                </c:pt>
                <c:pt idx="3">
                  <c:v>Yes, always</c:v>
                </c:pt>
                <c:pt idx="4">
                  <c:v>I don’t know</c:v>
                </c:pt>
              </c:strCache>
            </c:strRef>
          </c:cat>
          <c:val>
            <c:numRef>
              <c:f>'S30d likelihood'!$DN$280:$DN$284</c:f>
              <c:numCache>
                <c:formatCode>0%</c:formatCode>
                <c:ptCount val="5"/>
                <c:pt idx="0">
                  <c:v>0</c:v>
                </c:pt>
                <c:pt idx="1">
                  <c:v>8.3333333333333329E-2</c:v>
                </c:pt>
                <c:pt idx="2">
                  <c:v>0</c:v>
                </c:pt>
                <c:pt idx="3">
                  <c:v>8.3333333333333329E-2</c:v>
                </c:pt>
                <c:pt idx="4">
                  <c:v>0</c:v>
                </c:pt>
              </c:numCache>
            </c:numRef>
          </c:val>
        </c:ser>
        <c:ser>
          <c:idx val="3"/>
          <c:order val="3"/>
          <c:tx>
            <c:strRef>
              <c:f>'S30d likelihood'!$DO$279</c:f>
              <c:strCache>
                <c:ptCount val="1"/>
                <c:pt idx="0">
                  <c:v>Non-bioenergy wood users</c:v>
                </c:pt>
              </c:strCache>
            </c:strRef>
          </c:tx>
          <c:invertIfNegative val="0"/>
          <c:cat>
            <c:strRef>
              <c:f>'S30d likelihood'!$DK$280:$DK$284</c:f>
              <c:strCache>
                <c:ptCount val="5"/>
                <c:pt idx="0">
                  <c:v>Definitely not</c:v>
                </c:pt>
                <c:pt idx="1">
                  <c:v>Sometimes</c:v>
                </c:pt>
                <c:pt idx="2">
                  <c:v>Most of the time</c:v>
                </c:pt>
                <c:pt idx="3">
                  <c:v>Yes, always</c:v>
                </c:pt>
                <c:pt idx="4">
                  <c:v>I don’t know</c:v>
                </c:pt>
              </c:strCache>
            </c:strRef>
          </c:cat>
          <c:val>
            <c:numRef>
              <c:f>'S30d likelihood'!$DO$280:$DO$284</c:f>
              <c:numCache>
                <c:formatCode>0%</c:formatCode>
                <c:ptCount val="5"/>
                <c:pt idx="0">
                  <c:v>0</c:v>
                </c:pt>
                <c:pt idx="1">
                  <c:v>0</c:v>
                </c:pt>
                <c:pt idx="2">
                  <c:v>0</c:v>
                </c:pt>
                <c:pt idx="3">
                  <c:v>0.16666666666666666</c:v>
                </c:pt>
                <c:pt idx="4">
                  <c:v>0</c:v>
                </c:pt>
              </c:numCache>
            </c:numRef>
          </c:val>
        </c:ser>
        <c:ser>
          <c:idx val="4"/>
          <c:order val="4"/>
          <c:tx>
            <c:strRef>
              <c:f>'S30d likelihood'!$DP$279</c:f>
              <c:strCache>
                <c:ptCount val="1"/>
                <c:pt idx="0">
                  <c:v>Policy makers and academia</c:v>
                </c:pt>
              </c:strCache>
            </c:strRef>
          </c:tx>
          <c:invertIfNegative val="0"/>
          <c:cat>
            <c:strRef>
              <c:f>'S30d likelihood'!$DK$280:$DK$284</c:f>
              <c:strCache>
                <c:ptCount val="5"/>
                <c:pt idx="0">
                  <c:v>Definitely not</c:v>
                </c:pt>
                <c:pt idx="1">
                  <c:v>Sometimes</c:v>
                </c:pt>
                <c:pt idx="2">
                  <c:v>Most of the time</c:v>
                </c:pt>
                <c:pt idx="3">
                  <c:v>Yes, always</c:v>
                </c:pt>
                <c:pt idx="4">
                  <c:v>I don’t know</c:v>
                </c:pt>
              </c:strCache>
            </c:strRef>
          </c:cat>
          <c:val>
            <c:numRef>
              <c:f>'S30d likelihood'!$DP$280:$DP$284</c:f>
              <c:numCache>
                <c:formatCode>0%</c:formatCode>
                <c:ptCount val="5"/>
                <c:pt idx="0">
                  <c:v>0</c:v>
                </c:pt>
                <c:pt idx="1">
                  <c:v>0</c:v>
                </c:pt>
                <c:pt idx="2">
                  <c:v>8.3333333333333329E-2</c:v>
                </c:pt>
                <c:pt idx="3">
                  <c:v>8.3333333333333329E-2</c:v>
                </c:pt>
                <c:pt idx="4">
                  <c:v>0</c:v>
                </c:pt>
              </c:numCache>
            </c:numRef>
          </c:val>
        </c:ser>
        <c:ser>
          <c:idx val="5"/>
          <c:order val="5"/>
          <c:tx>
            <c:strRef>
              <c:f>'S30d likelihood'!$DQ$279</c:f>
              <c:strCache>
                <c:ptCount val="1"/>
                <c:pt idx="0">
                  <c:v>NGOs</c:v>
                </c:pt>
              </c:strCache>
            </c:strRef>
          </c:tx>
          <c:invertIfNegative val="0"/>
          <c:cat>
            <c:strRef>
              <c:f>'S30d likelihood'!$DK$280:$DK$284</c:f>
              <c:strCache>
                <c:ptCount val="5"/>
                <c:pt idx="0">
                  <c:v>Definitely not</c:v>
                </c:pt>
                <c:pt idx="1">
                  <c:v>Sometimes</c:v>
                </c:pt>
                <c:pt idx="2">
                  <c:v>Most of the time</c:v>
                </c:pt>
                <c:pt idx="3">
                  <c:v>Yes, always</c:v>
                </c:pt>
                <c:pt idx="4">
                  <c:v>I don’t know</c:v>
                </c:pt>
              </c:strCache>
            </c:strRef>
          </c:cat>
          <c:val>
            <c:numRef>
              <c:f>'S30d likelihood'!$DQ$280:$DQ$284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87152640"/>
        <c:axId val="187158528"/>
      </c:barChart>
      <c:catAx>
        <c:axId val="1871526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158528"/>
        <c:crosses val="autoZero"/>
        <c:auto val="1"/>
        <c:lblAlgn val="ctr"/>
        <c:lblOffset val="100"/>
        <c:noMultiLvlLbl val="0"/>
      </c:catAx>
      <c:valAx>
        <c:axId val="187158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152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likelihood'!$AM$72:$AM$78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likelihood'!$AO$72:$AO$78</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7166080"/>
        <c:axId val="187245696"/>
      </c:barChart>
      <c:catAx>
        <c:axId val="18716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245696"/>
        <c:crosses val="autoZero"/>
        <c:auto val="1"/>
        <c:lblAlgn val="ctr"/>
        <c:lblOffset val="100"/>
        <c:tickLblSkip val="1"/>
        <c:noMultiLvlLbl val="0"/>
      </c:catAx>
      <c:valAx>
        <c:axId val="1872456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166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likelihood'!$AM$99:$AM$105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likelihood'!$AO$99:$AO$105</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7285888"/>
        <c:axId val="187287424"/>
      </c:barChart>
      <c:catAx>
        <c:axId val="18728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287424"/>
        <c:crosses val="autoZero"/>
        <c:auto val="1"/>
        <c:lblAlgn val="ctr"/>
        <c:lblOffset val="100"/>
        <c:tickLblSkip val="1"/>
        <c:noMultiLvlLbl val="0"/>
      </c:catAx>
      <c:valAx>
        <c:axId val="1872874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285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likelihood'!$AM$126:$AM$132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likelihood'!$AO$126:$AO$132</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6852864"/>
        <c:axId val="186854400"/>
      </c:barChart>
      <c:catAx>
        <c:axId val="18685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854400"/>
        <c:crosses val="autoZero"/>
        <c:auto val="1"/>
        <c:lblAlgn val="ctr"/>
        <c:lblOffset val="100"/>
        <c:tickLblSkip val="1"/>
        <c:noMultiLvlLbl val="0"/>
      </c:catAx>
      <c:valAx>
        <c:axId val="1868544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852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likelihood'!$AM$153:$AM$159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likelihood'!$AO$153:$AO$159</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6866304"/>
        <c:axId val="186884480"/>
      </c:barChart>
      <c:catAx>
        <c:axId val="18686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884480"/>
        <c:crosses val="autoZero"/>
        <c:auto val="1"/>
        <c:lblAlgn val="ctr"/>
        <c:lblOffset val="100"/>
        <c:tickLblSkip val="1"/>
        <c:noMultiLvlLbl val="0"/>
      </c:catAx>
      <c:valAx>
        <c:axId val="186884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866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likelihood'!$AM$180:$AM$186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likelihood'!$AO$180:$AO$186</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6986496"/>
        <c:axId val="186988032"/>
      </c:barChart>
      <c:catAx>
        <c:axId val="18698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6988032"/>
        <c:crosses val="autoZero"/>
        <c:auto val="1"/>
        <c:lblAlgn val="ctr"/>
        <c:lblOffset val="100"/>
        <c:tickLblSkip val="1"/>
        <c:noMultiLvlLbl val="0"/>
      </c:catAx>
      <c:valAx>
        <c:axId val="1869880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986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likelihood'!$AM$207:$AM$213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likelihood'!$AO$207:$AO$213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7028608"/>
        <c:axId val="187030144"/>
      </c:barChart>
      <c:catAx>
        <c:axId val="18702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030144"/>
        <c:crosses val="autoZero"/>
        <c:auto val="1"/>
        <c:lblAlgn val="ctr"/>
        <c:lblOffset val="100"/>
        <c:tickLblSkip val="1"/>
        <c:noMultiLvlLbl val="0"/>
      </c:catAx>
      <c:valAx>
        <c:axId val="1870301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028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likelihood'!$AM$234:$AM$240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likelihood'!$AO$234:$AO$240</c:f>
              <c:numCache>
                <c:formatCode>0%</c:formatCode>
                <c:ptCount val="7"/>
                <c:pt idx="0">
                  <c:v>0.83333333333333337</c:v>
                </c:pt>
                <c:pt idx="1">
                  <c:v>0.16666666666666666</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7312384"/>
        <c:axId val="187322368"/>
      </c:barChart>
      <c:catAx>
        <c:axId val="18731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322368"/>
        <c:crosses val="autoZero"/>
        <c:auto val="1"/>
        <c:lblAlgn val="ctr"/>
        <c:lblOffset val="100"/>
        <c:tickLblSkip val="1"/>
        <c:noMultiLvlLbl val="0"/>
      </c:catAx>
      <c:valAx>
        <c:axId val="187322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312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likelihood'!$AI$247</c:f>
              <c:strCache>
                <c:ptCount val="1"/>
                <c:pt idx="0">
                  <c:v>Forest owners/managers</c:v>
                </c:pt>
              </c:strCache>
            </c:strRef>
          </c:tx>
          <c:spPr>
            <a:solidFill>
              <a:schemeClr val="accent1"/>
            </a:solidFill>
            <a:ln>
              <a:noFill/>
            </a:ln>
            <a:effectLst/>
          </c:spPr>
          <c:invertIfNegative val="0"/>
          <c:cat>
            <c:strRef>
              <c:f>'S30d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likelihood'!$AI$248:$AI$254</c:f>
              <c:numCache>
                <c:formatCode>General</c:formatCode>
                <c:ptCount val="7"/>
                <c:pt idx="0">
                  <c:v>2</c:v>
                </c:pt>
                <c:pt idx="1">
                  <c:v>0</c:v>
                </c:pt>
                <c:pt idx="2">
                  <c:v>0</c:v>
                </c:pt>
                <c:pt idx="3">
                  <c:v>0</c:v>
                </c:pt>
                <c:pt idx="4">
                  <c:v>0</c:v>
                </c:pt>
                <c:pt idx="5">
                  <c:v>0</c:v>
                </c:pt>
                <c:pt idx="6">
                  <c:v>0</c:v>
                </c:pt>
              </c:numCache>
            </c:numRef>
          </c:val>
        </c:ser>
        <c:ser>
          <c:idx val="1"/>
          <c:order val="1"/>
          <c:tx>
            <c:strRef>
              <c:f>'S30d likelihood'!$AJ$247</c:f>
              <c:strCache>
                <c:ptCount val="1"/>
                <c:pt idx="0">
                  <c:v>Pellet producers</c:v>
                </c:pt>
              </c:strCache>
            </c:strRef>
          </c:tx>
          <c:spPr>
            <a:solidFill>
              <a:schemeClr val="accent2"/>
            </a:solidFill>
            <a:ln>
              <a:noFill/>
            </a:ln>
            <a:effectLst/>
          </c:spPr>
          <c:invertIfNegative val="0"/>
          <c:cat>
            <c:strRef>
              <c:f>'S30d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likelihood'!$AJ$248:$AJ$254</c:f>
              <c:numCache>
                <c:formatCode>0</c:formatCode>
                <c:ptCount val="7"/>
                <c:pt idx="0">
                  <c:v>1</c:v>
                </c:pt>
                <c:pt idx="1">
                  <c:v>0</c:v>
                </c:pt>
                <c:pt idx="2">
                  <c:v>0</c:v>
                </c:pt>
                <c:pt idx="3">
                  <c:v>0</c:v>
                </c:pt>
                <c:pt idx="4">
                  <c:v>0</c:v>
                </c:pt>
                <c:pt idx="5">
                  <c:v>0</c:v>
                </c:pt>
                <c:pt idx="6">
                  <c:v>0</c:v>
                </c:pt>
              </c:numCache>
            </c:numRef>
          </c:val>
        </c:ser>
        <c:ser>
          <c:idx val="2"/>
          <c:order val="2"/>
          <c:tx>
            <c:strRef>
              <c:f>'S30d likelihood'!$AK$247</c:f>
              <c:strCache>
                <c:ptCount val="1"/>
                <c:pt idx="0">
                  <c:v>Pellet users</c:v>
                </c:pt>
              </c:strCache>
            </c:strRef>
          </c:tx>
          <c:spPr>
            <a:solidFill>
              <a:schemeClr val="accent3"/>
            </a:solidFill>
            <a:ln>
              <a:noFill/>
            </a:ln>
            <a:effectLst/>
          </c:spPr>
          <c:invertIfNegative val="0"/>
          <c:cat>
            <c:strRef>
              <c:f>'S30d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likelihood'!$AK$248:$AK$254</c:f>
              <c:numCache>
                <c:formatCode>General</c:formatCode>
                <c:ptCount val="7"/>
                <c:pt idx="0">
                  <c:v>0</c:v>
                </c:pt>
                <c:pt idx="1">
                  <c:v>1</c:v>
                </c:pt>
                <c:pt idx="2">
                  <c:v>0</c:v>
                </c:pt>
                <c:pt idx="3">
                  <c:v>0</c:v>
                </c:pt>
                <c:pt idx="4">
                  <c:v>0</c:v>
                </c:pt>
                <c:pt idx="5">
                  <c:v>0</c:v>
                </c:pt>
                <c:pt idx="6">
                  <c:v>0</c:v>
                </c:pt>
              </c:numCache>
            </c:numRef>
          </c:val>
        </c:ser>
        <c:ser>
          <c:idx val="3"/>
          <c:order val="3"/>
          <c:tx>
            <c:strRef>
              <c:f>'S30d likelihood'!$AL$247</c:f>
              <c:strCache>
                <c:ptCount val="1"/>
                <c:pt idx="0">
                  <c:v>Non-bioenergy wood users</c:v>
                </c:pt>
              </c:strCache>
            </c:strRef>
          </c:tx>
          <c:spPr>
            <a:solidFill>
              <a:schemeClr val="accent4"/>
            </a:solidFill>
            <a:ln>
              <a:noFill/>
            </a:ln>
            <a:effectLst/>
          </c:spPr>
          <c:invertIfNegative val="0"/>
          <c:cat>
            <c:strRef>
              <c:f>'S30d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likelihood'!$AL$248:$AL$254</c:f>
              <c:numCache>
                <c:formatCode>General</c:formatCode>
                <c:ptCount val="7"/>
                <c:pt idx="0">
                  <c:v>1</c:v>
                </c:pt>
                <c:pt idx="1">
                  <c:v>0</c:v>
                </c:pt>
                <c:pt idx="2">
                  <c:v>0</c:v>
                </c:pt>
                <c:pt idx="3">
                  <c:v>0</c:v>
                </c:pt>
                <c:pt idx="4">
                  <c:v>0</c:v>
                </c:pt>
                <c:pt idx="5">
                  <c:v>0</c:v>
                </c:pt>
                <c:pt idx="6">
                  <c:v>0</c:v>
                </c:pt>
              </c:numCache>
            </c:numRef>
          </c:val>
        </c:ser>
        <c:ser>
          <c:idx val="4"/>
          <c:order val="4"/>
          <c:tx>
            <c:strRef>
              <c:f>'S30d likelihood'!$AM$247</c:f>
              <c:strCache>
                <c:ptCount val="1"/>
                <c:pt idx="0">
                  <c:v>Policy makers and academia</c:v>
                </c:pt>
              </c:strCache>
            </c:strRef>
          </c:tx>
          <c:spPr>
            <a:solidFill>
              <a:schemeClr val="accent5"/>
            </a:solidFill>
            <a:ln>
              <a:noFill/>
            </a:ln>
            <a:effectLst/>
          </c:spPr>
          <c:invertIfNegative val="0"/>
          <c:cat>
            <c:strRef>
              <c:f>'S30d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likelihood'!$AM$248:$AM$254</c:f>
              <c:numCache>
                <c:formatCode>0</c:formatCode>
                <c:ptCount val="7"/>
                <c:pt idx="0">
                  <c:v>1</c:v>
                </c:pt>
                <c:pt idx="1">
                  <c:v>0</c:v>
                </c:pt>
                <c:pt idx="2">
                  <c:v>0</c:v>
                </c:pt>
                <c:pt idx="3">
                  <c:v>0</c:v>
                </c:pt>
                <c:pt idx="4">
                  <c:v>0</c:v>
                </c:pt>
                <c:pt idx="5">
                  <c:v>0</c:v>
                </c:pt>
                <c:pt idx="6">
                  <c:v>0</c:v>
                </c:pt>
              </c:numCache>
            </c:numRef>
          </c:val>
        </c:ser>
        <c:ser>
          <c:idx val="5"/>
          <c:order val="5"/>
          <c:tx>
            <c:strRef>
              <c:f>'S30d likelihood'!$AN$247</c:f>
              <c:strCache>
                <c:ptCount val="1"/>
                <c:pt idx="0">
                  <c:v>NGOs</c:v>
                </c:pt>
              </c:strCache>
            </c:strRef>
          </c:tx>
          <c:spPr>
            <a:solidFill>
              <a:schemeClr val="accent6"/>
            </a:solidFill>
            <a:ln>
              <a:noFill/>
            </a:ln>
            <a:effectLst/>
          </c:spPr>
          <c:invertIfNegative val="0"/>
          <c:cat>
            <c:strRef>
              <c:f>'S30d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likelihood'!$AN$248:$AN$254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7362688"/>
        <c:axId val="187634816"/>
      </c:barChart>
      <c:catAx>
        <c:axId val="18736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634816"/>
        <c:crosses val="autoZero"/>
        <c:auto val="1"/>
        <c:lblAlgn val="ctr"/>
        <c:lblOffset val="100"/>
        <c:noMultiLvlLbl val="0"/>
      </c:catAx>
      <c:valAx>
        <c:axId val="187634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36268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likelihood'!$AI$279</c:f>
              <c:strCache>
                <c:ptCount val="1"/>
                <c:pt idx="0">
                  <c:v>Forest owners/managers</c:v>
                </c:pt>
              </c:strCache>
            </c:strRef>
          </c:tx>
          <c:invertIfNegative val="0"/>
          <c:cat>
            <c:strRef>
              <c:f>'S26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likelihood'!$AI$280:$AI$286</c:f>
              <c:numCache>
                <c:formatCode>0%</c:formatCode>
                <c:ptCount val="7"/>
                <c:pt idx="0">
                  <c:v>0.125</c:v>
                </c:pt>
                <c:pt idx="1">
                  <c:v>4.1666666666666664E-2</c:v>
                </c:pt>
                <c:pt idx="2">
                  <c:v>0</c:v>
                </c:pt>
                <c:pt idx="3">
                  <c:v>0</c:v>
                </c:pt>
                <c:pt idx="4">
                  <c:v>0</c:v>
                </c:pt>
                <c:pt idx="5">
                  <c:v>0</c:v>
                </c:pt>
                <c:pt idx="6">
                  <c:v>0</c:v>
                </c:pt>
              </c:numCache>
            </c:numRef>
          </c:val>
        </c:ser>
        <c:ser>
          <c:idx val="1"/>
          <c:order val="1"/>
          <c:tx>
            <c:strRef>
              <c:f>'S26 likelihood'!$AJ$279</c:f>
              <c:strCache>
                <c:ptCount val="1"/>
                <c:pt idx="0">
                  <c:v>Pellet producers</c:v>
                </c:pt>
              </c:strCache>
            </c:strRef>
          </c:tx>
          <c:invertIfNegative val="0"/>
          <c:cat>
            <c:strRef>
              <c:f>'S26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likelihood'!$AJ$280:$AJ$286</c:f>
              <c:numCache>
                <c:formatCode>0%</c:formatCode>
                <c:ptCount val="7"/>
                <c:pt idx="0">
                  <c:v>0.16666666666666666</c:v>
                </c:pt>
                <c:pt idx="1">
                  <c:v>0</c:v>
                </c:pt>
                <c:pt idx="2">
                  <c:v>0</c:v>
                </c:pt>
                <c:pt idx="3">
                  <c:v>0</c:v>
                </c:pt>
                <c:pt idx="4">
                  <c:v>0</c:v>
                </c:pt>
                <c:pt idx="5">
                  <c:v>0</c:v>
                </c:pt>
                <c:pt idx="6">
                  <c:v>0</c:v>
                </c:pt>
              </c:numCache>
            </c:numRef>
          </c:val>
        </c:ser>
        <c:ser>
          <c:idx val="2"/>
          <c:order val="2"/>
          <c:tx>
            <c:strRef>
              <c:f>'S26 likelihood'!$AK$279</c:f>
              <c:strCache>
                <c:ptCount val="1"/>
                <c:pt idx="0">
                  <c:v>Pellet users</c:v>
                </c:pt>
              </c:strCache>
            </c:strRef>
          </c:tx>
          <c:invertIfNegative val="0"/>
          <c:cat>
            <c:strRef>
              <c:f>'S26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likelihood'!$AK$280:$AK$286</c:f>
              <c:numCache>
                <c:formatCode>0%</c:formatCode>
                <c:ptCount val="7"/>
                <c:pt idx="0">
                  <c:v>0.16666666666666666</c:v>
                </c:pt>
                <c:pt idx="1">
                  <c:v>0</c:v>
                </c:pt>
                <c:pt idx="2">
                  <c:v>0</c:v>
                </c:pt>
                <c:pt idx="3">
                  <c:v>0</c:v>
                </c:pt>
                <c:pt idx="4">
                  <c:v>0</c:v>
                </c:pt>
                <c:pt idx="5">
                  <c:v>0</c:v>
                </c:pt>
                <c:pt idx="6">
                  <c:v>0</c:v>
                </c:pt>
              </c:numCache>
            </c:numRef>
          </c:val>
        </c:ser>
        <c:ser>
          <c:idx val="3"/>
          <c:order val="3"/>
          <c:tx>
            <c:strRef>
              <c:f>'S26 likelihood'!$AL$279</c:f>
              <c:strCache>
                <c:ptCount val="1"/>
                <c:pt idx="0">
                  <c:v>Non-bioenergy wood users</c:v>
                </c:pt>
              </c:strCache>
            </c:strRef>
          </c:tx>
          <c:invertIfNegative val="0"/>
          <c:cat>
            <c:strRef>
              <c:f>'S26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likelihood'!$AL$280:$AL$286</c:f>
              <c:numCache>
                <c:formatCode>0%</c:formatCode>
                <c:ptCount val="7"/>
                <c:pt idx="0">
                  <c:v>0</c:v>
                </c:pt>
                <c:pt idx="1">
                  <c:v>8.3333333333333329E-2</c:v>
                </c:pt>
                <c:pt idx="2">
                  <c:v>0</c:v>
                </c:pt>
                <c:pt idx="3">
                  <c:v>0</c:v>
                </c:pt>
                <c:pt idx="4">
                  <c:v>0</c:v>
                </c:pt>
                <c:pt idx="5">
                  <c:v>0</c:v>
                </c:pt>
                <c:pt idx="6">
                  <c:v>8.3333333333333329E-2</c:v>
                </c:pt>
              </c:numCache>
            </c:numRef>
          </c:val>
        </c:ser>
        <c:ser>
          <c:idx val="4"/>
          <c:order val="4"/>
          <c:tx>
            <c:strRef>
              <c:f>'S26 likelihood'!$AM$279</c:f>
              <c:strCache>
                <c:ptCount val="1"/>
                <c:pt idx="0">
                  <c:v>Policy makers and academia</c:v>
                </c:pt>
              </c:strCache>
            </c:strRef>
          </c:tx>
          <c:invertIfNegative val="0"/>
          <c:cat>
            <c:strRef>
              <c:f>'S26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likelihood'!$AM$280:$AM$286</c:f>
              <c:numCache>
                <c:formatCode>0%</c:formatCode>
                <c:ptCount val="7"/>
                <c:pt idx="0">
                  <c:v>0</c:v>
                </c:pt>
                <c:pt idx="1">
                  <c:v>0</c:v>
                </c:pt>
                <c:pt idx="2">
                  <c:v>0</c:v>
                </c:pt>
                <c:pt idx="3">
                  <c:v>0</c:v>
                </c:pt>
                <c:pt idx="4">
                  <c:v>0</c:v>
                </c:pt>
                <c:pt idx="5">
                  <c:v>0</c:v>
                </c:pt>
                <c:pt idx="6">
                  <c:v>0</c:v>
                </c:pt>
              </c:numCache>
            </c:numRef>
          </c:val>
        </c:ser>
        <c:ser>
          <c:idx val="5"/>
          <c:order val="5"/>
          <c:tx>
            <c:strRef>
              <c:f>'S26 likelihood'!$AN$279</c:f>
              <c:strCache>
                <c:ptCount val="1"/>
                <c:pt idx="0">
                  <c:v>NGOs</c:v>
                </c:pt>
              </c:strCache>
            </c:strRef>
          </c:tx>
          <c:invertIfNegative val="0"/>
          <c:cat>
            <c:strRef>
              <c:f>'S26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likelihood'!$AN$280:$AN$286</c:f>
              <c:numCache>
                <c:formatCode>0%</c:formatCode>
                <c:ptCount val="7"/>
                <c:pt idx="0">
                  <c:v>0</c:v>
                </c:pt>
                <c:pt idx="1">
                  <c:v>0</c:v>
                </c:pt>
                <c:pt idx="2">
                  <c:v>0.125</c:v>
                </c:pt>
                <c:pt idx="3">
                  <c:v>4.1666666666666664E-2</c:v>
                </c:pt>
                <c:pt idx="4">
                  <c:v>0</c:v>
                </c:pt>
                <c:pt idx="5">
                  <c:v>0</c:v>
                </c:pt>
                <c:pt idx="6">
                  <c:v>0</c:v>
                </c:pt>
              </c:numCache>
            </c:numRef>
          </c:val>
        </c:ser>
        <c:dLbls>
          <c:showLegendKey val="0"/>
          <c:showVal val="0"/>
          <c:showCatName val="0"/>
          <c:showSerName val="0"/>
          <c:showPercent val="0"/>
          <c:showBubbleSize val="0"/>
        </c:dLbls>
        <c:gapWidth val="150"/>
        <c:overlap val="100"/>
        <c:axId val="139303936"/>
        <c:axId val="139313920"/>
      </c:barChart>
      <c:catAx>
        <c:axId val="13930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9313920"/>
        <c:crosses val="autoZero"/>
        <c:auto val="1"/>
        <c:lblAlgn val="ctr"/>
        <c:lblOffset val="100"/>
        <c:noMultiLvlLbl val="0"/>
      </c:catAx>
      <c:valAx>
        <c:axId val="139313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303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likelihood'!$AI$279</c:f>
              <c:strCache>
                <c:ptCount val="1"/>
                <c:pt idx="0">
                  <c:v>Forest owners/managers</c:v>
                </c:pt>
              </c:strCache>
            </c:strRef>
          </c:tx>
          <c:invertIfNegative val="0"/>
          <c:cat>
            <c:strRef>
              <c:f>'S30d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likelihood'!$AI$280:$AI$286</c:f>
              <c:numCache>
                <c:formatCode>0%</c:formatCode>
                <c:ptCount val="7"/>
                <c:pt idx="0">
                  <c:v>0.16666666666666666</c:v>
                </c:pt>
                <c:pt idx="1">
                  <c:v>0</c:v>
                </c:pt>
                <c:pt idx="2">
                  <c:v>0</c:v>
                </c:pt>
                <c:pt idx="3">
                  <c:v>0</c:v>
                </c:pt>
                <c:pt idx="4">
                  <c:v>0</c:v>
                </c:pt>
                <c:pt idx="5">
                  <c:v>0</c:v>
                </c:pt>
                <c:pt idx="6">
                  <c:v>0</c:v>
                </c:pt>
              </c:numCache>
            </c:numRef>
          </c:val>
        </c:ser>
        <c:ser>
          <c:idx val="1"/>
          <c:order val="1"/>
          <c:tx>
            <c:strRef>
              <c:f>'S30d likelihood'!$AJ$279</c:f>
              <c:strCache>
                <c:ptCount val="1"/>
                <c:pt idx="0">
                  <c:v>Pellet producers</c:v>
                </c:pt>
              </c:strCache>
            </c:strRef>
          </c:tx>
          <c:invertIfNegative val="0"/>
          <c:cat>
            <c:strRef>
              <c:f>'S30d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likelihood'!$AJ$280:$AJ$286</c:f>
              <c:numCache>
                <c:formatCode>0%</c:formatCode>
                <c:ptCount val="7"/>
                <c:pt idx="0">
                  <c:v>0.16666666666666666</c:v>
                </c:pt>
                <c:pt idx="1">
                  <c:v>0</c:v>
                </c:pt>
                <c:pt idx="2">
                  <c:v>0</c:v>
                </c:pt>
                <c:pt idx="3">
                  <c:v>0</c:v>
                </c:pt>
                <c:pt idx="4">
                  <c:v>0</c:v>
                </c:pt>
                <c:pt idx="5">
                  <c:v>0</c:v>
                </c:pt>
                <c:pt idx="6">
                  <c:v>0</c:v>
                </c:pt>
              </c:numCache>
            </c:numRef>
          </c:val>
        </c:ser>
        <c:ser>
          <c:idx val="2"/>
          <c:order val="2"/>
          <c:tx>
            <c:strRef>
              <c:f>'S30d likelihood'!$AK$279</c:f>
              <c:strCache>
                <c:ptCount val="1"/>
                <c:pt idx="0">
                  <c:v>Pellet users</c:v>
                </c:pt>
              </c:strCache>
            </c:strRef>
          </c:tx>
          <c:invertIfNegative val="0"/>
          <c:cat>
            <c:strRef>
              <c:f>'S30d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likelihood'!$AK$280:$AK$286</c:f>
              <c:numCache>
                <c:formatCode>0%</c:formatCode>
                <c:ptCount val="7"/>
                <c:pt idx="0">
                  <c:v>0</c:v>
                </c:pt>
                <c:pt idx="1">
                  <c:v>0.16666666666666666</c:v>
                </c:pt>
                <c:pt idx="2">
                  <c:v>0</c:v>
                </c:pt>
                <c:pt idx="3">
                  <c:v>0</c:v>
                </c:pt>
                <c:pt idx="4">
                  <c:v>0</c:v>
                </c:pt>
                <c:pt idx="5">
                  <c:v>0</c:v>
                </c:pt>
                <c:pt idx="6">
                  <c:v>0</c:v>
                </c:pt>
              </c:numCache>
            </c:numRef>
          </c:val>
        </c:ser>
        <c:ser>
          <c:idx val="3"/>
          <c:order val="3"/>
          <c:tx>
            <c:strRef>
              <c:f>'S30d likelihood'!$AL$279</c:f>
              <c:strCache>
                <c:ptCount val="1"/>
                <c:pt idx="0">
                  <c:v>Non-bioenergy wood users</c:v>
                </c:pt>
              </c:strCache>
            </c:strRef>
          </c:tx>
          <c:invertIfNegative val="0"/>
          <c:cat>
            <c:strRef>
              <c:f>'S30d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likelihood'!$AL$280:$AL$286</c:f>
              <c:numCache>
                <c:formatCode>0%</c:formatCode>
                <c:ptCount val="7"/>
                <c:pt idx="0">
                  <c:v>0.16666666666666666</c:v>
                </c:pt>
                <c:pt idx="1">
                  <c:v>0</c:v>
                </c:pt>
                <c:pt idx="2">
                  <c:v>0</c:v>
                </c:pt>
                <c:pt idx="3">
                  <c:v>0</c:v>
                </c:pt>
                <c:pt idx="4">
                  <c:v>0</c:v>
                </c:pt>
                <c:pt idx="5">
                  <c:v>0</c:v>
                </c:pt>
                <c:pt idx="6">
                  <c:v>0</c:v>
                </c:pt>
              </c:numCache>
            </c:numRef>
          </c:val>
        </c:ser>
        <c:ser>
          <c:idx val="4"/>
          <c:order val="4"/>
          <c:tx>
            <c:strRef>
              <c:f>'S30d likelihood'!$AM$279</c:f>
              <c:strCache>
                <c:ptCount val="1"/>
                <c:pt idx="0">
                  <c:v>Policy makers and academia</c:v>
                </c:pt>
              </c:strCache>
            </c:strRef>
          </c:tx>
          <c:invertIfNegative val="0"/>
          <c:cat>
            <c:strRef>
              <c:f>'S30d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likelihood'!$AM$280:$AM$286</c:f>
              <c:numCache>
                <c:formatCode>0%</c:formatCode>
                <c:ptCount val="7"/>
                <c:pt idx="0">
                  <c:v>0.16666666666666666</c:v>
                </c:pt>
                <c:pt idx="1">
                  <c:v>0</c:v>
                </c:pt>
                <c:pt idx="2">
                  <c:v>0</c:v>
                </c:pt>
                <c:pt idx="3">
                  <c:v>0</c:v>
                </c:pt>
                <c:pt idx="4">
                  <c:v>0</c:v>
                </c:pt>
                <c:pt idx="5">
                  <c:v>0</c:v>
                </c:pt>
                <c:pt idx="6">
                  <c:v>0</c:v>
                </c:pt>
              </c:numCache>
            </c:numRef>
          </c:val>
        </c:ser>
        <c:ser>
          <c:idx val="5"/>
          <c:order val="5"/>
          <c:tx>
            <c:strRef>
              <c:f>'S30d likelihood'!$AN$279</c:f>
              <c:strCache>
                <c:ptCount val="1"/>
                <c:pt idx="0">
                  <c:v>NGOs</c:v>
                </c:pt>
              </c:strCache>
            </c:strRef>
          </c:tx>
          <c:invertIfNegative val="0"/>
          <c:cat>
            <c:strRef>
              <c:f>'S30d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likelihood'!$AN$280:$AN$286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7683584"/>
        <c:axId val="187685120"/>
      </c:barChart>
      <c:catAx>
        <c:axId val="18768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685120"/>
        <c:crosses val="autoZero"/>
        <c:auto val="1"/>
        <c:lblAlgn val="ctr"/>
        <c:lblOffset val="100"/>
        <c:noMultiLvlLbl val="0"/>
      </c:catAx>
      <c:valAx>
        <c:axId val="187685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683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likelihood'!$AI$279</c:f>
              <c:strCache>
                <c:ptCount val="1"/>
                <c:pt idx="0">
                  <c:v>Forest owners/managers</c:v>
                </c:pt>
              </c:strCache>
            </c:strRef>
          </c:tx>
          <c:invertIfNegative val="0"/>
          <c:cat>
            <c:strRef>
              <c:f>'S30d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likelihood'!$AI$280:$AI$286</c:f>
              <c:numCache>
                <c:formatCode>0%</c:formatCode>
                <c:ptCount val="7"/>
                <c:pt idx="0">
                  <c:v>0.16666666666666666</c:v>
                </c:pt>
                <c:pt idx="1">
                  <c:v>0</c:v>
                </c:pt>
                <c:pt idx="2">
                  <c:v>0</c:v>
                </c:pt>
                <c:pt idx="3">
                  <c:v>0</c:v>
                </c:pt>
                <c:pt idx="4">
                  <c:v>0</c:v>
                </c:pt>
                <c:pt idx="5">
                  <c:v>0</c:v>
                </c:pt>
                <c:pt idx="6">
                  <c:v>0</c:v>
                </c:pt>
              </c:numCache>
            </c:numRef>
          </c:val>
        </c:ser>
        <c:ser>
          <c:idx val="1"/>
          <c:order val="1"/>
          <c:tx>
            <c:strRef>
              <c:f>'S30d likelihood'!$AJ$279</c:f>
              <c:strCache>
                <c:ptCount val="1"/>
                <c:pt idx="0">
                  <c:v>Pellet producers</c:v>
                </c:pt>
              </c:strCache>
            </c:strRef>
          </c:tx>
          <c:invertIfNegative val="0"/>
          <c:cat>
            <c:strRef>
              <c:f>'S30d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likelihood'!$AJ$280:$AJ$286</c:f>
              <c:numCache>
                <c:formatCode>0%</c:formatCode>
                <c:ptCount val="7"/>
                <c:pt idx="0">
                  <c:v>0.16666666666666666</c:v>
                </c:pt>
                <c:pt idx="1">
                  <c:v>0</c:v>
                </c:pt>
                <c:pt idx="2">
                  <c:v>0</c:v>
                </c:pt>
                <c:pt idx="3">
                  <c:v>0</c:v>
                </c:pt>
                <c:pt idx="4">
                  <c:v>0</c:v>
                </c:pt>
                <c:pt idx="5">
                  <c:v>0</c:v>
                </c:pt>
                <c:pt idx="6">
                  <c:v>0</c:v>
                </c:pt>
              </c:numCache>
            </c:numRef>
          </c:val>
        </c:ser>
        <c:ser>
          <c:idx val="2"/>
          <c:order val="2"/>
          <c:tx>
            <c:strRef>
              <c:f>'S30d likelihood'!$AK$279</c:f>
              <c:strCache>
                <c:ptCount val="1"/>
                <c:pt idx="0">
                  <c:v>Pellet users</c:v>
                </c:pt>
              </c:strCache>
            </c:strRef>
          </c:tx>
          <c:invertIfNegative val="0"/>
          <c:cat>
            <c:strRef>
              <c:f>'S30d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likelihood'!$AK$280:$AK$286</c:f>
              <c:numCache>
                <c:formatCode>0%</c:formatCode>
                <c:ptCount val="7"/>
                <c:pt idx="0">
                  <c:v>0</c:v>
                </c:pt>
                <c:pt idx="1">
                  <c:v>0.16666666666666666</c:v>
                </c:pt>
                <c:pt idx="2">
                  <c:v>0</c:v>
                </c:pt>
                <c:pt idx="3">
                  <c:v>0</c:v>
                </c:pt>
                <c:pt idx="4">
                  <c:v>0</c:v>
                </c:pt>
                <c:pt idx="5">
                  <c:v>0</c:v>
                </c:pt>
                <c:pt idx="6">
                  <c:v>0</c:v>
                </c:pt>
              </c:numCache>
            </c:numRef>
          </c:val>
        </c:ser>
        <c:ser>
          <c:idx val="3"/>
          <c:order val="3"/>
          <c:tx>
            <c:strRef>
              <c:f>'S30d likelihood'!$AL$279</c:f>
              <c:strCache>
                <c:ptCount val="1"/>
                <c:pt idx="0">
                  <c:v>Non-bioenergy wood users</c:v>
                </c:pt>
              </c:strCache>
            </c:strRef>
          </c:tx>
          <c:invertIfNegative val="0"/>
          <c:cat>
            <c:strRef>
              <c:f>'S30d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likelihood'!$AL$280:$AL$286</c:f>
              <c:numCache>
                <c:formatCode>0%</c:formatCode>
                <c:ptCount val="7"/>
                <c:pt idx="0">
                  <c:v>0.16666666666666666</c:v>
                </c:pt>
                <c:pt idx="1">
                  <c:v>0</c:v>
                </c:pt>
                <c:pt idx="2">
                  <c:v>0</c:v>
                </c:pt>
                <c:pt idx="3">
                  <c:v>0</c:v>
                </c:pt>
                <c:pt idx="4">
                  <c:v>0</c:v>
                </c:pt>
                <c:pt idx="5">
                  <c:v>0</c:v>
                </c:pt>
                <c:pt idx="6">
                  <c:v>0</c:v>
                </c:pt>
              </c:numCache>
            </c:numRef>
          </c:val>
        </c:ser>
        <c:ser>
          <c:idx val="4"/>
          <c:order val="4"/>
          <c:tx>
            <c:strRef>
              <c:f>'S30d likelihood'!$AM$279</c:f>
              <c:strCache>
                <c:ptCount val="1"/>
                <c:pt idx="0">
                  <c:v>Policy makers and academia</c:v>
                </c:pt>
              </c:strCache>
            </c:strRef>
          </c:tx>
          <c:invertIfNegative val="0"/>
          <c:cat>
            <c:strRef>
              <c:f>'S30d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likelihood'!$AM$280:$AM$286</c:f>
              <c:numCache>
                <c:formatCode>0%</c:formatCode>
                <c:ptCount val="7"/>
                <c:pt idx="0">
                  <c:v>0.16666666666666666</c:v>
                </c:pt>
                <c:pt idx="1">
                  <c:v>0</c:v>
                </c:pt>
                <c:pt idx="2">
                  <c:v>0</c:v>
                </c:pt>
                <c:pt idx="3">
                  <c:v>0</c:v>
                </c:pt>
                <c:pt idx="4">
                  <c:v>0</c:v>
                </c:pt>
                <c:pt idx="5">
                  <c:v>0</c:v>
                </c:pt>
                <c:pt idx="6">
                  <c:v>0</c:v>
                </c:pt>
              </c:numCache>
            </c:numRef>
          </c:val>
        </c:ser>
        <c:ser>
          <c:idx val="5"/>
          <c:order val="5"/>
          <c:tx>
            <c:strRef>
              <c:f>'S30d likelihood'!$AN$279</c:f>
              <c:strCache>
                <c:ptCount val="1"/>
                <c:pt idx="0">
                  <c:v>NGOs</c:v>
                </c:pt>
              </c:strCache>
            </c:strRef>
          </c:tx>
          <c:invertIfNegative val="0"/>
          <c:cat>
            <c:strRef>
              <c:f>'S30d likelihood'!$AH$280:$AH$286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likelihood'!$AN$280:$AN$286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7393920"/>
        <c:axId val="187395456"/>
      </c:barChart>
      <c:catAx>
        <c:axId val="187393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395456"/>
        <c:crosses val="autoZero"/>
        <c:auto val="1"/>
        <c:lblAlgn val="ctr"/>
        <c:lblOffset val="100"/>
        <c:noMultiLvlLbl val="0"/>
      </c:catAx>
      <c:valAx>
        <c:axId val="187395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3939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likelihood'!$BB$72:$BB$78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likelihood'!$BD$72:$BD$78</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7427840"/>
        <c:axId val="187441920"/>
      </c:barChart>
      <c:catAx>
        <c:axId val="18742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441920"/>
        <c:crosses val="autoZero"/>
        <c:auto val="1"/>
        <c:lblAlgn val="ctr"/>
        <c:lblOffset val="100"/>
        <c:tickLblSkip val="1"/>
        <c:noMultiLvlLbl val="0"/>
      </c:catAx>
      <c:valAx>
        <c:axId val="1874419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427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likelihood'!$BB$99:$BB$105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likelihood'!$BD$99:$BD$105</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7466112"/>
        <c:axId val="187467648"/>
      </c:barChart>
      <c:catAx>
        <c:axId val="18746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467648"/>
        <c:crosses val="autoZero"/>
        <c:auto val="1"/>
        <c:lblAlgn val="ctr"/>
        <c:lblOffset val="100"/>
        <c:tickLblSkip val="1"/>
        <c:noMultiLvlLbl val="0"/>
      </c:catAx>
      <c:valAx>
        <c:axId val="1874676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46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likelihood'!$BB$126:$BB$132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likelihood'!$BD$126:$BD$132</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7504128"/>
        <c:axId val="187505664"/>
      </c:barChart>
      <c:catAx>
        <c:axId val="18750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505664"/>
        <c:crosses val="autoZero"/>
        <c:auto val="1"/>
        <c:lblAlgn val="ctr"/>
        <c:lblOffset val="100"/>
        <c:tickLblSkip val="1"/>
        <c:noMultiLvlLbl val="0"/>
      </c:catAx>
      <c:valAx>
        <c:axId val="1875056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504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likelihood'!$BB$153:$BB$159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likelihood'!$BD$153:$BD$159</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7538048"/>
        <c:axId val="187552128"/>
      </c:barChart>
      <c:catAx>
        <c:axId val="187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552128"/>
        <c:crosses val="autoZero"/>
        <c:auto val="1"/>
        <c:lblAlgn val="ctr"/>
        <c:lblOffset val="100"/>
        <c:tickLblSkip val="1"/>
        <c:noMultiLvlLbl val="0"/>
      </c:catAx>
      <c:valAx>
        <c:axId val="1875521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538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likelihood'!$BB$180:$BB$186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likelihood'!$BD$180:$BD$186</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8043264"/>
        <c:axId val="188044800"/>
      </c:barChart>
      <c:catAx>
        <c:axId val="18804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8044800"/>
        <c:crosses val="autoZero"/>
        <c:auto val="1"/>
        <c:lblAlgn val="ctr"/>
        <c:lblOffset val="100"/>
        <c:tickLblSkip val="1"/>
        <c:noMultiLvlLbl val="0"/>
      </c:catAx>
      <c:valAx>
        <c:axId val="188044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43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likelihood'!$BB$207:$BB$213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likelihood'!$BD$207:$BD$213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8057088"/>
        <c:axId val="188058624"/>
      </c:barChart>
      <c:catAx>
        <c:axId val="18805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058624"/>
        <c:crosses val="autoZero"/>
        <c:auto val="1"/>
        <c:lblAlgn val="ctr"/>
        <c:lblOffset val="100"/>
        <c:tickLblSkip val="1"/>
        <c:noMultiLvlLbl val="0"/>
      </c:catAx>
      <c:valAx>
        <c:axId val="188058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057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likelihood'!$BB$234:$BB$240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likelihood'!$BD$234:$BD$240</c:f>
              <c:numCache>
                <c:formatCode>0%</c:formatCode>
                <c:ptCount val="7"/>
                <c:pt idx="0">
                  <c:v>0.83333333333333337</c:v>
                </c:pt>
                <c:pt idx="1">
                  <c:v>0.16666666666666666</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8074624"/>
        <c:axId val="188113280"/>
      </c:barChart>
      <c:catAx>
        <c:axId val="18807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113280"/>
        <c:crosses val="autoZero"/>
        <c:auto val="1"/>
        <c:lblAlgn val="ctr"/>
        <c:lblOffset val="100"/>
        <c:tickLblSkip val="1"/>
        <c:noMultiLvlLbl val="0"/>
      </c:catAx>
      <c:valAx>
        <c:axId val="1881132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074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likelihood'!$AX$247</c:f>
              <c:strCache>
                <c:ptCount val="1"/>
                <c:pt idx="0">
                  <c:v>Forest owners/managers</c:v>
                </c:pt>
              </c:strCache>
            </c:strRef>
          </c:tx>
          <c:spPr>
            <a:solidFill>
              <a:schemeClr val="accent1"/>
            </a:solidFill>
            <a:ln>
              <a:noFill/>
            </a:ln>
            <a:effectLst/>
          </c:spPr>
          <c:invertIfNegative val="0"/>
          <c:cat>
            <c:strRef>
              <c:f>'S30d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likelihood'!$AX$248:$AX$254</c:f>
              <c:numCache>
                <c:formatCode>General</c:formatCode>
                <c:ptCount val="7"/>
                <c:pt idx="0">
                  <c:v>2</c:v>
                </c:pt>
                <c:pt idx="1">
                  <c:v>0</c:v>
                </c:pt>
                <c:pt idx="2">
                  <c:v>0</c:v>
                </c:pt>
                <c:pt idx="3">
                  <c:v>0</c:v>
                </c:pt>
                <c:pt idx="4">
                  <c:v>0</c:v>
                </c:pt>
                <c:pt idx="5">
                  <c:v>0</c:v>
                </c:pt>
                <c:pt idx="6">
                  <c:v>0</c:v>
                </c:pt>
              </c:numCache>
            </c:numRef>
          </c:val>
        </c:ser>
        <c:ser>
          <c:idx val="1"/>
          <c:order val="1"/>
          <c:tx>
            <c:strRef>
              <c:f>'S30d likelihood'!$AY$247</c:f>
              <c:strCache>
                <c:ptCount val="1"/>
                <c:pt idx="0">
                  <c:v>Pellet producers</c:v>
                </c:pt>
              </c:strCache>
            </c:strRef>
          </c:tx>
          <c:spPr>
            <a:solidFill>
              <a:schemeClr val="accent2"/>
            </a:solidFill>
            <a:ln>
              <a:noFill/>
            </a:ln>
            <a:effectLst/>
          </c:spPr>
          <c:invertIfNegative val="0"/>
          <c:cat>
            <c:strRef>
              <c:f>'S30d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likelihood'!$AY$248:$AY$254</c:f>
              <c:numCache>
                <c:formatCode>0</c:formatCode>
                <c:ptCount val="7"/>
                <c:pt idx="0">
                  <c:v>1</c:v>
                </c:pt>
                <c:pt idx="1">
                  <c:v>0</c:v>
                </c:pt>
                <c:pt idx="2">
                  <c:v>0</c:v>
                </c:pt>
                <c:pt idx="3">
                  <c:v>0</c:v>
                </c:pt>
                <c:pt idx="4">
                  <c:v>0</c:v>
                </c:pt>
                <c:pt idx="5">
                  <c:v>0</c:v>
                </c:pt>
                <c:pt idx="6">
                  <c:v>0</c:v>
                </c:pt>
              </c:numCache>
            </c:numRef>
          </c:val>
        </c:ser>
        <c:ser>
          <c:idx val="2"/>
          <c:order val="2"/>
          <c:tx>
            <c:strRef>
              <c:f>'S30d likelihood'!$AZ$247</c:f>
              <c:strCache>
                <c:ptCount val="1"/>
                <c:pt idx="0">
                  <c:v>Pellet users</c:v>
                </c:pt>
              </c:strCache>
            </c:strRef>
          </c:tx>
          <c:spPr>
            <a:solidFill>
              <a:schemeClr val="accent3"/>
            </a:solidFill>
            <a:ln>
              <a:noFill/>
            </a:ln>
            <a:effectLst/>
          </c:spPr>
          <c:invertIfNegative val="0"/>
          <c:cat>
            <c:strRef>
              <c:f>'S30d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likelihood'!$AZ$248:$AZ$254</c:f>
              <c:numCache>
                <c:formatCode>General</c:formatCode>
                <c:ptCount val="7"/>
                <c:pt idx="0">
                  <c:v>0</c:v>
                </c:pt>
                <c:pt idx="1">
                  <c:v>1</c:v>
                </c:pt>
                <c:pt idx="2">
                  <c:v>0</c:v>
                </c:pt>
                <c:pt idx="3">
                  <c:v>0</c:v>
                </c:pt>
                <c:pt idx="4">
                  <c:v>0</c:v>
                </c:pt>
                <c:pt idx="5">
                  <c:v>0</c:v>
                </c:pt>
                <c:pt idx="6">
                  <c:v>0</c:v>
                </c:pt>
              </c:numCache>
            </c:numRef>
          </c:val>
        </c:ser>
        <c:ser>
          <c:idx val="3"/>
          <c:order val="3"/>
          <c:tx>
            <c:strRef>
              <c:f>'S30d likelihood'!$BA$247</c:f>
              <c:strCache>
                <c:ptCount val="1"/>
                <c:pt idx="0">
                  <c:v>Non-bioenergy wood users</c:v>
                </c:pt>
              </c:strCache>
            </c:strRef>
          </c:tx>
          <c:spPr>
            <a:solidFill>
              <a:schemeClr val="accent4"/>
            </a:solidFill>
            <a:ln>
              <a:noFill/>
            </a:ln>
            <a:effectLst/>
          </c:spPr>
          <c:invertIfNegative val="0"/>
          <c:cat>
            <c:strRef>
              <c:f>'S30d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likelihood'!$BA$248:$BA$254</c:f>
              <c:numCache>
                <c:formatCode>General</c:formatCode>
                <c:ptCount val="7"/>
                <c:pt idx="0">
                  <c:v>1</c:v>
                </c:pt>
                <c:pt idx="1">
                  <c:v>0</c:v>
                </c:pt>
                <c:pt idx="2">
                  <c:v>0</c:v>
                </c:pt>
                <c:pt idx="3">
                  <c:v>0</c:v>
                </c:pt>
                <c:pt idx="4">
                  <c:v>0</c:v>
                </c:pt>
                <c:pt idx="5">
                  <c:v>0</c:v>
                </c:pt>
                <c:pt idx="6">
                  <c:v>0</c:v>
                </c:pt>
              </c:numCache>
            </c:numRef>
          </c:val>
        </c:ser>
        <c:ser>
          <c:idx val="4"/>
          <c:order val="4"/>
          <c:tx>
            <c:strRef>
              <c:f>'S30d likelihood'!$BB$247</c:f>
              <c:strCache>
                <c:ptCount val="1"/>
                <c:pt idx="0">
                  <c:v>Policy makers and academia</c:v>
                </c:pt>
              </c:strCache>
            </c:strRef>
          </c:tx>
          <c:spPr>
            <a:solidFill>
              <a:schemeClr val="accent5"/>
            </a:solidFill>
            <a:ln>
              <a:noFill/>
            </a:ln>
            <a:effectLst/>
          </c:spPr>
          <c:invertIfNegative val="0"/>
          <c:cat>
            <c:strRef>
              <c:f>'S30d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likelihood'!$BB$248:$BB$254</c:f>
              <c:numCache>
                <c:formatCode>0</c:formatCode>
                <c:ptCount val="7"/>
                <c:pt idx="0">
                  <c:v>1</c:v>
                </c:pt>
                <c:pt idx="1">
                  <c:v>0</c:v>
                </c:pt>
                <c:pt idx="2">
                  <c:v>0</c:v>
                </c:pt>
                <c:pt idx="3">
                  <c:v>0</c:v>
                </c:pt>
                <c:pt idx="4">
                  <c:v>0</c:v>
                </c:pt>
                <c:pt idx="5">
                  <c:v>0</c:v>
                </c:pt>
                <c:pt idx="6">
                  <c:v>0</c:v>
                </c:pt>
              </c:numCache>
            </c:numRef>
          </c:val>
        </c:ser>
        <c:ser>
          <c:idx val="5"/>
          <c:order val="5"/>
          <c:tx>
            <c:strRef>
              <c:f>'S30d likelihood'!$BC$247</c:f>
              <c:strCache>
                <c:ptCount val="1"/>
                <c:pt idx="0">
                  <c:v>NGOs</c:v>
                </c:pt>
              </c:strCache>
            </c:strRef>
          </c:tx>
          <c:spPr>
            <a:solidFill>
              <a:schemeClr val="accent6"/>
            </a:solidFill>
            <a:ln>
              <a:noFill/>
            </a:ln>
            <a:effectLst/>
          </c:spPr>
          <c:invertIfNegative val="0"/>
          <c:cat>
            <c:strRef>
              <c:f>'S30d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likelihood'!$BC$248:$BC$254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8153856"/>
        <c:axId val="188155392"/>
      </c:barChart>
      <c:catAx>
        <c:axId val="18815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155392"/>
        <c:crosses val="autoZero"/>
        <c:auto val="1"/>
        <c:lblAlgn val="ctr"/>
        <c:lblOffset val="100"/>
        <c:noMultiLvlLbl val="0"/>
      </c:catAx>
      <c:valAx>
        <c:axId val="18815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153856"/>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likelihood'!$BB$72:$BB$78</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likelihood'!$BD$72:$BD$78</c:f>
              <c:numCache>
                <c:formatCode>0%</c:formatCode>
                <c:ptCount val="7"/>
                <c:pt idx="0">
                  <c:v>0.75</c:v>
                </c:pt>
                <c:pt idx="1">
                  <c:v>0.25</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9739520"/>
        <c:axId val="139741056"/>
      </c:barChart>
      <c:catAx>
        <c:axId val="13973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9741056"/>
        <c:crosses val="autoZero"/>
        <c:auto val="1"/>
        <c:lblAlgn val="ctr"/>
        <c:lblOffset val="100"/>
        <c:tickLblSkip val="1"/>
        <c:noMultiLvlLbl val="0"/>
      </c:catAx>
      <c:valAx>
        <c:axId val="1397410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73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likelihood'!$AX$279</c:f>
              <c:strCache>
                <c:ptCount val="1"/>
                <c:pt idx="0">
                  <c:v>Forest owners/managers</c:v>
                </c:pt>
              </c:strCache>
            </c:strRef>
          </c:tx>
          <c:invertIfNegative val="0"/>
          <c:cat>
            <c:strRef>
              <c:f>'S30d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likelihood'!$AX$280:$AX$286</c:f>
              <c:numCache>
                <c:formatCode>0%</c:formatCode>
                <c:ptCount val="7"/>
                <c:pt idx="0">
                  <c:v>0.16666666666666666</c:v>
                </c:pt>
                <c:pt idx="1">
                  <c:v>0</c:v>
                </c:pt>
                <c:pt idx="2">
                  <c:v>0</c:v>
                </c:pt>
                <c:pt idx="3">
                  <c:v>0</c:v>
                </c:pt>
                <c:pt idx="4">
                  <c:v>0</c:v>
                </c:pt>
                <c:pt idx="5">
                  <c:v>0</c:v>
                </c:pt>
                <c:pt idx="6">
                  <c:v>0</c:v>
                </c:pt>
              </c:numCache>
            </c:numRef>
          </c:val>
        </c:ser>
        <c:ser>
          <c:idx val="1"/>
          <c:order val="1"/>
          <c:tx>
            <c:strRef>
              <c:f>'S30d likelihood'!$AY$279</c:f>
              <c:strCache>
                <c:ptCount val="1"/>
                <c:pt idx="0">
                  <c:v>Pellet producers</c:v>
                </c:pt>
              </c:strCache>
            </c:strRef>
          </c:tx>
          <c:invertIfNegative val="0"/>
          <c:cat>
            <c:strRef>
              <c:f>'S30d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likelihood'!$AY$280:$AY$286</c:f>
              <c:numCache>
                <c:formatCode>0%</c:formatCode>
                <c:ptCount val="7"/>
                <c:pt idx="0">
                  <c:v>0.16666666666666666</c:v>
                </c:pt>
                <c:pt idx="1">
                  <c:v>0</c:v>
                </c:pt>
                <c:pt idx="2">
                  <c:v>0</c:v>
                </c:pt>
                <c:pt idx="3">
                  <c:v>0</c:v>
                </c:pt>
                <c:pt idx="4">
                  <c:v>0</c:v>
                </c:pt>
                <c:pt idx="5">
                  <c:v>0</c:v>
                </c:pt>
                <c:pt idx="6">
                  <c:v>0</c:v>
                </c:pt>
              </c:numCache>
            </c:numRef>
          </c:val>
        </c:ser>
        <c:ser>
          <c:idx val="2"/>
          <c:order val="2"/>
          <c:tx>
            <c:strRef>
              <c:f>'S30d likelihood'!$AZ$279</c:f>
              <c:strCache>
                <c:ptCount val="1"/>
                <c:pt idx="0">
                  <c:v>Pellet users</c:v>
                </c:pt>
              </c:strCache>
            </c:strRef>
          </c:tx>
          <c:invertIfNegative val="0"/>
          <c:cat>
            <c:strRef>
              <c:f>'S30d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likelihood'!$AZ$280:$AZ$286</c:f>
              <c:numCache>
                <c:formatCode>0%</c:formatCode>
                <c:ptCount val="7"/>
                <c:pt idx="0">
                  <c:v>0</c:v>
                </c:pt>
                <c:pt idx="1">
                  <c:v>0.16666666666666666</c:v>
                </c:pt>
                <c:pt idx="2">
                  <c:v>0</c:v>
                </c:pt>
                <c:pt idx="3">
                  <c:v>0</c:v>
                </c:pt>
                <c:pt idx="4">
                  <c:v>0</c:v>
                </c:pt>
                <c:pt idx="5">
                  <c:v>0</c:v>
                </c:pt>
                <c:pt idx="6">
                  <c:v>0</c:v>
                </c:pt>
              </c:numCache>
            </c:numRef>
          </c:val>
        </c:ser>
        <c:ser>
          <c:idx val="3"/>
          <c:order val="3"/>
          <c:tx>
            <c:strRef>
              <c:f>'S30d likelihood'!$BA$279</c:f>
              <c:strCache>
                <c:ptCount val="1"/>
                <c:pt idx="0">
                  <c:v>Non-bioenergy wood users</c:v>
                </c:pt>
              </c:strCache>
            </c:strRef>
          </c:tx>
          <c:invertIfNegative val="0"/>
          <c:cat>
            <c:strRef>
              <c:f>'S30d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likelihood'!$BA$280:$BA$286</c:f>
              <c:numCache>
                <c:formatCode>0%</c:formatCode>
                <c:ptCount val="7"/>
                <c:pt idx="0">
                  <c:v>0.16666666666666666</c:v>
                </c:pt>
                <c:pt idx="1">
                  <c:v>0</c:v>
                </c:pt>
                <c:pt idx="2">
                  <c:v>0</c:v>
                </c:pt>
                <c:pt idx="3">
                  <c:v>0</c:v>
                </c:pt>
                <c:pt idx="4">
                  <c:v>0</c:v>
                </c:pt>
                <c:pt idx="5">
                  <c:v>0</c:v>
                </c:pt>
                <c:pt idx="6">
                  <c:v>0</c:v>
                </c:pt>
              </c:numCache>
            </c:numRef>
          </c:val>
        </c:ser>
        <c:ser>
          <c:idx val="4"/>
          <c:order val="4"/>
          <c:tx>
            <c:strRef>
              <c:f>'S30d likelihood'!$BB$279</c:f>
              <c:strCache>
                <c:ptCount val="1"/>
                <c:pt idx="0">
                  <c:v>Policy makers and academia</c:v>
                </c:pt>
              </c:strCache>
            </c:strRef>
          </c:tx>
          <c:invertIfNegative val="0"/>
          <c:cat>
            <c:strRef>
              <c:f>'S30d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likelihood'!$BB$280:$BB$286</c:f>
              <c:numCache>
                <c:formatCode>0%</c:formatCode>
                <c:ptCount val="7"/>
                <c:pt idx="0">
                  <c:v>0.16666666666666666</c:v>
                </c:pt>
                <c:pt idx="1">
                  <c:v>0</c:v>
                </c:pt>
                <c:pt idx="2">
                  <c:v>0</c:v>
                </c:pt>
                <c:pt idx="3">
                  <c:v>0</c:v>
                </c:pt>
                <c:pt idx="4">
                  <c:v>0</c:v>
                </c:pt>
                <c:pt idx="5">
                  <c:v>0</c:v>
                </c:pt>
                <c:pt idx="6">
                  <c:v>0</c:v>
                </c:pt>
              </c:numCache>
            </c:numRef>
          </c:val>
        </c:ser>
        <c:ser>
          <c:idx val="5"/>
          <c:order val="5"/>
          <c:tx>
            <c:strRef>
              <c:f>'S30d likelihood'!$BC$279</c:f>
              <c:strCache>
                <c:ptCount val="1"/>
                <c:pt idx="0">
                  <c:v>NGOs</c:v>
                </c:pt>
              </c:strCache>
            </c:strRef>
          </c:tx>
          <c:invertIfNegative val="0"/>
          <c:cat>
            <c:strRef>
              <c:f>'S30d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likelihood'!$BC$280:$BC$286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8204160"/>
        <c:axId val="188205696"/>
      </c:barChart>
      <c:catAx>
        <c:axId val="18820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205696"/>
        <c:crosses val="autoZero"/>
        <c:auto val="1"/>
        <c:lblAlgn val="ctr"/>
        <c:lblOffset val="100"/>
        <c:noMultiLvlLbl val="0"/>
      </c:catAx>
      <c:valAx>
        <c:axId val="188205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2041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likelihood'!$AX$279</c:f>
              <c:strCache>
                <c:ptCount val="1"/>
                <c:pt idx="0">
                  <c:v>Forest owners/managers</c:v>
                </c:pt>
              </c:strCache>
            </c:strRef>
          </c:tx>
          <c:invertIfNegative val="0"/>
          <c:cat>
            <c:strRef>
              <c:f>'S30d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likelihood'!$AX$280:$AX$286</c:f>
              <c:numCache>
                <c:formatCode>0%</c:formatCode>
                <c:ptCount val="7"/>
                <c:pt idx="0">
                  <c:v>0.16666666666666666</c:v>
                </c:pt>
                <c:pt idx="1">
                  <c:v>0</c:v>
                </c:pt>
                <c:pt idx="2">
                  <c:v>0</c:v>
                </c:pt>
                <c:pt idx="3">
                  <c:v>0</c:v>
                </c:pt>
                <c:pt idx="4">
                  <c:v>0</c:v>
                </c:pt>
                <c:pt idx="5">
                  <c:v>0</c:v>
                </c:pt>
                <c:pt idx="6">
                  <c:v>0</c:v>
                </c:pt>
              </c:numCache>
            </c:numRef>
          </c:val>
        </c:ser>
        <c:ser>
          <c:idx val="1"/>
          <c:order val="1"/>
          <c:tx>
            <c:strRef>
              <c:f>'S30d likelihood'!$AY$279</c:f>
              <c:strCache>
                <c:ptCount val="1"/>
                <c:pt idx="0">
                  <c:v>Pellet producers</c:v>
                </c:pt>
              </c:strCache>
            </c:strRef>
          </c:tx>
          <c:invertIfNegative val="0"/>
          <c:cat>
            <c:strRef>
              <c:f>'S30d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likelihood'!$AY$280:$AY$286</c:f>
              <c:numCache>
                <c:formatCode>0%</c:formatCode>
                <c:ptCount val="7"/>
                <c:pt idx="0">
                  <c:v>0.16666666666666666</c:v>
                </c:pt>
                <c:pt idx="1">
                  <c:v>0</c:v>
                </c:pt>
                <c:pt idx="2">
                  <c:v>0</c:v>
                </c:pt>
                <c:pt idx="3">
                  <c:v>0</c:v>
                </c:pt>
                <c:pt idx="4">
                  <c:v>0</c:v>
                </c:pt>
                <c:pt idx="5">
                  <c:v>0</c:v>
                </c:pt>
                <c:pt idx="6">
                  <c:v>0</c:v>
                </c:pt>
              </c:numCache>
            </c:numRef>
          </c:val>
        </c:ser>
        <c:ser>
          <c:idx val="2"/>
          <c:order val="2"/>
          <c:tx>
            <c:strRef>
              <c:f>'S30d likelihood'!$AZ$279</c:f>
              <c:strCache>
                <c:ptCount val="1"/>
                <c:pt idx="0">
                  <c:v>Pellet users</c:v>
                </c:pt>
              </c:strCache>
            </c:strRef>
          </c:tx>
          <c:invertIfNegative val="0"/>
          <c:cat>
            <c:strRef>
              <c:f>'S30d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likelihood'!$AZ$280:$AZ$286</c:f>
              <c:numCache>
                <c:formatCode>0%</c:formatCode>
                <c:ptCount val="7"/>
                <c:pt idx="0">
                  <c:v>0</c:v>
                </c:pt>
                <c:pt idx="1">
                  <c:v>0.16666666666666666</c:v>
                </c:pt>
                <c:pt idx="2">
                  <c:v>0</c:v>
                </c:pt>
                <c:pt idx="3">
                  <c:v>0</c:v>
                </c:pt>
                <c:pt idx="4">
                  <c:v>0</c:v>
                </c:pt>
                <c:pt idx="5">
                  <c:v>0</c:v>
                </c:pt>
                <c:pt idx="6">
                  <c:v>0</c:v>
                </c:pt>
              </c:numCache>
            </c:numRef>
          </c:val>
        </c:ser>
        <c:ser>
          <c:idx val="3"/>
          <c:order val="3"/>
          <c:tx>
            <c:strRef>
              <c:f>'S30d likelihood'!$BA$279</c:f>
              <c:strCache>
                <c:ptCount val="1"/>
                <c:pt idx="0">
                  <c:v>Non-bioenergy wood users</c:v>
                </c:pt>
              </c:strCache>
            </c:strRef>
          </c:tx>
          <c:invertIfNegative val="0"/>
          <c:cat>
            <c:strRef>
              <c:f>'S30d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likelihood'!$BA$280:$BA$286</c:f>
              <c:numCache>
                <c:formatCode>0%</c:formatCode>
                <c:ptCount val="7"/>
                <c:pt idx="0">
                  <c:v>0.16666666666666666</c:v>
                </c:pt>
                <c:pt idx="1">
                  <c:v>0</c:v>
                </c:pt>
                <c:pt idx="2">
                  <c:v>0</c:v>
                </c:pt>
                <c:pt idx="3">
                  <c:v>0</c:v>
                </c:pt>
                <c:pt idx="4">
                  <c:v>0</c:v>
                </c:pt>
                <c:pt idx="5">
                  <c:v>0</c:v>
                </c:pt>
                <c:pt idx="6">
                  <c:v>0</c:v>
                </c:pt>
              </c:numCache>
            </c:numRef>
          </c:val>
        </c:ser>
        <c:ser>
          <c:idx val="4"/>
          <c:order val="4"/>
          <c:tx>
            <c:strRef>
              <c:f>'S30d likelihood'!$BB$279</c:f>
              <c:strCache>
                <c:ptCount val="1"/>
                <c:pt idx="0">
                  <c:v>Policy makers and academia</c:v>
                </c:pt>
              </c:strCache>
            </c:strRef>
          </c:tx>
          <c:invertIfNegative val="0"/>
          <c:cat>
            <c:strRef>
              <c:f>'S30d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likelihood'!$BB$280:$BB$286</c:f>
              <c:numCache>
                <c:formatCode>0%</c:formatCode>
                <c:ptCount val="7"/>
                <c:pt idx="0">
                  <c:v>0.16666666666666666</c:v>
                </c:pt>
                <c:pt idx="1">
                  <c:v>0</c:v>
                </c:pt>
                <c:pt idx="2">
                  <c:v>0</c:v>
                </c:pt>
                <c:pt idx="3">
                  <c:v>0</c:v>
                </c:pt>
                <c:pt idx="4">
                  <c:v>0</c:v>
                </c:pt>
                <c:pt idx="5">
                  <c:v>0</c:v>
                </c:pt>
                <c:pt idx="6">
                  <c:v>0</c:v>
                </c:pt>
              </c:numCache>
            </c:numRef>
          </c:val>
        </c:ser>
        <c:ser>
          <c:idx val="5"/>
          <c:order val="5"/>
          <c:tx>
            <c:strRef>
              <c:f>'S30d likelihood'!$BC$279</c:f>
              <c:strCache>
                <c:ptCount val="1"/>
                <c:pt idx="0">
                  <c:v>NGOs</c:v>
                </c:pt>
              </c:strCache>
            </c:strRef>
          </c:tx>
          <c:invertIfNegative val="0"/>
          <c:cat>
            <c:strRef>
              <c:f>'S30d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likelihood'!$BC$280:$BC$286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7787520"/>
        <c:axId val="187797504"/>
      </c:barChart>
      <c:catAx>
        <c:axId val="18778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797504"/>
        <c:crosses val="autoZero"/>
        <c:auto val="1"/>
        <c:lblAlgn val="ctr"/>
        <c:lblOffset val="100"/>
        <c:noMultiLvlLbl val="0"/>
      </c:catAx>
      <c:valAx>
        <c:axId val="187797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7875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likelihood'!$Z$72:$Z$78</c:f>
              <c:numCache>
                <c:formatCode>0%</c:formatCode>
                <c:ptCount val="7"/>
                <c:pt idx="0">
                  <c:v>0.4</c:v>
                </c:pt>
                <c:pt idx="1">
                  <c:v>0</c:v>
                </c:pt>
                <c:pt idx="2">
                  <c:v>0</c:v>
                </c:pt>
                <c:pt idx="3">
                  <c:v>0</c:v>
                </c:pt>
                <c:pt idx="4">
                  <c:v>0</c:v>
                </c:pt>
                <c:pt idx="5">
                  <c:v>0</c:v>
                </c:pt>
                <c:pt idx="6">
                  <c:v>0.6</c:v>
                </c:pt>
              </c:numCache>
            </c:numRef>
          </c:val>
        </c:ser>
        <c:dLbls>
          <c:showLegendKey val="0"/>
          <c:showVal val="0"/>
          <c:showCatName val="0"/>
          <c:showSerName val="0"/>
          <c:showPercent val="0"/>
          <c:showBubbleSize val="0"/>
        </c:dLbls>
        <c:gapWidth val="219"/>
        <c:overlap val="-27"/>
        <c:axId val="187805056"/>
        <c:axId val="187835520"/>
      </c:barChart>
      <c:catAx>
        <c:axId val="18780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7835520"/>
        <c:crosses val="autoZero"/>
        <c:auto val="1"/>
        <c:lblAlgn val="ctr"/>
        <c:lblOffset val="100"/>
        <c:tickLblSkip val="1"/>
        <c:noMultiLvlLbl val="0"/>
      </c:catAx>
      <c:valAx>
        <c:axId val="1878355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805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likelihood'!$Z$99:$Z$105</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7855616"/>
        <c:axId val="187857152"/>
      </c:barChart>
      <c:catAx>
        <c:axId val="18785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857152"/>
        <c:crosses val="autoZero"/>
        <c:auto val="1"/>
        <c:lblAlgn val="ctr"/>
        <c:lblOffset val="100"/>
        <c:tickLblSkip val="1"/>
        <c:noMultiLvlLbl val="0"/>
      </c:catAx>
      <c:valAx>
        <c:axId val="1878571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855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likelihood'!$Z$126:$Z$132</c:f>
              <c:numCache>
                <c:formatCode>0%</c:formatCode>
                <c:ptCount val="7"/>
                <c:pt idx="0">
                  <c:v>0</c:v>
                </c:pt>
                <c:pt idx="1">
                  <c:v>0.5</c:v>
                </c:pt>
                <c:pt idx="2">
                  <c:v>0</c:v>
                </c:pt>
                <c:pt idx="3">
                  <c:v>0.5</c:v>
                </c:pt>
                <c:pt idx="4">
                  <c:v>0</c:v>
                </c:pt>
                <c:pt idx="5">
                  <c:v>0</c:v>
                </c:pt>
                <c:pt idx="6">
                  <c:v>0</c:v>
                </c:pt>
              </c:numCache>
            </c:numRef>
          </c:val>
        </c:ser>
        <c:dLbls>
          <c:showLegendKey val="0"/>
          <c:showVal val="0"/>
          <c:showCatName val="0"/>
          <c:showSerName val="0"/>
          <c:showPercent val="0"/>
          <c:showBubbleSize val="0"/>
        </c:dLbls>
        <c:gapWidth val="219"/>
        <c:overlap val="-27"/>
        <c:axId val="187885440"/>
        <c:axId val="187886976"/>
      </c:barChart>
      <c:catAx>
        <c:axId val="18788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886976"/>
        <c:crosses val="autoZero"/>
        <c:auto val="1"/>
        <c:lblAlgn val="ctr"/>
        <c:lblOffset val="100"/>
        <c:tickLblSkip val="1"/>
        <c:noMultiLvlLbl val="0"/>
      </c:catAx>
      <c:valAx>
        <c:axId val="1878869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885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likelihood'!$Z$153:$Z$159</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7915264"/>
        <c:axId val="187937536"/>
      </c:barChart>
      <c:catAx>
        <c:axId val="18791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937536"/>
        <c:crosses val="autoZero"/>
        <c:auto val="1"/>
        <c:lblAlgn val="ctr"/>
        <c:lblOffset val="100"/>
        <c:tickLblSkip val="1"/>
        <c:noMultiLvlLbl val="0"/>
      </c:catAx>
      <c:valAx>
        <c:axId val="1879375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15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likelihood'!$Z$180:$Z$186</c:f>
              <c:numCache>
                <c:formatCode>0%</c:formatCode>
                <c:ptCount val="7"/>
                <c:pt idx="0">
                  <c:v>0.5</c:v>
                </c:pt>
                <c:pt idx="1">
                  <c:v>0</c:v>
                </c:pt>
                <c:pt idx="2">
                  <c:v>0</c:v>
                </c:pt>
                <c:pt idx="3">
                  <c:v>0</c:v>
                </c:pt>
                <c:pt idx="4">
                  <c:v>0.5</c:v>
                </c:pt>
                <c:pt idx="5">
                  <c:v>0</c:v>
                </c:pt>
                <c:pt idx="6">
                  <c:v>0</c:v>
                </c:pt>
              </c:numCache>
            </c:numRef>
          </c:val>
        </c:ser>
        <c:dLbls>
          <c:showLegendKey val="0"/>
          <c:showVal val="0"/>
          <c:showCatName val="0"/>
          <c:showSerName val="0"/>
          <c:showPercent val="0"/>
          <c:showBubbleSize val="0"/>
        </c:dLbls>
        <c:gapWidth val="219"/>
        <c:overlap val="-27"/>
        <c:axId val="188555648"/>
        <c:axId val="188557184"/>
      </c:barChart>
      <c:catAx>
        <c:axId val="18855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8557184"/>
        <c:crosses val="autoZero"/>
        <c:auto val="1"/>
        <c:lblAlgn val="ctr"/>
        <c:lblOffset val="100"/>
        <c:tickLblSkip val="1"/>
        <c:noMultiLvlLbl val="0"/>
      </c:catAx>
      <c:valAx>
        <c:axId val="188557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555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likelihood'!$Z$207:$Z$213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8585088"/>
        <c:axId val="188586624"/>
      </c:barChart>
      <c:catAx>
        <c:axId val="18858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586624"/>
        <c:crosses val="autoZero"/>
        <c:auto val="1"/>
        <c:lblAlgn val="ctr"/>
        <c:lblOffset val="100"/>
        <c:tickLblSkip val="1"/>
        <c:noMultiLvlLbl val="0"/>
      </c:catAx>
      <c:valAx>
        <c:axId val="188586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585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likelihood'!$Z$234:$Z$240</c:f>
              <c:numCache>
                <c:formatCode>0%</c:formatCode>
                <c:ptCount val="7"/>
                <c:pt idx="0">
                  <c:v>0.3</c:v>
                </c:pt>
                <c:pt idx="1">
                  <c:v>0.2</c:v>
                </c:pt>
                <c:pt idx="2">
                  <c:v>0</c:v>
                </c:pt>
                <c:pt idx="3">
                  <c:v>0.1</c:v>
                </c:pt>
                <c:pt idx="4">
                  <c:v>0.1</c:v>
                </c:pt>
                <c:pt idx="5">
                  <c:v>0</c:v>
                </c:pt>
                <c:pt idx="6">
                  <c:v>0.3</c:v>
                </c:pt>
              </c:numCache>
            </c:numRef>
          </c:val>
        </c:ser>
        <c:dLbls>
          <c:showLegendKey val="0"/>
          <c:showVal val="0"/>
          <c:showCatName val="0"/>
          <c:showSerName val="0"/>
          <c:showPercent val="0"/>
          <c:showBubbleSize val="0"/>
        </c:dLbls>
        <c:gapWidth val="219"/>
        <c:overlap val="-27"/>
        <c:axId val="188287232"/>
        <c:axId val="188293120"/>
      </c:barChart>
      <c:catAx>
        <c:axId val="18828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293120"/>
        <c:crosses val="autoZero"/>
        <c:auto val="1"/>
        <c:lblAlgn val="ctr"/>
        <c:lblOffset val="100"/>
        <c:tickLblSkip val="1"/>
        <c:noMultiLvlLbl val="0"/>
      </c:catAx>
      <c:valAx>
        <c:axId val="1882931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287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likelihood'!$T$247</c:f>
              <c:strCache>
                <c:ptCount val="1"/>
                <c:pt idx="0">
                  <c:v>Forest owners/managers</c:v>
                </c:pt>
              </c:strCache>
            </c:strRef>
          </c:tx>
          <c:spPr>
            <a:solidFill>
              <a:schemeClr val="accent1"/>
            </a:solidFill>
            <a:ln>
              <a:noFill/>
            </a:ln>
            <a:effectLst/>
          </c:spPr>
          <c:invertIfNegative val="0"/>
          <c:cat>
            <c:strRef>
              <c:f>'S30d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likelihood'!$T$248:$T$254</c:f>
              <c:numCache>
                <c:formatCode>General</c:formatCode>
                <c:ptCount val="7"/>
                <c:pt idx="0">
                  <c:v>2</c:v>
                </c:pt>
                <c:pt idx="1">
                  <c:v>0</c:v>
                </c:pt>
                <c:pt idx="2">
                  <c:v>0</c:v>
                </c:pt>
                <c:pt idx="3">
                  <c:v>0</c:v>
                </c:pt>
                <c:pt idx="4">
                  <c:v>0</c:v>
                </c:pt>
                <c:pt idx="5">
                  <c:v>0</c:v>
                </c:pt>
                <c:pt idx="6">
                  <c:v>3</c:v>
                </c:pt>
              </c:numCache>
            </c:numRef>
          </c:val>
        </c:ser>
        <c:ser>
          <c:idx val="1"/>
          <c:order val="1"/>
          <c:tx>
            <c:strRef>
              <c:f>'S30d likelihood'!$U$247</c:f>
              <c:strCache>
                <c:ptCount val="1"/>
                <c:pt idx="0">
                  <c:v>Pellet producers</c:v>
                </c:pt>
              </c:strCache>
            </c:strRef>
          </c:tx>
          <c:spPr>
            <a:solidFill>
              <a:schemeClr val="accent2"/>
            </a:solidFill>
            <a:ln>
              <a:noFill/>
            </a:ln>
            <a:effectLst/>
          </c:spPr>
          <c:invertIfNegative val="0"/>
          <c:cat>
            <c:strRef>
              <c:f>'S30d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likelihood'!$U$248:$U$254</c:f>
              <c:numCache>
                <c:formatCode>0</c:formatCode>
                <c:ptCount val="7"/>
                <c:pt idx="0">
                  <c:v>0</c:v>
                </c:pt>
                <c:pt idx="1">
                  <c:v>0</c:v>
                </c:pt>
                <c:pt idx="2">
                  <c:v>0</c:v>
                </c:pt>
                <c:pt idx="3">
                  <c:v>0</c:v>
                </c:pt>
                <c:pt idx="4">
                  <c:v>0</c:v>
                </c:pt>
                <c:pt idx="5">
                  <c:v>0</c:v>
                </c:pt>
                <c:pt idx="6">
                  <c:v>0</c:v>
                </c:pt>
              </c:numCache>
            </c:numRef>
          </c:val>
        </c:ser>
        <c:ser>
          <c:idx val="2"/>
          <c:order val="2"/>
          <c:tx>
            <c:strRef>
              <c:f>'S30d likelihood'!$V$247</c:f>
              <c:strCache>
                <c:ptCount val="1"/>
                <c:pt idx="0">
                  <c:v>Pellet users</c:v>
                </c:pt>
              </c:strCache>
            </c:strRef>
          </c:tx>
          <c:spPr>
            <a:solidFill>
              <a:schemeClr val="accent3"/>
            </a:solidFill>
            <a:ln>
              <a:noFill/>
            </a:ln>
            <a:effectLst/>
          </c:spPr>
          <c:invertIfNegative val="0"/>
          <c:cat>
            <c:strRef>
              <c:f>'S30d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likelihood'!$V$248:$V$254</c:f>
              <c:numCache>
                <c:formatCode>General</c:formatCode>
                <c:ptCount val="7"/>
                <c:pt idx="0">
                  <c:v>0</c:v>
                </c:pt>
                <c:pt idx="1">
                  <c:v>1</c:v>
                </c:pt>
                <c:pt idx="2">
                  <c:v>0</c:v>
                </c:pt>
                <c:pt idx="3">
                  <c:v>1</c:v>
                </c:pt>
                <c:pt idx="4">
                  <c:v>0</c:v>
                </c:pt>
                <c:pt idx="5">
                  <c:v>0</c:v>
                </c:pt>
                <c:pt idx="6">
                  <c:v>0</c:v>
                </c:pt>
              </c:numCache>
            </c:numRef>
          </c:val>
        </c:ser>
        <c:ser>
          <c:idx val="3"/>
          <c:order val="3"/>
          <c:tx>
            <c:strRef>
              <c:f>'S30d likelihood'!$W$247</c:f>
              <c:strCache>
                <c:ptCount val="1"/>
                <c:pt idx="0">
                  <c:v>Non-bioenergy wood users</c:v>
                </c:pt>
              </c:strCache>
            </c:strRef>
          </c:tx>
          <c:spPr>
            <a:solidFill>
              <a:schemeClr val="accent4"/>
            </a:solidFill>
            <a:ln>
              <a:noFill/>
            </a:ln>
            <a:effectLst/>
          </c:spPr>
          <c:invertIfNegative val="0"/>
          <c:cat>
            <c:strRef>
              <c:f>'S30d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likelihood'!$W$248:$W$254</c:f>
              <c:numCache>
                <c:formatCode>General</c:formatCode>
                <c:ptCount val="7"/>
                <c:pt idx="0">
                  <c:v>0</c:v>
                </c:pt>
                <c:pt idx="1">
                  <c:v>1</c:v>
                </c:pt>
                <c:pt idx="2">
                  <c:v>0</c:v>
                </c:pt>
                <c:pt idx="3">
                  <c:v>0</c:v>
                </c:pt>
                <c:pt idx="4">
                  <c:v>0</c:v>
                </c:pt>
                <c:pt idx="5">
                  <c:v>0</c:v>
                </c:pt>
                <c:pt idx="6">
                  <c:v>0</c:v>
                </c:pt>
              </c:numCache>
            </c:numRef>
          </c:val>
        </c:ser>
        <c:ser>
          <c:idx val="4"/>
          <c:order val="4"/>
          <c:tx>
            <c:strRef>
              <c:f>'S30d likelihood'!$X$247</c:f>
              <c:strCache>
                <c:ptCount val="1"/>
                <c:pt idx="0">
                  <c:v>Policy makers and academia</c:v>
                </c:pt>
              </c:strCache>
            </c:strRef>
          </c:tx>
          <c:spPr>
            <a:solidFill>
              <a:schemeClr val="accent5"/>
            </a:solidFill>
            <a:ln>
              <a:noFill/>
            </a:ln>
            <a:effectLst/>
          </c:spPr>
          <c:invertIfNegative val="0"/>
          <c:cat>
            <c:strRef>
              <c:f>'S30d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likelihood'!$X$248:$X$254</c:f>
              <c:numCache>
                <c:formatCode>0</c:formatCode>
                <c:ptCount val="7"/>
                <c:pt idx="0">
                  <c:v>1</c:v>
                </c:pt>
                <c:pt idx="1">
                  <c:v>0</c:v>
                </c:pt>
                <c:pt idx="2">
                  <c:v>0</c:v>
                </c:pt>
                <c:pt idx="3">
                  <c:v>0</c:v>
                </c:pt>
                <c:pt idx="4">
                  <c:v>1</c:v>
                </c:pt>
                <c:pt idx="5">
                  <c:v>0</c:v>
                </c:pt>
                <c:pt idx="6">
                  <c:v>0</c:v>
                </c:pt>
              </c:numCache>
            </c:numRef>
          </c:val>
        </c:ser>
        <c:ser>
          <c:idx val="5"/>
          <c:order val="5"/>
          <c:tx>
            <c:strRef>
              <c:f>'S30d likelihood'!$Y$247</c:f>
              <c:strCache>
                <c:ptCount val="1"/>
                <c:pt idx="0">
                  <c:v>NGOs</c:v>
                </c:pt>
              </c:strCache>
            </c:strRef>
          </c:tx>
          <c:spPr>
            <a:solidFill>
              <a:schemeClr val="accent6"/>
            </a:solidFill>
            <a:ln>
              <a:noFill/>
            </a:ln>
            <a:effectLst/>
          </c:spPr>
          <c:invertIfNegative val="0"/>
          <c:cat>
            <c:strRef>
              <c:f>'S30d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likelihood'!$Y$248:$Y$254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8349824"/>
        <c:axId val="188363904"/>
      </c:barChart>
      <c:catAx>
        <c:axId val="188349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363904"/>
        <c:crosses val="autoZero"/>
        <c:auto val="1"/>
        <c:lblAlgn val="ctr"/>
        <c:lblOffset val="100"/>
        <c:noMultiLvlLbl val="0"/>
      </c:catAx>
      <c:valAx>
        <c:axId val="188363904"/>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349824"/>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likelihood'!$BB$99:$BB$105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likelihood'!$BD$99:$BD$105</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9773440"/>
        <c:axId val="139774976"/>
      </c:barChart>
      <c:catAx>
        <c:axId val="13977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9774976"/>
        <c:crosses val="autoZero"/>
        <c:auto val="1"/>
        <c:lblAlgn val="ctr"/>
        <c:lblOffset val="100"/>
        <c:tickLblSkip val="1"/>
        <c:noMultiLvlLbl val="0"/>
      </c:catAx>
      <c:valAx>
        <c:axId val="1397749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773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likelihood'!$T$279</c:f>
              <c:strCache>
                <c:ptCount val="1"/>
                <c:pt idx="0">
                  <c:v>Forest owners/managers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likelihood'!$T$280:$T$286</c:f>
              <c:numCache>
                <c:formatCode>0%</c:formatCode>
                <c:ptCount val="7"/>
                <c:pt idx="0">
                  <c:v>6.6666666666666666E-2</c:v>
                </c:pt>
                <c:pt idx="1">
                  <c:v>0</c:v>
                </c:pt>
                <c:pt idx="2">
                  <c:v>0</c:v>
                </c:pt>
                <c:pt idx="3">
                  <c:v>0</c:v>
                </c:pt>
                <c:pt idx="4">
                  <c:v>0</c:v>
                </c:pt>
                <c:pt idx="5">
                  <c:v>0</c:v>
                </c:pt>
                <c:pt idx="6">
                  <c:v>9.9999999999999992E-2</c:v>
                </c:pt>
              </c:numCache>
            </c:numRef>
          </c:val>
        </c:ser>
        <c:ser>
          <c:idx val="1"/>
          <c:order val="1"/>
          <c:tx>
            <c:strRef>
              <c:f>'S30d likelihood'!$U$279</c:f>
              <c:strCache>
                <c:ptCount val="1"/>
                <c:pt idx="0">
                  <c:v>Pellet producers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likelihood'!$U$280:$U$286</c:f>
              <c:numCache>
                <c:formatCode>0%</c:formatCode>
                <c:ptCount val="7"/>
                <c:pt idx="0">
                  <c:v>0</c:v>
                </c:pt>
                <c:pt idx="1">
                  <c:v>0</c:v>
                </c:pt>
                <c:pt idx="2">
                  <c:v>0</c:v>
                </c:pt>
                <c:pt idx="3">
                  <c:v>0</c:v>
                </c:pt>
                <c:pt idx="4">
                  <c:v>0</c:v>
                </c:pt>
                <c:pt idx="5">
                  <c:v>0</c:v>
                </c:pt>
                <c:pt idx="6">
                  <c:v>0</c:v>
                </c:pt>
              </c:numCache>
            </c:numRef>
          </c:val>
        </c:ser>
        <c:ser>
          <c:idx val="2"/>
          <c:order val="2"/>
          <c:tx>
            <c:strRef>
              <c:f>'S30d likelihood'!$V$279</c:f>
              <c:strCache>
                <c:ptCount val="1"/>
                <c:pt idx="0">
                  <c:v>Pellet users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likelihood'!$V$280:$V$286</c:f>
              <c:numCache>
                <c:formatCode>0%</c:formatCode>
                <c:ptCount val="7"/>
                <c:pt idx="0">
                  <c:v>0</c:v>
                </c:pt>
                <c:pt idx="1">
                  <c:v>8.3333333333333329E-2</c:v>
                </c:pt>
                <c:pt idx="2">
                  <c:v>0</c:v>
                </c:pt>
                <c:pt idx="3">
                  <c:v>8.3333333333333329E-2</c:v>
                </c:pt>
                <c:pt idx="4">
                  <c:v>0</c:v>
                </c:pt>
                <c:pt idx="5">
                  <c:v>0</c:v>
                </c:pt>
                <c:pt idx="6">
                  <c:v>0</c:v>
                </c:pt>
              </c:numCache>
            </c:numRef>
          </c:val>
        </c:ser>
        <c:ser>
          <c:idx val="3"/>
          <c:order val="3"/>
          <c:tx>
            <c:strRef>
              <c:f>'S30d likelihood'!$W$279</c:f>
              <c:strCache>
                <c:ptCount val="1"/>
                <c:pt idx="0">
                  <c:v>Non-bioenergy wood users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likelihood'!$W$280:$W$286</c:f>
              <c:numCache>
                <c:formatCode>0%</c:formatCode>
                <c:ptCount val="7"/>
                <c:pt idx="0">
                  <c:v>0</c:v>
                </c:pt>
                <c:pt idx="1">
                  <c:v>0.16666666666666666</c:v>
                </c:pt>
                <c:pt idx="2">
                  <c:v>0</c:v>
                </c:pt>
                <c:pt idx="3">
                  <c:v>0</c:v>
                </c:pt>
                <c:pt idx="4">
                  <c:v>0</c:v>
                </c:pt>
                <c:pt idx="5">
                  <c:v>0</c:v>
                </c:pt>
                <c:pt idx="6">
                  <c:v>0</c:v>
                </c:pt>
              </c:numCache>
            </c:numRef>
          </c:val>
        </c:ser>
        <c:ser>
          <c:idx val="4"/>
          <c:order val="4"/>
          <c:tx>
            <c:strRef>
              <c:f>'S30d likelihood'!$X$279</c:f>
              <c:strCache>
                <c:ptCount val="1"/>
                <c:pt idx="0">
                  <c:v>Policy makers and academia</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likelihood'!$X$280:$X$286</c:f>
              <c:numCache>
                <c:formatCode>0%</c:formatCode>
                <c:ptCount val="7"/>
                <c:pt idx="0">
                  <c:v>8.3333333333333329E-2</c:v>
                </c:pt>
                <c:pt idx="1">
                  <c:v>0</c:v>
                </c:pt>
                <c:pt idx="2">
                  <c:v>0</c:v>
                </c:pt>
                <c:pt idx="3">
                  <c:v>0</c:v>
                </c:pt>
                <c:pt idx="4">
                  <c:v>8.3333333333333329E-2</c:v>
                </c:pt>
                <c:pt idx="5">
                  <c:v>0</c:v>
                </c:pt>
                <c:pt idx="6">
                  <c:v>0</c:v>
                </c:pt>
              </c:numCache>
            </c:numRef>
          </c:val>
        </c:ser>
        <c:ser>
          <c:idx val="5"/>
          <c:order val="5"/>
          <c:tx>
            <c:strRef>
              <c:f>'S30d likelihood'!$Y$279</c:f>
              <c:strCache>
                <c:ptCount val="1"/>
                <c:pt idx="0">
                  <c:v>NGOs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likelihood'!$Y$280:$Y$286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8412672"/>
        <c:axId val="188414208"/>
      </c:barChart>
      <c:catAx>
        <c:axId val="1884126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414208"/>
        <c:crosses val="autoZero"/>
        <c:auto val="1"/>
        <c:lblAlgn val="ctr"/>
        <c:lblOffset val="100"/>
        <c:noMultiLvlLbl val="0"/>
      </c:catAx>
      <c:valAx>
        <c:axId val="188414208"/>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412672"/>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likelihood'!$T$279</c:f>
              <c:strCache>
                <c:ptCount val="1"/>
                <c:pt idx="0">
                  <c:v>Forest owners/managers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likelihood'!$T$280:$T$286</c:f>
              <c:numCache>
                <c:formatCode>0%</c:formatCode>
                <c:ptCount val="7"/>
                <c:pt idx="0">
                  <c:v>6.6666666666666666E-2</c:v>
                </c:pt>
                <c:pt idx="1">
                  <c:v>0</c:v>
                </c:pt>
                <c:pt idx="2">
                  <c:v>0</c:v>
                </c:pt>
                <c:pt idx="3">
                  <c:v>0</c:v>
                </c:pt>
                <c:pt idx="4">
                  <c:v>0</c:v>
                </c:pt>
                <c:pt idx="5">
                  <c:v>0</c:v>
                </c:pt>
                <c:pt idx="6">
                  <c:v>9.9999999999999992E-2</c:v>
                </c:pt>
              </c:numCache>
            </c:numRef>
          </c:val>
        </c:ser>
        <c:ser>
          <c:idx val="1"/>
          <c:order val="1"/>
          <c:tx>
            <c:strRef>
              <c:f>'S30d likelihood'!$U$279</c:f>
              <c:strCache>
                <c:ptCount val="1"/>
                <c:pt idx="0">
                  <c:v>Pellet producers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likelihood'!$U$280:$U$286</c:f>
              <c:numCache>
                <c:formatCode>0%</c:formatCode>
                <c:ptCount val="7"/>
                <c:pt idx="0">
                  <c:v>0</c:v>
                </c:pt>
                <c:pt idx="1">
                  <c:v>0</c:v>
                </c:pt>
                <c:pt idx="2">
                  <c:v>0</c:v>
                </c:pt>
                <c:pt idx="3">
                  <c:v>0</c:v>
                </c:pt>
                <c:pt idx="4">
                  <c:v>0</c:v>
                </c:pt>
                <c:pt idx="5">
                  <c:v>0</c:v>
                </c:pt>
                <c:pt idx="6">
                  <c:v>0</c:v>
                </c:pt>
              </c:numCache>
            </c:numRef>
          </c:val>
        </c:ser>
        <c:ser>
          <c:idx val="2"/>
          <c:order val="2"/>
          <c:tx>
            <c:strRef>
              <c:f>'S30d likelihood'!$V$279</c:f>
              <c:strCache>
                <c:ptCount val="1"/>
                <c:pt idx="0">
                  <c:v>Pellet users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likelihood'!$V$280:$V$286</c:f>
              <c:numCache>
                <c:formatCode>0%</c:formatCode>
                <c:ptCount val="7"/>
                <c:pt idx="0">
                  <c:v>0</c:v>
                </c:pt>
                <c:pt idx="1">
                  <c:v>8.3333333333333329E-2</c:v>
                </c:pt>
                <c:pt idx="2">
                  <c:v>0</c:v>
                </c:pt>
                <c:pt idx="3">
                  <c:v>8.3333333333333329E-2</c:v>
                </c:pt>
                <c:pt idx="4">
                  <c:v>0</c:v>
                </c:pt>
                <c:pt idx="5">
                  <c:v>0</c:v>
                </c:pt>
                <c:pt idx="6">
                  <c:v>0</c:v>
                </c:pt>
              </c:numCache>
            </c:numRef>
          </c:val>
        </c:ser>
        <c:ser>
          <c:idx val="3"/>
          <c:order val="3"/>
          <c:tx>
            <c:strRef>
              <c:f>'S30d likelihood'!$W$279</c:f>
              <c:strCache>
                <c:ptCount val="1"/>
                <c:pt idx="0">
                  <c:v>Non-bioenergy wood users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likelihood'!$W$280:$W$286</c:f>
              <c:numCache>
                <c:formatCode>0%</c:formatCode>
                <c:ptCount val="7"/>
                <c:pt idx="0">
                  <c:v>0</c:v>
                </c:pt>
                <c:pt idx="1">
                  <c:v>0.16666666666666666</c:v>
                </c:pt>
                <c:pt idx="2">
                  <c:v>0</c:v>
                </c:pt>
                <c:pt idx="3">
                  <c:v>0</c:v>
                </c:pt>
                <c:pt idx="4">
                  <c:v>0</c:v>
                </c:pt>
                <c:pt idx="5">
                  <c:v>0</c:v>
                </c:pt>
                <c:pt idx="6">
                  <c:v>0</c:v>
                </c:pt>
              </c:numCache>
            </c:numRef>
          </c:val>
        </c:ser>
        <c:ser>
          <c:idx val="4"/>
          <c:order val="4"/>
          <c:tx>
            <c:strRef>
              <c:f>'S30d likelihood'!$X$279</c:f>
              <c:strCache>
                <c:ptCount val="1"/>
                <c:pt idx="0">
                  <c:v>Policy makers and academia</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likelihood'!$X$280:$X$286</c:f>
              <c:numCache>
                <c:formatCode>0%</c:formatCode>
                <c:ptCount val="7"/>
                <c:pt idx="0">
                  <c:v>8.3333333333333329E-2</c:v>
                </c:pt>
                <c:pt idx="1">
                  <c:v>0</c:v>
                </c:pt>
                <c:pt idx="2">
                  <c:v>0</c:v>
                </c:pt>
                <c:pt idx="3">
                  <c:v>0</c:v>
                </c:pt>
                <c:pt idx="4">
                  <c:v>8.3333333333333329E-2</c:v>
                </c:pt>
                <c:pt idx="5">
                  <c:v>0</c:v>
                </c:pt>
                <c:pt idx="6">
                  <c:v>0</c:v>
                </c:pt>
              </c:numCache>
            </c:numRef>
          </c:val>
        </c:ser>
        <c:ser>
          <c:idx val="5"/>
          <c:order val="5"/>
          <c:tx>
            <c:strRef>
              <c:f>'S30d likelihood'!$Y$279</c:f>
              <c:strCache>
                <c:ptCount val="1"/>
                <c:pt idx="0">
                  <c:v>NGOs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likelihood'!$Y$280:$Y$286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8520320"/>
        <c:axId val="188521856"/>
      </c:barChart>
      <c:catAx>
        <c:axId val="1885203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8521856"/>
        <c:crosses val="autoZero"/>
        <c:auto val="1"/>
        <c:lblAlgn val="ctr"/>
        <c:lblOffset val="100"/>
        <c:noMultiLvlLbl val="0"/>
      </c:catAx>
      <c:valAx>
        <c:axId val="18852185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520320"/>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likelihood'!$DP$72:$DP$76</c:f>
              <c:strCache>
                <c:ptCount val="5"/>
                <c:pt idx="0">
                  <c:v>Definitely not</c:v>
                </c:pt>
                <c:pt idx="1">
                  <c:v>Sometimes</c:v>
                </c:pt>
                <c:pt idx="2">
                  <c:v>Most of the time</c:v>
                </c:pt>
                <c:pt idx="3">
                  <c:v>Yes, always</c:v>
                </c:pt>
                <c:pt idx="4">
                  <c:v>I don’t know</c:v>
                </c:pt>
              </c:strCache>
            </c:strRef>
          </c:cat>
          <c:val>
            <c:numRef>
              <c:f>'S30d likelihood'!$DR$72:$DR$76</c:f>
              <c:numCache>
                <c:formatCode>0%</c:formatCode>
                <c:ptCount val="5"/>
                <c:pt idx="0">
                  <c:v>0.25</c:v>
                </c:pt>
                <c:pt idx="1">
                  <c:v>0.25</c:v>
                </c:pt>
                <c:pt idx="2">
                  <c:v>0.25</c:v>
                </c:pt>
                <c:pt idx="3">
                  <c:v>0.25</c:v>
                </c:pt>
                <c:pt idx="4">
                  <c:v>0</c:v>
                </c:pt>
              </c:numCache>
            </c:numRef>
          </c:val>
        </c:ser>
        <c:dLbls>
          <c:showLegendKey val="0"/>
          <c:showVal val="0"/>
          <c:showCatName val="0"/>
          <c:showSerName val="0"/>
          <c:showPercent val="0"/>
          <c:showBubbleSize val="0"/>
        </c:dLbls>
        <c:gapWidth val="219"/>
        <c:overlap val="-27"/>
        <c:axId val="188537856"/>
        <c:axId val="188879616"/>
      </c:barChart>
      <c:catAx>
        <c:axId val="1885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879616"/>
        <c:crosses val="autoZero"/>
        <c:auto val="1"/>
        <c:lblAlgn val="ctr"/>
        <c:lblOffset val="100"/>
        <c:tickLblSkip val="1"/>
        <c:noMultiLvlLbl val="0"/>
      </c:catAx>
      <c:valAx>
        <c:axId val="1888796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537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likelihood'!$DP$99:$DP$103</c:f>
              <c:strCache>
                <c:ptCount val="5"/>
                <c:pt idx="0">
                  <c:v>Definitely not</c:v>
                </c:pt>
                <c:pt idx="1">
                  <c:v>Sometimes</c:v>
                </c:pt>
                <c:pt idx="2">
                  <c:v>Most of the time</c:v>
                </c:pt>
                <c:pt idx="3">
                  <c:v>Yes, always</c:v>
                </c:pt>
                <c:pt idx="4">
                  <c:v>I don’t know</c:v>
                </c:pt>
              </c:strCache>
            </c:strRef>
          </c:cat>
          <c:val>
            <c:numRef>
              <c:f>'S30d likelihood'!$DR$99:$DR$103</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88912000"/>
        <c:axId val="188913536"/>
      </c:barChart>
      <c:catAx>
        <c:axId val="18891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8913536"/>
        <c:crosses val="autoZero"/>
        <c:auto val="1"/>
        <c:lblAlgn val="ctr"/>
        <c:lblOffset val="100"/>
        <c:tickLblSkip val="1"/>
        <c:noMultiLvlLbl val="0"/>
      </c:catAx>
      <c:valAx>
        <c:axId val="1889135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912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likelihood'!$DP$126:$DP$130</c:f>
              <c:strCache>
                <c:ptCount val="5"/>
                <c:pt idx="0">
                  <c:v>Definitely not</c:v>
                </c:pt>
                <c:pt idx="1">
                  <c:v>Sometimes</c:v>
                </c:pt>
                <c:pt idx="2">
                  <c:v>Most of the time</c:v>
                </c:pt>
                <c:pt idx="3">
                  <c:v>Yes, always</c:v>
                </c:pt>
                <c:pt idx="4">
                  <c:v>I don’t know</c:v>
                </c:pt>
              </c:strCache>
            </c:strRef>
          </c:cat>
          <c:val>
            <c:numRef>
              <c:f>'S30d likelihood'!$DR$126:$DR$130</c:f>
              <c:numCache>
                <c:formatCode>0%</c:formatCode>
                <c:ptCount val="5"/>
                <c:pt idx="0">
                  <c:v>0</c:v>
                </c:pt>
                <c:pt idx="1">
                  <c:v>0.5</c:v>
                </c:pt>
                <c:pt idx="2">
                  <c:v>0</c:v>
                </c:pt>
                <c:pt idx="3">
                  <c:v>0.5</c:v>
                </c:pt>
                <c:pt idx="4">
                  <c:v>0</c:v>
                </c:pt>
              </c:numCache>
            </c:numRef>
          </c:val>
        </c:ser>
        <c:dLbls>
          <c:showLegendKey val="0"/>
          <c:showVal val="0"/>
          <c:showCatName val="0"/>
          <c:showSerName val="0"/>
          <c:showPercent val="0"/>
          <c:showBubbleSize val="0"/>
        </c:dLbls>
        <c:gapWidth val="219"/>
        <c:overlap val="-27"/>
        <c:axId val="188950016"/>
        <c:axId val="188951552"/>
      </c:barChart>
      <c:catAx>
        <c:axId val="18895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8951552"/>
        <c:crosses val="autoZero"/>
        <c:auto val="1"/>
        <c:lblAlgn val="ctr"/>
        <c:lblOffset val="100"/>
        <c:tickLblSkip val="1"/>
        <c:noMultiLvlLbl val="0"/>
      </c:catAx>
      <c:valAx>
        <c:axId val="1889515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950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likelihood'!$DP$153:$DP$157</c:f>
              <c:strCache>
                <c:ptCount val="5"/>
                <c:pt idx="0">
                  <c:v>Definitely not</c:v>
                </c:pt>
                <c:pt idx="1">
                  <c:v>Sometimes</c:v>
                </c:pt>
                <c:pt idx="2">
                  <c:v>Most of the time</c:v>
                </c:pt>
                <c:pt idx="3">
                  <c:v>Yes, always</c:v>
                </c:pt>
                <c:pt idx="4">
                  <c:v>I don’t know</c:v>
                </c:pt>
              </c:strCache>
            </c:strRef>
          </c:cat>
          <c:val>
            <c:numRef>
              <c:f>'S30d likelihood'!$DR$153:$DR$157</c:f>
              <c:numCache>
                <c:formatCode>0%</c:formatCode>
                <c:ptCount val="5"/>
                <c:pt idx="0">
                  <c:v>0</c:v>
                </c:pt>
                <c:pt idx="1">
                  <c:v>0</c:v>
                </c:pt>
                <c:pt idx="2">
                  <c:v>0</c:v>
                </c:pt>
                <c:pt idx="3">
                  <c:v>1</c:v>
                </c:pt>
                <c:pt idx="4">
                  <c:v>0</c:v>
                </c:pt>
              </c:numCache>
            </c:numRef>
          </c:val>
        </c:ser>
        <c:dLbls>
          <c:showLegendKey val="0"/>
          <c:showVal val="0"/>
          <c:showCatName val="0"/>
          <c:showSerName val="0"/>
          <c:showPercent val="0"/>
          <c:showBubbleSize val="0"/>
        </c:dLbls>
        <c:gapWidth val="219"/>
        <c:overlap val="-27"/>
        <c:axId val="188988032"/>
        <c:axId val="188989824"/>
      </c:barChart>
      <c:catAx>
        <c:axId val="18898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8989824"/>
        <c:crosses val="autoZero"/>
        <c:auto val="1"/>
        <c:lblAlgn val="ctr"/>
        <c:lblOffset val="100"/>
        <c:tickLblSkip val="1"/>
        <c:noMultiLvlLbl val="0"/>
      </c:catAx>
      <c:valAx>
        <c:axId val="1889898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988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likelihood'!$DP$180:$DP$184</c:f>
              <c:strCache>
                <c:ptCount val="5"/>
                <c:pt idx="0">
                  <c:v>Definitely not</c:v>
                </c:pt>
                <c:pt idx="1">
                  <c:v>Sometimes</c:v>
                </c:pt>
                <c:pt idx="2">
                  <c:v>Most of the time</c:v>
                </c:pt>
                <c:pt idx="3">
                  <c:v>Yes, always</c:v>
                </c:pt>
                <c:pt idx="4">
                  <c:v>I don’t know</c:v>
                </c:pt>
              </c:strCache>
            </c:strRef>
          </c:cat>
          <c:val>
            <c:numRef>
              <c:f>'S30d likelihood'!$DR$180:$DR$184</c:f>
              <c:numCache>
                <c:formatCode>0%</c:formatCode>
                <c:ptCount val="5"/>
                <c:pt idx="0">
                  <c:v>0</c:v>
                </c:pt>
                <c:pt idx="1">
                  <c:v>0</c:v>
                </c:pt>
                <c:pt idx="2">
                  <c:v>0.5</c:v>
                </c:pt>
                <c:pt idx="3">
                  <c:v>0.5</c:v>
                </c:pt>
                <c:pt idx="4">
                  <c:v>0</c:v>
                </c:pt>
              </c:numCache>
            </c:numRef>
          </c:val>
        </c:ser>
        <c:dLbls>
          <c:showLegendKey val="0"/>
          <c:showVal val="0"/>
          <c:showCatName val="0"/>
          <c:showSerName val="0"/>
          <c:showPercent val="0"/>
          <c:showBubbleSize val="0"/>
        </c:dLbls>
        <c:gapWidth val="219"/>
        <c:overlap val="-27"/>
        <c:axId val="188751872"/>
        <c:axId val="188753408"/>
      </c:barChart>
      <c:catAx>
        <c:axId val="18875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8753408"/>
        <c:crosses val="autoZero"/>
        <c:auto val="1"/>
        <c:lblAlgn val="ctr"/>
        <c:lblOffset val="100"/>
        <c:tickLblSkip val="1"/>
        <c:noMultiLvlLbl val="0"/>
      </c:catAx>
      <c:valAx>
        <c:axId val="1887534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751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likelihood'!$DP$207:$DP$211</c:f>
              <c:strCache>
                <c:ptCount val="5"/>
                <c:pt idx="0">
                  <c:v>Definitely not</c:v>
                </c:pt>
                <c:pt idx="1">
                  <c:v>Sometimes</c:v>
                </c:pt>
                <c:pt idx="2">
                  <c:v>Most of the time</c:v>
                </c:pt>
                <c:pt idx="3">
                  <c:v>Yes, always</c:v>
                </c:pt>
                <c:pt idx="4">
                  <c:v>I don’t know</c:v>
                </c:pt>
              </c:strCache>
            </c:strRef>
          </c:cat>
          <c:val>
            <c:numRef>
              <c:f>'S30d likelihood'!$DR$207:$DR$211</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88777600"/>
        <c:axId val="188779136"/>
      </c:barChart>
      <c:catAx>
        <c:axId val="18877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779136"/>
        <c:crosses val="autoZero"/>
        <c:auto val="1"/>
        <c:lblAlgn val="ctr"/>
        <c:lblOffset val="100"/>
        <c:tickLblSkip val="1"/>
        <c:noMultiLvlLbl val="0"/>
      </c:catAx>
      <c:valAx>
        <c:axId val="1887791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777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likelihood'!$DP$234:$DP$238</c:f>
              <c:strCache>
                <c:ptCount val="5"/>
                <c:pt idx="0">
                  <c:v>Definitely not</c:v>
                </c:pt>
                <c:pt idx="1">
                  <c:v>Sometimes</c:v>
                </c:pt>
                <c:pt idx="2">
                  <c:v>Most of the time</c:v>
                </c:pt>
                <c:pt idx="3">
                  <c:v>Yes, always</c:v>
                </c:pt>
                <c:pt idx="4">
                  <c:v>I don’t know</c:v>
                </c:pt>
              </c:strCache>
            </c:strRef>
          </c:cat>
          <c:val>
            <c:numRef>
              <c:f>'S30d likelihood'!$DR$234:$DR$238</c:f>
              <c:numCache>
                <c:formatCode>0%</c:formatCode>
                <c:ptCount val="5"/>
                <c:pt idx="0">
                  <c:v>0.1111111111111111</c:v>
                </c:pt>
                <c:pt idx="1">
                  <c:v>0.22222222222222221</c:v>
                </c:pt>
                <c:pt idx="2">
                  <c:v>0.22222222222222221</c:v>
                </c:pt>
                <c:pt idx="3">
                  <c:v>0.44444444444444442</c:v>
                </c:pt>
                <c:pt idx="4">
                  <c:v>0</c:v>
                </c:pt>
              </c:numCache>
            </c:numRef>
          </c:val>
        </c:ser>
        <c:dLbls>
          <c:showLegendKey val="0"/>
          <c:showVal val="0"/>
          <c:showCatName val="0"/>
          <c:showSerName val="0"/>
          <c:showPercent val="0"/>
          <c:showBubbleSize val="0"/>
        </c:dLbls>
        <c:gapWidth val="219"/>
        <c:overlap val="-27"/>
        <c:axId val="188803328"/>
        <c:axId val="188825600"/>
      </c:barChart>
      <c:catAx>
        <c:axId val="188803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825600"/>
        <c:crosses val="autoZero"/>
        <c:auto val="1"/>
        <c:lblAlgn val="ctr"/>
        <c:lblOffset val="100"/>
        <c:tickLblSkip val="1"/>
        <c:noMultiLvlLbl val="0"/>
      </c:catAx>
      <c:valAx>
        <c:axId val="1888256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803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likelihood'!$Z$72:$Z$78</c:f>
              <c:numCache>
                <c:formatCode>0%</c:formatCode>
                <c:ptCount val="7"/>
                <c:pt idx="0">
                  <c:v>0.4</c:v>
                </c:pt>
                <c:pt idx="1">
                  <c:v>0</c:v>
                </c:pt>
                <c:pt idx="2">
                  <c:v>0</c:v>
                </c:pt>
                <c:pt idx="3">
                  <c:v>0</c:v>
                </c:pt>
                <c:pt idx="4">
                  <c:v>0</c:v>
                </c:pt>
                <c:pt idx="5">
                  <c:v>0</c:v>
                </c:pt>
                <c:pt idx="6">
                  <c:v>0.6</c:v>
                </c:pt>
              </c:numCache>
            </c:numRef>
          </c:val>
        </c:ser>
        <c:dLbls>
          <c:showLegendKey val="0"/>
          <c:showVal val="0"/>
          <c:showCatName val="0"/>
          <c:showSerName val="0"/>
          <c:showPercent val="0"/>
          <c:showBubbleSize val="0"/>
        </c:dLbls>
        <c:gapWidth val="219"/>
        <c:overlap val="-27"/>
        <c:axId val="188837248"/>
        <c:axId val="188847232"/>
      </c:barChart>
      <c:catAx>
        <c:axId val="1888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8847232"/>
        <c:crosses val="autoZero"/>
        <c:auto val="1"/>
        <c:lblAlgn val="ctr"/>
        <c:lblOffset val="100"/>
        <c:tickLblSkip val="1"/>
        <c:noMultiLvlLbl val="0"/>
      </c:catAx>
      <c:valAx>
        <c:axId val="1888472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837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likelihood'!$BB$126:$BB$132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likelihood'!$BD$126:$BD$132</c:f>
              <c:numCache>
                <c:formatCode>0%</c:formatCode>
                <c:ptCount val="7"/>
                <c:pt idx="0">
                  <c:v>0.5</c:v>
                </c:pt>
                <c:pt idx="1">
                  <c:v>0.5</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9471488"/>
        <c:axId val="139477376"/>
      </c:barChart>
      <c:catAx>
        <c:axId val="13947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9477376"/>
        <c:crosses val="autoZero"/>
        <c:auto val="1"/>
        <c:lblAlgn val="ctr"/>
        <c:lblOffset val="100"/>
        <c:tickLblSkip val="1"/>
        <c:noMultiLvlLbl val="0"/>
      </c:catAx>
      <c:valAx>
        <c:axId val="1394773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471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likelihood'!$Z$99:$Z$105</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9289216"/>
        <c:axId val="189290752"/>
      </c:barChart>
      <c:catAx>
        <c:axId val="18928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9290752"/>
        <c:crosses val="autoZero"/>
        <c:auto val="1"/>
        <c:lblAlgn val="ctr"/>
        <c:lblOffset val="100"/>
        <c:tickLblSkip val="1"/>
        <c:noMultiLvlLbl val="0"/>
      </c:catAx>
      <c:valAx>
        <c:axId val="1892907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289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likelihood'!$Z$126:$Z$132</c:f>
              <c:numCache>
                <c:formatCode>0%</c:formatCode>
                <c:ptCount val="7"/>
                <c:pt idx="0">
                  <c:v>0</c:v>
                </c:pt>
                <c:pt idx="1">
                  <c:v>0.5</c:v>
                </c:pt>
                <c:pt idx="2">
                  <c:v>0</c:v>
                </c:pt>
                <c:pt idx="3">
                  <c:v>0.5</c:v>
                </c:pt>
                <c:pt idx="4">
                  <c:v>0</c:v>
                </c:pt>
                <c:pt idx="5">
                  <c:v>0</c:v>
                </c:pt>
                <c:pt idx="6">
                  <c:v>0</c:v>
                </c:pt>
              </c:numCache>
            </c:numRef>
          </c:val>
        </c:ser>
        <c:dLbls>
          <c:showLegendKey val="0"/>
          <c:showVal val="0"/>
          <c:showCatName val="0"/>
          <c:showSerName val="0"/>
          <c:showPercent val="0"/>
          <c:showBubbleSize val="0"/>
        </c:dLbls>
        <c:gapWidth val="219"/>
        <c:overlap val="-27"/>
        <c:axId val="189314944"/>
        <c:axId val="189316480"/>
      </c:barChart>
      <c:catAx>
        <c:axId val="18931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9316480"/>
        <c:crosses val="autoZero"/>
        <c:auto val="1"/>
        <c:lblAlgn val="ctr"/>
        <c:lblOffset val="100"/>
        <c:tickLblSkip val="1"/>
        <c:noMultiLvlLbl val="0"/>
      </c:catAx>
      <c:valAx>
        <c:axId val="189316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314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likelihood'!$Z$153:$Z$159</c:f>
              <c:numCache>
                <c:formatCode>0%</c:formatCode>
                <c:ptCount val="7"/>
                <c:pt idx="0">
                  <c:v>0</c:v>
                </c:pt>
                <c:pt idx="1">
                  <c:v>1</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9090816"/>
        <c:axId val="189100800"/>
      </c:barChart>
      <c:catAx>
        <c:axId val="18909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9100800"/>
        <c:crosses val="autoZero"/>
        <c:auto val="1"/>
        <c:lblAlgn val="ctr"/>
        <c:lblOffset val="100"/>
        <c:tickLblSkip val="1"/>
        <c:noMultiLvlLbl val="0"/>
      </c:catAx>
      <c:valAx>
        <c:axId val="1891008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090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likelihood'!$Z$180:$Z$186</c:f>
              <c:numCache>
                <c:formatCode>0%</c:formatCode>
                <c:ptCount val="7"/>
                <c:pt idx="0">
                  <c:v>0.5</c:v>
                </c:pt>
                <c:pt idx="1">
                  <c:v>0</c:v>
                </c:pt>
                <c:pt idx="2">
                  <c:v>0</c:v>
                </c:pt>
                <c:pt idx="3">
                  <c:v>0</c:v>
                </c:pt>
                <c:pt idx="4">
                  <c:v>0.5</c:v>
                </c:pt>
                <c:pt idx="5">
                  <c:v>0</c:v>
                </c:pt>
                <c:pt idx="6">
                  <c:v>0</c:v>
                </c:pt>
              </c:numCache>
            </c:numRef>
          </c:val>
        </c:ser>
        <c:dLbls>
          <c:showLegendKey val="0"/>
          <c:showVal val="0"/>
          <c:showCatName val="0"/>
          <c:showSerName val="0"/>
          <c:showPercent val="0"/>
          <c:showBubbleSize val="0"/>
        </c:dLbls>
        <c:gapWidth val="219"/>
        <c:overlap val="-27"/>
        <c:axId val="189120896"/>
        <c:axId val="189122432"/>
      </c:barChart>
      <c:catAx>
        <c:axId val="18912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9122432"/>
        <c:crosses val="autoZero"/>
        <c:auto val="1"/>
        <c:lblAlgn val="ctr"/>
        <c:lblOffset val="100"/>
        <c:tickLblSkip val="1"/>
        <c:noMultiLvlLbl val="0"/>
      </c:catAx>
      <c:valAx>
        <c:axId val="1891224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120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likelihood'!$Z$207:$Z$213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89150720"/>
        <c:axId val="189152256"/>
      </c:barChart>
      <c:catAx>
        <c:axId val="18915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9152256"/>
        <c:crosses val="autoZero"/>
        <c:auto val="1"/>
        <c:lblAlgn val="ctr"/>
        <c:lblOffset val="100"/>
        <c:tickLblSkip val="1"/>
        <c:noMultiLvlLbl val="0"/>
      </c:catAx>
      <c:valAx>
        <c:axId val="1891522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9150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'S30d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'S30d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likelihood'!$Z$234:$Z$240</c:f>
              <c:numCache>
                <c:formatCode>0%</c:formatCode>
                <c:ptCount val="7"/>
                <c:pt idx="0">
                  <c:v>0.3</c:v>
                </c:pt>
                <c:pt idx="1">
                  <c:v>0.2</c:v>
                </c:pt>
                <c:pt idx="2">
                  <c:v>0</c:v>
                </c:pt>
                <c:pt idx="3">
                  <c:v>0.1</c:v>
                </c:pt>
                <c:pt idx="4">
                  <c:v>0.1</c:v>
                </c:pt>
                <c:pt idx="5">
                  <c:v>0</c:v>
                </c:pt>
                <c:pt idx="6">
                  <c:v>0.3</c:v>
                </c:pt>
              </c:numCache>
            </c:numRef>
          </c:val>
        </c:ser>
        <c:dLbls>
          <c:showLegendKey val="0"/>
          <c:showVal val="0"/>
          <c:showCatName val="0"/>
          <c:showSerName val="0"/>
          <c:showPercent val="0"/>
          <c:showBubbleSize val="0"/>
        </c:dLbls>
        <c:gapWidth val="219"/>
        <c:overlap val="-27"/>
        <c:axId val="189172352"/>
        <c:axId val="189182336"/>
      </c:barChart>
      <c:catAx>
        <c:axId val="18917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9182336"/>
        <c:crosses val="autoZero"/>
        <c:auto val="1"/>
        <c:lblAlgn val="ctr"/>
        <c:lblOffset val="100"/>
        <c:tickLblSkip val="1"/>
        <c:noMultiLvlLbl val="0"/>
      </c:catAx>
      <c:valAx>
        <c:axId val="1891823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172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likelihood'!$T$247</c:f>
              <c:strCache>
                <c:ptCount val="1"/>
                <c:pt idx="0">
                  <c:v>Forest owners/managers</c:v>
                </c:pt>
              </c:strCache>
            </c:strRef>
          </c:tx>
          <c:spPr>
            <a:solidFill>
              <a:schemeClr val="accent1"/>
            </a:solidFill>
            <a:ln>
              <a:noFill/>
            </a:ln>
            <a:effectLst/>
          </c:spPr>
          <c:invertIfNegative val="0"/>
          <c:cat>
            <c:strRef>
              <c:f>'S30d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likelihood'!$T$248:$T$254</c:f>
              <c:numCache>
                <c:formatCode>General</c:formatCode>
                <c:ptCount val="7"/>
                <c:pt idx="0">
                  <c:v>2</c:v>
                </c:pt>
                <c:pt idx="1">
                  <c:v>0</c:v>
                </c:pt>
                <c:pt idx="2">
                  <c:v>0</c:v>
                </c:pt>
                <c:pt idx="3">
                  <c:v>0</c:v>
                </c:pt>
                <c:pt idx="4">
                  <c:v>0</c:v>
                </c:pt>
                <c:pt idx="5">
                  <c:v>0</c:v>
                </c:pt>
                <c:pt idx="6">
                  <c:v>3</c:v>
                </c:pt>
              </c:numCache>
            </c:numRef>
          </c:val>
        </c:ser>
        <c:ser>
          <c:idx val="1"/>
          <c:order val="1"/>
          <c:tx>
            <c:strRef>
              <c:f>'S30d likelihood'!$U$247</c:f>
              <c:strCache>
                <c:ptCount val="1"/>
                <c:pt idx="0">
                  <c:v>Pellet producers</c:v>
                </c:pt>
              </c:strCache>
            </c:strRef>
          </c:tx>
          <c:spPr>
            <a:solidFill>
              <a:schemeClr val="accent2"/>
            </a:solidFill>
            <a:ln>
              <a:noFill/>
            </a:ln>
            <a:effectLst/>
          </c:spPr>
          <c:invertIfNegative val="0"/>
          <c:cat>
            <c:strRef>
              <c:f>'S30d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likelihood'!$U$248:$U$254</c:f>
              <c:numCache>
                <c:formatCode>0</c:formatCode>
                <c:ptCount val="7"/>
                <c:pt idx="0">
                  <c:v>0</c:v>
                </c:pt>
                <c:pt idx="1">
                  <c:v>0</c:v>
                </c:pt>
                <c:pt idx="2">
                  <c:v>0</c:v>
                </c:pt>
                <c:pt idx="3">
                  <c:v>0</c:v>
                </c:pt>
                <c:pt idx="4">
                  <c:v>0</c:v>
                </c:pt>
                <c:pt idx="5">
                  <c:v>0</c:v>
                </c:pt>
                <c:pt idx="6">
                  <c:v>0</c:v>
                </c:pt>
              </c:numCache>
            </c:numRef>
          </c:val>
        </c:ser>
        <c:ser>
          <c:idx val="2"/>
          <c:order val="2"/>
          <c:tx>
            <c:strRef>
              <c:f>'S30d likelihood'!$V$247</c:f>
              <c:strCache>
                <c:ptCount val="1"/>
                <c:pt idx="0">
                  <c:v>Pellet users</c:v>
                </c:pt>
              </c:strCache>
            </c:strRef>
          </c:tx>
          <c:spPr>
            <a:solidFill>
              <a:schemeClr val="accent3"/>
            </a:solidFill>
            <a:ln>
              <a:noFill/>
            </a:ln>
            <a:effectLst/>
          </c:spPr>
          <c:invertIfNegative val="0"/>
          <c:cat>
            <c:strRef>
              <c:f>'S30d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likelihood'!$V$248:$V$254</c:f>
              <c:numCache>
                <c:formatCode>General</c:formatCode>
                <c:ptCount val="7"/>
                <c:pt idx="0">
                  <c:v>0</c:v>
                </c:pt>
                <c:pt idx="1">
                  <c:v>1</c:v>
                </c:pt>
                <c:pt idx="2">
                  <c:v>0</c:v>
                </c:pt>
                <c:pt idx="3">
                  <c:v>1</c:v>
                </c:pt>
                <c:pt idx="4">
                  <c:v>0</c:v>
                </c:pt>
                <c:pt idx="5">
                  <c:v>0</c:v>
                </c:pt>
                <c:pt idx="6">
                  <c:v>0</c:v>
                </c:pt>
              </c:numCache>
            </c:numRef>
          </c:val>
        </c:ser>
        <c:ser>
          <c:idx val="3"/>
          <c:order val="3"/>
          <c:tx>
            <c:strRef>
              <c:f>'S30d likelihood'!$W$247</c:f>
              <c:strCache>
                <c:ptCount val="1"/>
                <c:pt idx="0">
                  <c:v>Non-bioenergy wood users</c:v>
                </c:pt>
              </c:strCache>
            </c:strRef>
          </c:tx>
          <c:spPr>
            <a:solidFill>
              <a:schemeClr val="accent4"/>
            </a:solidFill>
            <a:ln>
              <a:noFill/>
            </a:ln>
            <a:effectLst/>
          </c:spPr>
          <c:invertIfNegative val="0"/>
          <c:cat>
            <c:strRef>
              <c:f>'S30d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likelihood'!$W$248:$W$254</c:f>
              <c:numCache>
                <c:formatCode>General</c:formatCode>
                <c:ptCount val="7"/>
                <c:pt idx="0">
                  <c:v>0</c:v>
                </c:pt>
                <c:pt idx="1">
                  <c:v>1</c:v>
                </c:pt>
                <c:pt idx="2">
                  <c:v>0</c:v>
                </c:pt>
                <c:pt idx="3">
                  <c:v>0</c:v>
                </c:pt>
                <c:pt idx="4">
                  <c:v>0</c:v>
                </c:pt>
                <c:pt idx="5">
                  <c:v>0</c:v>
                </c:pt>
                <c:pt idx="6">
                  <c:v>0</c:v>
                </c:pt>
              </c:numCache>
            </c:numRef>
          </c:val>
        </c:ser>
        <c:ser>
          <c:idx val="4"/>
          <c:order val="4"/>
          <c:tx>
            <c:strRef>
              <c:f>'S30d likelihood'!$X$247</c:f>
              <c:strCache>
                <c:ptCount val="1"/>
                <c:pt idx="0">
                  <c:v>Policy makers and academia</c:v>
                </c:pt>
              </c:strCache>
            </c:strRef>
          </c:tx>
          <c:spPr>
            <a:solidFill>
              <a:schemeClr val="accent5"/>
            </a:solidFill>
            <a:ln>
              <a:noFill/>
            </a:ln>
            <a:effectLst/>
          </c:spPr>
          <c:invertIfNegative val="0"/>
          <c:cat>
            <c:strRef>
              <c:f>'S30d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likelihood'!$X$248:$X$254</c:f>
              <c:numCache>
                <c:formatCode>0</c:formatCode>
                <c:ptCount val="7"/>
                <c:pt idx="0">
                  <c:v>1</c:v>
                </c:pt>
                <c:pt idx="1">
                  <c:v>0</c:v>
                </c:pt>
                <c:pt idx="2">
                  <c:v>0</c:v>
                </c:pt>
                <c:pt idx="3">
                  <c:v>0</c:v>
                </c:pt>
                <c:pt idx="4">
                  <c:v>1</c:v>
                </c:pt>
                <c:pt idx="5">
                  <c:v>0</c:v>
                </c:pt>
                <c:pt idx="6">
                  <c:v>0</c:v>
                </c:pt>
              </c:numCache>
            </c:numRef>
          </c:val>
        </c:ser>
        <c:ser>
          <c:idx val="5"/>
          <c:order val="5"/>
          <c:tx>
            <c:strRef>
              <c:f>'S30d likelihood'!$Y$247</c:f>
              <c:strCache>
                <c:ptCount val="1"/>
                <c:pt idx="0">
                  <c:v>NGOs</c:v>
                </c:pt>
              </c:strCache>
            </c:strRef>
          </c:tx>
          <c:spPr>
            <a:solidFill>
              <a:schemeClr val="accent6"/>
            </a:solidFill>
            <a:ln>
              <a:noFill/>
            </a:ln>
            <a:effectLst/>
          </c:spPr>
          <c:invertIfNegative val="0"/>
          <c:cat>
            <c:strRef>
              <c:f>'S30d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likelihood'!$Y$248:$Y$254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9239296"/>
        <c:axId val="189240832"/>
      </c:barChart>
      <c:catAx>
        <c:axId val="1892392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9240832"/>
        <c:crosses val="autoZero"/>
        <c:auto val="1"/>
        <c:lblAlgn val="ctr"/>
        <c:lblOffset val="100"/>
        <c:noMultiLvlLbl val="0"/>
      </c:catAx>
      <c:valAx>
        <c:axId val="189240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239296"/>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likelihood'!$T$279</c:f>
              <c:strCache>
                <c:ptCount val="1"/>
                <c:pt idx="0">
                  <c:v>Forest owners/managers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likelihood'!$T$280:$T$286</c:f>
              <c:numCache>
                <c:formatCode>0%</c:formatCode>
                <c:ptCount val="7"/>
                <c:pt idx="0">
                  <c:v>6.6666666666666666E-2</c:v>
                </c:pt>
                <c:pt idx="1">
                  <c:v>0</c:v>
                </c:pt>
                <c:pt idx="2">
                  <c:v>0</c:v>
                </c:pt>
                <c:pt idx="3">
                  <c:v>0</c:v>
                </c:pt>
                <c:pt idx="4">
                  <c:v>0</c:v>
                </c:pt>
                <c:pt idx="5">
                  <c:v>0</c:v>
                </c:pt>
                <c:pt idx="6">
                  <c:v>9.9999999999999992E-2</c:v>
                </c:pt>
              </c:numCache>
            </c:numRef>
          </c:val>
        </c:ser>
        <c:ser>
          <c:idx val="1"/>
          <c:order val="1"/>
          <c:tx>
            <c:strRef>
              <c:f>'S30d likelihood'!$U$279</c:f>
              <c:strCache>
                <c:ptCount val="1"/>
                <c:pt idx="0">
                  <c:v>Pellet producers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likelihood'!$U$280:$U$286</c:f>
              <c:numCache>
                <c:formatCode>0%</c:formatCode>
                <c:ptCount val="7"/>
                <c:pt idx="0">
                  <c:v>0</c:v>
                </c:pt>
                <c:pt idx="1">
                  <c:v>0</c:v>
                </c:pt>
                <c:pt idx="2">
                  <c:v>0</c:v>
                </c:pt>
                <c:pt idx="3">
                  <c:v>0</c:v>
                </c:pt>
                <c:pt idx="4">
                  <c:v>0</c:v>
                </c:pt>
                <c:pt idx="5">
                  <c:v>0</c:v>
                </c:pt>
                <c:pt idx="6">
                  <c:v>0</c:v>
                </c:pt>
              </c:numCache>
            </c:numRef>
          </c:val>
        </c:ser>
        <c:ser>
          <c:idx val="2"/>
          <c:order val="2"/>
          <c:tx>
            <c:strRef>
              <c:f>'S30d likelihood'!$V$279</c:f>
              <c:strCache>
                <c:ptCount val="1"/>
                <c:pt idx="0">
                  <c:v>Pellet users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likelihood'!$V$280:$V$286</c:f>
              <c:numCache>
                <c:formatCode>0%</c:formatCode>
                <c:ptCount val="7"/>
                <c:pt idx="0">
                  <c:v>0</c:v>
                </c:pt>
                <c:pt idx="1">
                  <c:v>8.3333333333333329E-2</c:v>
                </c:pt>
                <c:pt idx="2">
                  <c:v>0</c:v>
                </c:pt>
                <c:pt idx="3">
                  <c:v>8.3333333333333329E-2</c:v>
                </c:pt>
                <c:pt idx="4">
                  <c:v>0</c:v>
                </c:pt>
                <c:pt idx="5">
                  <c:v>0</c:v>
                </c:pt>
                <c:pt idx="6">
                  <c:v>0</c:v>
                </c:pt>
              </c:numCache>
            </c:numRef>
          </c:val>
        </c:ser>
        <c:ser>
          <c:idx val="3"/>
          <c:order val="3"/>
          <c:tx>
            <c:strRef>
              <c:f>'S30d likelihood'!$W$279</c:f>
              <c:strCache>
                <c:ptCount val="1"/>
                <c:pt idx="0">
                  <c:v>Non-bioenergy wood users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likelihood'!$W$280:$W$286</c:f>
              <c:numCache>
                <c:formatCode>0%</c:formatCode>
                <c:ptCount val="7"/>
                <c:pt idx="0">
                  <c:v>0</c:v>
                </c:pt>
                <c:pt idx="1">
                  <c:v>0.16666666666666666</c:v>
                </c:pt>
                <c:pt idx="2">
                  <c:v>0</c:v>
                </c:pt>
                <c:pt idx="3">
                  <c:v>0</c:v>
                </c:pt>
                <c:pt idx="4">
                  <c:v>0</c:v>
                </c:pt>
                <c:pt idx="5">
                  <c:v>0</c:v>
                </c:pt>
                <c:pt idx="6">
                  <c:v>0</c:v>
                </c:pt>
              </c:numCache>
            </c:numRef>
          </c:val>
        </c:ser>
        <c:ser>
          <c:idx val="4"/>
          <c:order val="4"/>
          <c:tx>
            <c:strRef>
              <c:f>'S30d likelihood'!$X$279</c:f>
              <c:strCache>
                <c:ptCount val="1"/>
                <c:pt idx="0">
                  <c:v>Policy makers and academia</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likelihood'!$X$280:$X$286</c:f>
              <c:numCache>
                <c:formatCode>0%</c:formatCode>
                <c:ptCount val="7"/>
                <c:pt idx="0">
                  <c:v>8.3333333333333329E-2</c:v>
                </c:pt>
                <c:pt idx="1">
                  <c:v>0</c:v>
                </c:pt>
                <c:pt idx="2">
                  <c:v>0</c:v>
                </c:pt>
                <c:pt idx="3">
                  <c:v>0</c:v>
                </c:pt>
                <c:pt idx="4">
                  <c:v>8.3333333333333329E-2</c:v>
                </c:pt>
                <c:pt idx="5">
                  <c:v>0</c:v>
                </c:pt>
                <c:pt idx="6">
                  <c:v>0</c:v>
                </c:pt>
              </c:numCache>
            </c:numRef>
          </c:val>
        </c:ser>
        <c:ser>
          <c:idx val="5"/>
          <c:order val="5"/>
          <c:tx>
            <c:strRef>
              <c:f>'S30d likelihood'!$Y$279</c:f>
              <c:strCache>
                <c:ptCount val="1"/>
                <c:pt idx="0">
                  <c:v>NGOs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likelihood'!$Y$280:$Y$286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9686912"/>
        <c:axId val="189688448"/>
      </c:barChart>
      <c:catAx>
        <c:axId val="1896869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9688448"/>
        <c:crosses val="autoZero"/>
        <c:auto val="1"/>
        <c:lblAlgn val="ctr"/>
        <c:lblOffset val="100"/>
        <c:noMultiLvlLbl val="0"/>
      </c:catAx>
      <c:valAx>
        <c:axId val="189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6869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likelihood'!$T$279</c:f>
              <c:strCache>
                <c:ptCount val="1"/>
                <c:pt idx="0">
                  <c:v>Forest owners/managers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likelihood'!$T$280:$T$286</c:f>
              <c:numCache>
                <c:formatCode>0%</c:formatCode>
                <c:ptCount val="7"/>
                <c:pt idx="0">
                  <c:v>6.6666666666666666E-2</c:v>
                </c:pt>
                <c:pt idx="1">
                  <c:v>0</c:v>
                </c:pt>
                <c:pt idx="2">
                  <c:v>0</c:v>
                </c:pt>
                <c:pt idx="3">
                  <c:v>0</c:v>
                </c:pt>
                <c:pt idx="4">
                  <c:v>0</c:v>
                </c:pt>
                <c:pt idx="5">
                  <c:v>0</c:v>
                </c:pt>
                <c:pt idx="6">
                  <c:v>9.9999999999999992E-2</c:v>
                </c:pt>
              </c:numCache>
            </c:numRef>
          </c:val>
        </c:ser>
        <c:ser>
          <c:idx val="1"/>
          <c:order val="1"/>
          <c:tx>
            <c:strRef>
              <c:f>'S30d likelihood'!$U$279</c:f>
              <c:strCache>
                <c:ptCount val="1"/>
                <c:pt idx="0">
                  <c:v>Pellet producers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likelihood'!$U$280:$U$286</c:f>
              <c:numCache>
                <c:formatCode>0%</c:formatCode>
                <c:ptCount val="7"/>
                <c:pt idx="0">
                  <c:v>0</c:v>
                </c:pt>
                <c:pt idx="1">
                  <c:v>0</c:v>
                </c:pt>
                <c:pt idx="2">
                  <c:v>0</c:v>
                </c:pt>
                <c:pt idx="3">
                  <c:v>0</c:v>
                </c:pt>
                <c:pt idx="4">
                  <c:v>0</c:v>
                </c:pt>
                <c:pt idx="5">
                  <c:v>0</c:v>
                </c:pt>
                <c:pt idx="6">
                  <c:v>0</c:v>
                </c:pt>
              </c:numCache>
            </c:numRef>
          </c:val>
        </c:ser>
        <c:ser>
          <c:idx val="2"/>
          <c:order val="2"/>
          <c:tx>
            <c:strRef>
              <c:f>'S30d likelihood'!$V$279</c:f>
              <c:strCache>
                <c:ptCount val="1"/>
                <c:pt idx="0">
                  <c:v>Pellet users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likelihood'!$V$280:$V$286</c:f>
              <c:numCache>
                <c:formatCode>0%</c:formatCode>
                <c:ptCount val="7"/>
                <c:pt idx="0">
                  <c:v>0</c:v>
                </c:pt>
                <c:pt idx="1">
                  <c:v>8.3333333333333329E-2</c:v>
                </c:pt>
                <c:pt idx="2">
                  <c:v>0</c:v>
                </c:pt>
                <c:pt idx="3">
                  <c:v>8.3333333333333329E-2</c:v>
                </c:pt>
                <c:pt idx="4">
                  <c:v>0</c:v>
                </c:pt>
                <c:pt idx="5">
                  <c:v>0</c:v>
                </c:pt>
                <c:pt idx="6">
                  <c:v>0</c:v>
                </c:pt>
              </c:numCache>
            </c:numRef>
          </c:val>
        </c:ser>
        <c:ser>
          <c:idx val="3"/>
          <c:order val="3"/>
          <c:tx>
            <c:strRef>
              <c:f>'S30d likelihood'!$W$279</c:f>
              <c:strCache>
                <c:ptCount val="1"/>
                <c:pt idx="0">
                  <c:v>Non-bioenergy wood users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likelihood'!$W$280:$W$286</c:f>
              <c:numCache>
                <c:formatCode>0%</c:formatCode>
                <c:ptCount val="7"/>
                <c:pt idx="0">
                  <c:v>0</c:v>
                </c:pt>
                <c:pt idx="1">
                  <c:v>0.16666666666666666</c:v>
                </c:pt>
                <c:pt idx="2">
                  <c:v>0</c:v>
                </c:pt>
                <c:pt idx="3">
                  <c:v>0</c:v>
                </c:pt>
                <c:pt idx="4">
                  <c:v>0</c:v>
                </c:pt>
                <c:pt idx="5">
                  <c:v>0</c:v>
                </c:pt>
                <c:pt idx="6">
                  <c:v>0</c:v>
                </c:pt>
              </c:numCache>
            </c:numRef>
          </c:val>
        </c:ser>
        <c:ser>
          <c:idx val="4"/>
          <c:order val="4"/>
          <c:tx>
            <c:strRef>
              <c:f>'S30d likelihood'!$X$279</c:f>
              <c:strCache>
                <c:ptCount val="1"/>
                <c:pt idx="0">
                  <c:v>Policy makers and academia</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likelihood'!$X$280:$X$286</c:f>
              <c:numCache>
                <c:formatCode>0%</c:formatCode>
                <c:ptCount val="7"/>
                <c:pt idx="0">
                  <c:v>8.3333333333333329E-2</c:v>
                </c:pt>
                <c:pt idx="1">
                  <c:v>0</c:v>
                </c:pt>
                <c:pt idx="2">
                  <c:v>0</c:v>
                </c:pt>
                <c:pt idx="3">
                  <c:v>0</c:v>
                </c:pt>
                <c:pt idx="4">
                  <c:v>8.3333333333333329E-2</c:v>
                </c:pt>
                <c:pt idx="5">
                  <c:v>0</c:v>
                </c:pt>
                <c:pt idx="6">
                  <c:v>0</c:v>
                </c:pt>
              </c:numCache>
            </c:numRef>
          </c:val>
        </c:ser>
        <c:ser>
          <c:idx val="5"/>
          <c:order val="5"/>
          <c:tx>
            <c:strRef>
              <c:f>'S30d likelihood'!$Y$279</c:f>
              <c:strCache>
                <c:ptCount val="1"/>
                <c:pt idx="0">
                  <c:v>NGOs</c:v>
                </c:pt>
              </c:strCache>
            </c:strRef>
          </c:tx>
          <c:invertIfNegative val="0"/>
          <c:cat>
            <c:strRef>
              <c:f>'S30d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'S30d likelihood'!$Y$280:$Y$286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89733504"/>
        <c:axId val="189751680"/>
      </c:barChart>
      <c:catAx>
        <c:axId val="189733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9751680"/>
        <c:crosses val="autoZero"/>
        <c:auto val="1"/>
        <c:lblAlgn val="ctr"/>
        <c:lblOffset val="100"/>
        <c:noMultiLvlLbl val="0"/>
      </c:catAx>
      <c:valAx>
        <c:axId val="1897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7335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likelihood'!$DL$247</c:f>
              <c:strCache>
                <c:ptCount val="1"/>
                <c:pt idx="0">
                  <c:v>Forest owners/managers</c:v>
                </c:pt>
              </c:strCache>
            </c:strRef>
          </c:tx>
          <c:spPr>
            <a:solidFill>
              <a:schemeClr val="accent1"/>
            </a:solidFill>
            <a:ln>
              <a:noFill/>
            </a:ln>
            <a:effectLst/>
          </c:spPr>
          <c:invertIfNegative val="0"/>
          <c:cat>
            <c:strRef>
              <c:f>'S30d likelihood'!$DK$248:$DK$252</c:f>
              <c:strCache>
                <c:ptCount val="5"/>
                <c:pt idx="0">
                  <c:v>Definitely not</c:v>
                </c:pt>
                <c:pt idx="1">
                  <c:v>Sometimes</c:v>
                </c:pt>
                <c:pt idx="2">
                  <c:v>Most of the time</c:v>
                </c:pt>
                <c:pt idx="3">
                  <c:v>Yes, always</c:v>
                </c:pt>
                <c:pt idx="4">
                  <c:v>I don’t know</c:v>
                </c:pt>
              </c:strCache>
            </c:strRef>
          </c:cat>
          <c:val>
            <c:numRef>
              <c:f>'S30d likelihood'!$DL$248:$DL$252</c:f>
              <c:numCache>
                <c:formatCode>General</c:formatCode>
                <c:ptCount val="5"/>
                <c:pt idx="0">
                  <c:v>1</c:v>
                </c:pt>
                <c:pt idx="1">
                  <c:v>1</c:v>
                </c:pt>
                <c:pt idx="2">
                  <c:v>1</c:v>
                </c:pt>
                <c:pt idx="3">
                  <c:v>1</c:v>
                </c:pt>
                <c:pt idx="4">
                  <c:v>0</c:v>
                </c:pt>
              </c:numCache>
            </c:numRef>
          </c:val>
        </c:ser>
        <c:ser>
          <c:idx val="1"/>
          <c:order val="1"/>
          <c:tx>
            <c:strRef>
              <c:f>'S30d likelihood'!$DM$247</c:f>
              <c:strCache>
                <c:ptCount val="1"/>
                <c:pt idx="0">
                  <c:v>Pellet producers</c:v>
                </c:pt>
              </c:strCache>
            </c:strRef>
          </c:tx>
          <c:spPr>
            <a:solidFill>
              <a:schemeClr val="accent2"/>
            </a:solidFill>
            <a:ln>
              <a:noFill/>
            </a:ln>
            <a:effectLst/>
          </c:spPr>
          <c:invertIfNegative val="0"/>
          <c:cat>
            <c:strRef>
              <c:f>'S30d likelihood'!$DK$248:$DK$252</c:f>
              <c:strCache>
                <c:ptCount val="5"/>
                <c:pt idx="0">
                  <c:v>Definitely not</c:v>
                </c:pt>
                <c:pt idx="1">
                  <c:v>Sometimes</c:v>
                </c:pt>
                <c:pt idx="2">
                  <c:v>Most of the time</c:v>
                </c:pt>
                <c:pt idx="3">
                  <c:v>Yes, always</c:v>
                </c:pt>
                <c:pt idx="4">
                  <c:v>I don’t know</c:v>
                </c:pt>
              </c:strCache>
            </c:strRef>
          </c:cat>
          <c:val>
            <c:numRef>
              <c:f>'S30d likelihood'!$DM$248:$DM$252</c:f>
              <c:numCache>
                <c:formatCode>0</c:formatCode>
                <c:ptCount val="5"/>
                <c:pt idx="0">
                  <c:v>0</c:v>
                </c:pt>
                <c:pt idx="1">
                  <c:v>0</c:v>
                </c:pt>
                <c:pt idx="2">
                  <c:v>0</c:v>
                </c:pt>
                <c:pt idx="3">
                  <c:v>0</c:v>
                </c:pt>
                <c:pt idx="4">
                  <c:v>0</c:v>
                </c:pt>
              </c:numCache>
            </c:numRef>
          </c:val>
        </c:ser>
        <c:ser>
          <c:idx val="2"/>
          <c:order val="2"/>
          <c:tx>
            <c:strRef>
              <c:f>'S30d likelihood'!$DN$247</c:f>
              <c:strCache>
                <c:ptCount val="1"/>
                <c:pt idx="0">
                  <c:v>Pellet users</c:v>
                </c:pt>
              </c:strCache>
            </c:strRef>
          </c:tx>
          <c:spPr>
            <a:solidFill>
              <a:schemeClr val="accent3"/>
            </a:solidFill>
            <a:ln>
              <a:noFill/>
            </a:ln>
            <a:effectLst/>
          </c:spPr>
          <c:invertIfNegative val="0"/>
          <c:cat>
            <c:strRef>
              <c:f>'S30d likelihood'!$DK$248:$DK$252</c:f>
              <c:strCache>
                <c:ptCount val="5"/>
                <c:pt idx="0">
                  <c:v>Definitely not</c:v>
                </c:pt>
                <c:pt idx="1">
                  <c:v>Sometimes</c:v>
                </c:pt>
                <c:pt idx="2">
                  <c:v>Most of the time</c:v>
                </c:pt>
                <c:pt idx="3">
                  <c:v>Yes, always</c:v>
                </c:pt>
                <c:pt idx="4">
                  <c:v>I don’t know</c:v>
                </c:pt>
              </c:strCache>
            </c:strRef>
          </c:cat>
          <c:val>
            <c:numRef>
              <c:f>'S30d likelihood'!$DN$248:$DN$252</c:f>
              <c:numCache>
                <c:formatCode>General</c:formatCode>
                <c:ptCount val="5"/>
                <c:pt idx="0">
                  <c:v>0</c:v>
                </c:pt>
                <c:pt idx="1">
                  <c:v>1</c:v>
                </c:pt>
                <c:pt idx="2">
                  <c:v>0</c:v>
                </c:pt>
                <c:pt idx="3">
                  <c:v>1</c:v>
                </c:pt>
                <c:pt idx="4">
                  <c:v>0</c:v>
                </c:pt>
              </c:numCache>
            </c:numRef>
          </c:val>
        </c:ser>
        <c:ser>
          <c:idx val="3"/>
          <c:order val="3"/>
          <c:tx>
            <c:strRef>
              <c:f>'S30d likelihood'!$DO$247</c:f>
              <c:strCache>
                <c:ptCount val="1"/>
                <c:pt idx="0">
                  <c:v>Non-bioenergy wood users</c:v>
                </c:pt>
              </c:strCache>
            </c:strRef>
          </c:tx>
          <c:spPr>
            <a:solidFill>
              <a:schemeClr val="accent4"/>
            </a:solidFill>
            <a:ln>
              <a:noFill/>
            </a:ln>
            <a:effectLst/>
          </c:spPr>
          <c:invertIfNegative val="0"/>
          <c:cat>
            <c:strRef>
              <c:f>'S30d likelihood'!$DK$248:$DK$252</c:f>
              <c:strCache>
                <c:ptCount val="5"/>
                <c:pt idx="0">
                  <c:v>Definitely not</c:v>
                </c:pt>
                <c:pt idx="1">
                  <c:v>Sometimes</c:v>
                </c:pt>
                <c:pt idx="2">
                  <c:v>Most of the time</c:v>
                </c:pt>
                <c:pt idx="3">
                  <c:v>Yes, always</c:v>
                </c:pt>
                <c:pt idx="4">
                  <c:v>I don’t know</c:v>
                </c:pt>
              </c:strCache>
            </c:strRef>
          </c:cat>
          <c:val>
            <c:numRef>
              <c:f>'S30d likelihood'!$DO$248:$DO$252</c:f>
              <c:numCache>
                <c:formatCode>General</c:formatCode>
                <c:ptCount val="5"/>
                <c:pt idx="0">
                  <c:v>0</c:v>
                </c:pt>
                <c:pt idx="1">
                  <c:v>0</c:v>
                </c:pt>
                <c:pt idx="2">
                  <c:v>0</c:v>
                </c:pt>
                <c:pt idx="3">
                  <c:v>1</c:v>
                </c:pt>
                <c:pt idx="4">
                  <c:v>0</c:v>
                </c:pt>
              </c:numCache>
            </c:numRef>
          </c:val>
        </c:ser>
        <c:ser>
          <c:idx val="4"/>
          <c:order val="4"/>
          <c:tx>
            <c:strRef>
              <c:f>'S30d likelihood'!$DP$247</c:f>
              <c:strCache>
                <c:ptCount val="1"/>
                <c:pt idx="0">
                  <c:v>Policy makers and academia</c:v>
                </c:pt>
              </c:strCache>
            </c:strRef>
          </c:tx>
          <c:spPr>
            <a:solidFill>
              <a:schemeClr val="accent5"/>
            </a:solidFill>
            <a:ln>
              <a:noFill/>
            </a:ln>
            <a:effectLst/>
          </c:spPr>
          <c:invertIfNegative val="0"/>
          <c:cat>
            <c:strRef>
              <c:f>'S30d likelihood'!$DK$248:$DK$252</c:f>
              <c:strCache>
                <c:ptCount val="5"/>
                <c:pt idx="0">
                  <c:v>Definitely not</c:v>
                </c:pt>
                <c:pt idx="1">
                  <c:v>Sometimes</c:v>
                </c:pt>
                <c:pt idx="2">
                  <c:v>Most of the time</c:v>
                </c:pt>
                <c:pt idx="3">
                  <c:v>Yes, always</c:v>
                </c:pt>
                <c:pt idx="4">
                  <c:v>I don’t know</c:v>
                </c:pt>
              </c:strCache>
            </c:strRef>
          </c:cat>
          <c:val>
            <c:numRef>
              <c:f>'S30d likelihood'!$DP$248:$DP$252</c:f>
              <c:numCache>
                <c:formatCode>0</c:formatCode>
                <c:ptCount val="5"/>
                <c:pt idx="0">
                  <c:v>0</c:v>
                </c:pt>
                <c:pt idx="1">
                  <c:v>0</c:v>
                </c:pt>
                <c:pt idx="2">
                  <c:v>1</c:v>
                </c:pt>
                <c:pt idx="3">
                  <c:v>1</c:v>
                </c:pt>
                <c:pt idx="4">
                  <c:v>0</c:v>
                </c:pt>
              </c:numCache>
            </c:numRef>
          </c:val>
        </c:ser>
        <c:ser>
          <c:idx val="5"/>
          <c:order val="5"/>
          <c:tx>
            <c:strRef>
              <c:f>'S30d likelihood'!$DQ$247</c:f>
              <c:strCache>
                <c:ptCount val="1"/>
                <c:pt idx="0">
                  <c:v>NGOs</c:v>
                </c:pt>
              </c:strCache>
            </c:strRef>
          </c:tx>
          <c:spPr>
            <a:solidFill>
              <a:schemeClr val="accent6"/>
            </a:solidFill>
            <a:ln>
              <a:noFill/>
            </a:ln>
            <a:effectLst/>
          </c:spPr>
          <c:invertIfNegative val="0"/>
          <c:cat>
            <c:strRef>
              <c:f>'S30d likelihood'!$DK$248:$DK$252</c:f>
              <c:strCache>
                <c:ptCount val="5"/>
                <c:pt idx="0">
                  <c:v>Definitely not</c:v>
                </c:pt>
                <c:pt idx="1">
                  <c:v>Sometimes</c:v>
                </c:pt>
                <c:pt idx="2">
                  <c:v>Most of the time</c:v>
                </c:pt>
                <c:pt idx="3">
                  <c:v>Yes, always</c:v>
                </c:pt>
                <c:pt idx="4">
                  <c:v>I don’t know</c:v>
                </c:pt>
              </c:strCache>
            </c:strRef>
          </c:cat>
          <c:val>
            <c:numRef>
              <c:f>'S30d likelihood'!$DQ$248:$DQ$252</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89783424"/>
        <c:axId val="189400192"/>
      </c:barChart>
      <c:catAx>
        <c:axId val="1897834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9400192"/>
        <c:crosses val="autoZero"/>
        <c:auto val="1"/>
        <c:lblAlgn val="ctr"/>
        <c:lblOffset val="100"/>
        <c:noMultiLvlLbl val="0"/>
      </c:catAx>
      <c:valAx>
        <c:axId val="189400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89783424"/>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likelihood'!$BB$153:$BB$159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likelihood'!$BD$153:$BD$159</c:f>
              <c:numCache>
                <c:formatCode>0%</c:formatCode>
                <c:ptCount val="7"/>
                <c:pt idx="0">
                  <c:v>0</c:v>
                </c:pt>
                <c:pt idx="1">
                  <c:v>0.5</c:v>
                </c:pt>
                <c:pt idx="2">
                  <c:v>0</c:v>
                </c:pt>
                <c:pt idx="3">
                  <c:v>0</c:v>
                </c:pt>
                <c:pt idx="4">
                  <c:v>0</c:v>
                </c:pt>
                <c:pt idx="5">
                  <c:v>0</c:v>
                </c:pt>
                <c:pt idx="6">
                  <c:v>0.5</c:v>
                </c:pt>
              </c:numCache>
            </c:numRef>
          </c:val>
        </c:ser>
        <c:dLbls>
          <c:showLegendKey val="0"/>
          <c:showVal val="0"/>
          <c:showCatName val="0"/>
          <c:showSerName val="0"/>
          <c:showPercent val="0"/>
          <c:showBubbleSize val="0"/>
        </c:dLbls>
        <c:gapWidth val="219"/>
        <c:overlap val="-27"/>
        <c:axId val="139513856"/>
        <c:axId val="139515392"/>
      </c:barChart>
      <c:catAx>
        <c:axId val="13951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9515392"/>
        <c:crosses val="autoZero"/>
        <c:auto val="1"/>
        <c:lblAlgn val="ctr"/>
        <c:lblOffset val="100"/>
        <c:tickLblSkip val="1"/>
        <c:noMultiLvlLbl val="0"/>
      </c:catAx>
      <c:valAx>
        <c:axId val="1395153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513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'S30d likelihood'!$DL$279</c:f>
              <c:strCache>
                <c:ptCount val="1"/>
                <c:pt idx="0">
                  <c:v>Forest owners/managers</c:v>
                </c:pt>
              </c:strCache>
            </c:strRef>
          </c:tx>
          <c:invertIfNegative val="0"/>
          <c:cat>
            <c:strRef>
              <c:f>'S30d likelihood'!$DK$280:$DK$284</c:f>
              <c:strCache>
                <c:ptCount val="5"/>
                <c:pt idx="0">
                  <c:v>Definitely not</c:v>
                </c:pt>
                <c:pt idx="1">
                  <c:v>Sometimes</c:v>
                </c:pt>
                <c:pt idx="2">
                  <c:v>Most of the time</c:v>
                </c:pt>
                <c:pt idx="3">
                  <c:v>Yes, always</c:v>
                </c:pt>
                <c:pt idx="4">
                  <c:v>I don’t know</c:v>
                </c:pt>
              </c:strCache>
            </c:strRef>
          </c:cat>
          <c:val>
            <c:numRef>
              <c:f>'S30d likelihood'!$DL$280:$DL$284</c:f>
              <c:numCache>
                <c:formatCode>0%</c:formatCode>
                <c:ptCount val="5"/>
                <c:pt idx="0">
                  <c:v>4.1666666666666664E-2</c:v>
                </c:pt>
                <c:pt idx="1">
                  <c:v>4.1666666666666664E-2</c:v>
                </c:pt>
                <c:pt idx="2">
                  <c:v>4.1666666666666664E-2</c:v>
                </c:pt>
                <c:pt idx="3">
                  <c:v>4.1666666666666664E-2</c:v>
                </c:pt>
                <c:pt idx="4">
                  <c:v>0</c:v>
                </c:pt>
              </c:numCache>
            </c:numRef>
          </c:val>
        </c:ser>
        <c:ser>
          <c:idx val="1"/>
          <c:order val="1"/>
          <c:tx>
            <c:strRef>
              <c:f>'S30d likelihood'!$DM$279</c:f>
              <c:strCache>
                <c:ptCount val="1"/>
                <c:pt idx="0">
                  <c:v>Pellet producers</c:v>
                </c:pt>
              </c:strCache>
            </c:strRef>
          </c:tx>
          <c:invertIfNegative val="0"/>
          <c:cat>
            <c:strRef>
              <c:f>'S30d likelihood'!$DK$280:$DK$284</c:f>
              <c:strCache>
                <c:ptCount val="5"/>
                <c:pt idx="0">
                  <c:v>Definitely not</c:v>
                </c:pt>
                <c:pt idx="1">
                  <c:v>Sometimes</c:v>
                </c:pt>
                <c:pt idx="2">
                  <c:v>Most of the time</c:v>
                </c:pt>
                <c:pt idx="3">
                  <c:v>Yes, always</c:v>
                </c:pt>
                <c:pt idx="4">
                  <c:v>I don’t know</c:v>
                </c:pt>
              </c:strCache>
            </c:strRef>
          </c:cat>
          <c:val>
            <c:numRef>
              <c:f>'S30d likelihood'!$DM$280:$DM$284</c:f>
              <c:numCache>
                <c:formatCode>0%</c:formatCode>
                <c:ptCount val="5"/>
                <c:pt idx="0">
                  <c:v>0</c:v>
                </c:pt>
                <c:pt idx="1">
                  <c:v>0</c:v>
                </c:pt>
                <c:pt idx="2">
                  <c:v>0</c:v>
                </c:pt>
                <c:pt idx="3">
                  <c:v>0</c:v>
                </c:pt>
                <c:pt idx="4">
                  <c:v>0</c:v>
                </c:pt>
              </c:numCache>
            </c:numRef>
          </c:val>
        </c:ser>
        <c:ser>
          <c:idx val="2"/>
          <c:order val="2"/>
          <c:tx>
            <c:strRef>
              <c:f>'S30d likelihood'!$DN$279</c:f>
              <c:strCache>
                <c:ptCount val="1"/>
                <c:pt idx="0">
                  <c:v>Pellet users</c:v>
                </c:pt>
              </c:strCache>
            </c:strRef>
          </c:tx>
          <c:invertIfNegative val="0"/>
          <c:cat>
            <c:strRef>
              <c:f>'S30d likelihood'!$DK$280:$DK$284</c:f>
              <c:strCache>
                <c:ptCount val="5"/>
                <c:pt idx="0">
                  <c:v>Definitely not</c:v>
                </c:pt>
                <c:pt idx="1">
                  <c:v>Sometimes</c:v>
                </c:pt>
                <c:pt idx="2">
                  <c:v>Most of the time</c:v>
                </c:pt>
                <c:pt idx="3">
                  <c:v>Yes, always</c:v>
                </c:pt>
                <c:pt idx="4">
                  <c:v>I don’t know</c:v>
                </c:pt>
              </c:strCache>
            </c:strRef>
          </c:cat>
          <c:val>
            <c:numRef>
              <c:f>'S30d likelihood'!$DN$280:$DN$284</c:f>
              <c:numCache>
                <c:formatCode>0%</c:formatCode>
                <c:ptCount val="5"/>
                <c:pt idx="0">
                  <c:v>0</c:v>
                </c:pt>
                <c:pt idx="1">
                  <c:v>8.3333333333333329E-2</c:v>
                </c:pt>
                <c:pt idx="2">
                  <c:v>0</c:v>
                </c:pt>
                <c:pt idx="3">
                  <c:v>8.3333333333333329E-2</c:v>
                </c:pt>
                <c:pt idx="4">
                  <c:v>0</c:v>
                </c:pt>
              </c:numCache>
            </c:numRef>
          </c:val>
        </c:ser>
        <c:ser>
          <c:idx val="3"/>
          <c:order val="3"/>
          <c:tx>
            <c:strRef>
              <c:f>'S30d likelihood'!$DO$279</c:f>
              <c:strCache>
                <c:ptCount val="1"/>
                <c:pt idx="0">
                  <c:v>Non-bioenergy wood users</c:v>
                </c:pt>
              </c:strCache>
            </c:strRef>
          </c:tx>
          <c:invertIfNegative val="0"/>
          <c:cat>
            <c:strRef>
              <c:f>'S30d likelihood'!$DK$280:$DK$284</c:f>
              <c:strCache>
                <c:ptCount val="5"/>
                <c:pt idx="0">
                  <c:v>Definitely not</c:v>
                </c:pt>
                <c:pt idx="1">
                  <c:v>Sometimes</c:v>
                </c:pt>
                <c:pt idx="2">
                  <c:v>Most of the time</c:v>
                </c:pt>
                <c:pt idx="3">
                  <c:v>Yes, always</c:v>
                </c:pt>
                <c:pt idx="4">
                  <c:v>I don’t know</c:v>
                </c:pt>
              </c:strCache>
            </c:strRef>
          </c:cat>
          <c:val>
            <c:numRef>
              <c:f>'S30d likelihood'!$DO$280:$DO$284</c:f>
              <c:numCache>
                <c:formatCode>0%</c:formatCode>
                <c:ptCount val="5"/>
                <c:pt idx="0">
                  <c:v>0</c:v>
                </c:pt>
                <c:pt idx="1">
                  <c:v>0</c:v>
                </c:pt>
                <c:pt idx="2">
                  <c:v>0</c:v>
                </c:pt>
                <c:pt idx="3">
                  <c:v>0.16666666666666666</c:v>
                </c:pt>
                <c:pt idx="4">
                  <c:v>0</c:v>
                </c:pt>
              </c:numCache>
            </c:numRef>
          </c:val>
        </c:ser>
        <c:ser>
          <c:idx val="4"/>
          <c:order val="4"/>
          <c:tx>
            <c:strRef>
              <c:f>'S30d likelihood'!$DP$279</c:f>
              <c:strCache>
                <c:ptCount val="1"/>
                <c:pt idx="0">
                  <c:v>Policy makers and academia</c:v>
                </c:pt>
              </c:strCache>
            </c:strRef>
          </c:tx>
          <c:invertIfNegative val="0"/>
          <c:cat>
            <c:strRef>
              <c:f>'S30d likelihood'!$DK$280:$DK$284</c:f>
              <c:strCache>
                <c:ptCount val="5"/>
                <c:pt idx="0">
                  <c:v>Definitely not</c:v>
                </c:pt>
                <c:pt idx="1">
                  <c:v>Sometimes</c:v>
                </c:pt>
                <c:pt idx="2">
                  <c:v>Most of the time</c:v>
                </c:pt>
                <c:pt idx="3">
                  <c:v>Yes, always</c:v>
                </c:pt>
                <c:pt idx="4">
                  <c:v>I don’t know</c:v>
                </c:pt>
              </c:strCache>
            </c:strRef>
          </c:cat>
          <c:val>
            <c:numRef>
              <c:f>'S30d likelihood'!$DP$280:$DP$284</c:f>
              <c:numCache>
                <c:formatCode>0%</c:formatCode>
                <c:ptCount val="5"/>
                <c:pt idx="0">
                  <c:v>0</c:v>
                </c:pt>
                <c:pt idx="1">
                  <c:v>0</c:v>
                </c:pt>
                <c:pt idx="2">
                  <c:v>8.3333333333333329E-2</c:v>
                </c:pt>
                <c:pt idx="3">
                  <c:v>8.3333333333333329E-2</c:v>
                </c:pt>
                <c:pt idx="4">
                  <c:v>0</c:v>
                </c:pt>
              </c:numCache>
            </c:numRef>
          </c:val>
        </c:ser>
        <c:ser>
          <c:idx val="5"/>
          <c:order val="5"/>
          <c:tx>
            <c:strRef>
              <c:f>'S30d likelihood'!$DQ$279</c:f>
              <c:strCache>
                <c:ptCount val="1"/>
                <c:pt idx="0">
                  <c:v>NGOs</c:v>
                </c:pt>
              </c:strCache>
            </c:strRef>
          </c:tx>
          <c:invertIfNegative val="0"/>
          <c:cat>
            <c:strRef>
              <c:f>'S30d likelihood'!$DK$280:$DK$284</c:f>
              <c:strCache>
                <c:ptCount val="5"/>
                <c:pt idx="0">
                  <c:v>Definitely not</c:v>
                </c:pt>
                <c:pt idx="1">
                  <c:v>Sometimes</c:v>
                </c:pt>
                <c:pt idx="2">
                  <c:v>Most of the time</c:v>
                </c:pt>
                <c:pt idx="3">
                  <c:v>Yes, always</c:v>
                </c:pt>
                <c:pt idx="4">
                  <c:v>I don’t know</c:v>
                </c:pt>
              </c:strCache>
            </c:strRef>
          </c:cat>
          <c:val>
            <c:numRef>
              <c:f>'S30d likelihood'!$DQ$280:$DQ$284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55"/>
        <c:overlap val="100"/>
        <c:axId val="189444864"/>
        <c:axId val="189446400"/>
      </c:barChart>
      <c:catAx>
        <c:axId val="18944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9446400"/>
        <c:crosses val="autoZero"/>
        <c:auto val="1"/>
        <c:lblAlgn val="ctr"/>
        <c:lblOffset val="100"/>
        <c:noMultiLvlLbl val="0"/>
      </c:catAx>
      <c:valAx>
        <c:axId val="189446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9444864"/>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likelihood'!$BB$180:$BB$186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likelihood'!$BD$180:$BD$186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9535488"/>
        <c:axId val="139537024"/>
      </c:barChart>
      <c:catAx>
        <c:axId val="13953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9537024"/>
        <c:crosses val="autoZero"/>
        <c:auto val="1"/>
        <c:lblAlgn val="ctr"/>
        <c:lblOffset val="100"/>
        <c:tickLblSkip val="1"/>
        <c:noMultiLvlLbl val="0"/>
      </c:catAx>
      <c:valAx>
        <c:axId val="1395370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535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likelihood'!$BB$207:$BB$213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likelihood'!$BD$207:$BD$213</c:f>
              <c:numCache>
                <c:formatCode>0%</c:formatCode>
                <c:ptCount val="7"/>
                <c:pt idx="0">
                  <c:v>0</c:v>
                </c:pt>
                <c:pt idx="1">
                  <c:v>0</c:v>
                </c:pt>
                <c:pt idx="2">
                  <c:v>0</c:v>
                </c:pt>
                <c:pt idx="3">
                  <c:v>1</c:v>
                </c:pt>
                <c:pt idx="4">
                  <c:v>0</c:v>
                </c:pt>
                <c:pt idx="5">
                  <c:v>0</c:v>
                </c:pt>
                <c:pt idx="6">
                  <c:v>0</c:v>
                </c:pt>
              </c:numCache>
            </c:numRef>
          </c:val>
        </c:ser>
        <c:dLbls>
          <c:showLegendKey val="0"/>
          <c:showVal val="0"/>
          <c:showCatName val="0"/>
          <c:showSerName val="0"/>
          <c:showPercent val="0"/>
          <c:showBubbleSize val="0"/>
        </c:dLbls>
        <c:gapWidth val="219"/>
        <c:overlap val="-27"/>
        <c:axId val="139549312"/>
        <c:axId val="139579776"/>
      </c:barChart>
      <c:catAx>
        <c:axId val="139549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9579776"/>
        <c:crosses val="autoZero"/>
        <c:auto val="1"/>
        <c:lblAlgn val="ctr"/>
        <c:lblOffset val="100"/>
        <c:tickLblSkip val="1"/>
        <c:noMultiLvlLbl val="0"/>
      </c:catAx>
      <c:valAx>
        <c:axId val="1395797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9549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likelihood'!$BB$234:$BB$240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likelihood'!$BD$234:$BD$240</c:f>
              <c:numCache>
                <c:formatCode>0%</c:formatCode>
                <c:ptCount val="7"/>
                <c:pt idx="0">
                  <c:v>0.5</c:v>
                </c:pt>
                <c:pt idx="1">
                  <c:v>0.1875</c:v>
                </c:pt>
                <c:pt idx="2">
                  <c:v>0</c:v>
                </c:pt>
                <c:pt idx="3">
                  <c:v>0.25</c:v>
                </c:pt>
                <c:pt idx="4">
                  <c:v>0</c:v>
                </c:pt>
                <c:pt idx="5">
                  <c:v>0</c:v>
                </c:pt>
                <c:pt idx="6">
                  <c:v>6.25E-2</c:v>
                </c:pt>
              </c:numCache>
            </c:numRef>
          </c:val>
        </c:ser>
        <c:dLbls>
          <c:showLegendKey val="0"/>
          <c:showVal val="0"/>
          <c:showCatName val="0"/>
          <c:showSerName val="0"/>
          <c:showPercent val="0"/>
          <c:showBubbleSize val="0"/>
        </c:dLbls>
        <c:gapWidth val="219"/>
        <c:overlap val="-27"/>
        <c:axId val="139681792"/>
        <c:axId val="139683328"/>
      </c:barChart>
      <c:catAx>
        <c:axId val="13968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9683328"/>
        <c:crosses val="autoZero"/>
        <c:auto val="1"/>
        <c:lblAlgn val="ctr"/>
        <c:lblOffset val="100"/>
        <c:tickLblSkip val="1"/>
        <c:noMultiLvlLbl val="0"/>
      </c:catAx>
      <c:valAx>
        <c:axId val="1396833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681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likelihood'!$AX$247</c:f>
              <c:strCache>
                <c:ptCount val="1"/>
                <c:pt idx="0">
                  <c:v>Forest owners/managers</c:v>
                </c:pt>
              </c:strCache>
            </c:strRef>
          </c:tx>
          <c:spPr>
            <a:solidFill>
              <a:schemeClr val="accent1"/>
            </a:solidFill>
            <a:ln>
              <a:noFill/>
            </a:ln>
            <a:effectLst/>
          </c:spPr>
          <c:invertIfNegative val="0"/>
          <c:cat>
            <c:strRef>
              <c:f>'S26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likelihood'!$AX$248:$AX$254</c:f>
              <c:numCache>
                <c:formatCode>General</c:formatCode>
                <c:ptCount val="7"/>
                <c:pt idx="0">
                  <c:v>3</c:v>
                </c:pt>
                <c:pt idx="1">
                  <c:v>1</c:v>
                </c:pt>
                <c:pt idx="2">
                  <c:v>0</c:v>
                </c:pt>
                <c:pt idx="3">
                  <c:v>0</c:v>
                </c:pt>
                <c:pt idx="4">
                  <c:v>0</c:v>
                </c:pt>
                <c:pt idx="5">
                  <c:v>0</c:v>
                </c:pt>
                <c:pt idx="6">
                  <c:v>0</c:v>
                </c:pt>
              </c:numCache>
            </c:numRef>
          </c:val>
        </c:ser>
        <c:ser>
          <c:idx val="1"/>
          <c:order val="1"/>
          <c:tx>
            <c:strRef>
              <c:f>'S26 likelihood'!$AY$247</c:f>
              <c:strCache>
                <c:ptCount val="1"/>
                <c:pt idx="0">
                  <c:v>Pellet producers</c:v>
                </c:pt>
              </c:strCache>
            </c:strRef>
          </c:tx>
          <c:spPr>
            <a:solidFill>
              <a:schemeClr val="accent2"/>
            </a:solidFill>
            <a:ln>
              <a:noFill/>
            </a:ln>
            <a:effectLst/>
          </c:spPr>
          <c:invertIfNegative val="0"/>
          <c:cat>
            <c:strRef>
              <c:f>'S26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likelihood'!$AY$248:$AY$254</c:f>
              <c:numCache>
                <c:formatCode>0</c:formatCode>
                <c:ptCount val="7"/>
                <c:pt idx="0">
                  <c:v>4</c:v>
                </c:pt>
                <c:pt idx="1">
                  <c:v>0</c:v>
                </c:pt>
                <c:pt idx="2">
                  <c:v>0</c:v>
                </c:pt>
                <c:pt idx="3">
                  <c:v>0</c:v>
                </c:pt>
                <c:pt idx="4">
                  <c:v>0</c:v>
                </c:pt>
                <c:pt idx="5">
                  <c:v>0</c:v>
                </c:pt>
                <c:pt idx="6">
                  <c:v>0</c:v>
                </c:pt>
              </c:numCache>
            </c:numRef>
          </c:val>
        </c:ser>
        <c:ser>
          <c:idx val="2"/>
          <c:order val="2"/>
          <c:tx>
            <c:strRef>
              <c:f>'S26 likelihood'!$AZ$247</c:f>
              <c:strCache>
                <c:ptCount val="1"/>
                <c:pt idx="0">
                  <c:v>Pellet users</c:v>
                </c:pt>
              </c:strCache>
            </c:strRef>
          </c:tx>
          <c:spPr>
            <a:solidFill>
              <a:schemeClr val="accent3"/>
            </a:solidFill>
            <a:ln>
              <a:noFill/>
            </a:ln>
            <a:effectLst/>
          </c:spPr>
          <c:invertIfNegative val="0"/>
          <c:cat>
            <c:strRef>
              <c:f>'S26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likelihood'!$AZ$248:$AZ$254</c:f>
              <c:numCache>
                <c:formatCode>General</c:formatCode>
                <c:ptCount val="7"/>
                <c:pt idx="0">
                  <c:v>1</c:v>
                </c:pt>
                <c:pt idx="1">
                  <c:v>1</c:v>
                </c:pt>
                <c:pt idx="2">
                  <c:v>0</c:v>
                </c:pt>
                <c:pt idx="3">
                  <c:v>0</c:v>
                </c:pt>
                <c:pt idx="4">
                  <c:v>0</c:v>
                </c:pt>
                <c:pt idx="5">
                  <c:v>0</c:v>
                </c:pt>
                <c:pt idx="6">
                  <c:v>0</c:v>
                </c:pt>
              </c:numCache>
            </c:numRef>
          </c:val>
        </c:ser>
        <c:ser>
          <c:idx val="3"/>
          <c:order val="3"/>
          <c:tx>
            <c:strRef>
              <c:f>'S26 likelihood'!$BA$247</c:f>
              <c:strCache>
                <c:ptCount val="1"/>
                <c:pt idx="0">
                  <c:v>Non-bioenergy wood users</c:v>
                </c:pt>
              </c:strCache>
            </c:strRef>
          </c:tx>
          <c:spPr>
            <a:solidFill>
              <a:schemeClr val="accent4"/>
            </a:solidFill>
            <a:ln>
              <a:noFill/>
            </a:ln>
            <a:effectLst/>
          </c:spPr>
          <c:invertIfNegative val="0"/>
          <c:cat>
            <c:strRef>
              <c:f>'S26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likelihood'!$BA$248:$BA$254</c:f>
              <c:numCache>
                <c:formatCode>General</c:formatCode>
                <c:ptCount val="7"/>
                <c:pt idx="0">
                  <c:v>0</c:v>
                </c:pt>
                <c:pt idx="1">
                  <c:v>1</c:v>
                </c:pt>
                <c:pt idx="2">
                  <c:v>0</c:v>
                </c:pt>
                <c:pt idx="3">
                  <c:v>0</c:v>
                </c:pt>
                <c:pt idx="4">
                  <c:v>0</c:v>
                </c:pt>
                <c:pt idx="5">
                  <c:v>0</c:v>
                </c:pt>
                <c:pt idx="6">
                  <c:v>1</c:v>
                </c:pt>
              </c:numCache>
            </c:numRef>
          </c:val>
        </c:ser>
        <c:ser>
          <c:idx val="4"/>
          <c:order val="4"/>
          <c:tx>
            <c:strRef>
              <c:f>'S26 likelihood'!$BB$247</c:f>
              <c:strCache>
                <c:ptCount val="1"/>
                <c:pt idx="0">
                  <c:v>Policy makers and academia</c:v>
                </c:pt>
              </c:strCache>
            </c:strRef>
          </c:tx>
          <c:spPr>
            <a:solidFill>
              <a:schemeClr val="accent5"/>
            </a:solidFill>
            <a:ln>
              <a:noFill/>
            </a:ln>
            <a:effectLst/>
          </c:spPr>
          <c:invertIfNegative val="0"/>
          <c:cat>
            <c:strRef>
              <c:f>'S26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likelihood'!$BB$248:$BB$254</c:f>
              <c:numCache>
                <c:formatCode>0</c:formatCode>
                <c:ptCount val="7"/>
                <c:pt idx="0">
                  <c:v>0</c:v>
                </c:pt>
                <c:pt idx="1">
                  <c:v>0</c:v>
                </c:pt>
                <c:pt idx="2">
                  <c:v>0</c:v>
                </c:pt>
                <c:pt idx="3">
                  <c:v>0</c:v>
                </c:pt>
                <c:pt idx="4">
                  <c:v>0</c:v>
                </c:pt>
                <c:pt idx="5">
                  <c:v>0</c:v>
                </c:pt>
                <c:pt idx="6">
                  <c:v>0</c:v>
                </c:pt>
              </c:numCache>
            </c:numRef>
          </c:val>
        </c:ser>
        <c:ser>
          <c:idx val="5"/>
          <c:order val="5"/>
          <c:tx>
            <c:strRef>
              <c:f>'S26 likelihood'!$BC$247</c:f>
              <c:strCache>
                <c:ptCount val="1"/>
                <c:pt idx="0">
                  <c:v>NGOs</c:v>
                </c:pt>
              </c:strCache>
            </c:strRef>
          </c:tx>
          <c:spPr>
            <a:solidFill>
              <a:schemeClr val="accent6"/>
            </a:solidFill>
            <a:ln>
              <a:noFill/>
            </a:ln>
            <a:effectLst/>
          </c:spPr>
          <c:invertIfNegative val="0"/>
          <c:cat>
            <c:strRef>
              <c:f>'S26 likelihood'!$AW$248:$AW$254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likelihood'!$BC$248:$BC$254</c:f>
              <c:numCache>
                <c:formatCode>General</c:formatCode>
                <c:ptCount val="7"/>
                <c:pt idx="0">
                  <c:v>0</c:v>
                </c:pt>
                <c:pt idx="1">
                  <c:v>0</c:v>
                </c:pt>
                <c:pt idx="2">
                  <c:v>0</c:v>
                </c:pt>
                <c:pt idx="3">
                  <c:v>4</c:v>
                </c:pt>
                <c:pt idx="4">
                  <c:v>0</c:v>
                </c:pt>
                <c:pt idx="5">
                  <c:v>0</c:v>
                </c:pt>
                <c:pt idx="6">
                  <c:v>0</c:v>
                </c:pt>
              </c:numCache>
            </c:numRef>
          </c:val>
        </c:ser>
        <c:dLbls>
          <c:showLegendKey val="0"/>
          <c:showVal val="0"/>
          <c:showCatName val="0"/>
          <c:showSerName val="0"/>
          <c:showPercent val="0"/>
          <c:showBubbleSize val="0"/>
        </c:dLbls>
        <c:gapWidth val="150"/>
        <c:overlap val="100"/>
        <c:axId val="139715712"/>
        <c:axId val="139717248"/>
      </c:barChart>
      <c:catAx>
        <c:axId val="139715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9717248"/>
        <c:crosses val="autoZero"/>
        <c:auto val="1"/>
        <c:lblAlgn val="ctr"/>
        <c:lblOffset val="100"/>
        <c:noMultiLvlLbl val="0"/>
      </c:catAx>
      <c:valAx>
        <c:axId val="139717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715712"/>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285969007374033E-2"/>
          <c:y val="0.21013864133923571"/>
          <c:w val="0.88492496601529258"/>
          <c:h val="0.55709476178167172"/>
        </c:manualLayout>
      </c:layout>
      <c:barChart>
        <c:barDir val="col"/>
        <c:grouping val="clustered"/>
        <c:varyColors val="0"/>
        <c:ser>
          <c:idx val="0"/>
          <c:order val="0"/>
          <c:spPr>
            <a:solidFill>
              <a:schemeClr val="accent1"/>
            </a:solidFill>
            <a:ln>
              <a:noFill/>
            </a:ln>
            <a:effectLst/>
          </c:spPr>
          <c:invertIfNegative val="0"/>
          <c:cat>
            <c:strRef>
              <c:f>'S26 likelihood'!$G$234:$G$238</c:f>
              <c:strCache>
                <c:ptCount val="5"/>
                <c:pt idx="0">
                  <c:v>Definitely not</c:v>
                </c:pt>
                <c:pt idx="1">
                  <c:v>Sometimes</c:v>
                </c:pt>
                <c:pt idx="2">
                  <c:v>Most of the time</c:v>
                </c:pt>
                <c:pt idx="3">
                  <c:v>Yes, always</c:v>
                </c:pt>
                <c:pt idx="4">
                  <c:v>I don’t know</c:v>
                </c:pt>
              </c:strCache>
            </c:strRef>
          </c:cat>
          <c:val>
            <c:numRef>
              <c:f>'S26 likelihood'!$I$234:$I$238</c:f>
              <c:numCache>
                <c:formatCode>0%</c:formatCode>
                <c:ptCount val="5"/>
                <c:pt idx="0">
                  <c:v>0.58333333333333337</c:v>
                </c:pt>
                <c:pt idx="1">
                  <c:v>0.41666666666666669</c:v>
                </c:pt>
                <c:pt idx="2">
                  <c:v>0</c:v>
                </c:pt>
                <c:pt idx="3">
                  <c:v>0</c:v>
                </c:pt>
                <c:pt idx="4">
                  <c:v>0</c:v>
                </c:pt>
              </c:numCache>
            </c:numRef>
          </c:val>
        </c:ser>
        <c:dLbls>
          <c:showLegendKey val="0"/>
          <c:showVal val="0"/>
          <c:showCatName val="0"/>
          <c:showSerName val="0"/>
          <c:showPercent val="0"/>
          <c:showBubbleSize val="0"/>
        </c:dLbls>
        <c:gapWidth val="219"/>
        <c:overlap val="-27"/>
        <c:axId val="137788416"/>
        <c:axId val="137810688"/>
      </c:barChart>
      <c:catAx>
        <c:axId val="1377884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7810688"/>
        <c:crosses val="autoZero"/>
        <c:auto val="1"/>
        <c:lblAlgn val="ctr"/>
        <c:lblOffset val="100"/>
        <c:tickLblSkip val="1"/>
        <c:noMultiLvlLbl val="0"/>
      </c:catAx>
      <c:valAx>
        <c:axId val="1378106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788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likelihood'!$AX$279</c:f>
              <c:strCache>
                <c:ptCount val="1"/>
                <c:pt idx="0">
                  <c:v>Forest owners/managers</c:v>
                </c:pt>
              </c:strCache>
            </c:strRef>
          </c:tx>
          <c:invertIfNegative val="0"/>
          <c:cat>
            <c:strRef>
              <c:f>'S26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likelihood'!$AX$280:$AX$286</c:f>
              <c:numCache>
                <c:formatCode>0%</c:formatCode>
                <c:ptCount val="7"/>
                <c:pt idx="0">
                  <c:v>0.125</c:v>
                </c:pt>
                <c:pt idx="1">
                  <c:v>4.1666666666666664E-2</c:v>
                </c:pt>
                <c:pt idx="2">
                  <c:v>0</c:v>
                </c:pt>
                <c:pt idx="3">
                  <c:v>0</c:v>
                </c:pt>
                <c:pt idx="4">
                  <c:v>0</c:v>
                </c:pt>
                <c:pt idx="5">
                  <c:v>0</c:v>
                </c:pt>
                <c:pt idx="6">
                  <c:v>0</c:v>
                </c:pt>
              </c:numCache>
            </c:numRef>
          </c:val>
        </c:ser>
        <c:ser>
          <c:idx val="1"/>
          <c:order val="1"/>
          <c:tx>
            <c:strRef>
              <c:f>'S26 likelihood'!$AY$279</c:f>
              <c:strCache>
                <c:ptCount val="1"/>
                <c:pt idx="0">
                  <c:v>Pellet producers</c:v>
                </c:pt>
              </c:strCache>
            </c:strRef>
          </c:tx>
          <c:invertIfNegative val="0"/>
          <c:cat>
            <c:strRef>
              <c:f>'S26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likelihood'!$AY$280:$AY$286</c:f>
              <c:numCache>
                <c:formatCode>0%</c:formatCode>
                <c:ptCount val="7"/>
                <c:pt idx="0">
                  <c:v>0.16666666666666666</c:v>
                </c:pt>
                <c:pt idx="1">
                  <c:v>0</c:v>
                </c:pt>
                <c:pt idx="2">
                  <c:v>0</c:v>
                </c:pt>
                <c:pt idx="3">
                  <c:v>0</c:v>
                </c:pt>
                <c:pt idx="4">
                  <c:v>0</c:v>
                </c:pt>
                <c:pt idx="5">
                  <c:v>0</c:v>
                </c:pt>
                <c:pt idx="6">
                  <c:v>0</c:v>
                </c:pt>
              </c:numCache>
            </c:numRef>
          </c:val>
        </c:ser>
        <c:ser>
          <c:idx val="2"/>
          <c:order val="2"/>
          <c:tx>
            <c:strRef>
              <c:f>'S26 likelihood'!$AZ$279</c:f>
              <c:strCache>
                <c:ptCount val="1"/>
                <c:pt idx="0">
                  <c:v>Pellet users</c:v>
                </c:pt>
              </c:strCache>
            </c:strRef>
          </c:tx>
          <c:invertIfNegative val="0"/>
          <c:cat>
            <c:strRef>
              <c:f>'S26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likelihood'!$AZ$280:$AZ$286</c:f>
              <c:numCache>
                <c:formatCode>0%</c:formatCode>
                <c:ptCount val="7"/>
                <c:pt idx="0">
                  <c:v>8.3333333333333329E-2</c:v>
                </c:pt>
                <c:pt idx="1">
                  <c:v>8.3333333333333329E-2</c:v>
                </c:pt>
                <c:pt idx="2">
                  <c:v>0</c:v>
                </c:pt>
                <c:pt idx="3">
                  <c:v>0</c:v>
                </c:pt>
                <c:pt idx="4">
                  <c:v>0</c:v>
                </c:pt>
                <c:pt idx="5">
                  <c:v>0</c:v>
                </c:pt>
                <c:pt idx="6">
                  <c:v>0</c:v>
                </c:pt>
              </c:numCache>
            </c:numRef>
          </c:val>
        </c:ser>
        <c:ser>
          <c:idx val="3"/>
          <c:order val="3"/>
          <c:tx>
            <c:strRef>
              <c:f>'S26 likelihood'!$BA$279</c:f>
              <c:strCache>
                <c:ptCount val="1"/>
                <c:pt idx="0">
                  <c:v>Non-bioenergy wood users</c:v>
                </c:pt>
              </c:strCache>
            </c:strRef>
          </c:tx>
          <c:invertIfNegative val="0"/>
          <c:cat>
            <c:strRef>
              <c:f>'S26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likelihood'!$BA$280:$BA$286</c:f>
              <c:numCache>
                <c:formatCode>0%</c:formatCode>
                <c:ptCount val="7"/>
                <c:pt idx="0">
                  <c:v>0</c:v>
                </c:pt>
                <c:pt idx="1">
                  <c:v>8.3333333333333329E-2</c:v>
                </c:pt>
                <c:pt idx="2">
                  <c:v>0</c:v>
                </c:pt>
                <c:pt idx="3">
                  <c:v>0</c:v>
                </c:pt>
                <c:pt idx="4">
                  <c:v>0</c:v>
                </c:pt>
                <c:pt idx="5">
                  <c:v>0</c:v>
                </c:pt>
                <c:pt idx="6">
                  <c:v>8.3333333333333329E-2</c:v>
                </c:pt>
              </c:numCache>
            </c:numRef>
          </c:val>
        </c:ser>
        <c:ser>
          <c:idx val="4"/>
          <c:order val="4"/>
          <c:tx>
            <c:strRef>
              <c:f>'S26 likelihood'!$BB$279</c:f>
              <c:strCache>
                <c:ptCount val="1"/>
                <c:pt idx="0">
                  <c:v>Policy makers and academia</c:v>
                </c:pt>
              </c:strCache>
            </c:strRef>
          </c:tx>
          <c:invertIfNegative val="0"/>
          <c:cat>
            <c:strRef>
              <c:f>'S26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likelihood'!$BB$280:$BB$286</c:f>
              <c:numCache>
                <c:formatCode>0%</c:formatCode>
                <c:ptCount val="7"/>
                <c:pt idx="0">
                  <c:v>0</c:v>
                </c:pt>
                <c:pt idx="1">
                  <c:v>0</c:v>
                </c:pt>
                <c:pt idx="2">
                  <c:v>0</c:v>
                </c:pt>
                <c:pt idx="3">
                  <c:v>0</c:v>
                </c:pt>
                <c:pt idx="4">
                  <c:v>0</c:v>
                </c:pt>
                <c:pt idx="5">
                  <c:v>0</c:v>
                </c:pt>
                <c:pt idx="6">
                  <c:v>0</c:v>
                </c:pt>
              </c:numCache>
            </c:numRef>
          </c:val>
        </c:ser>
        <c:ser>
          <c:idx val="5"/>
          <c:order val="5"/>
          <c:tx>
            <c:strRef>
              <c:f>'S26 likelihood'!$BC$279</c:f>
              <c:strCache>
                <c:ptCount val="1"/>
                <c:pt idx="0">
                  <c:v>NGOs</c:v>
                </c:pt>
              </c:strCache>
            </c:strRef>
          </c:tx>
          <c:invertIfNegative val="0"/>
          <c:cat>
            <c:strRef>
              <c:f>'S26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likelihood'!$BC$280:$BC$286</c:f>
              <c:numCache>
                <c:formatCode>0%</c:formatCode>
                <c:ptCount val="7"/>
                <c:pt idx="0">
                  <c:v>0</c:v>
                </c:pt>
                <c:pt idx="1">
                  <c:v>0</c:v>
                </c:pt>
                <c:pt idx="2">
                  <c:v>0</c:v>
                </c:pt>
                <c:pt idx="3">
                  <c:v>0.16666666666666666</c:v>
                </c:pt>
                <c:pt idx="4">
                  <c:v>0</c:v>
                </c:pt>
                <c:pt idx="5">
                  <c:v>0</c:v>
                </c:pt>
                <c:pt idx="6">
                  <c:v>0</c:v>
                </c:pt>
              </c:numCache>
            </c:numRef>
          </c:val>
        </c:ser>
        <c:dLbls>
          <c:showLegendKey val="0"/>
          <c:showVal val="0"/>
          <c:showCatName val="0"/>
          <c:showSerName val="0"/>
          <c:showPercent val="0"/>
          <c:showBubbleSize val="0"/>
        </c:dLbls>
        <c:gapWidth val="150"/>
        <c:overlap val="100"/>
        <c:axId val="140110080"/>
        <c:axId val="140115968"/>
      </c:barChart>
      <c:catAx>
        <c:axId val="140110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0115968"/>
        <c:crosses val="autoZero"/>
        <c:auto val="1"/>
        <c:lblAlgn val="ctr"/>
        <c:lblOffset val="100"/>
        <c:noMultiLvlLbl val="0"/>
      </c:catAx>
      <c:valAx>
        <c:axId val="140115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1100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likelihood'!$AX$279</c:f>
              <c:strCache>
                <c:ptCount val="1"/>
                <c:pt idx="0">
                  <c:v>Forest owners/managers</c:v>
                </c:pt>
              </c:strCache>
            </c:strRef>
          </c:tx>
          <c:invertIfNegative val="0"/>
          <c:cat>
            <c:strRef>
              <c:f>'S26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likelihood'!$AX$280:$AX$286</c:f>
              <c:numCache>
                <c:formatCode>0%</c:formatCode>
                <c:ptCount val="7"/>
                <c:pt idx="0">
                  <c:v>0.125</c:v>
                </c:pt>
                <c:pt idx="1">
                  <c:v>4.1666666666666664E-2</c:v>
                </c:pt>
                <c:pt idx="2">
                  <c:v>0</c:v>
                </c:pt>
                <c:pt idx="3">
                  <c:v>0</c:v>
                </c:pt>
                <c:pt idx="4">
                  <c:v>0</c:v>
                </c:pt>
                <c:pt idx="5">
                  <c:v>0</c:v>
                </c:pt>
                <c:pt idx="6">
                  <c:v>0</c:v>
                </c:pt>
              </c:numCache>
            </c:numRef>
          </c:val>
        </c:ser>
        <c:ser>
          <c:idx val="1"/>
          <c:order val="1"/>
          <c:tx>
            <c:strRef>
              <c:f>'S26 likelihood'!$AY$279</c:f>
              <c:strCache>
                <c:ptCount val="1"/>
                <c:pt idx="0">
                  <c:v>Pellet producers</c:v>
                </c:pt>
              </c:strCache>
            </c:strRef>
          </c:tx>
          <c:invertIfNegative val="0"/>
          <c:cat>
            <c:strRef>
              <c:f>'S26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likelihood'!$AY$280:$AY$286</c:f>
              <c:numCache>
                <c:formatCode>0%</c:formatCode>
                <c:ptCount val="7"/>
                <c:pt idx="0">
                  <c:v>0.16666666666666666</c:v>
                </c:pt>
                <c:pt idx="1">
                  <c:v>0</c:v>
                </c:pt>
                <c:pt idx="2">
                  <c:v>0</c:v>
                </c:pt>
                <c:pt idx="3">
                  <c:v>0</c:v>
                </c:pt>
                <c:pt idx="4">
                  <c:v>0</c:v>
                </c:pt>
                <c:pt idx="5">
                  <c:v>0</c:v>
                </c:pt>
                <c:pt idx="6">
                  <c:v>0</c:v>
                </c:pt>
              </c:numCache>
            </c:numRef>
          </c:val>
        </c:ser>
        <c:ser>
          <c:idx val="2"/>
          <c:order val="2"/>
          <c:tx>
            <c:strRef>
              <c:f>'S26 likelihood'!$AZ$279</c:f>
              <c:strCache>
                <c:ptCount val="1"/>
                <c:pt idx="0">
                  <c:v>Pellet users</c:v>
                </c:pt>
              </c:strCache>
            </c:strRef>
          </c:tx>
          <c:invertIfNegative val="0"/>
          <c:cat>
            <c:strRef>
              <c:f>'S26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likelihood'!$AZ$280:$AZ$286</c:f>
              <c:numCache>
                <c:formatCode>0%</c:formatCode>
                <c:ptCount val="7"/>
                <c:pt idx="0">
                  <c:v>8.3333333333333329E-2</c:v>
                </c:pt>
                <c:pt idx="1">
                  <c:v>8.3333333333333329E-2</c:v>
                </c:pt>
                <c:pt idx="2">
                  <c:v>0</c:v>
                </c:pt>
                <c:pt idx="3">
                  <c:v>0</c:v>
                </c:pt>
                <c:pt idx="4">
                  <c:v>0</c:v>
                </c:pt>
                <c:pt idx="5">
                  <c:v>0</c:v>
                </c:pt>
                <c:pt idx="6">
                  <c:v>0</c:v>
                </c:pt>
              </c:numCache>
            </c:numRef>
          </c:val>
        </c:ser>
        <c:ser>
          <c:idx val="3"/>
          <c:order val="3"/>
          <c:tx>
            <c:strRef>
              <c:f>'S26 likelihood'!$BA$279</c:f>
              <c:strCache>
                <c:ptCount val="1"/>
                <c:pt idx="0">
                  <c:v>Non-bioenergy wood users</c:v>
                </c:pt>
              </c:strCache>
            </c:strRef>
          </c:tx>
          <c:invertIfNegative val="0"/>
          <c:cat>
            <c:strRef>
              <c:f>'S26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likelihood'!$BA$280:$BA$286</c:f>
              <c:numCache>
                <c:formatCode>0%</c:formatCode>
                <c:ptCount val="7"/>
                <c:pt idx="0">
                  <c:v>0</c:v>
                </c:pt>
                <c:pt idx="1">
                  <c:v>8.3333333333333329E-2</c:v>
                </c:pt>
                <c:pt idx="2">
                  <c:v>0</c:v>
                </c:pt>
                <c:pt idx="3">
                  <c:v>0</c:v>
                </c:pt>
                <c:pt idx="4">
                  <c:v>0</c:v>
                </c:pt>
                <c:pt idx="5">
                  <c:v>0</c:v>
                </c:pt>
                <c:pt idx="6">
                  <c:v>8.3333333333333329E-2</c:v>
                </c:pt>
              </c:numCache>
            </c:numRef>
          </c:val>
        </c:ser>
        <c:ser>
          <c:idx val="4"/>
          <c:order val="4"/>
          <c:tx>
            <c:strRef>
              <c:f>'S26 likelihood'!$BB$279</c:f>
              <c:strCache>
                <c:ptCount val="1"/>
                <c:pt idx="0">
                  <c:v>Policy makers and academia</c:v>
                </c:pt>
              </c:strCache>
            </c:strRef>
          </c:tx>
          <c:invertIfNegative val="0"/>
          <c:cat>
            <c:strRef>
              <c:f>'S26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likelihood'!$BB$280:$BB$286</c:f>
              <c:numCache>
                <c:formatCode>0%</c:formatCode>
                <c:ptCount val="7"/>
                <c:pt idx="0">
                  <c:v>0</c:v>
                </c:pt>
                <c:pt idx="1">
                  <c:v>0</c:v>
                </c:pt>
                <c:pt idx="2">
                  <c:v>0</c:v>
                </c:pt>
                <c:pt idx="3">
                  <c:v>0</c:v>
                </c:pt>
                <c:pt idx="4">
                  <c:v>0</c:v>
                </c:pt>
                <c:pt idx="5">
                  <c:v>0</c:v>
                </c:pt>
                <c:pt idx="6">
                  <c:v>0</c:v>
                </c:pt>
              </c:numCache>
            </c:numRef>
          </c:val>
        </c:ser>
        <c:ser>
          <c:idx val="5"/>
          <c:order val="5"/>
          <c:tx>
            <c:strRef>
              <c:f>'S26 likelihood'!$BC$279</c:f>
              <c:strCache>
                <c:ptCount val="1"/>
                <c:pt idx="0">
                  <c:v>NGOs</c:v>
                </c:pt>
              </c:strCache>
            </c:strRef>
          </c:tx>
          <c:invertIfNegative val="0"/>
          <c:cat>
            <c:strRef>
              <c:f>'S26 likelihood'!$AW$280:$AW$286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likelihood'!$BC$280:$BC$286</c:f>
              <c:numCache>
                <c:formatCode>0%</c:formatCode>
                <c:ptCount val="7"/>
                <c:pt idx="0">
                  <c:v>0</c:v>
                </c:pt>
                <c:pt idx="1">
                  <c:v>0</c:v>
                </c:pt>
                <c:pt idx="2">
                  <c:v>0</c:v>
                </c:pt>
                <c:pt idx="3">
                  <c:v>0.16666666666666666</c:v>
                </c:pt>
                <c:pt idx="4">
                  <c:v>0</c:v>
                </c:pt>
                <c:pt idx="5">
                  <c:v>0</c:v>
                </c:pt>
                <c:pt idx="6">
                  <c:v>0</c:v>
                </c:pt>
              </c:numCache>
            </c:numRef>
          </c:val>
        </c:ser>
        <c:dLbls>
          <c:showLegendKey val="0"/>
          <c:showVal val="0"/>
          <c:showCatName val="0"/>
          <c:showSerName val="0"/>
          <c:showPercent val="0"/>
          <c:showBubbleSize val="0"/>
        </c:dLbls>
        <c:gapWidth val="150"/>
        <c:overlap val="100"/>
        <c:axId val="140152192"/>
        <c:axId val="140158080"/>
      </c:barChart>
      <c:catAx>
        <c:axId val="14015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0158080"/>
        <c:crosses val="autoZero"/>
        <c:auto val="1"/>
        <c:lblAlgn val="ctr"/>
        <c:lblOffset val="100"/>
        <c:noMultiLvlLbl val="0"/>
      </c:catAx>
      <c:valAx>
        <c:axId val="140158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1521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likelihood'!$Z$72:$Z$78</c:f>
              <c:numCache>
                <c:formatCode>0%</c:formatCode>
                <c:ptCount val="7"/>
                <c:pt idx="0">
                  <c:v>0.33333333333333331</c:v>
                </c:pt>
                <c:pt idx="1">
                  <c:v>0.33333333333333331</c:v>
                </c:pt>
                <c:pt idx="2">
                  <c:v>0</c:v>
                </c:pt>
                <c:pt idx="3">
                  <c:v>0.33333333333333331</c:v>
                </c:pt>
                <c:pt idx="4">
                  <c:v>0</c:v>
                </c:pt>
                <c:pt idx="5">
                  <c:v>0</c:v>
                </c:pt>
                <c:pt idx="6">
                  <c:v>0</c:v>
                </c:pt>
              </c:numCache>
            </c:numRef>
          </c:val>
        </c:ser>
        <c:dLbls>
          <c:showLegendKey val="0"/>
          <c:showVal val="0"/>
          <c:showCatName val="0"/>
          <c:showSerName val="0"/>
          <c:showPercent val="0"/>
          <c:showBubbleSize val="0"/>
        </c:dLbls>
        <c:gapWidth val="219"/>
        <c:overlap val="-27"/>
        <c:axId val="140178176"/>
        <c:axId val="140179712"/>
      </c:barChart>
      <c:catAx>
        <c:axId val="140178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0179712"/>
        <c:crosses val="autoZero"/>
        <c:auto val="1"/>
        <c:lblAlgn val="ctr"/>
        <c:lblOffset val="100"/>
        <c:tickLblSkip val="1"/>
        <c:noMultiLvlLbl val="0"/>
      </c:catAx>
      <c:valAx>
        <c:axId val="140179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178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likelihood'!$Z$99:$Z$105</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9831168"/>
        <c:axId val="139832704"/>
      </c:barChart>
      <c:catAx>
        <c:axId val="13983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9832704"/>
        <c:crosses val="autoZero"/>
        <c:auto val="1"/>
        <c:lblAlgn val="ctr"/>
        <c:lblOffset val="100"/>
        <c:tickLblSkip val="1"/>
        <c:noMultiLvlLbl val="0"/>
      </c:catAx>
      <c:valAx>
        <c:axId val="139832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831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likelihood'!$Z$126:$Z$132</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9840512"/>
        <c:axId val="139858688"/>
      </c:barChart>
      <c:catAx>
        <c:axId val="13984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9858688"/>
        <c:crosses val="autoZero"/>
        <c:auto val="1"/>
        <c:lblAlgn val="ctr"/>
        <c:lblOffset val="100"/>
        <c:tickLblSkip val="1"/>
        <c:noMultiLvlLbl val="0"/>
      </c:catAx>
      <c:valAx>
        <c:axId val="1398586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840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likelihood'!$Z$153:$Z$159</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9891072"/>
        <c:axId val="139892608"/>
      </c:barChart>
      <c:catAx>
        <c:axId val="13989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9892608"/>
        <c:crosses val="autoZero"/>
        <c:auto val="1"/>
        <c:lblAlgn val="ctr"/>
        <c:lblOffset val="100"/>
        <c:tickLblSkip val="1"/>
        <c:noMultiLvlLbl val="0"/>
      </c:catAx>
      <c:valAx>
        <c:axId val="1398926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891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likelihood'!$Z$180:$Z$186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9912704"/>
        <c:axId val="139914240"/>
      </c:barChart>
      <c:catAx>
        <c:axId val="139912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9914240"/>
        <c:crosses val="autoZero"/>
        <c:auto val="1"/>
        <c:lblAlgn val="ctr"/>
        <c:lblOffset val="100"/>
        <c:tickLblSkip val="1"/>
        <c:noMultiLvlLbl val="0"/>
      </c:catAx>
      <c:valAx>
        <c:axId val="1399142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912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likelihood'!$Z$207:$Z$213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9962624"/>
        <c:axId val="139964416"/>
      </c:barChart>
      <c:catAx>
        <c:axId val="139962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9964416"/>
        <c:crosses val="autoZero"/>
        <c:auto val="1"/>
        <c:lblAlgn val="ctr"/>
        <c:lblOffset val="100"/>
        <c:tickLblSkip val="1"/>
        <c:noMultiLvlLbl val="0"/>
      </c:catAx>
      <c:valAx>
        <c:axId val="139964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9962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likelihood'!$Z$234:$Z$240</c:f>
              <c:numCache>
                <c:formatCode>0%</c:formatCode>
                <c:ptCount val="7"/>
                <c:pt idx="0">
                  <c:v>0.8</c:v>
                </c:pt>
                <c:pt idx="1">
                  <c:v>0.1</c:v>
                </c:pt>
                <c:pt idx="2">
                  <c:v>0</c:v>
                </c:pt>
                <c:pt idx="3">
                  <c:v>0.1</c:v>
                </c:pt>
                <c:pt idx="4">
                  <c:v>0</c:v>
                </c:pt>
                <c:pt idx="5">
                  <c:v>0</c:v>
                </c:pt>
                <c:pt idx="6">
                  <c:v>0</c:v>
                </c:pt>
              </c:numCache>
            </c:numRef>
          </c:val>
        </c:ser>
        <c:dLbls>
          <c:showLegendKey val="0"/>
          <c:showVal val="0"/>
          <c:showCatName val="0"/>
          <c:showSerName val="0"/>
          <c:showPercent val="0"/>
          <c:showBubbleSize val="0"/>
        </c:dLbls>
        <c:gapWidth val="219"/>
        <c:overlap val="-27"/>
        <c:axId val="139971968"/>
        <c:axId val="140264576"/>
      </c:barChart>
      <c:catAx>
        <c:axId val="13997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0264576"/>
        <c:crosses val="autoZero"/>
        <c:auto val="1"/>
        <c:lblAlgn val="ctr"/>
        <c:lblOffset val="100"/>
        <c:tickLblSkip val="1"/>
        <c:noMultiLvlLbl val="0"/>
      </c:catAx>
      <c:valAx>
        <c:axId val="1402645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971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likelihood'!$T$247</c:f>
              <c:strCache>
                <c:ptCount val="1"/>
                <c:pt idx="0">
                  <c:v>Forest owners/managers</c:v>
                </c:pt>
              </c:strCache>
            </c:strRef>
          </c:tx>
          <c:spPr>
            <a:solidFill>
              <a:schemeClr val="accent1"/>
            </a:solidFill>
            <a:ln>
              <a:noFill/>
            </a:ln>
            <a:effectLst/>
          </c:spPr>
          <c:invertIfNegative val="0"/>
          <c:cat>
            <c:strRef>
              <c:f>'S26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likelihood'!$T$248:$T$254</c:f>
              <c:numCache>
                <c:formatCode>General</c:formatCode>
                <c:ptCount val="7"/>
                <c:pt idx="0">
                  <c:v>1</c:v>
                </c:pt>
                <c:pt idx="1">
                  <c:v>1</c:v>
                </c:pt>
                <c:pt idx="2">
                  <c:v>0</c:v>
                </c:pt>
                <c:pt idx="3">
                  <c:v>1</c:v>
                </c:pt>
                <c:pt idx="4">
                  <c:v>0</c:v>
                </c:pt>
                <c:pt idx="5">
                  <c:v>0</c:v>
                </c:pt>
                <c:pt idx="6">
                  <c:v>0</c:v>
                </c:pt>
              </c:numCache>
            </c:numRef>
          </c:val>
        </c:ser>
        <c:ser>
          <c:idx val="1"/>
          <c:order val="1"/>
          <c:tx>
            <c:strRef>
              <c:f>'S26 likelihood'!$U$247</c:f>
              <c:strCache>
                <c:ptCount val="1"/>
                <c:pt idx="0">
                  <c:v>Pellet producers</c:v>
                </c:pt>
              </c:strCache>
            </c:strRef>
          </c:tx>
          <c:spPr>
            <a:solidFill>
              <a:schemeClr val="accent2"/>
            </a:solidFill>
            <a:ln>
              <a:noFill/>
            </a:ln>
            <a:effectLst/>
          </c:spPr>
          <c:invertIfNegative val="0"/>
          <c:cat>
            <c:strRef>
              <c:f>'S26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likelihood'!$U$248:$U$254</c:f>
              <c:numCache>
                <c:formatCode>0</c:formatCode>
                <c:ptCount val="7"/>
                <c:pt idx="0">
                  <c:v>3</c:v>
                </c:pt>
                <c:pt idx="1">
                  <c:v>0</c:v>
                </c:pt>
                <c:pt idx="2">
                  <c:v>0</c:v>
                </c:pt>
                <c:pt idx="3">
                  <c:v>0</c:v>
                </c:pt>
                <c:pt idx="4">
                  <c:v>0</c:v>
                </c:pt>
                <c:pt idx="5">
                  <c:v>0</c:v>
                </c:pt>
                <c:pt idx="6">
                  <c:v>0</c:v>
                </c:pt>
              </c:numCache>
            </c:numRef>
          </c:val>
        </c:ser>
        <c:ser>
          <c:idx val="2"/>
          <c:order val="2"/>
          <c:tx>
            <c:strRef>
              <c:f>'S26 likelihood'!$V$247</c:f>
              <c:strCache>
                <c:ptCount val="1"/>
                <c:pt idx="0">
                  <c:v>Pellet users</c:v>
                </c:pt>
              </c:strCache>
            </c:strRef>
          </c:tx>
          <c:spPr>
            <a:solidFill>
              <a:schemeClr val="accent3"/>
            </a:solidFill>
            <a:ln>
              <a:noFill/>
            </a:ln>
            <a:effectLst/>
          </c:spPr>
          <c:invertIfNegative val="0"/>
          <c:cat>
            <c:strRef>
              <c:f>'S26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likelihood'!$V$248:$V$254</c:f>
              <c:numCache>
                <c:formatCode>General</c:formatCode>
                <c:ptCount val="7"/>
                <c:pt idx="0">
                  <c:v>2</c:v>
                </c:pt>
                <c:pt idx="1">
                  <c:v>0</c:v>
                </c:pt>
                <c:pt idx="2">
                  <c:v>0</c:v>
                </c:pt>
                <c:pt idx="3">
                  <c:v>0</c:v>
                </c:pt>
                <c:pt idx="4">
                  <c:v>0</c:v>
                </c:pt>
                <c:pt idx="5">
                  <c:v>0</c:v>
                </c:pt>
                <c:pt idx="6">
                  <c:v>0</c:v>
                </c:pt>
              </c:numCache>
            </c:numRef>
          </c:val>
        </c:ser>
        <c:ser>
          <c:idx val="3"/>
          <c:order val="3"/>
          <c:tx>
            <c:strRef>
              <c:f>'S26 likelihood'!$W$247</c:f>
              <c:strCache>
                <c:ptCount val="1"/>
                <c:pt idx="0">
                  <c:v>Non-bioenergy wood users</c:v>
                </c:pt>
              </c:strCache>
            </c:strRef>
          </c:tx>
          <c:spPr>
            <a:solidFill>
              <a:schemeClr val="accent4"/>
            </a:solidFill>
            <a:ln>
              <a:noFill/>
            </a:ln>
            <a:effectLst/>
          </c:spPr>
          <c:invertIfNegative val="0"/>
          <c:cat>
            <c:strRef>
              <c:f>'S26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likelihood'!$W$248:$W$254</c:f>
              <c:numCache>
                <c:formatCode>General</c:formatCode>
                <c:ptCount val="7"/>
                <c:pt idx="0">
                  <c:v>2</c:v>
                </c:pt>
                <c:pt idx="1">
                  <c:v>0</c:v>
                </c:pt>
                <c:pt idx="2">
                  <c:v>0</c:v>
                </c:pt>
                <c:pt idx="3">
                  <c:v>0</c:v>
                </c:pt>
                <c:pt idx="4">
                  <c:v>0</c:v>
                </c:pt>
                <c:pt idx="5">
                  <c:v>0</c:v>
                </c:pt>
                <c:pt idx="6">
                  <c:v>0</c:v>
                </c:pt>
              </c:numCache>
            </c:numRef>
          </c:val>
        </c:ser>
        <c:ser>
          <c:idx val="4"/>
          <c:order val="4"/>
          <c:tx>
            <c:strRef>
              <c:f>'S26 likelihood'!$X$247</c:f>
              <c:strCache>
                <c:ptCount val="1"/>
                <c:pt idx="0">
                  <c:v>Policy makers and academia</c:v>
                </c:pt>
              </c:strCache>
            </c:strRef>
          </c:tx>
          <c:spPr>
            <a:solidFill>
              <a:schemeClr val="accent5"/>
            </a:solidFill>
            <a:ln>
              <a:noFill/>
            </a:ln>
            <a:effectLst/>
          </c:spPr>
          <c:invertIfNegative val="0"/>
          <c:cat>
            <c:strRef>
              <c:f>'S26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likelihood'!$X$248:$X$254</c:f>
              <c:numCache>
                <c:formatCode>0</c:formatCode>
                <c:ptCount val="7"/>
                <c:pt idx="0">
                  <c:v>0</c:v>
                </c:pt>
                <c:pt idx="1">
                  <c:v>0</c:v>
                </c:pt>
                <c:pt idx="2">
                  <c:v>0</c:v>
                </c:pt>
                <c:pt idx="3">
                  <c:v>0</c:v>
                </c:pt>
                <c:pt idx="4">
                  <c:v>0</c:v>
                </c:pt>
                <c:pt idx="5">
                  <c:v>0</c:v>
                </c:pt>
                <c:pt idx="6">
                  <c:v>0</c:v>
                </c:pt>
              </c:numCache>
            </c:numRef>
          </c:val>
        </c:ser>
        <c:ser>
          <c:idx val="5"/>
          <c:order val="5"/>
          <c:tx>
            <c:strRef>
              <c:f>'S26 likelihood'!$Y$247</c:f>
              <c:strCache>
                <c:ptCount val="1"/>
                <c:pt idx="0">
                  <c:v>NGOs</c:v>
                </c:pt>
              </c:strCache>
            </c:strRef>
          </c:tx>
          <c:spPr>
            <a:solidFill>
              <a:schemeClr val="accent6"/>
            </a:solidFill>
            <a:ln>
              <a:noFill/>
            </a:ln>
            <a:effectLst/>
          </c:spPr>
          <c:invertIfNegative val="0"/>
          <c:cat>
            <c:strRef>
              <c:f>'S26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likelihood'!$Y$248:$Y$254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1366016"/>
        <c:axId val="141367552"/>
      </c:barChart>
      <c:catAx>
        <c:axId val="1413660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1367552"/>
        <c:crosses val="autoZero"/>
        <c:auto val="1"/>
        <c:lblAlgn val="ctr"/>
        <c:lblOffset val="100"/>
        <c:noMultiLvlLbl val="0"/>
      </c:catAx>
      <c:valAx>
        <c:axId val="141367552"/>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366016"/>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likelihood'!$C$247</c:f>
              <c:strCache>
                <c:ptCount val="1"/>
                <c:pt idx="0">
                  <c:v>Forest owners/managers</c:v>
                </c:pt>
              </c:strCache>
            </c:strRef>
          </c:tx>
          <c:spPr>
            <a:solidFill>
              <a:schemeClr val="accent1"/>
            </a:solidFill>
            <a:ln>
              <a:noFill/>
            </a:ln>
            <a:effectLst/>
          </c:spPr>
          <c:invertIfNegative val="0"/>
          <c:cat>
            <c:strRef>
              <c:f>'S26 likelihood'!$B$248:$B$252</c:f>
              <c:strCache>
                <c:ptCount val="5"/>
                <c:pt idx="0">
                  <c:v>Definitely not</c:v>
                </c:pt>
                <c:pt idx="1">
                  <c:v>Sometimes</c:v>
                </c:pt>
                <c:pt idx="2">
                  <c:v>Most of the time</c:v>
                </c:pt>
                <c:pt idx="3">
                  <c:v>Yes, always</c:v>
                </c:pt>
                <c:pt idx="4">
                  <c:v>I don’t know</c:v>
                </c:pt>
              </c:strCache>
            </c:strRef>
          </c:cat>
          <c:val>
            <c:numRef>
              <c:f>'S26 likelihood'!$C$248:$C$252</c:f>
              <c:numCache>
                <c:formatCode>General</c:formatCode>
                <c:ptCount val="5"/>
                <c:pt idx="0">
                  <c:v>3</c:v>
                </c:pt>
                <c:pt idx="1">
                  <c:v>0</c:v>
                </c:pt>
                <c:pt idx="2">
                  <c:v>0</c:v>
                </c:pt>
                <c:pt idx="3">
                  <c:v>0</c:v>
                </c:pt>
                <c:pt idx="4">
                  <c:v>0</c:v>
                </c:pt>
              </c:numCache>
            </c:numRef>
          </c:val>
        </c:ser>
        <c:ser>
          <c:idx val="1"/>
          <c:order val="1"/>
          <c:tx>
            <c:strRef>
              <c:f>'S26 likelihood'!$D$247</c:f>
              <c:strCache>
                <c:ptCount val="1"/>
                <c:pt idx="0">
                  <c:v>Pellet producers</c:v>
                </c:pt>
              </c:strCache>
            </c:strRef>
          </c:tx>
          <c:spPr>
            <a:solidFill>
              <a:schemeClr val="accent2"/>
            </a:solidFill>
            <a:ln>
              <a:noFill/>
            </a:ln>
            <a:effectLst/>
          </c:spPr>
          <c:invertIfNegative val="0"/>
          <c:cat>
            <c:strRef>
              <c:f>'S26 likelihood'!$B$248:$B$252</c:f>
              <c:strCache>
                <c:ptCount val="5"/>
                <c:pt idx="0">
                  <c:v>Definitely not</c:v>
                </c:pt>
                <c:pt idx="1">
                  <c:v>Sometimes</c:v>
                </c:pt>
                <c:pt idx="2">
                  <c:v>Most of the time</c:v>
                </c:pt>
                <c:pt idx="3">
                  <c:v>Yes, always</c:v>
                </c:pt>
                <c:pt idx="4">
                  <c:v>I don’t know</c:v>
                </c:pt>
              </c:strCache>
            </c:strRef>
          </c:cat>
          <c:val>
            <c:numRef>
              <c:f>'S26 likelihood'!$D$248:$D$252</c:f>
              <c:numCache>
                <c:formatCode>0</c:formatCode>
                <c:ptCount val="5"/>
                <c:pt idx="0">
                  <c:v>2</c:v>
                </c:pt>
                <c:pt idx="1">
                  <c:v>1</c:v>
                </c:pt>
                <c:pt idx="2">
                  <c:v>0</c:v>
                </c:pt>
                <c:pt idx="3">
                  <c:v>0</c:v>
                </c:pt>
                <c:pt idx="4">
                  <c:v>0</c:v>
                </c:pt>
              </c:numCache>
            </c:numRef>
          </c:val>
        </c:ser>
        <c:ser>
          <c:idx val="2"/>
          <c:order val="2"/>
          <c:tx>
            <c:strRef>
              <c:f>'S26 likelihood'!$E$247</c:f>
              <c:strCache>
                <c:ptCount val="1"/>
                <c:pt idx="0">
                  <c:v>Pellet users</c:v>
                </c:pt>
              </c:strCache>
            </c:strRef>
          </c:tx>
          <c:spPr>
            <a:solidFill>
              <a:schemeClr val="accent3"/>
            </a:solidFill>
            <a:ln>
              <a:noFill/>
            </a:ln>
            <a:effectLst/>
          </c:spPr>
          <c:invertIfNegative val="0"/>
          <c:cat>
            <c:strRef>
              <c:f>'S26 likelihood'!$B$248:$B$252</c:f>
              <c:strCache>
                <c:ptCount val="5"/>
                <c:pt idx="0">
                  <c:v>Definitely not</c:v>
                </c:pt>
                <c:pt idx="1">
                  <c:v>Sometimes</c:v>
                </c:pt>
                <c:pt idx="2">
                  <c:v>Most of the time</c:v>
                </c:pt>
                <c:pt idx="3">
                  <c:v>Yes, always</c:v>
                </c:pt>
                <c:pt idx="4">
                  <c:v>I don’t know</c:v>
                </c:pt>
              </c:strCache>
            </c:strRef>
          </c:cat>
          <c:val>
            <c:numRef>
              <c:f>'S26 likelihood'!$E$248:$E$252</c:f>
              <c:numCache>
                <c:formatCode>General</c:formatCode>
                <c:ptCount val="5"/>
                <c:pt idx="0">
                  <c:v>1</c:v>
                </c:pt>
                <c:pt idx="1">
                  <c:v>1</c:v>
                </c:pt>
                <c:pt idx="2">
                  <c:v>0</c:v>
                </c:pt>
                <c:pt idx="3">
                  <c:v>0</c:v>
                </c:pt>
                <c:pt idx="4">
                  <c:v>0</c:v>
                </c:pt>
              </c:numCache>
            </c:numRef>
          </c:val>
        </c:ser>
        <c:ser>
          <c:idx val="3"/>
          <c:order val="3"/>
          <c:tx>
            <c:strRef>
              <c:f>'S26 likelihood'!$F$247</c:f>
              <c:strCache>
                <c:ptCount val="1"/>
                <c:pt idx="0">
                  <c:v>Non-bioenergy wood users</c:v>
                </c:pt>
              </c:strCache>
            </c:strRef>
          </c:tx>
          <c:spPr>
            <a:solidFill>
              <a:schemeClr val="accent4"/>
            </a:solidFill>
            <a:ln>
              <a:noFill/>
            </a:ln>
            <a:effectLst/>
          </c:spPr>
          <c:invertIfNegative val="0"/>
          <c:cat>
            <c:strRef>
              <c:f>'S26 likelihood'!$B$248:$B$252</c:f>
              <c:strCache>
                <c:ptCount val="5"/>
                <c:pt idx="0">
                  <c:v>Definitely not</c:v>
                </c:pt>
                <c:pt idx="1">
                  <c:v>Sometimes</c:v>
                </c:pt>
                <c:pt idx="2">
                  <c:v>Most of the time</c:v>
                </c:pt>
                <c:pt idx="3">
                  <c:v>Yes, always</c:v>
                </c:pt>
                <c:pt idx="4">
                  <c:v>I don’t know</c:v>
                </c:pt>
              </c:strCache>
            </c:strRef>
          </c:cat>
          <c:val>
            <c:numRef>
              <c:f>'S26 likelihood'!$F$248:$F$252</c:f>
              <c:numCache>
                <c:formatCode>General</c:formatCode>
                <c:ptCount val="5"/>
                <c:pt idx="0">
                  <c:v>0</c:v>
                </c:pt>
                <c:pt idx="1">
                  <c:v>2</c:v>
                </c:pt>
                <c:pt idx="2">
                  <c:v>0</c:v>
                </c:pt>
                <c:pt idx="3">
                  <c:v>0</c:v>
                </c:pt>
                <c:pt idx="4">
                  <c:v>0</c:v>
                </c:pt>
              </c:numCache>
            </c:numRef>
          </c:val>
        </c:ser>
        <c:ser>
          <c:idx val="4"/>
          <c:order val="4"/>
          <c:tx>
            <c:strRef>
              <c:f>'S26 likelihood'!$G$247</c:f>
              <c:strCache>
                <c:ptCount val="1"/>
                <c:pt idx="0">
                  <c:v>Policy makers and academia</c:v>
                </c:pt>
              </c:strCache>
            </c:strRef>
          </c:tx>
          <c:spPr>
            <a:solidFill>
              <a:schemeClr val="accent5"/>
            </a:solidFill>
            <a:ln>
              <a:noFill/>
            </a:ln>
            <a:effectLst/>
          </c:spPr>
          <c:invertIfNegative val="0"/>
          <c:cat>
            <c:strRef>
              <c:f>'S26 likelihood'!$B$248:$B$252</c:f>
              <c:strCache>
                <c:ptCount val="5"/>
                <c:pt idx="0">
                  <c:v>Definitely not</c:v>
                </c:pt>
                <c:pt idx="1">
                  <c:v>Sometimes</c:v>
                </c:pt>
                <c:pt idx="2">
                  <c:v>Most of the time</c:v>
                </c:pt>
                <c:pt idx="3">
                  <c:v>Yes, always</c:v>
                </c:pt>
                <c:pt idx="4">
                  <c:v>I don’t know</c:v>
                </c:pt>
              </c:strCache>
            </c:strRef>
          </c:cat>
          <c:val>
            <c:numRef>
              <c:f>'S26 likelihood'!$G$248:$G$252</c:f>
              <c:numCache>
                <c:formatCode>0</c:formatCode>
                <c:ptCount val="5"/>
                <c:pt idx="0">
                  <c:v>1</c:v>
                </c:pt>
                <c:pt idx="1">
                  <c:v>1</c:v>
                </c:pt>
                <c:pt idx="2">
                  <c:v>0</c:v>
                </c:pt>
                <c:pt idx="3">
                  <c:v>0</c:v>
                </c:pt>
                <c:pt idx="4">
                  <c:v>0</c:v>
                </c:pt>
              </c:numCache>
            </c:numRef>
          </c:val>
        </c:ser>
        <c:ser>
          <c:idx val="5"/>
          <c:order val="5"/>
          <c:tx>
            <c:strRef>
              <c:f>'S26 likelihood'!$H$247</c:f>
              <c:strCache>
                <c:ptCount val="1"/>
                <c:pt idx="0">
                  <c:v>NGOs</c:v>
                </c:pt>
              </c:strCache>
            </c:strRef>
          </c:tx>
          <c:spPr>
            <a:solidFill>
              <a:schemeClr val="accent6"/>
            </a:solidFill>
            <a:ln>
              <a:noFill/>
            </a:ln>
            <a:effectLst/>
          </c:spPr>
          <c:invertIfNegative val="0"/>
          <c:cat>
            <c:strRef>
              <c:f>'S26 likelihood'!$B$248:$B$252</c:f>
              <c:strCache>
                <c:ptCount val="5"/>
                <c:pt idx="0">
                  <c:v>Definitely not</c:v>
                </c:pt>
                <c:pt idx="1">
                  <c:v>Sometimes</c:v>
                </c:pt>
                <c:pt idx="2">
                  <c:v>Most of the time</c:v>
                </c:pt>
                <c:pt idx="3">
                  <c:v>Yes, always</c:v>
                </c:pt>
                <c:pt idx="4">
                  <c:v>I don’t know</c:v>
                </c:pt>
              </c:strCache>
            </c:strRef>
          </c:cat>
          <c:val>
            <c:numRef>
              <c:f>'S26 likelihood'!$H$248:$H$252</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38250112"/>
        <c:axId val="138251648"/>
      </c:barChart>
      <c:catAx>
        <c:axId val="138250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8251648"/>
        <c:crosses val="autoZero"/>
        <c:auto val="1"/>
        <c:lblAlgn val="ctr"/>
        <c:lblOffset val="100"/>
        <c:noMultiLvlLbl val="0"/>
      </c:catAx>
      <c:valAx>
        <c:axId val="138251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38250112"/>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likelihood'!$T$279</c:f>
              <c:strCache>
                <c:ptCount val="1"/>
                <c:pt idx="0">
                  <c:v>Forest owners/managers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likelihood'!$T$280:$T$286</c:f>
              <c:numCache>
                <c:formatCode>0%</c:formatCode>
                <c:ptCount val="7"/>
                <c:pt idx="0">
                  <c:v>5.5555555555555552E-2</c:v>
                </c:pt>
                <c:pt idx="1">
                  <c:v>5.5555555555555552E-2</c:v>
                </c:pt>
                <c:pt idx="2">
                  <c:v>0</c:v>
                </c:pt>
                <c:pt idx="3">
                  <c:v>5.5555555555555552E-2</c:v>
                </c:pt>
                <c:pt idx="4">
                  <c:v>0</c:v>
                </c:pt>
                <c:pt idx="5">
                  <c:v>0</c:v>
                </c:pt>
                <c:pt idx="6">
                  <c:v>0</c:v>
                </c:pt>
              </c:numCache>
            </c:numRef>
          </c:val>
        </c:ser>
        <c:ser>
          <c:idx val="1"/>
          <c:order val="1"/>
          <c:tx>
            <c:strRef>
              <c:f>'S26 likelihood'!$U$279</c:f>
              <c:strCache>
                <c:ptCount val="1"/>
                <c:pt idx="0">
                  <c:v>Pellet producers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likelihood'!$U$280:$U$286</c:f>
              <c:numCache>
                <c:formatCode>0%</c:formatCode>
                <c:ptCount val="7"/>
                <c:pt idx="0">
                  <c:v>0.16666666666666666</c:v>
                </c:pt>
                <c:pt idx="1">
                  <c:v>0</c:v>
                </c:pt>
                <c:pt idx="2">
                  <c:v>0</c:v>
                </c:pt>
                <c:pt idx="3">
                  <c:v>0</c:v>
                </c:pt>
                <c:pt idx="4">
                  <c:v>0</c:v>
                </c:pt>
                <c:pt idx="5">
                  <c:v>0</c:v>
                </c:pt>
                <c:pt idx="6">
                  <c:v>0</c:v>
                </c:pt>
              </c:numCache>
            </c:numRef>
          </c:val>
        </c:ser>
        <c:ser>
          <c:idx val="2"/>
          <c:order val="2"/>
          <c:tx>
            <c:strRef>
              <c:f>'S26 likelihood'!$V$279</c:f>
              <c:strCache>
                <c:ptCount val="1"/>
                <c:pt idx="0">
                  <c:v>Pellet users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likelihood'!$V$280:$V$286</c:f>
              <c:numCache>
                <c:formatCode>0%</c:formatCode>
                <c:ptCount val="7"/>
                <c:pt idx="0">
                  <c:v>0.16666666666666666</c:v>
                </c:pt>
                <c:pt idx="1">
                  <c:v>0</c:v>
                </c:pt>
                <c:pt idx="2">
                  <c:v>0</c:v>
                </c:pt>
                <c:pt idx="3">
                  <c:v>0</c:v>
                </c:pt>
                <c:pt idx="4">
                  <c:v>0</c:v>
                </c:pt>
                <c:pt idx="5">
                  <c:v>0</c:v>
                </c:pt>
                <c:pt idx="6">
                  <c:v>0</c:v>
                </c:pt>
              </c:numCache>
            </c:numRef>
          </c:val>
        </c:ser>
        <c:ser>
          <c:idx val="3"/>
          <c:order val="3"/>
          <c:tx>
            <c:strRef>
              <c:f>'S26 likelihood'!$W$279</c:f>
              <c:strCache>
                <c:ptCount val="1"/>
                <c:pt idx="0">
                  <c:v>Non-bioenergy wood users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likelihood'!$W$280:$W$286</c:f>
              <c:numCache>
                <c:formatCode>0%</c:formatCode>
                <c:ptCount val="7"/>
                <c:pt idx="0">
                  <c:v>0.16666666666666666</c:v>
                </c:pt>
                <c:pt idx="1">
                  <c:v>0</c:v>
                </c:pt>
                <c:pt idx="2">
                  <c:v>0</c:v>
                </c:pt>
                <c:pt idx="3">
                  <c:v>0</c:v>
                </c:pt>
                <c:pt idx="4">
                  <c:v>0</c:v>
                </c:pt>
                <c:pt idx="5">
                  <c:v>0</c:v>
                </c:pt>
                <c:pt idx="6">
                  <c:v>0</c:v>
                </c:pt>
              </c:numCache>
            </c:numRef>
          </c:val>
        </c:ser>
        <c:ser>
          <c:idx val="4"/>
          <c:order val="4"/>
          <c:tx>
            <c:strRef>
              <c:f>'S26 likelihood'!$X$279</c:f>
              <c:strCache>
                <c:ptCount val="1"/>
                <c:pt idx="0">
                  <c:v>Policy makers and academia</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likelihood'!$X$280:$X$286</c:f>
              <c:numCache>
                <c:formatCode>0%</c:formatCode>
                <c:ptCount val="7"/>
                <c:pt idx="0">
                  <c:v>0</c:v>
                </c:pt>
                <c:pt idx="1">
                  <c:v>0</c:v>
                </c:pt>
                <c:pt idx="2">
                  <c:v>0</c:v>
                </c:pt>
                <c:pt idx="3">
                  <c:v>0</c:v>
                </c:pt>
                <c:pt idx="4">
                  <c:v>0</c:v>
                </c:pt>
                <c:pt idx="5">
                  <c:v>0</c:v>
                </c:pt>
                <c:pt idx="6">
                  <c:v>0</c:v>
                </c:pt>
              </c:numCache>
            </c:numRef>
          </c:val>
        </c:ser>
        <c:ser>
          <c:idx val="5"/>
          <c:order val="5"/>
          <c:tx>
            <c:strRef>
              <c:f>'S26 likelihood'!$Y$279</c:f>
              <c:strCache>
                <c:ptCount val="1"/>
                <c:pt idx="0">
                  <c:v>NGOs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likelihood'!$Y$280:$Y$286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1420416"/>
        <c:axId val="141421952"/>
      </c:barChart>
      <c:catAx>
        <c:axId val="1414204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1421952"/>
        <c:crosses val="autoZero"/>
        <c:auto val="1"/>
        <c:lblAlgn val="ctr"/>
        <c:lblOffset val="100"/>
        <c:noMultiLvlLbl val="0"/>
      </c:catAx>
      <c:valAx>
        <c:axId val="141421952"/>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420416"/>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likelihood'!$T$279</c:f>
              <c:strCache>
                <c:ptCount val="1"/>
                <c:pt idx="0">
                  <c:v>Forest owners/managers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likelihood'!$T$280:$T$286</c:f>
              <c:numCache>
                <c:formatCode>0%</c:formatCode>
                <c:ptCount val="7"/>
                <c:pt idx="0">
                  <c:v>5.5555555555555552E-2</c:v>
                </c:pt>
                <c:pt idx="1">
                  <c:v>5.5555555555555552E-2</c:v>
                </c:pt>
                <c:pt idx="2">
                  <c:v>0</c:v>
                </c:pt>
                <c:pt idx="3">
                  <c:v>5.5555555555555552E-2</c:v>
                </c:pt>
                <c:pt idx="4">
                  <c:v>0</c:v>
                </c:pt>
                <c:pt idx="5">
                  <c:v>0</c:v>
                </c:pt>
                <c:pt idx="6">
                  <c:v>0</c:v>
                </c:pt>
              </c:numCache>
            </c:numRef>
          </c:val>
        </c:ser>
        <c:ser>
          <c:idx val="1"/>
          <c:order val="1"/>
          <c:tx>
            <c:strRef>
              <c:f>'S26 likelihood'!$U$279</c:f>
              <c:strCache>
                <c:ptCount val="1"/>
                <c:pt idx="0">
                  <c:v>Pellet producers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likelihood'!$U$280:$U$286</c:f>
              <c:numCache>
                <c:formatCode>0%</c:formatCode>
                <c:ptCount val="7"/>
                <c:pt idx="0">
                  <c:v>0.16666666666666666</c:v>
                </c:pt>
                <c:pt idx="1">
                  <c:v>0</c:v>
                </c:pt>
                <c:pt idx="2">
                  <c:v>0</c:v>
                </c:pt>
                <c:pt idx="3">
                  <c:v>0</c:v>
                </c:pt>
                <c:pt idx="4">
                  <c:v>0</c:v>
                </c:pt>
                <c:pt idx="5">
                  <c:v>0</c:v>
                </c:pt>
                <c:pt idx="6">
                  <c:v>0</c:v>
                </c:pt>
              </c:numCache>
            </c:numRef>
          </c:val>
        </c:ser>
        <c:ser>
          <c:idx val="2"/>
          <c:order val="2"/>
          <c:tx>
            <c:strRef>
              <c:f>'S26 likelihood'!$V$279</c:f>
              <c:strCache>
                <c:ptCount val="1"/>
                <c:pt idx="0">
                  <c:v>Pellet users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likelihood'!$V$280:$V$286</c:f>
              <c:numCache>
                <c:formatCode>0%</c:formatCode>
                <c:ptCount val="7"/>
                <c:pt idx="0">
                  <c:v>0.16666666666666666</c:v>
                </c:pt>
                <c:pt idx="1">
                  <c:v>0</c:v>
                </c:pt>
                <c:pt idx="2">
                  <c:v>0</c:v>
                </c:pt>
                <c:pt idx="3">
                  <c:v>0</c:v>
                </c:pt>
                <c:pt idx="4">
                  <c:v>0</c:v>
                </c:pt>
                <c:pt idx="5">
                  <c:v>0</c:v>
                </c:pt>
                <c:pt idx="6">
                  <c:v>0</c:v>
                </c:pt>
              </c:numCache>
            </c:numRef>
          </c:val>
        </c:ser>
        <c:ser>
          <c:idx val="3"/>
          <c:order val="3"/>
          <c:tx>
            <c:strRef>
              <c:f>'S26 likelihood'!$W$279</c:f>
              <c:strCache>
                <c:ptCount val="1"/>
                <c:pt idx="0">
                  <c:v>Non-bioenergy wood users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likelihood'!$W$280:$W$286</c:f>
              <c:numCache>
                <c:formatCode>0%</c:formatCode>
                <c:ptCount val="7"/>
                <c:pt idx="0">
                  <c:v>0.16666666666666666</c:v>
                </c:pt>
                <c:pt idx="1">
                  <c:v>0</c:v>
                </c:pt>
                <c:pt idx="2">
                  <c:v>0</c:v>
                </c:pt>
                <c:pt idx="3">
                  <c:v>0</c:v>
                </c:pt>
                <c:pt idx="4">
                  <c:v>0</c:v>
                </c:pt>
                <c:pt idx="5">
                  <c:v>0</c:v>
                </c:pt>
                <c:pt idx="6">
                  <c:v>0</c:v>
                </c:pt>
              </c:numCache>
            </c:numRef>
          </c:val>
        </c:ser>
        <c:ser>
          <c:idx val="4"/>
          <c:order val="4"/>
          <c:tx>
            <c:strRef>
              <c:f>'S26 likelihood'!$X$279</c:f>
              <c:strCache>
                <c:ptCount val="1"/>
                <c:pt idx="0">
                  <c:v>Policy makers and academia</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likelihood'!$X$280:$X$286</c:f>
              <c:numCache>
                <c:formatCode>0%</c:formatCode>
                <c:ptCount val="7"/>
                <c:pt idx="0">
                  <c:v>0</c:v>
                </c:pt>
                <c:pt idx="1">
                  <c:v>0</c:v>
                </c:pt>
                <c:pt idx="2">
                  <c:v>0</c:v>
                </c:pt>
                <c:pt idx="3">
                  <c:v>0</c:v>
                </c:pt>
                <c:pt idx="4">
                  <c:v>0</c:v>
                </c:pt>
                <c:pt idx="5">
                  <c:v>0</c:v>
                </c:pt>
                <c:pt idx="6">
                  <c:v>0</c:v>
                </c:pt>
              </c:numCache>
            </c:numRef>
          </c:val>
        </c:ser>
        <c:ser>
          <c:idx val="5"/>
          <c:order val="5"/>
          <c:tx>
            <c:strRef>
              <c:f>'S26 likelihood'!$Y$279</c:f>
              <c:strCache>
                <c:ptCount val="1"/>
                <c:pt idx="0">
                  <c:v>NGOs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likelihood'!$Y$280:$Y$286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1454336"/>
        <c:axId val="141476608"/>
      </c:barChart>
      <c:catAx>
        <c:axId val="14145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1476608"/>
        <c:crosses val="autoZero"/>
        <c:auto val="1"/>
        <c:lblAlgn val="ctr"/>
        <c:lblOffset val="100"/>
        <c:noMultiLvlLbl val="0"/>
      </c:catAx>
      <c:valAx>
        <c:axId val="141476608"/>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454336"/>
        <c:crosses val="max"/>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likelihood'!$DP$72:$DP$76</c:f>
              <c:strCache>
                <c:ptCount val="5"/>
                <c:pt idx="0">
                  <c:v>Definitely not</c:v>
                </c:pt>
                <c:pt idx="1">
                  <c:v>Sometimes</c:v>
                </c:pt>
                <c:pt idx="2">
                  <c:v>Most of the time</c:v>
                </c:pt>
                <c:pt idx="3">
                  <c:v>Yes, always</c:v>
                </c:pt>
                <c:pt idx="4">
                  <c:v>I don’t know</c:v>
                </c:pt>
              </c:strCache>
            </c:strRef>
          </c:cat>
          <c:val>
            <c:numRef>
              <c:f>'S26 likelihood'!$DR$72:$DR$76</c:f>
              <c:numCache>
                <c:formatCode>0%</c:formatCode>
                <c:ptCount val="5"/>
                <c:pt idx="0">
                  <c:v>1</c:v>
                </c:pt>
                <c:pt idx="1">
                  <c:v>0</c:v>
                </c:pt>
                <c:pt idx="2">
                  <c:v>0</c:v>
                </c:pt>
                <c:pt idx="3">
                  <c:v>0</c:v>
                </c:pt>
                <c:pt idx="4">
                  <c:v>0</c:v>
                </c:pt>
              </c:numCache>
            </c:numRef>
          </c:val>
        </c:ser>
        <c:dLbls>
          <c:showLegendKey val="0"/>
          <c:showVal val="0"/>
          <c:showCatName val="0"/>
          <c:showSerName val="0"/>
          <c:showPercent val="0"/>
          <c:showBubbleSize val="0"/>
        </c:dLbls>
        <c:gapWidth val="219"/>
        <c:overlap val="-27"/>
        <c:axId val="141889920"/>
        <c:axId val="141891456"/>
      </c:barChart>
      <c:catAx>
        <c:axId val="14188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1891456"/>
        <c:crosses val="autoZero"/>
        <c:auto val="1"/>
        <c:lblAlgn val="ctr"/>
        <c:lblOffset val="100"/>
        <c:tickLblSkip val="1"/>
        <c:noMultiLvlLbl val="0"/>
      </c:catAx>
      <c:valAx>
        <c:axId val="1418914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889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likelihood'!$DP$99:$DP$103</c:f>
              <c:strCache>
                <c:ptCount val="5"/>
                <c:pt idx="0">
                  <c:v>Definitely not</c:v>
                </c:pt>
                <c:pt idx="1">
                  <c:v>Sometimes</c:v>
                </c:pt>
                <c:pt idx="2">
                  <c:v>Most of the time</c:v>
                </c:pt>
                <c:pt idx="3">
                  <c:v>Yes, always</c:v>
                </c:pt>
                <c:pt idx="4">
                  <c:v>I don’t know</c:v>
                </c:pt>
              </c:strCache>
            </c:strRef>
          </c:cat>
          <c:val>
            <c:numRef>
              <c:f>'S26 likelihood'!$DR$99:$DR$103</c:f>
              <c:numCache>
                <c:formatCode>0%</c:formatCode>
                <c:ptCount val="5"/>
                <c:pt idx="0">
                  <c:v>0.66666666666666663</c:v>
                </c:pt>
                <c:pt idx="1">
                  <c:v>0.33333333333333331</c:v>
                </c:pt>
                <c:pt idx="2">
                  <c:v>0</c:v>
                </c:pt>
                <c:pt idx="3">
                  <c:v>0</c:v>
                </c:pt>
                <c:pt idx="4">
                  <c:v>0</c:v>
                </c:pt>
              </c:numCache>
            </c:numRef>
          </c:val>
        </c:ser>
        <c:dLbls>
          <c:showLegendKey val="0"/>
          <c:showVal val="0"/>
          <c:showCatName val="0"/>
          <c:showSerName val="0"/>
          <c:showPercent val="0"/>
          <c:showBubbleSize val="0"/>
        </c:dLbls>
        <c:gapWidth val="219"/>
        <c:overlap val="-27"/>
        <c:axId val="141923840"/>
        <c:axId val="141925376"/>
      </c:barChart>
      <c:catAx>
        <c:axId val="14192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1925376"/>
        <c:crosses val="autoZero"/>
        <c:auto val="1"/>
        <c:lblAlgn val="ctr"/>
        <c:lblOffset val="100"/>
        <c:tickLblSkip val="1"/>
        <c:noMultiLvlLbl val="0"/>
      </c:catAx>
      <c:valAx>
        <c:axId val="1419253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923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likelihood'!$DP$126:$DP$130</c:f>
              <c:strCache>
                <c:ptCount val="5"/>
                <c:pt idx="0">
                  <c:v>Definitely not</c:v>
                </c:pt>
                <c:pt idx="1">
                  <c:v>Sometimes</c:v>
                </c:pt>
                <c:pt idx="2">
                  <c:v>Most of the time</c:v>
                </c:pt>
                <c:pt idx="3">
                  <c:v>Yes, always</c:v>
                </c:pt>
                <c:pt idx="4">
                  <c:v>I don’t know</c:v>
                </c:pt>
              </c:strCache>
            </c:strRef>
          </c:cat>
          <c:val>
            <c:numRef>
              <c:f>'S26 likelihood'!$DR$126:$DR$130</c:f>
              <c:numCache>
                <c:formatCode>0%</c:formatCode>
                <c:ptCount val="5"/>
                <c:pt idx="0">
                  <c:v>0.5</c:v>
                </c:pt>
                <c:pt idx="1">
                  <c:v>0.5</c:v>
                </c:pt>
                <c:pt idx="2">
                  <c:v>0</c:v>
                </c:pt>
                <c:pt idx="3">
                  <c:v>0</c:v>
                </c:pt>
                <c:pt idx="4">
                  <c:v>0</c:v>
                </c:pt>
              </c:numCache>
            </c:numRef>
          </c:val>
        </c:ser>
        <c:dLbls>
          <c:showLegendKey val="0"/>
          <c:showVal val="0"/>
          <c:showCatName val="0"/>
          <c:showSerName val="0"/>
          <c:showPercent val="0"/>
          <c:showBubbleSize val="0"/>
        </c:dLbls>
        <c:gapWidth val="219"/>
        <c:overlap val="-27"/>
        <c:axId val="141564544"/>
        <c:axId val="141574528"/>
      </c:barChart>
      <c:catAx>
        <c:axId val="1415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1574528"/>
        <c:crosses val="autoZero"/>
        <c:auto val="1"/>
        <c:lblAlgn val="ctr"/>
        <c:lblOffset val="100"/>
        <c:tickLblSkip val="1"/>
        <c:noMultiLvlLbl val="0"/>
      </c:catAx>
      <c:valAx>
        <c:axId val="1415745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564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likelihood'!$DP$153:$DP$157</c:f>
              <c:strCache>
                <c:ptCount val="5"/>
                <c:pt idx="0">
                  <c:v>Definitely not</c:v>
                </c:pt>
                <c:pt idx="1">
                  <c:v>Sometimes</c:v>
                </c:pt>
                <c:pt idx="2">
                  <c:v>Most of the time</c:v>
                </c:pt>
                <c:pt idx="3">
                  <c:v>Yes, always</c:v>
                </c:pt>
                <c:pt idx="4">
                  <c:v>I don’t know</c:v>
                </c:pt>
              </c:strCache>
            </c:strRef>
          </c:cat>
          <c:val>
            <c:numRef>
              <c:f>'S26 likelihood'!$DR$153:$DR$157</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219"/>
        <c:overlap val="-27"/>
        <c:axId val="141594624"/>
        <c:axId val="141596160"/>
      </c:barChart>
      <c:catAx>
        <c:axId val="14159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1596160"/>
        <c:crosses val="autoZero"/>
        <c:auto val="1"/>
        <c:lblAlgn val="ctr"/>
        <c:lblOffset val="100"/>
        <c:tickLblSkip val="1"/>
        <c:noMultiLvlLbl val="0"/>
      </c:catAx>
      <c:valAx>
        <c:axId val="1415961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594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likelihood'!$DP$180:$DP$184</c:f>
              <c:strCache>
                <c:ptCount val="5"/>
                <c:pt idx="0">
                  <c:v>Definitely not</c:v>
                </c:pt>
                <c:pt idx="1">
                  <c:v>Sometimes</c:v>
                </c:pt>
                <c:pt idx="2">
                  <c:v>Most of the time</c:v>
                </c:pt>
                <c:pt idx="3">
                  <c:v>Yes, always</c:v>
                </c:pt>
                <c:pt idx="4">
                  <c:v>I don’t know</c:v>
                </c:pt>
              </c:strCache>
            </c:strRef>
          </c:cat>
          <c:val>
            <c:numRef>
              <c:f>'S26 likelihood'!$DR$180:$DR$184</c:f>
              <c:numCache>
                <c:formatCode>0%</c:formatCode>
                <c:ptCount val="5"/>
                <c:pt idx="0">
                  <c:v>0.5</c:v>
                </c:pt>
                <c:pt idx="1">
                  <c:v>0.5</c:v>
                </c:pt>
                <c:pt idx="2">
                  <c:v>0</c:v>
                </c:pt>
                <c:pt idx="3">
                  <c:v>0</c:v>
                </c:pt>
                <c:pt idx="4">
                  <c:v>0</c:v>
                </c:pt>
              </c:numCache>
            </c:numRef>
          </c:val>
        </c:ser>
        <c:dLbls>
          <c:showLegendKey val="0"/>
          <c:showVal val="0"/>
          <c:showCatName val="0"/>
          <c:showSerName val="0"/>
          <c:showPercent val="0"/>
          <c:showBubbleSize val="0"/>
        </c:dLbls>
        <c:gapWidth val="219"/>
        <c:overlap val="-27"/>
        <c:axId val="141632640"/>
        <c:axId val="141634176"/>
      </c:barChart>
      <c:catAx>
        <c:axId val="141632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1634176"/>
        <c:crosses val="autoZero"/>
        <c:auto val="1"/>
        <c:lblAlgn val="ctr"/>
        <c:lblOffset val="100"/>
        <c:tickLblSkip val="1"/>
        <c:noMultiLvlLbl val="0"/>
      </c:catAx>
      <c:valAx>
        <c:axId val="1416341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632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likelihood'!$DP$207:$DP$211</c:f>
              <c:strCache>
                <c:ptCount val="5"/>
                <c:pt idx="0">
                  <c:v>Definitely not</c:v>
                </c:pt>
                <c:pt idx="1">
                  <c:v>Sometimes</c:v>
                </c:pt>
                <c:pt idx="2">
                  <c:v>Most of the time</c:v>
                </c:pt>
                <c:pt idx="3">
                  <c:v>Yes, always</c:v>
                </c:pt>
                <c:pt idx="4">
                  <c:v>I don’t know</c:v>
                </c:pt>
              </c:strCache>
            </c:strRef>
          </c:cat>
          <c:val>
            <c:numRef>
              <c:f>'S26 likelihood'!$DR$207:$DR$211</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219"/>
        <c:overlap val="-27"/>
        <c:axId val="141658368"/>
        <c:axId val="141664256"/>
      </c:barChart>
      <c:catAx>
        <c:axId val="141658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1664256"/>
        <c:crosses val="autoZero"/>
        <c:auto val="1"/>
        <c:lblAlgn val="ctr"/>
        <c:lblOffset val="100"/>
        <c:tickLblSkip val="1"/>
        <c:noMultiLvlLbl val="0"/>
      </c:catAx>
      <c:valAx>
        <c:axId val="1416642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1658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likelihood'!$DP$234:$DP$238</c:f>
              <c:strCache>
                <c:ptCount val="5"/>
                <c:pt idx="0">
                  <c:v>Definitely not</c:v>
                </c:pt>
                <c:pt idx="1">
                  <c:v>Sometimes</c:v>
                </c:pt>
                <c:pt idx="2">
                  <c:v>Most of the time</c:v>
                </c:pt>
                <c:pt idx="3">
                  <c:v>Yes, always</c:v>
                </c:pt>
                <c:pt idx="4">
                  <c:v>I don’t know</c:v>
                </c:pt>
              </c:strCache>
            </c:strRef>
          </c:cat>
          <c:val>
            <c:numRef>
              <c:f>'S26 likelihood'!$DR$234:$DR$238</c:f>
              <c:numCache>
                <c:formatCode>0%</c:formatCode>
                <c:ptCount val="5"/>
                <c:pt idx="0">
                  <c:v>0.58333333333333337</c:v>
                </c:pt>
                <c:pt idx="1">
                  <c:v>0.41666666666666669</c:v>
                </c:pt>
                <c:pt idx="2">
                  <c:v>0</c:v>
                </c:pt>
                <c:pt idx="3">
                  <c:v>0</c:v>
                </c:pt>
                <c:pt idx="4">
                  <c:v>0</c:v>
                </c:pt>
              </c:numCache>
            </c:numRef>
          </c:val>
        </c:ser>
        <c:dLbls>
          <c:showLegendKey val="0"/>
          <c:showVal val="0"/>
          <c:showCatName val="0"/>
          <c:showSerName val="0"/>
          <c:showPercent val="0"/>
          <c:showBubbleSize val="0"/>
        </c:dLbls>
        <c:gapWidth val="219"/>
        <c:overlap val="-27"/>
        <c:axId val="141671808"/>
        <c:axId val="141685888"/>
      </c:barChart>
      <c:catAx>
        <c:axId val="14167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1685888"/>
        <c:crosses val="autoZero"/>
        <c:auto val="1"/>
        <c:lblAlgn val="ctr"/>
        <c:lblOffset val="100"/>
        <c:tickLblSkip val="1"/>
        <c:noMultiLvlLbl val="0"/>
      </c:catAx>
      <c:valAx>
        <c:axId val="1416858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671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likelihood'!$X$72:$X$78</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likelihood'!$Z$72:$Z$78</c:f>
              <c:numCache>
                <c:formatCode>0%</c:formatCode>
                <c:ptCount val="7"/>
                <c:pt idx="0">
                  <c:v>0.33333333333333331</c:v>
                </c:pt>
                <c:pt idx="1">
                  <c:v>0.33333333333333331</c:v>
                </c:pt>
                <c:pt idx="2">
                  <c:v>0</c:v>
                </c:pt>
                <c:pt idx="3">
                  <c:v>0.33333333333333331</c:v>
                </c:pt>
                <c:pt idx="4">
                  <c:v>0</c:v>
                </c:pt>
                <c:pt idx="5">
                  <c:v>0</c:v>
                </c:pt>
                <c:pt idx="6">
                  <c:v>0</c:v>
                </c:pt>
              </c:numCache>
            </c:numRef>
          </c:val>
        </c:ser>
        <c:dLbls>
          <c:showLegendKey val="0"/>
          <c:showVal val="0"/>
          <c:showCatName val="0"/>
          <c:showSerName val="0"/>
          <c:showPercent val="0"/>
          <c:showBubbleSize val="0"/>
        </c:dLbls>
        <c:gapWidth val="219"/>
        <c:overlap val="-27"/>
        <c:axId val="141792000"/>
        <c:axId val="141793536"/>
      </c:barChart>
      <c:catAx>
        <c:axId val="14179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1793536"/>
        <c:crosses val="autoZero"/>
        <c:auto val="1"/>
        <c:lblAlgn val="ctr"/>
        <c:lblOffset val="100"/>
        <c:tickLblSkip val="1"/>
        <c:noMultiLvlLbl val="0"/>
      </c:catAx>
      <c:valAx>
        <c:axId val="1417935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92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likelihood'!$C$279</c:f>
              <c:strCache>
                <c:ptCount val="1"/>
                <c:pt idx="0">
                  <c:v>Forest owners/managers</c:v>
                </c:pt>
              </c:strCache>
            </c:strRef>
          </c:tx>
          <c:invertIfNegative val="0"/>
          <c:cat>
            <c:strRef>
              <c:f>'S26 likelihood'!$B$280:$B$284</c:f>
              <c:strCache>
                <c:ptCount val="5"/>
                <c:pt idx="0">
                  <c:v>Definitely not</c:v>
                </c:pt>
                <c:pt idx="1">
                  <c:v>Sometimes</c:v>
                </c:pt>
                <c:pt idx="2">
                  <c:v>Most of the time</c:v>
                </c:pt>
                <c:pt idx="3">
                  <c:v>Yes, always</c:v>
                </c:pt>
                <c:pt idx="4">
                  <c:v>I don’t know</c:v>
                </c:pt>
              </c:strCache>
            </c:strRef>
          </c:cat>
          <c:val>
            <c:numRef>
              <c:f>'S26 likelihood'!$C$280:$C$284</c:f>
              <c:numCache>
                <c:formatCode>0%</c:formatCode>
                <c:ptCount val="5"/>
                <c:pt idx="0">
                  <c:v>0.16666666666666666</c:v>
                </c:pt>
                <c:pt idx="1">
                  <c:v>0</c:v>
                </c:pt>
                <c:pt idx="2">
                  <c:v>0</c:v>
                </c:pt>
                <c:pt idx="3">
                  <c:v>0</c:v>
                </c:pt>
                <c:pt idx="4">
                  <c:v>0</c:v>
                </c:pt>
              </c:numCache>
            </c:numRef>
          </c:val>
        </c:ser>
        <c:ser>
          <c:idx val="1"/>
          <c:order val="1"/>
          <c:tx>
            <c:strRef>
              <c:f>'S26 likelihood'!$D$279</c:f>
              <c:strCache>
                <c:ptCount val="1"/>
                <c:pt idx="0">
                  <c:v>Pellet producers</c:v>
                </c:pt>
              </c:strCache>
            </c:strRef>
          </c:tx>
          <c:invertIfNegative val="0"/>
          <c:cat>
            <c:strRef>
              <c:f>'S26 likelihood'!$B$280:$B$284</c:f>
              <c:strCache>
                <c:ptCount val="5"/>
                <c:pt idx="0">
                  <c:v>Definitely not</c:v>
                </c:pt>
                <c:pt idx="1">
                  <c:v>Sometimes</c:v>
                </c:pt>
                <c:pt idx="2">
                  <c:v>Most of the time</c:v>
                </c:pt>
                <c:pt idx="3">
                  <c:v>Yes, always</c:v>
                </c:pt>
                <c:pt idx="4">
                  <c:v>I don’t know</c:v>
                </c:pt>
              </c:strCache>
            </c:strRef>
          </c:cat>
          <c:val>
            <c:numRef>
              <c:f>'S26 likelihood'!$D$280:$D$284</c:f>
              <c:numCache>
                <c:formatCode>0%</c:formatCode>
                <c:ptCount val="5"/>
                <c:pt idx="0">
                  <c:v>0.1111111111111111</c:v>
                </c:pt>
                <c:pt idx="1">
                  <c:v>5.5555555555555552E-2</c:v>
                </c:pt>
                <c:pt idx="2">
                  <c:v>0</c:v>
                </c:pt>
                <c:pt idx="3">
                  <c:v>0</c:v>
                </c:pt>
                <c:pt idx="4">
                  <c:v>0</c:v>
                </c:pt>
              </c:numCache>
            </c:numRef>
          </c:val>
        </c:ser>
        <c:ser>
          <c:idx val="2"/>
          <c:order val="2"/>
          <c:tx>
            <c:strRef>
              <c:f>'S26 likelihood'!$E$279</c:f>
              <c:strCache>
                <c:ptCount val="1"/>
                <c:pt idx="0">
                  <c:v>Pellet users</c:v>
                </c:pt>
              </c:strCache>
            </c:strRef>
          </c:tx>
          <c:invertIfNegative val="0"/>
          <c:cat>
            <c:strRef>
              <c:f>'S26 likelihood'!$B$280:$B$284</c:f>
              <c:strCache>
                <c:ptCount val="5"/>
                <c:pt idx="0">
                  <c:v>Definitely not</c:v>
                </c:pt>
                <c:pt idx="1">
                  <c:v>Sometimes</c:v>
                </c:pt>
                <c:pt idx="2">
                  <c:v>Most of the time</c:v>
                </c:pt>
                <c:pt idx="3">
                  <c:v>Yes, always</c:v>
                </c:pt>
                <c:pt idx="4">
                  <c:v>I don’t know</c:v>
                </c:pt>
              </c:strCache>
            </c:strRef>
          </c:cat>
          <c:val>
            <c:numRef>
              <c:f>'S26 likelihood'!$E$280:$E$284</c:f>
              <c:numCache>
                <c:formatCode>0%</c:formatCode>
                <c:ptCount val="5"/>
                <c:pt idx="0">
                  <c:v>8.3333333333333329E-2</c:v>
                </c:pt>
                <c:pt idx="1">
                  <c:v>8.3333333333333329E-2</c:v>
                </c:pt>
                <c:pt idx="2">
                  <c:v>0</c:v>
                </c:pt>
                <c:pt idx="3">
                  <c:v>0</c:v>
                </c:pt>
                <c:pt idx="4">
                  <c:v>0</c:v>
                </c:pt>
              </c:numCache>
            </c:numRef>
          </c:val>
        </c:ser>
        <c:ser>
          <c:idx val="3"/>
          <c:order val="3"/>
          <c:tx>
            <c:strRef>
              <c:f>'S26 likelihood'!$F$279</c:f>
              <c:strCache>
                <c:ptCount val="1"/>
                <c:pt idx="0">
                  <c:v>Non-bioenergy wood users</c:v>
                </c:pt>
              </c:strCache>
            </c:strRef>
          </c:tx>
          <c:invertIfNegative val="0"/>
          <c:cat>
            <c:strRef>
              <c:f>'S26 likelihood'!$B$280:$B$284</c:f>
              <c:strCache>
                <c:ptCount val="5"/>
                <c:pt idx="0">
                  <c:v>Definitely not</c:v>
                </c:pt>
                <c:pt idx="1">
                  <c:v>Sometimes</c:v>
                </c:pt>
                <c:pt idx="2">
                  <c:v>Most of the time</c:v>
                </c:pt>
                <c:pt idx="3">
                  <c:v>Yes, always</c:v>
                </c:pt>
                <c:pt idx="4">
                  <c:v>I don’t know</c:v>
                </c:pt>
              </c:strCache>
            </c:strRef>
          </c:cat>
          <c:val>
            <c:numRef>
              <c:f>'S26 likelihood'!$F$280:$F$284</c:f>
              <c:numCache>
                <c:formatCode>0%</c:formatCode>
                <c:ptCount val="5"/>
                <c:pt idx="0">
                  <c:v>0</c:v>
                </c:pt>
                <c:pt idx="1">
                  <c:v>0.16666666666666666</c:v>
                </c:pt>
                <c:pt idx="2">
                  <c:v>0</c:v>
                </c:pt>
                <c:pt idx="3">
                  <c:v>0</c:v>
                </c:pt>
                <c:pt idx="4">
                  <c:v>0</c:v>
                </c:pt>
              </c:numCache>
            </c:numRef>
          </c:val>
        </c:ser>
        <c:ser>
          <c:idx val="4"/>
          <c:order val="4"/>
          <c:tx>
            <c:strRef>
              <c:f>'S26 likelihood'!$G$279</c:f>
              <c:strCache>
                <c:ptCount val="1"/>
                <c:pt idx="0">
                  <c:v>Policy makers and academia</c:v>
                </c:pt>
              </c:strCache>
            </c:strRef>
          </c:tx>
          <c:invertIfNegative val="0"/>
          <c:cat>
            <c:strRef>
              <c:f>'S26 likelihood'!$B$280:$B$284</c:f>
              <c:strCache>
                <c:ptCount val="5"/>
                <c:pt idx="0">
                  <c:v>Definitely not</c:v>
                </c:pt>
                <c:pt idx="1">
                  <c:v>Sometimes</c:v>
                </c:pt>
                <c:pt idx="2">
                  <c:v>Most of the time</c:v>
                </c:pt>
                <c:pt idx="3">
                  <c:v>Yes, always</c:v>
                </c:pt>
                <c:pt idx="4">
                  <c:v>I don’t know</c:v>
                </c:pt>
              </c:strCache>
            </c:strRef>
          </c:cat>
          <c:val>
            <c:numRef>
              <c:f>'S26 likelihood'!$G$280:$G$284</c:f>
              <c:numCache>
                <c:formatCode>0%</c:formatCode>
                <c:ptCount val="5"/>
                <c:pt idx="0">
                  <c:v>8.3333333333333329E-2</c:v>
                </c:pt>
                <c:pt idx="1">
                  <c:v>8.3333333333333329E-2</c:v>
                </c:pt>
                <c:pt idx="2">
                  <c:v>0</c:v>
                </c:pt>
                <c:pt idx="3">
                  <c:v>0</c:v>
                </c:pt>
                <c:pt idx="4">
                  <c:v>0</c:v>
                </c:pt>
              </c:numCache>
            </c:numRef>
          </c:val>
        </c:ser>
        <c:ser>
          <c:idx val="5"/>
          <c:order val="5"/>
          <c:tx>
            <c:strRef>
              <c:f>'S26 likelihood'!$H$279</c:f>
              <c:strCache>
                <c:ptCount val="1"/>
                <c:pt idx="0">
                  <c:v>NGOs</c:v>
                </c:pt>
              </c:strCache>
            </c:strRef>
          </c:tx>
          <c:invertIfNegative val="0"/>
          <c:cat>
            <c:strRef>
              <c:f>'S26 likelihood'!$B$280:$B$284</c:f>
              <c:strCache>
                <c:ptCount val="5"/>
                <c:pt idx="0">
                  <c:v>Definitely not</c:v>
                </c:pt>
                <c:pt idx="1">
                  <c:v>Sometimes</c:v>
                </c:pt>
                <c:pt idx="2">
                  <c:v>Most of the time</c:v>
                </c:pt>
                <c:pt idx="3">
                  <c:v>Yes, always</c:v>
                </c:pt>
                <c:pt idx="4">
                  <c:v>I don’t know</c:v>
                </c:pt>
              </c:strCache>
            </c:strRef>
          </c:cat>
          <c:val>
            <c:numRef>
              <c:f>'S26 likelihood'!$H$280:$H$284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38292608"/>
        <c:axId val="138306688"/>
      </c:barChart>
      <c:catAx>
        <c:axId val="1382926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06688"/>
        <c:crosses val="autoZero"/>
        <c:auto val="1"/>
        <c:lblAlgn val="ctr"/>
        <c:lblOffset val="100"/>
        <c:noMultiLvlLbl val="0"/>
      </c:catAx>
      <c:valAx>
        <c:axId val="138306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2926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likelihood'!$X$99:$X$105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likelihood'!$Z$99:$Z$105</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1952896"/>
        <c:axId val="141954432"/>
      </c:barChart>
      <c:catAx>
        <c:axId val="14195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1954432"/>
        <c:crosses val="autoZero"/>
        <c:auto val="1"/>
        <c:lblAlgn val="ctr"/>
        <c:lblOffset val="100"/>
        <c:tickLblSkip val="1"/>
        <c:noMultiLvlLbl val="0"/>
      </c:catAx>
      <c:valAx>
        <c:axId val="1419544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952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likelihood'!$X$126:$X$132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likelihood'!$Z$126:$Z$132</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1978624"/>
        <c:axId val="141988608"/>
      </c:barChart>
      <c:catAx>
        <c:axId val="141978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1988608"/>
        <c:crosses val="autoZero"/>
        <c:auto val="1"/>
        <c:lblAlgn val="ctr"/>
        <c:lblOffset val="100"/>
        <c:tickLblSkip val="1"/>
        <c:noMultiLvlLbl val="0"/>
      </c:catAx>
      <c:valAx>
        <c:axId val="1419886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978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likelihood'!$X$153:$X$159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likelihood'!$Z$153:$Z$159</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2016896"/>
        <c:axId val="142018432"/>
      </c:barChart>
      <c:catAx>
        <c:axId val="14201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2018432"/>
        <c:crosses val="autoZero"/>
        <c:auto val="1"/>
        <c:lblAlgn val="ctr"/>
        <c:lblOffset val="100"/>
        <c:tickLblSkip val="1"/>
        <c:noMultiLvlLbl val="0"/>
      </c:catAx>
      <c:valAx>
        <c:axId val="1420184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16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likelihood'!$X$180:$X$186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likelihood'!$Z$180:$Z$186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2050816"/>
        <c:axId val="142052352"/>
      </c:barChart>
      <c:catAx>
        <c:axId val="14205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2052352"/>
        <c:crosses val="autoZero"/>
        <c:auto val="1"/>
        <c:lblAlgn val="ctr"/>
        <c:lblOffset val="100"/>
        <c:tickLblSkip val="1"/>
        <c:noMultiLvlLbl val="0"/>
      </c:catAx>
      <c:valAx>
        <c:axId val="1420523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50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likelihood'!$X$207:$X$213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likelihood'!$Z$207:$Z$213</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2068352"/>
        <c:axId val="142414208"/>
      </c:barChart>
      <c:catAx>
        <c:axId val="1420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2414208"/>
        <c:crosses val="autoZero"/>
        <c:auto val="1"/>
        <c:lblAlgn val="ctr"/>
        <c:lblOffset val="100"/>
        <c:tickLblSkip val="1"/>
        <c:noMultiLvlLbl val="0"/>
      </c:catAx>
      <c:valAx>
        <c:axId val="142414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2068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likelihood'!$X$234:$X$240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likelihood'!$Z$234:$Z$240</c:f>
              <c:numCache>
                <c:formatCode>0%</c:formatCode>
                <c:ptCount val="7"/>
                <c:pt idx="0">
                  <c:v>0.8</c:v>
                </c:pt>
                <c:pt idx="1">
                  <c:v>0.1</c:v>
                </c:pt>
                <c:pt idx="2">
                  <c:v>0</c:v>
                </c:pt>
                <c:pt idx="3">
                  <c:v>0.1</c:v>
                </c:pt>
                <c:pt idx="4">
                  <c:v>0</c:v>
                </c:pt>
                <c:pt idx="5">
                  <c:v>0</c:v>
                </c:pt>
                <c:pt idx="6">
                  <c:v>0</c:v>
                </c:pt>
              </c:numCache>
            </c:numRef>
          </c:val>
        </c:ser>
        <c:dLbls>
          <c:showLegendKey val="0"/>
          <c:showVal val="0"/>
          <c:showCatName val="0"/>
          <c:showSerName val="0"/>
          <c:showPercent val="0"/>
          <c:showBubbleSize val="0"/>
        </c:dLbls>
        <c:gapWidth val="219"/>
        <c:overlap val="-27"/>
        <c:axId val="142450688"/>
        <c:axId val="142452224"/>
      </c:barChart>
      <c:catAx>
        <c:axId val="14245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2452224"/>
        <c:crosses val="autoZero"/>
        <c:auto val="1"/>
        <c:lblAlgn val="ctr"/>
        <c:lblOffset val="100"/>
        <c:tickLblSkip val="1"/>
        <c:noMultiLvlLbl val="0"/>
      </c:catAx>
      <c:valAx>
        <c:axId val="1424522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450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likelihood'!$T$247</c:f>
              <c:strCache>
                <c:ptCount val="1"/>
                <c:pt idx="0">
                  <c:v>Forest owners/managers</c:v>
                </c:pt>
              </c:strCache>
            </c:strRef>
          </c:tx>
          <c:spPr>
            <a:solidFill>
              <a:schemeClr val="accent1"/>
            </a:solidFill>
            <a:ln>
              <a:noFill/>
            </a:ln>
            <a:effectLst/>
          </c:spPr>
          <c:invertIfNegative val="0"/>
          <c:cat>
            <c:strRef>
              <c:f>'S26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likelihood'!$T$248:$T$254</c:f>
              <c:numCache>
                <c:formatCode>General</c:formatCode>
                <c:ptCount val="7"/>
                <c:pt idx="0">
                  <c:v>1</c:v>
                </c:pt>
                <c:pt idx="1">
                  <c:v>1</c:v>
                </c:pt>
                <c:pt idx="2">
                  <c:v>0</c:v>
                </c:pt>
                <c:pt idx="3">
                  <c:v>1</c:v>
                </c:pt>
                <c:pt idx="4">
                  <c:v>0</c:v>
                </c:pt>
                <c:pt idx="5">
                  <c:v>0</c:v>
                </c:pt>
                <c:pt idx="6">
                  <c:v>0</c:v>
                </c:pt>
              </c:numCache>
            </c:numRef>
          </c:val>
        </c:ser>
        <c:ser>
          <c:idx val="1"/>
          <c:order val="1"/>
          <c:tx>
            <c:strRef>
              <c:f>'S26 likelihood'!$U$247</c:f>
              <c:strCache>
                <c:ptCount val="1"/>
                <c:pt idx="0">
                  <c:v>Pellet producers</c:v>
                </c:pt>
              </c:strCache>
            </c:strRef>
          </c:tx>
          <c:spPr>
            <a:solidFill>
              <a:schemeClr val="accent2"/>
            </a:solidFill>
            <a:ln>
              <a:noFill/>
            </a:ln>
            <a:effectLst/>
          </c:spPr>
          <c:invertIfNegative val="0"/>
          <c:cat>
            <c:strRef>
              <c:f>'S26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likelihood'!$U$248:$U$254</c:f>
              <c:numCache>
                <c:formatCode>0</c:formatCode>
                <c:ptCount val="7"/>
                <c:pt idx="0">
                  <c:v>3</c:v>
                </c:pt>
                <c:pt idx="1">
                  <c:v>0</c:v>
                </c:pt>
                <c:pt idx="2">
                  <c:v>0</c:v>
                </c:pt>
                <c:pt idx="3">
                  <c:v>0</c:v>
                </c:pt>
                <c:pt idx="4">
                  <c:v>0</c:v>
                </c:pt>
                <c:pt idx="5">
                  <c:v>0</c:v>
                </c:pt>
                <c:pt idx="6">
                  <c:v>0</c:v>
                </c:pt>
              </c:numCache>
            </c:numRef>
          </c:val>
        </c:ser>
        <c:ser>
          <c:idx val="2"/>
          <c:order val="2"/>
          <c:tx>
            <c:strRef>
              <c:f>'S26 likelihood'!$V$247</c:f>
              <c:strCache>
                <c:ptCount val="1"/>
                <c:pt idx="0">
                  <c:v>Pellet users</c:v>
                </c:pt>
              </c:strCache>
            </c:strRef>
          </c:tx>
          <c:spPr>
            <a:solidFill>
              <a:schemeClr val="accent3"/>
            </a:solidFill>
            <a:ln>
              <a:noFill/>
            </a:ln>
            <a:effectLst/>
          </c:spPr>
          <c:invertIfNegative val="0"/>
          <c:cat>
            <c:strRef>
              <c:f>'S26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likelihood'!$V$248:$V$254</c:f>
              <c:numCache>
                <c:formatCode>General</c:formatCode>
                <c:ptCount val="7"/>
                <c:pt idx="0">
                  <c:v>2</c:v>
                </c:pt>
                <c:pt idx="1">
                  <c:v>0</c:v>
                </c:pt>
                <c:pt idx="2">
                  <c:v>0</c:v>
                </c:pt>
                <c:pt idx="3">
                  <c:v>0</c:v>
                </c:pt>
                <c:pt idx="4">
                  <c:v>0</c:v>
                </c:pt>
                <c:pt idx="5">
                  <c:v>0</c:v>
                </c:pt>
                <c:pt idx="6">
                  <c:v>0</c:v>
                </c:pt>
              </c:numCache>
            </c:numRef>
          </c:val>
        </c:ser>
        <c:ser>
          <c:idx val="3"/>
          <c:order val="3"/>
          <c:tx>
            <c:strRef>
              <c:f>'S26 likelihood'!$W$247</c:f>
              <c:strCache>
                <c:ptCount val="1"/>
                <c:pt idx="0">
                  <c:v>Non-bioenergy wood users</c:v>
                </c:pt>
              </c:strCache>
            </c:strRef>
          </c:tx>
          <c:spPr>
            <a:solidFill>
              <a:schemeClr val="accent4"/>
            </a:solidFill>
            <a:ln>
              <a:noFill/>
            </a:ln>
            <a:effectLst/>
          </c:spPr>
          <c:invertIfNegative val="0"/>
          <c:cat>
            <c:strRef>
              <c:f>'S26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likelihood'!$W$248:$W$254</c:f>
              <c:numCache>
                <c:formatCode>General</c:formatCode>
                <c:ptCount val="7"/>
                <c:pt idx="0">
                  <c:v>2</c:v>
                </c:pt>
                <c:pt idx="1">
                  <c:v>0</c:v>
                </c:pt>
                <c:pt idx="2">
                  <c:v>0</c:v>
                </c:pt>
                <c:pt idx="3">
                  <c:v>0</c:v>
                </c:pt>
                <c:pt idx="4">
                  <c:v>0</c:v>
                </c:pt>
                <c:pt idx="5">
                  <c:v>0</c:v>
                </c:pt>
                <c:pt idx="6">
                  <c:v>0</c:v>
                </c:pt>
              </c:numCache>
            </c:numRef>
          </c:val>
        </c:ser>
        <c:ser>
          <c:idx val="4"/>
          <c:order val="4"/>
          <c:tx>
            <c:strRef>
              <c:f>'S26 likelihood'!$X$247</c:f>
              <c:strCache>
                <c:ptCount val="1"/>
                <c:pt idx="0">
                  <c:v>Policy makers and academia</c:v>
                </c:pt>
              </c:strCache>
            </c:strRef>
          </c:tx>
          <c:spPr>
            <a:solidFill>
              <a:schemeClr val="accent5"/>
            </a:solidFill>
            <a:ln>
              <a:noFill/>
            </a:ln>
            <a:effectLst/>
          </c:spPr>
          <c:invertIfNegative val="0"/>
          <c:cat>
            <c:strRef>
              <c:f>'S26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likelihood'!$X$248:$X$254</c:f>
              <c:numCache>
                <c:formatCode>0</c:formatCode>
                <c:ptCount val="7"/>
                <c:pt idx="0">
                  <c:v>0</c:v>
                </c:pt>
                <c:pt idx="1">
                  <c:v>0</c:v>
                </c:pt>
                <c:pt idx="2">
                  <c:v>0</c:v>
                </c:pt>
                <c:pt idx="3">
                  <c:v>0</c:v>
                </c:pt>
                <c:pt idx="4">
                  <c:v>0</c:v>
                </c:pt>
                <c:pt idx="5">
                  <c:v>0</c:v>
                </c:pt>
                <c:pt idx="6">
                  <c:v>0</c:v>
                </c:pt>
              </c:numCache>
            </c:numRef>
          </c:val>
        </c:ser>
        <c:ser>
          <c:idx val="5"/>
          <c:order val="5"/>
          <c:tx>
            <c:strRef>
              <c:f>'S26 likelihood'!$Y$247</c:f>
              <c:strCache>
                <c:ptCount val="1"/>
                <c:pt idx="0">
                  <c:v>NGOs</c:v>
                </c:pt>
              </c:strCache>
            </c:strRef>
          </c:tx>
          <c:spPr>
            <a:solidFill>
              <a:schemeClr val="accent6"/>
            </a:solidFill>
            <a:ln>
              <a:noFill/>
            </a:ln>
            <a:effectLst/>
          </c:spPr>
          <c:invertIfNegative val="0"/>
          <c:cat>
            <c:strRef>
              <c:f>'S26 likelihood'!$S$248:$S$254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likelihood'!$Y$248:$Y$254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2832768"/>
        <c:axId val="142834304"/>
      </c:barChart>
      <c:catAx>
        <c:axId val="142832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2834304"/>
        <c:crosses val="autoZero"/>
        <c:auto val="1"/>
        <c:lblAlgn val="ctr"/>
        <c:lblOffset val="100"/>
        <c:noMultiLvlLbl val="0"/>
      </c:catAx>
      <c:valAx>
        <c:axId val="142834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83276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likelihood'!$T$279</c:f>
              <c:strCache>
                <c:ptCount val="1"/>
                <c:pt idx="0">
                  <c:v>Forest owners/managers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likelihood'!$T$280:$T$286</c:f>
              <c:numCache>
                <c:formatCode>0%</c:formatCode>
                <c:ptCount val="7"/>
                <c:pt idx="0">
                  <c:v>5.5555555555555552E-2</c:v>
                </c:pt>
                <c:pt idx="1">
                  <c:v>5.5555555555555552E-2</c:v>
                </c:pt>
                <c:pt idx="2">
                  <c:v>0</c:v>
                </c:pt>
                <c:pt idx="3">
                  <c:v>5.5555555555555552E-2</c:v>
                </c:pt>
                <c:pt idx="4">
                  <c:v>0</c:v>
                </c:pt>
                <c:pt idx="5">
                  <c:v>0</c:v>
                </c:pt>
                <c:pt idx="6">
                  <c:v>0</c:v>
                </c:pt>
              </c:numCache>
            </c:numRef>
          </c:val>
        </c:ser>
        <c:ser>
          <c:idx val="1"/>
          <c:order val="1"/>
          <c:tx>
            <c:strRef>
              <c:f>'S26 likelihood'!$U$279</c:f>
              <c:strCache>
                <c:ptCount val="1"/>
                <c:pt idx="0">
                  <c:v>Pellet producers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likelihood'!$U$280:$U$286</c:f>
              <c:numCache>
                <c:formatCode>0%</c:formatCode>
                <c:ptCount val="7"/>
                <c:pt idx="0">
                  <c:v>0.16666666666666666</c:v>
                </c:pt>
                <c:pt idx="1">
                  <c:v>0</c:v>
                </c:pt>
                <c:pt idx="2">
                  <c:v>0</c:v>
                </c:pt>
                <c:pt idx="3">
                  <c:v>0</c:v>
                </c:pt>
                <c:pt idx="4">
                  <c:v>0</c:v>
                </c:pt>
                <c:pt idx="5">
                  <c:v>0</c:v>
                </c:pt>
                <c:pt idx="6">
                  <c:v>0</c:v>
                </c:pt>
              </c:numCache>
            </c:numRef>
          </c:val>
        </c:ser>
        <c:ser>
          <c:idx val="2"/>
          <c:order val="2"/>
          <c:tx>
            <c:strRef>
              <c:f>'S26 likelihood'!$V$279</c:f>
              <c:strCache>
                <c:ptCount val="1"/>
                <c:pt idx="0">
                  <c:v>Pellet users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likelihood'!$V$280:$V$286</c:f>
              <c:numCache>
                <c:formatCode>0%</c:formatCode>
                <c:ptCount val="7"/>
                <c:pt idx="0">
                  <c:v>0.16666666666666666</c:v>
                </c:pt>
                <c:pt idx="1">
                  <c:v>0</c:v>
                </c:pt>
                <c:pt idx="2">
                  <c:v>0</c:v>
                </c:pt>
                <c:pt idx="3">
                  <c:v>0</c:v>
                </c:pt>
                <c:pt idx="4">
                  <c:v>0</c:v>
                </c:pt>
                <c:pt idx="5">
                  <c:v>0</c:v>
                </c:pt>
                <c:pt idx="6">
                  <c:v>0</c:v>
                </c:pt>
              </c:numCache>
            </c:numRef>
          </c:val>
        </c:ser>
        <c:ser>
          <c:idx val="3"/>
          <c:order val="3"/>
          <c:tx>
            <c:strRef>
              <c:f>'S26 likelihood'!$W$279</c:f>
              <c:strCache>
                <c:ptCount val="1"/>
                <c:pt idx="0">
                  <c:v>Non-bioenergy wood users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likelihood'!$W$280:$W$286</c:f>
              <c:numCache>
                <c:formatCode>0%</c:formatCode>
                <c:ptCount val="7"/>
                <c:pt idx="0">
                  <c:v>0.16666666666666666</c:v>
                </c:pt>
                <c:pt idx="1">
                  <c:v>0</c:v>
                </c:pt>
                <c:pt idx="2">
                  <c:v>0</c:v>
                </c:pt>
                <c:pt idx="3">
                  <c:v>0</c:v>
                </c:pt>
                <c:pt idx="4">
                  <c:v>0</c:v>
                </c:pt>
                <c:pt idx="5">
                  <c:v>0</c:v>
                </c:pt>
                <c:pt idx="6">
                  <c:v>0</c:v>
                </c:pt>
              </c:numCache>
            </c:numRef>
          </c:val>
        </c:ser>
        <c:ser>
          <c:idx val="4"/>
          <c:order val="4"/>
          <c:tx>
            <c:strRef>
              <c:f>'S26 likelihood'!$X$279</c:f>
              <c:strCache>
                <c:ptCount val="1"/>
                <c:pt idx="0">
                  <c:v>Policy makers and academia</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likelihood'!$X$280:$X$286</c:f>
              <c:numCache>
                <c:formatCode>0%</c:formatCode>
                <c:ptCount val="7"/>
                <c:pt idx="0">
                  <c:v>0</c:v>
                </c:pt>
                <c:pt idx="1">
                  <c:v>0</c:v>
                </c:pt>
                <c:pt idx="2">
                  <c:v>0</c:v>
                </c:pt>
                <c:pt idx="3">
                  <c:v>0</c:v>
                </c:pt>
                <c:pt idx="4">
                  <c:v>0</c:v>
                </c:pt>
                <c:pt idx="5">
                  <c:v>0</c:v>
                </c:pt>
                <c:pt idx="6">
                  <c:v>0</c:v>
                </c:pt>
              </c:numCache>
            </c:numRef>
          </c:val>
        </c:ser>
        <c:ser>
          <c:idx val="5"/>
          <c:order val="5"/>
          <c:tx>
            <c:strRef>
              <c:f>'S26 likelihood'!$Y$279</c:f>
              <c:strCache>
                <c:ptCount val="1"/>
                <c:pt idx="0">
                  <c:v>NGOs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likelihood'!$Y$280:$Y$286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2756096"/>
        <c:axId val="142757888"/>
      </c:barChart>
      <c:catAx>
        <c:axId val="1427560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2757888"/>
        <c:crosses val="autoZero"/>
        <c:auto val="1"/>
        <c:lblAlgn val="ctr"/>
        <c:lblOffset val="100"/>
        <c:noMultiLvlLbl val="0"/>
      </c:catAx>
      <c:valAx>
        <c:axId val="142757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756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likelihood'!$T$279</c:f>
              <c:strCache>
                <c:ptCount val="1"/>
                <c:pt idx="0">
                  <c:v>Forest owners/managers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likelihood'!$T$280:$T$286</c:f>
              <c:numCache>
                <c:formatCode>0%</c:formatCode>
                <c:ptCount val="7"/>
                <c:pt idx="0">
                  <c:v>5.5555555555555552E-2</c:v>
                </c:pt>
                <c:pt idx="1">
                  <c:v>5.5555555555555552E-2</c:v>
                </c:pt>
                <c:pt idx="2">
                  <c:v>0</c:v>
                </c:pt>
                <c:pt idx="3">
                  <c:v>5.5555555555555552E-2</c:v>
                </c:pt>
                <c:pt idx="4">
                  <c:v>0</c:v>
                </c:pt>
                <c:pt idx="5">
                  <c:v>0</c:v>
                </c:pt>
                <c:pt idx="6">
                  <c:v>0</c:v>
                </c:pt>
              </c:numCache>
            </c:numRef>
          </c:val>
        </c:ser>
        <c:ser>
          <c:idx val="1"/>
          <c:order val="1"/>
          <c:tx>
            <c:strRef>
              <c:f>'S26 likelihood'!$U$279</c:f>
              <c:strCache>
                <c:ptCount val="1"/>
                <c:pt idx="0">
                  <c:v>Pellet producers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likelihood'!$U$280:$U$286</c:f>
              <c:numCache>
                <c:formatCode>0%</c:formatCode>
                <c:ptCount val="7"/>
                <c:pt idx="0">
                  <c:v>0.16666666666666666</c:v>
                </c:pt>
                <c:pt idx="1">
                  <c:v>0</c:v>
                </c:pt>
                <c:pt idx="2">
                  <c:v>0</c:v>
                </c:pt>
                <c:pt idx="3">
                  <c:v>0</c:v>
                </c:pt>
                <c:pt idx="4">
                  <c:v>0</c:v>
                </c:pt>
                <c:pt idx="5">
                  <c:v>0</c:v>
                </c:pt>
                <c:pt idx="6">
                  <c:v>0</c:v>
                </c:pt>
              </c:numCache>
            </c:numRef>
          </c:val>
        </c:ser>
        <c:ser>
          <c:idx val="2"/>
          <c:order val="2"/>
          <c:tx>
            <c:strRef>
              <c:f>'S26 likelihood'!$V$279</c:f>
              <c:strCache>
                <c:ptCount val="1"/>
                <c:pt idx="0">
                  <c:v>Pellet users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likelihood'!$V$280:$V$286</c:f>
              <c:numCache>
                <c:formatCode>0%</c:formatCode>
                <c:ptCount val="7"/>
                <c:pt idx="0">
                  <c:v>0.16666666666666666</c:v>
                </c:pt>
                <c:pt idx="1">
                  <c:v>0</c:v>
                </c:pt>
                <c:pt idx="2">
                  <c:v>0</c:v>
                </c:pt>
                <c:pt idx="3">
                  <c:v>0</c:v>
                </c:pt>
                <c:pt idx="4">
                  <c:v>0</c:v>
                </c:pt>
                <c:pt idx="5">
                  <c:v>0</c:v>
                </c:pt>
                <c:pt idx="6">
                  <c:v>0</c:v>
                </c:pt>
              </c:numCache>
            </c:numRef>
          </c:val>
        </c:ser>
        <c:ser>
          <c:idx val="3"/>
          <c:order val="3"/>
          <c:tx>
            <c:strRef>
              <c:f>'S26 likelihood'!$W$279</c:f>
              <c:strCache>
                <c:ptCount val="1"/>
                <c:pt idx="0">
                  <c:v>Non-bioenergy wood users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likelihood'!$W$280:$W$286</c:f>
              <c:numCache>
                <c:formatCode>0%</c:formatCode>
                <c:ptCount val="7"/>
                <c:pt idx="0">
                  <c:v>0.16666666666666666</c:v>
                </c:pt>
                <c:pt idx="1">
                  <c:v>0</c:v>
                </c:pt>
                <c:pt idx="2">
                  <c:v>0</c:v>
                </c:pt>
                <c:pt idx="3">
                  <c:v>0</c:v>
                </c:pt>
                <c:pt idx="4">
                  <c:v>0</c:v>
                </c:pt>
                <c:pt idx="5">
                  <c:v>0</c:v>
                </c:pt>
                <c:pt idx="6">
                  <c:v>0</c:v>
                </c:pt>
              </c:numCache>
            </c:numRef>
          </c:val>
        </c:ser>
        <c:ser>
          <c:idx val="4"/>
          <c:order val="4"/>
          <c:tx>
            <c:strRef>
              <c:f>'S26 likelihood'!$X$279</c:f>
              <c:strCache>
                <c:ptCount val="1"/>
                <c:pt idx="0">
                  <c:v>Policy makers and academia</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likelihood'!$X$280:$X$286</c:f>
              <c:numCache>
                <c:formatCode>0%</c:formatCode>
                <c:ptCount val="7"/>
                <c:pt idx="0">
                  <c:v>0</c:v>
                </c:pt>
                <c:pt idx="1">
                  <c:v>0</c:v>
                </c:pt>
                <c:pt idx="2">
                  <c:v>0</c:v>
                </c:pt>
                <c:pt idx="3">
                  <c:v>0</c:v>
                </c:pt>
                <c:pt idx="4">
                  <c:v>0</c:v>
                </c:pt>
                <c:pt idx="5">
                  <c:v>0</c:v>
                </c:pt>
                <c:pt idx="6">
                  <c:v>0</c:v>
                </c:pt>
              </c:numCache>
            </c:numRef>
          </c:val>
        </c:ser>
        <c:ser>
          <c:idx val="5"/>
          <c:order val="5"/>
          <c:tx>
            <c:strRef>
              <c:f>'S26 likelihood'!$Y$279</c:f>
              <c:strCache>
                <c:ptCount val="1"/>
                <c:pt idx="0">
                  <c:v>NGOs</c:v>
                </c:pt>
              </c:strCache>
            </c:strRef>
          </c:tx>
          <c:invertIfNegative val="0"/>
          <c:cat>
            <c:strRef>
              <c:f>'S26 likelihood'!$S$280:$S$286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likelihood'!$Y$280:$Y$286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142798848"/>
        <c:axId val="142800384"/>
      </c:barChart>
      <c:catAx>
        <c:axId val="1427988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2800384"/>
        <c:crosses val="autoZero"/>
        <c:auto val="1"/>
        <c:lblAlgn val="ctr"/>
        <c:lblOffset val="100"/>
        <c:noMultiLvlLbl val="0"/>
      </c:catAx>
      <c:valAx>
        <c:axId val="142800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7988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likelihood'!$DL$247</c:f>
              <c:strCache>
                <c:ptCount val="1"/>
                <c:pt idx="0">
                  <c:v>Forest owners/managers</c:v>
                </c:pt>
              </c:strCache>
            </c:strRef>
          </c:tx>
          <c:spPr>
            <a:solidFill>
              <a:schemeClr val="accent1"/>
            </a:solidFill>
            <a:ln>
              <a:noFill/>
            </a:ln>
            <a:effectLst/>
          </c:spPr>
          <c:invertIfNegative val="0"/>
          <c:cat>
            <c:strRef>
              <c:f>'S26 likelihood'!$DK$248:$DK$252</c:f>
              <c:strCache>
                <c:ptCount val="5"/>
                <c:pt idx="0">
                  <c:v>Definitely not</c:v>
                </c:pt>
                <c:pt idx="1">
                  <c:v>Sometimes</c:v>
                </c:pt>
                <c:pt idx="2">
                  <c:v>Most of the time</c:v>
                </c:pt>
                <c:pt idx="3">
                  <c:v>Yes, always</c:v>
                </c:pt>
                <c:pt idx="4">
                  <c:v>I don’t know</c:v>
                </c:pt>
              </c:strCache>
            </c:strRef>
          </c:cat>
          <c:val>
            <c:numRef>
              <c:f>'S26 likelihood'!$DL$248:$DL$252</c:f>
              <c:numCache>
                <c:formatCode>General</c:formatCode>
                <c:ptCount val="5"/>
                <c:pt idx="0">
                  <c:v>3</c:v>
                </c:pt>
                <c:pt idx="1">
                  <c:v>0</c:v>
                </c:pt>
                <c:pt idx="2">
                  <c:v>0</c:v>
                </c:pt>
                <c:pt idx="3">
                  <c:v>0</c:v>
                </c:pt>
                <c:pt idx="4">
                  <c:v>0</c:v>
                </c:pt>
              </c:numCache>
            </c:numRef>
          </c:val>
        </c:ser>
        <c:ser>
          <c:idx val="1"/>
          <c:order val="1"/>
          <c:tx>
            <c:strRef>
              <c:f>'S26 likelihood'!$DM$247</c:f>
              <c:strCache>
                <c:ptCount val="1"/>
                <c:pt idx="0">
                  <c:v>Pellet producers</c:v>
                </c:pt>
              </c:strCache>
            </c:strRef>
          </c:tx>
          <c:spPr>
            <a:solidFill>
              <a:schemeClr val="accent2"/>
            </a:solidFill>
            <a:ln>
              <a:noFill/>
            </a:ln>
            <a:effectLst/>
          </c:spPr>
          <c:invertIfNegative val="0"/>
          <c:cat>
            <c:strRef>
              <c:f>'S26 likelihood'!$DK$248:$DK$252</c:f>
              <c:strCache>
                <c:ptCount val="5"/>
                <c:pt idx="0">
                  <c:v>Definitely not</c:v>
                </c:pt>
                <c:pt idx="1">
                  <c:v>Sometimes</c:v>
                </c:pt>
                <c:pt idx="2">
                  <c:v>Most of the time</c:v>
                </c:pt>
                <c:pt idx="3">
                  <c:v>Yes, always</c:v>
                </c:pt>
                <c:pt idx="4">
                  <c:v>I don’t know</c:v>
                </c:pt>
              </c:strCache>
            </c:strRef>
          </c:cat>
          <c:val>
            <c:numRef>
              <c:f>'S26 likelihood'!$DM$248:$DM$252</c:f>
              <c:numCache>
                <c:formatCode>0</c:formatCode>
                <c:ptCount val="5"/>
                <c:pt idx="0">
                  <c:v>2</c:v>
                </c:pt>
                <c:pt idx="1">
                  <c:v>1</c:v>
                </c:pt>
                <c:pt idx="2">
                  <c:v>0</c:v>
                </c:pt>
                <c:pt idx="3">
                  <c:v>0</c:v>
                </c:pt>
                <c:pt idx="4">
                  <c:v>0</c:v>
                </c:pt>
              </c:numCache>
            </c:numRef>
          </c:val>
        </c:ser>
        <c:ser>
          <c:idx val="2"/>
          <c:order val="2"/>
          <c:tx>
            <c:strRef>
              <c:f>'S26 likelihood'!$DN$247</c:f>
              <c:strCache>
                <c:ptCount val="1"/>
                <c:pt idx="0">
                  <c:v>Pellet users</c:v>
                </c:pt>
              </c:strCache>
            </c:strRef>
          </c:tx>
          <c:spPr>
            <a:solidFill>
              <a:schemeClr val="accent3"/>
            </a:solidFill>
            <a:ln>
              <a:noFill/>
            </a:ln>
            <a:effectLst/>
          </c:spPr>
          <c:invertIfNegative val="0"/>
          <c:cat>
            <c:strRef>
              <c:f>'S26 likelihood'!$DK$248:$DK$252</c:f>
              <c:strCache>
                <c:ptCount val="5"/>
                <c:pt idx="0">
                  <c:v>Definitely not</c:v>
                </c:pt>
                <c:pt idx="1">
                  <c:v>Sometimes</c:v>
                </c:pt>
                <c:pt idx="2">
                  <c:v>Most of the time</c:v>
                </c:pt>
                <c:pt idx="3">
                  <c:v>Yes, always</c:v>
                </c:pt>
                <c:pt idx="4">
                  <c:v>I don’t know</c:v>
                </c:pt>
              </c:strCache>
            </c:strRef>
          </c:cat>
          <c:val>
            <c:numRef>
              <c:f>'S26 likelihood'!$DN$248:$DN$252</c:f>
              <c:numCache>
                <c:formatCode>General</c:formatCode>
                <c:ptCount val="5"/>
                <c:pt idx="0">
                  <c:v>1</c:v>
                </c:pt>
                <c:pt idx="1">
                  <c:v>1</c:v>
                </c:pt>
                <c:pt idx="2">
                  <c:v>0</c:v>
                </c:pt>
                <c:pt idx="3">
                  <c:v>0</c:v>
                </c:pt>
                <c:pt idx="4">
                  <c:v>0</c:v>
                </c:pt>
              </c:numCache>
            </c:numRef>
          </c:val>
        </c:ser>
        <c:ser>
          <c:idx val="3"/>
          <c:order val="3"/>
          <c:tx>
            <c:strRef>
              <c:f>'S26 likelihood'!$DO$247</c:f>
              <c:strCache>
                <c:ptCount val="1"/>
                <c:pt idx="0">
                  <c:v>Non-bioenergy wood users</c:v>
                </c:pt>
              </c:strCache>
            </c:strRef>
          </c:tx>
          <c:spPr>
            <a:solidFill>
              <a:schemeClr val="accent4"/>
            </a:solidFill>
            <a:ln>
              <a:noFill/>
            </a:ln>
            <a:effectLst/>
          </c:spPr>
          <c:invertIfNegative val="0"/>
          <c:cat>
            <c:strRef>
              <c:f>'S26 likelihood'!$DK$248:$DK$252</c:f>
              <c:strCache>
                <c:ptCount val="5"/>
                <c:pt idx="0">
                  <c:v>Definitely not</c:v>
                </c:pt>
                <c:pt idx="1">
                  <c:v>Sometimes</c:v>
                </c:pt>
                <c:pt idx="2">
                  <c:v>Most of the time</c:v>
                </c:pt>
                <c:pt idx="3">
                  <c:v>Yes, always</c:v>
                </c:pt>
                <c:pt idx="4">
                  <c:v>I don’t know</c:v>
                </c:pt>
              </c:strCache>
            </c:strRef>
          </c:cat>
          <c:val>
            <c:numRef>
              <c:f>'S26 likelihood'!$DO$248:$DO$252</c:f>
              <c:numCache>
                <c:formatCode>General</c:formatCode>
                <c:ptCount val="5"/>
                <c:pt idx="0">
                  <c:v>0</c:v>
                </c:pt>
                <c:pt idx="1">
                  <c:v>2</c:v>
                </c:pt>
                <c:pt idx="2">
                  <c:v>0</c:v>
                </c:pt>
                <c:pt idx="3">
                  <c:v>0</c:v>
                </c:pt>
                <c:pt idx="4">
                  <c:v>0</c:v>
                </c:pt>
              </c:numCache>
            </c:numRef>
          </c:val>
        </c:ser>
        <c:ser>
          <c:idx val="4"/>
          <c:order val="4"/>
          <c:tx>
            <c:strRef>
              <c:f>'S26 likelihood'!$DP$247</c:f>
              <c:strCache>
                <c:ptCount val="1"/>
                <c:pt idx="0">
                  <c:v>Policy makers and academia</c:v>
                </c:pt>
              </c:strCache>
            </c:strRef>
          </c:tx>
          <c:spPr>
            <a:solidFill>
              <a:schemeClr val="accent5"/>
            </a:solidFill>
            <a:ln>
              <a:noFill/>
            </a:ln>
            <a:effectLst/>
          </c:spPr>
          <c:invertIfNegative val="0"/>
          <c:cat>
            <c:strRef>
              <c:f>'S26 likelihood'!$DK$248:$DK$252</c:f>
              <c:strCache>
                <c:ptCount val="5"/>
                <c:pt idx="0">
                  <c:v>Definitely not</c:v>
                </c:pt>
                <c:pt idx="1">
                  <c:v>Sometimes</c:v>
                </c:pt>
                <c:pt idx="2">
                  <c:v>Most of the time</c:v>
                </c:pt>
                <c:pt idx="3">
                  <c:v>Yes, always</c:v>
                </c:pt>
                <c:pt idx="4">
                  <c:v>I don’t know</c:v>
                </c:pt>
              </c:strCache>
            </c:strRef>
          </c:cat>
          <c:val>
            <c:numRef>
              <c:f>'S26 likelihood'!$DP$248:$DP$252</c:f>
              <c:numCache>
                <c:formatCode>0</c:formatCode>
                <c:ptCount val="5"/>
                <c:pt idx="0">
                  <c:v>1</c:v>
                </c:pt>
                <c:pt idx="1">
                  <c:v>1</c:v>
                </c:pt>
                <c:pt idx="2">
                  <c:v>0</c:v>
                </c:pt>
                <c:pt idx="3">
                  <c:v>0</c:v>
                </c:pt>
                <c:pt idx="4">
                  <c:v>0</c:v>
                </c:pt>
              </c:numCache>
            </c:numRef>
          </c:val>
        </c:ser>
        <c:ser>
          <c:idx val="5"/>
          <c:order val="5"/>
          <c:tx>
            <c:strRef>
              <c:f>'S26 likelihood'!$DQ$247</c:f>
              <c:strCache>
                <c:ptCount val="1"/>
                <c:pt idx="0">
                  <c:v>NGOs</c:v>
                </c:pt>
              </c:strCache>
            </c:strRef>
          </c:tx>
          <c:spPr>
            <a:solidFill>
              <a:schemeClr val="accent6"/>
            </a:solidFill>
            <a:ln>
              <a:noFill/>
            </a:ln>
            <a:effectLst/>
          </c:spPr>
          <c:invertIfNegative val="0"/>
          <c:cat>
            <c:strRef>
              <c:f>'S26 likelihood'!$DK$248:$DK$252</c:f>
              <c:strCache>
                <c:ptCount val="5"/>
                <c:pt idx="0">
                  <c:v>Definitely not</c:v>
                </c:pt>
                <c:pt idx="1">
                  <c:v>Sometimes</c:v>
                </c:pt>
                <c:pt idx="2">
                  <c:v>Most of the time</c:v>
                </c:pt>
                <c:pt idx="3">
                  <c:v>Yes, always</c:v>
                </c:pt>
                <c:pt idx="4">
                  <c:v>I don’t know</c:v>
                </c:pt>
              </c:strCache>
            </c:strRef>
          </c:cat>
          <c:val>
            <c:numRef>
              <c:f>'S26 likelihood'!$DQ$248:$DQ$252</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142582528"/>
        <c:axId val="142584064"/>
      </c:barChart>
      <c:catAx>
        <c:axId val="142582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2584064"/>
        <c:crosses val="autoZero"/>
        <c:auto val="1"/>
        <c:lblAlgn val="ctr"/>
        <c:lblOffset val="100"/>
        <c:noMultiLvlLbl val="0"/>
      </c:catAx>
      <c:valAx>
        <c:axId val="142584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42582528"/>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likelihood'!$BQ$72:$BQ$78</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likelihood'!$BS$72:$BS$78</c:f>
              <c:numCache>
                <c:formatCode>0%</c:formatCode>
                <c:ptCount val="7"/>
                <c:pt idx="0">
                  <c:v>0.75</c:v>
                </c:pt>
                <c:pt idx="1">
                  <c:v>0.25</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8322304"/>
        <c:axId val="138323840"/>
      </c:barChart>
      <c:catAx>
        <c:axId val="13832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8323840"/>
        <c:crosses val="autoZero"/>
        <c:auto val="1"/>
        <c:lblAlgn val="ctr"/>
        <c:lblOffset val="100"/>
        <c:tickLblSkip val="1"/>
        <c:noMultiLvlLbl val="0"/>
      </c:catAx>
      <c:valAx>
        <c:axId val="138323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22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'S26 likelihood'!$DL$279</c:f>
              <c:strCache>
                <c:ptCount val="1"/>
                <c:pt idx="0">
                  <c:v>Forest owners/managers</c:v>
                </c:pt>
              </c:strCache>
            </c:strRef>
          </c:tx>
          <c:invertIfNegative val="0"/>
          <c:cat>
            <c:strRef>
              <c:f>'S26 likelihood'!$DK$280:$DK$284</c:f>
              <c:strCache>
                <c:ptCount val="5"/>
                <c:pt idx="0">
                  <c:v>Definitely not</c:v>
                </c:pt>
                <c:pt idx="1">
                  <c:v>Sometimes</c:v>
                </c:pt>
                <c:pt idx="2">
                  <c:v>Most of the time</c:v>
                </c:pt>
                <c:pt idx="3">
                  <c:v>Yes, always</c:v>
                </c:pt>
                <c:pt idx="4">
                  <c:v>I don’t know</c:v>
                </c:pt>
              </c:strCache>
            </c:strRef>
          </c:cat>
          <c:val>
            <c:numRef>
              <c:f>'S26 likelihood'!$DL$280:$DL$284</c:f>
              <c:numCache>
                <c:formatCode>0%</c:formatCode>
                <c:ptCount val="5"/>
                <c:pt idx="0">
                  <c:v>0.16666666666666666</c:v>
                </c:pt>
                <c:pt idx="1">
                  <c:v>0</c:v>
                </c:pt>
                <c:pt idx="2">
                  <c:v>0</c:v>
                </c:pt>
                <c:pt idx="3">
                  <c:v>0</c:v>
                </c:pt>
                <c:pt idx="4">
                  <c:v>0</c:v>
                </c:pt>
              </c:numCache>
            </c:numRef>
          </c:val>
        </c:ser>
        <c:ser>
          <c:idx val="1"/>
          <c:order val="1"/>
          <c:tx>
            <c:strRef>
              <c:f>'S26 likelihood'!$DM$279</c:f>
              <c:strCache>
                <c:ptCount val="1"/>
                <c:pt idx="0">
                  <c:v>Pellet producers</c:v>
                </c:pt>
              </c:strCache>
            </c:strRef>
          </c:tx>
          <c:invertIfNegative val="0"/>
          <c:cat>
            <c:strRef>
              <c:f>'S26 likelihood'!$DK$280:$DK$284</c:f>
              <c:strCache>
                <c:ptCount val="5"/>
                <c:pt idx="0">
                  <c:v>Definitely not</c:v>
                </c:pt>
                <c:pt idx="1">
                  <c:v>Sometimes</c:v>
                </c:pt>
                <c:pt idx="2">
                  <c:v>Most of the time</c:v>
                </c:pt>
                <c:pt idx="3">
                  <c:v>Yes, always</c:v>
                </c:pt>
                <c:pt idx="4">
                  <c:v>I don’t know</c:v>
                </c:pt>
              </c:strCache>
            </c:strRef>
          </c:cat>
          <c:val>
            <c:numRef>
              <c:f>'S26 likelihood'!$DM$280:$DM$284</c:f>
              <c:numCache>
                <c:formatCode>0%</c:formatCode>
                <c:ptCount val="5"/>
                <c:pt idx="0">
                  <c:v>0.1111111111111111</c:v>
                </c:pt>
                <c:pt idx="1">
                  <c:v>5.5555555555555552E-2</c:v>
                </c:pt>
                <c:pt idx="2">
                  <c:v>0</c:v>
                </c:pt>
                <c:pt idx="3">
                  <c:v>0</c:v>
                </c:pt>
                <c:pt idx="4">
                  <c:v>0</c:v>
                </c:pt>
              </c:numCache>
            </c:numRef>
          </c:val>
        </c:ser>
        <c:ser>
          <c:idx val="2"/>
          <c:order val="2"/>
          <c:tx>
            <c:strRef>
              <c:f>'S26 likelihood'!$DN$279</c:f>
              <c:strCache>
                <c:ptCount val="1"/>
                <c:pt idx="0">
                  <c:v>Pellet users</c:v>
                </c:pt>
              </c:strCache>
            </c:strRef>
          </c:tx>
          <c:invertIfNegative val="0"/>
          <c:cat>
            <c:strRef>
              <c:f>'S26 likelihood'!$DK$280:$DK$284</c:f>
              <c:strCache>
                <c:ptCount val="5"/>
                <c:pt idx="0">
                  <c:v>Definitely not</c:v>
                </c:pt>
                <c:pt idx="1">
                  <c:v>Sometimes</c:v>
                </c:pt>
                <c:pt idx="2">
                  <c:v>Most of the time</c:v>
                </c:pt>
                <c:pt idx="3">
                  <c:v>Yes, always</c:v>
                </c:pt>
                <c:pt idx="4">
                  <c:v>I don’t know</c:v>
                </c:pt>
              </c:strCache>
            </c:strRef>
          </c:cat>
          <c:val>
            <c:numRef>
              <c:f>'S26 likelihood'!$DN$280:$DN$284</c:f>
              <c:numCache>
                <c:formatCode>0%</c:formatCode>
                <c:ptCount val="5"/>
                <c:pt idx="0">
                  <c:v>8.3333333333333329E-2</c:v>
                </c:pt>
                <c:pt idx="1">
                  <c:v>8.3333333333333329E-2</c:v>
                </c:pt>
                <c:pt idx="2">
                  <c:v>0</c:v>
                </c:pt>
                <c:pt idx="3">
                  <c:v>0</c:v>
                </c:pt>
                <c:pt idx="4">
                  <c:v>0</c:v>
                </c:pt>
              </c:numCache>
            </c:numRef>
          </c:val>
        </c:ser>
        <c:ser>
          <c:idx val="3"/>
          <c:order val="3"/>
          <c:tx>
            <c:strRef>
              <c:f>'S26 likelihood'!$DO$279</c:f>
              <c:strCache>
                <c:ptCount val="1"/>
                <c:pt idx="0">
                  <c:v>Non-bioenergy wood users</c:v>
                </c:pt>
              </c:strCache>
            </c:strRef>
          </c:tx>
          <c:invertIfNegative val="0"/>
          <c:cat>
            <c:strRef>
              <c:f>'S26 likelihood'!$DK$280:$DK$284</c:f>
              <c:strCache>
                <c:ptCount val="5"/>
                <c:pt idx="0">
                  <c:v>Definitely not</c:v>
                </c:pt>
                <c:pt idx="1">
                  <c:v>Sometimes</c:v>
                </c:pt>
                <c:pt idx="2">
                  <c:v>Most of the time</c:v>
                </c:pt>
                <c:pt idx="3">
                  <c:v>Yes, always</c:v>
                </c:pt>
                <c:pt idx="4">
                  <c:v>I don’t know</c:v>
                </c:pt>
              </c:strCache>
            </c:strRef>
          </c:cat>
          <c:val>
            <c:numRef>
              <c:f>'S26 likelihood'!$DO$280:$DO$284</c:f>
              <c:numCache>
                <c:formatCode>0%</c:formatCode>
                <c:ptCount val="5"/>
                <c:pt idx="0">
                  <c:v>0</c:v>
                </c:pt>
                <c:pt idx="1">
                  <c:v>0.16666666666666666</c:v>
                </c:pt>
                <c:pt idx="2">
                  <c:v>0</c:v>
                </c:pt>
                <c:pt idx="3">
                  <c:v>0</c:v>
                </c:pt>
                <c:pt idx="4">
                  <c:v>0</c:v>
                </c:pt>
              </c:numCache>
            </c:numRef>
          </c:val>
        </c:ser>
        <c:ser>
          <c:idx val="4"/>
          <c:order val="4"/>
          <c:tx>
            <c:strRef>
              <c:f>'S26 likelihood'!$DP$279</c:f>
              <c:strCache>
                <c:ptCount val="1"/>
                <c:pt idx="0">
                  <c:v>Policy makers and academia</c:v>
                </c:pt>
              </c:strCache>
            </c:strRef>
          </c:tx>
          <c:invertIfNegative val="0"/>
          <c:cat>
            <c:strRef>
              <c:f>'S26 likelihood'!$DK$280:$DK$284</c:f>
              <c:strCache>
                <c:ptCount val="5"/>
                <c:pt idx="0">
                  <c:v>Definitely not</c:v>
                </c:pt>
                <c:pt idx="1">
                  <c:v>Sometimes</c:v>
                </c:pt>
                <c:pt idx="2">
                  <c:v>Most of the time</c:v>
                </c:pt>
                <c:pt idx="3">
                  <c:v>Yes, always</c:v>
                </c:pt>
                <c:pt idx="4">
                  <c:v>I don’t know</c:v>
                </c:pt>
              </c:strCache>
            </c:strRef>
          </c:cat>
          <c:val>
            <c:numRef>
              <c:f>'S26 likelihood'!$DP$280:$DP$284</c:f>
              <c:numCache>
                <c:formatCode>0%</c:formatCode>
                <c:ptCount val="5"/>
                <c:pt idx="0">
                  <c:v>8.3333333333333329E-2</c:v>
                </c:pt>
                <c:pt idx="1">
                  <c:v>8.3333333333333329E-2</c:v>
                </c:pt>
                <c:pt idx="2">
                  <c:v>0</c:v>
                </c:pt>
                <c:pt idx="3">
                  <c:v>0</c:v>
                </c:pt>
                <c:pt idx="4">
                  <c:v>0</c:v>
                </c:pt>
              </c:numCache>
            </c:numRef>
          </c:val>
        </c:ser>
        <c:ser>
          <c:idx val="5"/>
          <c:order val="5"/>
          <c:tx>
            <c:strRef>
              <c:f>'S26 likelihood'!$DQ$279</c:f>
              <c:strCache>
                <c:ptCount val="1"/>
                <c:pt idx="0">
                  <c:v>NGOs</c:v>
                </c:pt>
              </c:strCache>
            </c:strRef>
          </c:tx>
          <c:invertIfNegative val="0"/>
          <c:cat>
            <c:strRef>
              <c:f>'S26 likelihood'!$DK$280:$DK$284</c:f>
              <c:strCache>
                <c:ptCount val="5"/>
                <c:pt idx="0">
                  <c:v>Definitely not</c:v>
                </c:pt>
                <c:pt idx="1">
                  <c:v>Sometimes</c:v>
                </c:pt>
                <c:pt idx="2">
                  <c:v>Most of the time</c:v>
                </c:pt>
                <c:pt idx="3">
                  <c:v>Yes, always</c:v>
                </c:pt>
                <c:pt idx="4">
                  <c:v>I don’t know</c:v>
                </c:pt>
              </c:strCache>
            </c:strRef>
          </c:cat>
          <c:val>
            <c:numRef>
              <c:f>'S26 likelihood'!$DQ$280:$DQ$284</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55"/>
        <c:overlap val="100"/>
        <c:axId val="142686080"/>
        <c:axId val="142687616"/>
      </c:barChart>
      <c:catAx>
        <c:axId val="14268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2687616"/>
        <c:crosses val="autoZero"/>
        <c:auto val="1"/>
        <c:lblAlgn val="ctr"/>
        <c:lblOffset val="100"/>
        <c:noMultiLvlLbl val="0"/>
      </c:catAx>
      <c:valAx>
        <c:axId val="142687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26860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likelihood'!$B$54</c:f>
          <c:strCache>
            <c:ptCount val="1"/>
            <c:pt idx="0">
              <c:v>Forest owners/managers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4358976678211456E-2"/>
          <c:y val="0.19836010498687665"/>
          <c:w val="0.90741367371914783"/>
          <c:h val="0.655016062992126"/>
        </c:manualLayout>
      </c:layout>
      <c:barChart>
        <c:barDir val="col"/>
        <c:grouping val="clustered"/>
        <c:varyColors val="0"/>
        <c:ser>
          <c:idx val="0"/>
          <c:order val="0"/>
          <c:spPr>
            <a:solidFill>
              <a:schemeClr val="accent1"/>
            </a:solidFill>
            <a:ln>
              <a:noFill/>
            </a:ln>
            <a:effectLst/>
          </c:spPr>
          <c:invertIfNegative val="0"/>
          <c:cat>
            <c:strRef>
              <c:f>'S30a likelihood'!$G$72:$G$76</c:f>
              <c:strCache>
                <c:ptCount val="5"/>
                <c:pt idx="0">
                  <c:v>Definitely not</c:v>
                </c:pt>
                <c:pt idx="1">
                  <c:v>Sometimes</c:v>
                </c:pt>
                <c:pt idx="2">
                  <c:v>Most of the time</c:v>
                </c:pt>
                <c:pt idx="3">
                  <c:v>Yes, always</c:v>
                </c:pt>
                <c:pt idx="4">
                  <c:v>I don’t know</c:v>
                </c:pt>
              </c:strCache>
            </c:strRef>
          </c:cat>
          <c:val>
            <c:numRef>
              <c:f>'S30a likelihood'!$I$72:$I$76</c:f>
              <c:numCache>
                <c:formatCode>0%</c:formatCode>
                <c:ptCount val="5"/>
                <c:pt idx="0">
                  <c:v>0.2</c:v>
                </c:pt>
                <c:pt idx="1">
                  <c:v>0.2</c:v>
                </c:pt>
                <c:pt idx="2">
                  <c:v>0.2</c:v>
                </c:pt>
                <c:pt idx="3">
                  <c:v>0</c:v>
                </c:pt>
                <c:pt idx="4">
                  <c:v>0.4</c:v>
                </c:pt>
              </c:numCache>
            </c:numRef>
          </c:val>
        </c:ser>
        <c:dLbls>
          <c:showLegendKey val="0"/>
          <c:showVal val="0"/>
          <c:showCatName val="0"/>
          <c:showSerName val="0"/>
          <c:showPercent val="0"/>
          <c:showBubbleSize val="0"/>
        </c:dLbls>
        <c:gapWidth val="219"/>
        <c:overlap val="-27"/>
        <c:axId val="143807616"/>
        <c:axId val="143809152"/>
      </c:barChart>
      <c:catAx>
        <c:axId val="1438076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3809152"/>
        <c:crosses val="autoZero"/>
        <c:auto val="0"/>
        <c:lblAlgn val="ctr"/>
        <c:lblOffset val="100"/>
        <c:tickLblSkip val="1"/>
        <c:noMultiLvlLbl val="0"/>
      </c:catAx>
      <c:valAx>
        <c:axId val="1438091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807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likelihood'!$B$81</c:f>
          <c:strCache>
            <c:ptCount val="1"/>
            <c:pt idx="0">
              <c:v>Pellet producers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likelihood'!$G$99:$G$103</c:f>
              <c:strCache>
                <c:ptCount val="5"/>
                <c:pt idx="0">
                  <c:v>Definitely not</c:v>
                </c:pt>
                <c:pt idx="1">
                  <c:v>Sometimes</c:v>
                </c:pt>
                <c:pt idx="2">
                  <c:v>Most of the time</c:v>
                </c:pt>
                <c:pt idx="3">
                  <c:v>Yes, always</c:v>
                </c:pt>
                <c:pt idx="4">
                  <c:v>I don’t know</c:v>
                </c:pt>
              </c:strCache>
            </c:strRef>
          </c:cat>
          <c:val>
            <c:numRef>
              <c:f>'S30a likelihood'!$I$99:$I$103</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219"/>
        <c:overlap val="-27"/>
        <c:axId val="143824768"/>
        <c:axId val="143826304"/>
      </c:barChart>
      <c:catAx>
        <c:axId val="143824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3826304"/>
        <c:crosses val="autoZero"/>
        <c:auto val="1"/>
        <c:lblAlgn val="ctr"/>
        <c:lblOffset val="100"/>
        <c:tickLblSkip val="1"/>
        <c:noMultiLvlLbl val="0"/>
      </c:catAx>
      <c:valAx>
        <c:axId val="1438263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824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likelihood'!$B$108</c:f>
          <c:strCache>
            <c:ptCount val="1"/>
            <c:pt idx="0">
              <c:v>Pellet users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likelihood'!$G$126:$G$130</c:f>
              <c:strCache>
                <c:ptCount val="5"/>
                <c:pt idx="0">
                  <c:v>Definitely not</c:v>
                </c:pt>
                <c:pt idx="1">
                  <c:v>Sometimes</c:v>
                </c:pt>
                <c:pt idx="2">
                  <c:v>Most of the time</c:v>
                </c:pt>
                <c:pt idx="3">
                  <c:v>Yes, always</c:v>
                </c:pt>
                <c:pt idx="4">
                  <c:v>I don’t know</c:v>
                </c:pt>
              </c:strCache>
            </c:strRef>
          </c:cat>
          <c:val>
            <c:numRef>
              <c:f>'S30a likelihood'!$I$126:$I$130</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219"/>
        <c:overlap val="-27"/>
        <c:axId val="143858688"/>
        <c:axId val="143885056"/>
      </c:barChart>
      <c:catAx>
        <c:axId val="14385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3885056"/>
        <c:crosses val="autoZero"/>
        <c:auto val="1"/>
        <c:lblAlgn val="ctr"/>
        <c:lblOffset val="100"/>
        <c:tickLblSkip val="1"/>
        <c:noMultiLvlLbl val="0"/>
      </c:catAx>
      <c:valAx>
        <c:axId val="1438850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858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285969007374033E-2"/>
          <c:y val="0.21013864133923571"/>
          <c:w val="0.88492496601529258"/>
          <c:h val="0.55709476178167172"/>
        </c:manualLayout>
      </c:layout>
      <c:barChart>
        <c:barDir val="col"/>
        <c:grouping val="clustered"/>
        <c:varyColors val="0"/>
        <c:ser>
          <c:idx val="0"/>
          <c:order val="0"/>
          <c:spPr>
            <a:solidFill>
              <a:schemeClr val="accent1"/>
            </a:solidFill>
            <a:ln>
              <a:noFill/>
            </a:ln>
            <a:effectLst/>
          </c:spPr>
          <c:invertIfNegative val="0"/>
          <c:cat>
            <c:strRef>
              <c:f>'S30a likelihood'!$G$234:$G$238</c:f>
              <c:strCache>
                <c:ptCount val="5"/>
                <c:pt idx="0">
                  <c:v>Definitely not</c:v>
                </c:pt>
                <c:pt idx="1">
                  <c:v>Sometimes</c:v>
                </c:pt>
                <c:pt idx="2">
                  <c:v>Most of the time</c:v>
                </c:pt>
                <c:pt idx="3">
                  <c:v>Yes, always</c:v>
                </c:pt>
                <c:pt idx="4">
                  <c:v>I don’t know</c:v>
                </c:pt>
              </c:strCache>
            </c:strRef>
          </c:cat>
          <c:val>
            <c:numRef>
              <c:f>'S30a likelihood'!$I$234:$I$238</c:f>
              <c:numCache>
                <c:formatCode>0%</c:formatCode>
                <c:ptCount val="5"/>
                <c:pt idx="0">
                  <c:v>0.16666666666666666</c:v>
                </c:pt>
                <c:pt idx="1">
                  <c:v>0.5</c:v>
                </c:pt>
                <c:pt idx="2">
                  <c:v>0.22222222222222221</c:v>
                </c:pt>
                <c:pt idx="3">
                  <c:v>0</c:v>
                </c:pt>
                <c:pt idx="4">
                  <c:v>0.1111111111111111</c:v>
                </c:pt>
              </c:numCache>
            </c:numRef>
          </c:val>
        </c:ser>
        <c:dLbls>
          <c:showLegendKey val="0"/>
          <c:showVal val="0"/>
          <c:showCatName val="0"/>
          <c:showSerName val="0"/>
          <c:showPercent val="0"/>
          <c:showBubbleSize val="0"/>
        </c:dLbls>
        <c:gapWidth val="219"/>
        <c:overlap val="-27"/>
        <c:axId val="143528320"/>
        <c:axId val="143529856"/>
      </c:barChart>
      <c:catAx>
        <c:axId val="1435283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3529856"/>
        <c:crosses val="autoZero"/>
        <c:auto val="1"/>
        <c:lblAlgn val="ctr"/>
        <c:lblOffset val="100"/>
        <c:tickLblSkip val="1"/>
        <c:noMultiLvlLbl val="0"/>
      </c:catAx>
      <c:valAx>
        <c:axId val="1435298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528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likelihood'!$C$247</c:f>
              <c:strCache>
                <c:ptCount val="1"/>
                <c:pt idx="0">
                  <c:v>Forest owners/managers</c:v>
                </c:pt>
              </c:strCache>
            </c:strRef>
          </c:tx>
          <c:spPr>
            <a:solidFill>
              <a:schemeClr val="accent1"/>
            </a:solidFill>
            <a:ln>
              <a:noFill/>
            </a:ln>
            <a:effectLst/>
          </c:spPr>
          <c:invertIfNegative val="0"/>
          <c:cat>
            <c:strRef>
              <c:f>'S30a likelihood'!$B$248:$B$252</c:f>
              <c:strCache>
                <c:ptCount val="5"/>
                <c:pt idx="0">
                  <c:v>Definitely not</c:v>
                </c:pt>
                <c:pt idx="1">
                  <c:v>Sometimes</c:v>
                </c:pt>
                <c:pt idx="2">
                  <c:v>Most of the time</c:v>
                </c:pt>
                <c:pt idx="3">
                  <c:v>Yes, always</c:v>
                </c:pt>
                <c:pt idx="4">
                  <c:v>I don’t know</c:v>
                </c:pt>
              </c:strCache>
            </c:strRef>
          </c:cat>
          <c:val>
            <c:numRef>
              <c:f>'S30a likelihood'!$C$248:$C$252</c:f>
              <c:numCache>
                <c:formatCode>General</c:formatCode>
                <c:ptCount val="5"/>
                <c:pt idx="0">
                  <c:v>1</c:v>
                </c:pt>
                <c:pt idx="1">
                  <c:v>1</c:v>
                </c:pt>
                <c:pt idx="2">
                  <c:v>1</c:v>
                </c:pt>
                <c:pt idx="3">
                  <c:v>0</c:v>
                </c:pt>
                <c:pt idx="4">
                  <c:v>2</c:v>
                </c:pt>
              </c:numCache>
            </c:numRef>
          </c:val>
        </c:ser>
        <c:ser>
          <c:idx val="1"/>
          <c:order val="1"/>
          <c:tx>
            <c:strRef>
              <c:f>'S30a likelihood'!$D$247</c:f>
              <c:strCache>
                <c:ptCount val="1"/>
                <c:pt idx="0">
                  <c:v>Pellet producers</c:v>
                </c:pt>
              </c:strCache>
            </c:strRef>
          </c:tx>
          <c:spPr>
            <a:solidFill>
              <a:schemeClr val="accent2"/>
            </a:solidFill>
            <a:ln>
              <a:noFill/>
            </a:ln>
            <a:effectLst/>
          </c:spPr>
          <c:invertIfNegative val="0"/>
          <c:cat>
            <c:strRef>
              <c:f>'S30a likelihood'!$B$248:$B$252</c:f>
              <c:strCache>
                <c:ptCount val="5"/>
                <c:pt idx="0">
                  <c:v>Definitely not</c:v>
                </c:pt>
                <c:pt idx="1">
                  <c:v>Sometimes</c:v>
                </c:pt>
                <c:pt idx="2">
                  <c:v>Most of the time</c:v>
                </c:pt>
                <c:pt idx="3">
                  <c:v>Yes, always</c:v>
                </c:pt>
                <c:pt idx="4">
                  <c:v>I don’t know</c:v>
                </c:pt>
              </c:strCache>
            </c:strRef>
          </c:cat>
          <c:val>
            <c:numRef>
              <c:f>'S30a likelihood'!$D$248:$D$252</c:f>
              <c:numCache>
                <c:formatCode>0</c:formatCode>
                <c:ptCount val="5"/>
                <c:pt idx="0">
                  <c:v>0</c:v>
                </c:pt>
                <c:pt idx="1">
                  <c:v>2</c:v>
                </c:pt>
                <c:pt idx="2">
                  <c:v>0</c:v>
                </c:pt>
                <c:pt idx="3">
                  <c:v>0</c:v>
                </c:pt>
                <c:pt idx="4">
                  <c:v>0</c:v>
                </c:pt>
              </c:numCache>
            </c:numRef>
          </c:val>
        </c:ser>
        <c:ser>
          <c:idx val="2"/>
          <c:order val="2"/>
          <c:tx>
            <c:strRef>
              <c:f>'S30a likelihood'!$E$247</c:f>
              <c:strCache>
                <c:ptCount val="1"/>
                <c:pt idx="0">
                  <c:v>Pellet users</c:v>
                </c:pt>
              </c:strCache>
            </c:strRef>
          </c:tx>
          <c:spPr>
            <a:solidFill>
              <a:schemeClr val="accent3"/>
            </a:solidFill>
            <a:ln>
              <a:noFill/>
            </a:ln>
            <a:effectLst/>
          </c:spPr>
          <c:invertIfNegative val="0"/>
          <c:cat>
            <c:strRef>
              <c:f>'S30a likelihood'!$B$248:$B$252</c:f>
              <c:strCache>
                <c:ptCount val="5"/>
                <c:pt idx="0">
                  <c:v>Definitely not</c:v>
                </c:pt>
                <c:pt idx="1">
                  <c:v>Sometimes</c:v>
                </c:pt>
                <c:pt idx="2">
                  <c:v>Most of the time</c:v>
                </c:pt>
                <c:pt idx="3">
                  <c:v>Yes, always</c:v>
                </c:pt>
                <c:pt idx="4">
                  <c:v>I don’t know</c:v>
                </c:pt>
              </c:strCache>
            </c:strRef>
          </c:cat>
          <c:val>
            <c:numRef>
              <c:f>'S30a likelihood'!$E$248:$E$252</c:f>
              <c:numCache>
                <c:formatCode>General</c:formatCode>
                <c:ptCount val="5"/>
                <c:pt idx="0">
                  <c:v>0</c:v>
                </c:pt>
                <c:pt idx="1">
                  <c:v>2</c:v>
                </c:pt>
                <c:pt idx="2">
                  <c:v>0</c:v>
                </c:pt>
                <c:pt idx="3">
                  <c:v>0</c:v>
                </c:pt>
                <c:pt idx="4">
                  <c:v>0</c:v>
                </c:pt>
              </c:numCache>
            </c:numRef>
          </c:val>
        </c:ser>
        <c:ser>
          <c:idx val="3"/>
          <c:order val="3"/>
          <c:tx>
            <c:strRef>
              <c:f>'S30a likelihood'!$F$247</c:f>
              <c:strCache>
                <c:ptCount val="1"/>
                <c:pt idx="0">
                  <c:v>Non-bioenergy wood users</c:v>
                </c:pt>
              </c:strCache>
            </c:strRef>
          </c:tx>
          <c:spPr>
            <a:solidFill>
              <a:schemeClr val="accent4"/>
            </a:solidFill>
            <a:ln>
              <a:noFill/>
            </a:ln>
            <a:effectLst/>
          </c:spPr>
          <c:invertIfNegative val="0"/>
          <c:cat>
            <c:strRef>
              <c:f>'S30a likelihood'!$B$248:$B$252</c:f>
              <c:strCache>
                <c:ptCount val="5"/>
                <c:pt idx="0">
                  <c:v>Definitely not</c:v>
                </c:pt>
                <c:pt idx="1">
                  <c:v>Sometimes</c:v>
                </c:pt>
                <c:pt idx="2">
                  <c:v>Most of the time</c:v>
                </c:pt>
                <c:pt idx="3">
                  <c:v>Yes, always</c:v>
                </c:pt>
                <c:pt idx="4">
                  <c:v>I don’t know</c:v>
                </c:pt>
              </c:strCache>
            </c:strRef>
          </c:cat>
          <c:val>
            <c:numRef>
              <c:f>'S30a likelihood'!$F$248:$F$252</c:f>
              <c:numCache>
                <c:formatCode>General</c:formatCode>
                <c:ptCount val="5"/>
                <c:pt idx="0">
                  <c:v>0</c:v>
                </c:pt>
                <c:pt idx="1">
                  <c:v>2</c:v>
                </c:pt>
                <c:pt idx="2">
                  <c:v>0</c:v>
                </c:pt>
                <c:pt idx="3">
                  <c:v>0</c:v>
                </c:pt>
                <c:pt idx="4">
                  <c:v>0</c:v>
                </c:pt>
              </c:numCache>
            </c:numRef>
          </c:val>
        </c:ser>
        <c:ser>
          <c:idx val="4"/>
          <c:order val="4"/>
          <c:tx>
            <c:strRef>
              <c:f>'S30a likelihood'!$G$247</c:f>
              <c:strCache>
                <c:ptCount val="1"/>
                <c:pt idx="0">
                  <c:v>Policy makers and academia</c:v>
                </c:pt>
              </c:strCache>
            </c:strRef>
          </c:tx>
          <c:spPr>
            <a:solidFill>
              <a:schemeClr val="accent5"/>
            </a:solidFill>
            <a:ln>
              <a:noFill/>
            </a:ln>
            <a:effectLst/>
          </c:spPr>
          <c:invertIfNegative val="0"/>
          <c:cat>
            <c:strRef>
              <c:f>'S30a likelihood'!$B$248:$B$252</c:f>
              <c:strCache>
                <c:ptCount val="5"/>
                <c:pt idx="0">
                  <c:v>Definitely not</c:v>
                </c:pt>
                <c:pt idx="1">
                  <c:v>Sometimes</c:v>
                </c:pt>
                <c:pt idx="2">
                  <c:v>Most of the time</c:v>
                </c:pt>
                <c:pt idx="3">
                  <c:v>Yes, always</c:v>
                </c:pt>
                <c:pt idx="4">
                  <c:v>I don’t know</c:v>
                </c:pt>
              </c:strCache>
            </c:strRef>
          </c:cat>
          <c:val>
            <c:numRef>
              <c:f>'S30a likelihood'!$G$248:$G$252</c:f>
              <c:numCache>
                <c:formatCode>0</c:formatCode>
                <c:ptCount val="5"/>
                <c:pt idx="0">
                  <c:v>2</c:v>
                </c:pt>
                <c:pt idx="1">
                  <c:v>1</c:v>
                </c:pt>
                <c:pt idx="2">
                  <c:v>0</c:v>
                </c:pt>
                <c:pt idx="3">
                  <c:v>0</c:v>
                </c:pt>
                <c:pt idx="4">
                  <c:v>0</c:v>
                </c:pt>
              </c:numCache>
            </c:numRef>
          </c:val>
        </c:ser>
        <c:ser>
          <c:idx val="5"/>
          <c:order val="5"/>
          <c:tx>
            <c:strRef>
              <c:f>'S30a likelihood'!$H$247</c:f>
              <c:strCache>
                <c:ptCount val="1"/>
                <c:pt idx="0">
                  <c:v>NGOs</c:v>
                </c:pt>
              </c:strCache>
            </c:strRef>
          </c:tx>
          <c:spPr>
            <a:solidFill>
              <a:schemeClr val="accent6"/>
            </a:solidFill>
            <a:ln>
              <a:noFill/>
            </a:ln>
            <a:effectLst/>
          </c:spPr>
          <c:invertIfNegative val="0"/>
          <c:cat>
            <c:strRef>
              <c:f>'S30a likelihood'!$B$248:$B$252</c:f>
              <c:strCache>
                <c:ptCount val="5"/>
                <c:pt idx="0">
                  <c:v>Definitely not</c:v>
                </c:pt>
                <c:pt idx="1">
                  <c:v>Sometimes</c:v>
                </c:pt>
                <c:pt idx="2">
                  <c:v>Most of the time</c:v>
                </c:pt>
                <c:pt idx="3">
                  <c:v>Yes, always</c:v>
                </c:pt>
                <c:pt idx="4">
                  <c:v>I don’t know</c:v>
                </c:pt>
              </c:strCache>
            </c:strRef>
          </c:cat>
          <c:val>
            <c:numRef>
              <c:f>'S30a likelihood'!$H$248:$H$252</c:f>
              <c:numCache>
                <c:formatCode>General</c:formatCode>
                <c:ptCount val="5"/>
                <c:pt idx="0">
                  <c:v>0</c:v>
                </c:pt>
                <c:pt idx="1">
                  <c:v>1</c:v>
                </c:pt>
                <c:pt idx="2">
                  <c:v>3</c:v>
                </c:pt>
                <c:pt idx="3">
                  <c:v>0</c:v>
                </c:pt>
                <c:pt idx="4">
                  <c:v>0</c:v>
                </c:pt>
              </c:numCache>
            </c:numRef>
          </c:val>
        </c:ser>
        <c:dLbls>
          <c:showLegendKey val="0"/>
          <c:showVal val="0"/>
          <c:showCatName val="0"/>
          <c:showSerName val="0"/>
          <c:showPercent val="0"/>
          <c:showBubbleSize val="0"/>
        </c:dLbls>
        <c:gapWidth val="150"/>
        <c:overlap val="100"/>
        <c:axId val="143566336"/>
        <c:axId val="143567872"/>
      </c:barChart>
      <c:catAx>
        <c:axId val="143566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3567872"/>
        <c:crosses val="autoZero"/>
        <c:auto val="1"/>
        <c:lblAlgn val="ctr"/>
        <c:lblOffset val="100"/>
        <c:noMultiLvlLbl val="0"/>
      </c:catAx>
      <c:valAx>
        <c:axId val="143567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lgn="ctr">
              <a:defRPr lang="en-GB" sz="900" b="0" i="0" u="none" strike="noStrike" kern="1200" baseline="0">
                <a:solidFill>
                  <a:schemeClr val="tx1">
                    <a:lumMod val="65000"/>
                    <a:lumOff val="35000"/>
                  </a:schemeClr>
                </a:solidFill>
                <a:latin typeface="+mn-lt"/>
                <a:ea typeface="+mn-ea"/>
                <a:cs typeface="+mn-cs"/>
              </a:defRPr>
            </a:pPr>
            <a:endParaRPr lang="en-US"/>
          </a:p>
        </c:txPr>
        <c:crossAx val="143566336"/>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likelihood'!$C$279</c:f>
              <c:strCache>
                <c:ptCount val="1"/>
                <c:pt idx="0">
                  <c:v>Forest owners/managers</c:v>
                </c:pt>
              </c:strCache>
            </c:strRef>
          </c:tx>
          <c:invertIfNegative val="0"/>
          <c:cat>
            <c:strRef>
              <c:f>'S30a likelihood'!$B$280:$B$284</c:f>
              <c:strCache>
                <c:ptCount val="5"/>
                <c:pt idx="0">
                  <c:v>Definitely not</c:v>
                </c:pt>
                <c:pt idx="1">
                  <c:v>Sometimes</c:v>
                </c:pt>
                <c:pt idx="2">
                  <c:v>Most of the time</c:v>
                </c:pt>
                <c:pt idx="3">
                  <c:v>Yes, always</c:v>
                </c:pt>
                <c:pt idx="4">
                  <c:v>I don’t know</c:v>
                </c:pt>
              </c:strCache>
            </c:strRef>
          </c:cat>
          <c:val>
            <c:numRef>
              <c:f>'S30a likelihood'!$C$280:$C$284</c:f>
              <c:numCache>
                <c:formatCode>0%</c:formatCode>
                <c:ptCount val="5"/>
                <c:pt idx="0">
                  <c:v>3.3333333333333333E-2</c:v>
                </c:pt>
                <c:pt idx="1">
                  <c:v>3.3333333333333333E-2</c:v>
                </c:pt>
                <c:pt idx="2">
                  <c:v>3.3333333333333333E-2</c:v>
                </c:pt>
                <c:pt idx="3">
                  <c:v>0</c:v>
                </c:pt>
                <c:pt idx="4">
                  <c:v>6.6666666666666666E-2</c:v>
                </c:pt>
              </c:numCache>
            </c:numRef>
          </c:val>
        </c:ser>
        <c:ser>
          <c:idx val="1"/>
          <c:order val="1"/>
          <c:tx>
            <c:strRef>
              <c:f>'S30a likelihood'!$D$279</c:f>
              <c:strCache>
                <c:ptCount val="1"/>
                <c:pt idx="0">
                  <c:v>Pellet producers</c:v>
                </c:pt>
              </c:strCache>
            </c:strRef>
          </c:tx>
          <c:invertIfNegative val="0"/>
          <c:cat>
            <c:strRef>
              <c:f>'S30a likelihood'!$B$280:$B$284</c:f>
              <c:strCache>
                <c:ptCount val="5"/>
                <c:pt idx="0">
                  <c:v>Definitely not</c:v>
                </c:pt>
                <c:pt idx="1">
                  <c:v>Sometimes</c:v>
                </c:pt>
                <c:pt idx="2">
                  <c:v>Most of the time</c:v>
                </c:pt>
                <c:pt idx="3">
                  <c:v>Yes, always</c:v>
                </c:pt>
                <c:pt idx="4">
                  <c:v>I don’t know</c:v>
                </c:pt>
              </c:strCache>
            </c:strRef>
          </c:cat>
          <c:val>
            <c:numRef>
              <c:f>'S30a likelihood'!$D$280:$D$284</c:f>
              <c:numCache>
                <c:formatCode>0%</c:formatCode>
                <c:ptCount val="5"/>
                <c:pt idx="0">
                  <c:v>0</c:v>
                </c:pt>
                <c:pt idx="1">
                  <c:v>0.16666666666666666</c:v>
                </c:pt>
                <c:pt idx="2">
                  <c:v>0</c:v>
                </c:pt>
                <c:pt idx="3">
                  <c:v>0</c:v>
                </c:pt>
                <c:pt idx="4">
                  <c:v>0</c:v>
                </c:pt>
              </c:numCache>
            </c:numRef>
          </c:val>
        </c:ser>
        <c:ser>
          <c:idx val="2"/>
          <c:order val="2"/>
          <c:tx>
            <c:strRef>
              <c:f>'S30a likelihood'!$E$279</c:f>
              <c:strCache>
                <c:ptCount val="1"/>
                <c:pt idx="0">
                  <c:v>Pellet users</c:v>
                </c:pt>
              </c:strCache>
            </c:strRef>
          </c:tx>
          <c:invertIfNegative val="0"/>
          <c:cat>
            <c:strRef>
              <c:f>'S30a likelihood'!$B$280:$B$284</c:f>
              <c:strCache>
                <c:ptCount val="5"/>
                <c:pt idx="0">
                  <c:v>Definitely not</c:v>
                </c:pt>
                <c:pt idx="1">
                  <c:v>Sometimes</c:v>
                </c:pt>
                <c:pt idx="2">
                  <c:v>Most of the time</c:v>
                </c:pt>
                <c:pt idx="3">
                  <c:v>Yes, always</c:v>
                </c:pt>
                <c:pt idx="4">
                  <c:v>I don’t know</c:v>
                </c:pt>
              </c:strCache>
            </c:strRef>
          </c:cat>
          <c:val>
            <c:numRef>
              <c:f>'S30a likelihood'!$E$280:$E$284</c:f>
              <c:numCache>
                <c:formatCode>0%</c:formatCode>
                <c:ptCount val="5"/>
                <c:pt idx="0">
                  <c:v>0</c:v>
                </c:pt>
                <c:pt idx="1">
                  <c:v>0.16666666666666666</c:v>
                </c:pt>
                <c:pt idx="2">
                  <c:v>0</c:v>
                </c:pt>
                <c:pt idx="3">
                  <c:v>0</c:v>
                </c:pt>
                <c:pt idx="4">
                  <c:v>0</c:v>
                </c:pt>
              </c:numCache>
            </c:numRef>
          </c:val>
        </c:ser>
        <c:ser>
          <c:idx val="3"/>
          <c:order val="3"/>
          <c:tx>
            <c:strRef>
              <c:f>'S30a likelihood'!$F$279</c:f>
              <c:strCache>
                <c:ptCount val="1"/>
                <c:pt idx="0">
                  <c:v>Non-bioenergy wood users</c:v>
                </c:pt>
              </c:strCache>
            </c:strRef>
          </c:tx>
          <c:invertIfNegative val="0"/>
          <c:cat>
            <c:strRef>
              <c:f>'S30a likelihood'!$B$280:$B$284</c:f>
              <c:strCache>
                <c:ptCount val="5"/>
                <c:pt idx="0">
                  <c:v>Definitely not</c:v>
                </c:pt>
                <c:pt idx="1">
                  <c:v>Sometimes</c:v>
                </c:pt>
                <c:pt idx="2">
                  <c:v>Most of the time</c:v>
                </c:pt>
                <c:pt idx="3">
                  <c:v>Yes, always</c:v>
                </c:pt>
                <c:pt idx="4">
                  <c:v>I don’t know</c:v>
                </c:pt>
              </c:strCache>
            </c:strRef>
          </c:cat>
          <c:val>
            <c:numRef>
              <c:f>'S30a likelihood'!$F$280:$F$284</c:f>
              <c:numCache>
                <c:formatCode>0%</c:formatCode>
                <c:ptCount val="5"/>
                <c:pt idx="0">
                  <c:v>0</c:v>
                </c:pt>
                <c:pt idx="1">
                  <c:v>0.16666666666666666</c:v>
                </c:pt>
                <c:pt idx="2">
                  <c:v>0</c:v>
                </c:pt>
                <c:pt idx="3">
                  <c:v>0</c:v>
                </c:pt>
                <c:pt idx="4">
                  <c:v>0</c:v>
                </c:pt>
              </c:numCache>
            </c:numRef>
          </c:val>
        </c:ser>
        <c:ser>
          <c:idx val="4"/>
          <c:order val="4"/>
          <c:tx>
            <c:strRef>
              <c:f>'S30a likelihood'!$G$279</c:f>
              <c:strCache>
                <c:ptCount val="1"/>
                <c:pt idx="0">
                  <c:v>Policy makers and academia</c:v>
                </c:pt>
              </c:strCache>
            </c:strRef>
          </c:tx>
          <c:invertIfNegative val="0"/>
          <c:cat>
            <c:strRef>
              <c:f>'S30a likelihood'!$B$280:$B$284</c:f>
              <c:strCache>
                <c:ptCount val="5"/>
                <c:pt idx="0">
                  <c:v>Definitely not</c:v>
                </c:pt>
                <c:pt idx="1">
                  <c:v>Sometimes</c:v>
                </c:pt>
                <c:pt idx="2">
                  <c:v>Most of the time</c:v>
                </c:pt>
                <c:pt idx="3">
                  <c:v>Yes, always</c:v>
                </c:pt>
                <c:pt idx="4">
                  <c:v>I don’t know</c:v>
                </c:pt>
              </c:strCache>
            </c:strRef>
          </c:cat>
          <c:val>
            <c:numRef>
              <c:f>'S30a likelihood'!$G$280:$G$284</c:f>
              <c:numCache>
                <c:formatCode>0%</c:formatCode>
                <c:ptCount val="5"/>
                <c:pt idx="0">
                  <c:v>0.1111111111111111</c:v>
                </c:pt>
                <c:pt idx="1">
                  <c:v>5.5555555555555552E-2</c:v>
                </c:pt>
                <c:pt idx="2">
                  <c:v>0</c:v>
                </c:pt>
                <c:pt idx="3">
                  <c:v>0</c:v>
                </c:pt>
                <c:pt idx="4">
                  <c:v>0</c:v>
                </c:pt>
              </c:numCache>
            </c:numRef>
          </c:val>
        </c:ser>
        <c:ser>
          <c:idx val="5"/>
          <c:order val="5"/>
          <c:tx>
            <c:strRef>
              <c:f>'S30a likelihood'!$H$279</c:f>
              <c:strCache>
                <c:ptCount val="1"/>
                <c:pt idx="0">
                  <c:v>NGOs</c:v>
                </c:pt>
              </c:strCache>
            </c:strRef>
          </c:tx>
          <c:invertIfNegative val="0"/>
          <c:cat>
            <c:strRef>
              <c:f>'S30a likelihood'!$B$280:$B$284</c:f>
              <c:strCache>
                <c:ptCount val="5"/>
                <c:pt idx="0">
                  <c:v>Definitely not</c:v>
                </c:pt>
                <c:pt idx="1">
                  <c:v>Sometimes</c:v>
                </c:pt>
                <c:pt idx="2">
                  <c:v>Most of the time</c:v>
                </c:pt>
                <c:pt idx="3">
                  <c:v>Yes, always</c:v>
                </c:pt>
                <c:pt idx="4">
                  <c:v>I don’t know</c:v>
                </c:pt>
              </c:strCache>
            </c:strRef>
          </c:cat>
          <c:val>
            <c:numRef>
              <c:f>'S30a likelihood'!$H$280:$H$284</c:f>
              <c:numCache>
                <c:formatCode>0%</c:formatCode>
                <c:ptCount val="5"/>
                <c:pt idx="0">
                  <c:v>0</c:v>
                </c:pt>
                <c:pt idx="1">
                  <c:v>4.1666666666666664E-2</c:v>
                </c:pt>
                <c:pt idx="2">
                  <c:v>0.125</c:v>
                </c:pt>
                <c:pt idx="3">
                  <c:v>0</c:v>
                </c:pt>
                <c:pt idx="4">
                  <c:v>0</c:v>
                </c:pt>
              </c:numCache>
            </c:numRef>
          </c:val>
        </c:ser>
        <c:dLbls>
          <c:showLegendKey val="0"/>
          <c:showVal val="0"/>
          <c:showCatName val="0"/>
          <c:showSerName val="0"/>
          <c:showPercent val="0"/>
          <c:showBubbleSize val="0"/>
        </c:dLbls>
        <c:gapWidth val="150"/>
        <c:overlap val="100"/>
        <c:axId val="143698560"/>
        <c:axId val="143700352"/>
      </c:barChart>
      <c:catAx>
        <c:axId val="143698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700352"/>
        <c:crosses val="autoZero"/>
        <c:auto val="1"/>
        <c:lblAlgn val="ctr"/>
        <c:lblOffset val="100"/>
        <c:noMultiLvlLbl val="0"/>
      </c:catAx>
      <c:valAx>
        <c:axId val="143700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6985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likelihood'!$BQ$72:$BQ$78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likelihood'!$BS$72:$BS$78</c:f>
              <c:numCache>
                <c:formatCode>0%</c:formatCode>
                <c:ptCount val="7"/>
                <c:pt idx="0">
                  <c:v>0.5</c:v>
                </c:pt>
                <c:pt idx="1">
                  <c:v>0.25</c:v>
                </c:pt>
                <c:pt idx="2">
                  <c:v>0</c:v>
                </c:pt>
                <c:pt idx="3">
                  <c:v>0</c:v>
                </c:pt>
                <c:pt idx="4">
                  <c:v>0.25</c:v>
                </c:pt>
                <c:pt idx="5">
                  <c:v>0</c:v>
                </c:pt>
                <c:pt idx="6">
                  <c:v>0</c:v>
                </c:pt>
              </c:numCache>
            </c:numRef>
          </c:val>
        </c:ser>
        <c:dLbls>
          <c:showLegendKey val="0"/>
          <c:showVal val="0"/>
          <c:showCatName val="0"/>
          <c:showSerName val="0"/>
          <c:showPercent val="0"/>
          <c:showBubbleSize val="0"/>
        </c:dLbls>
        <c:gapWidth val="219"/>
        <c:overlap val="-27"/>
        <c:axId val="143929344"/>
        <c:axId val="143930880"/>
      </c:barChart>
      <c:catAx>
        <c:axId val="14392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3930880"/>
        <c:crosses val="autoZero"/>
        <c:auto val="1"/>
        <c:lblAlgn val="ctr"/>
        <c:lblOffset val="100"/>
        <c:tickLblSkip val="1"/>
        <c:noMultiLvlLbl val="0"/>
      </c:catAx>
      <c:valAx>
        <c:axId val="1439308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929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likelihood'!$BQ$99:$BQ$105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likelihood'!$BS$99:$BS$105</c:f>
              <c:numCache>
                <c:formatCode>0%</c:formatCode>
                <c:ptCount val="7"/>
                <c:pt idx="0">
                  <c:v>0.66666666666666663</c:v>
                </c:pt>
                <c:pt idx="1">
                  <c:v>0</c:v>
                </c:pt>
                <c:pt idx="2">
                  <c:v>0</c:v>
                </c:pt>
                <c:pt idx="3">
                  <c:v>0</c:v>
                </c:pt>
                <c:pt idx="4">
                  <c:v>0</c:v>
                </c:pt>
                <c:pt idx="5">
                  <c:v>0.33333333333333331</c:v>
                </c:pt>
                <c:pt idx="6">
                  <c:v>0</c:v>
                </c:pt>
              </c:numCache>
            </c:numRef>
          </c:val>
        </c:ser>
        <c:dLbls>
          <c:showLegendKey val="0"/>
          <c:showVal val="0"/>
          <c:showCatName val="0"/>
          <c:showSerName val="0"/>
          <c:showPercent val="0"/>
          <c:showBubbleSize val="0"/>
        </c:dLbls>
        <c:gapWidth val="219"/>
        <c:overlap val="-27"/>
        <c:axId val="143946880"/>
        <c:axId val="143948416"/>
      </c:barChart>
      <c:catAx>
        <c:axId val="14394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3948416"/>
        <c:crosses val="autoZero"/>
        <c:auto val="1"/>
        <c:lblAlgn val="ctr"/>
        <c:lblOffset val="100"/>
        <c:tickLblSkip val="1"/>
        <c:noMultiLvlLbl val="0"/>
      </c:catAx>
      <c:valAx>
        <c:axId val="1439484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946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likelihood'!$BQ$126:$BQ$132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likelihood'!$BS$126:$BS$132</c:f>
              <c:numCache>
                <c:formatCode>0%</c:formatCode>
                <c:ptCount val="7"/>
                <c:pt idx="0">
                  <c:v>0</c:v>
                </c:pt>
                <c:pt idx="1">
                  <c:v>0</c:v>
                </c:pt>
                <c:pt idx="2">
                  <c:v>0.5</c:v>
                </c:pt>
                <c:pt idx="3">
                  <c:v>0</c:v>
                </c:pt>
                <c:pt idx="4">
                  <c:v>0.5</c:v>
                </c:pt>
                <c:pt idx="5">
                  <c:v>0</c:v>
                </c:pt>
                <c:pt idx="6">
                  <c:v>0</c:v>
                </c:pt>
              </c:numCache>
            </c:numRef>
          </c:val>
        </c:ser>
        <c:dLbls>
          <c:showLegendKey val="0"/>
          <c:showVal val="0"/>
          <c:showCatName val="0"/>
          <c:showSerName val="0"/>
          <c:showPercent val="0"/>
          <c:showBubbleSize val="0"/>
        </c:dLbls>
        <c:gapWidth val="219"/>
        <c:overlap val="-27"/>
        <c:axId val="144050432"/>
        <c:axId val="144064512"/>
      </c:barChart>
      <c:catAx>
        <c:axId val="14405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4064512"/>
        <c:crosses val="autoZero"/>
        <c:auto val="1"/>
        <c:lblAlgn val="ctr"/>
        <c:lblOffset val="100"/>
        <c:tickLblSkip val="1"/>
        <c:noMultiLvlLbl val="0"/>
      </c:catAx>
      <c:valAx>
        <c:axId val="1440645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050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likelihood'!$BQ$99:$BQ$105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likelihood'!$BS$99:$BS$105</c:f>
              <c:numCache>
                <c:formatCode>0%</c:formatCode>
                <c:ptCount val="7"/>
                <c:pt idx="0">
                  <c:v>1</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38424320"/>
        <c:axId val="138425856"/>
      </c:barChart>
      <c:catAx>
        <c:axId val="13842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425856"/>
        <c:crosses val="autoZero"/>
        <c:auto val="1"/>
        <c:lblAlgn val="ctr"/>
        <c:lblOffset val="100"/>
        <c:tickLblSkip val="1"/>
        <c:noMultiLvlLbl val="0"/>
      </c:catAx>
      <c:valAx>
        <c:axId val="1384258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424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likelihood'!$BQ$153:$BQ$159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likelihood'!$BS$153:$BS$159</c:f>
              <c:numCache>
                <c:formatCode>0%</c:formatCode>
                <c:ptCount val="7"/>
                <c:pt idx="0">
                  <c:v>0</c:v>
                </c:pt>
                <c:pt idx="1">
                  <c:v>0</c:v>
                </c:pt>
                <c:pt idx="2">
                  <c:v>0</c:v>
                </c:pt>
                <c:pt idx="3">
                  <c:v>0.5</c:v>
                </c:pt>
                <c:pt idx="4">
                  <c:v>0</c:v>
                </c:pt>
                <c:pt idx="5">
                  <c:v>0.5</c:v>
                </c:pt>
                <c:pt idx="6">
                  <c:v>0</c:v>
                </c:pt>
              </c:numCache>
            </c:numRef>
          </c:val>
        </c:ser>
        <c:dLbls>
          <c:showLegendKey val="0"/>
          <c:showVal val="0"/>
          <c:showCatName val="0"/>
          <c:showSerName val="0"/>
          <c:showPercent val="0"/>
          <c:showBubbleSize val="0"/>
        </c:dLbls>
        <c:gapWidth val="219"/>
        <c:overlap val="-27"/>
        <c:axId val="144072064"/>
        <c:axId val="144082048"/>
      </c:barChart>
      <c:catAx>
        <c:axId val="14407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4082048"/>
        <c:crosses val="autoZero"/>
        <c:auto val="1"/>
        <c:lblAlgn val="ctr"/>
        <c:lblOffset val="100"/>
        <c:tickLblSkip val="1"/>
        <c:noMultiLvlLbl val="0"/>
      </c:catAx>
      <c:valAx>
        <c:axId val="144082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072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likelihood'!$B$135</c:f>
          <c:strCache>
            <c:ptCount val="1"/>
            <c:pt idx="0">
              <c:v>Non-bioenergy wood users</c:v>
            </c:pt>
          </c:strCache>
        </c:strRef>
      </c:tx>
      <c:layout>
        <c:manualLayout>
          <c:xMode val="edge"/>
          <c:yMode val="edge"/>
          <c:x val="0.27968954167925908"/>
          <c:y val="3.07354608564545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likelihood'!$G$153:$G$157</c:f>
              <c:strCache>
                <c:ptCount val="5"/>
                <c:pt idx="0">
                  <c:v>Definitely not</c:v>
                </c:pt>
                <c:pt idx="1">
                  <c:v>Sometimes</c:v>
                </c:pt>
                <c:pt idx="2">
                  <c:v>Most of the time</c:v>
                </c:pt>
                <c:pt idx="3">
                  <c:v>Yes, always</c:v>
                </c:pt>
                <c:pt idx="4">
                  <c:v>I don’t know</c:v>
                </c:pt>
              </c:strCache>
            </c:strRef>
          </c:cat>
          <c:val>
            <c:numRef>
              <c:f>'S30a likelihood'!$I$153:$I$157</c:f>
              <c:numCache>
                <c:formatCode>0%</c:formatCode>
                <c:ptCount val="5"/>
                <c:pt idx="0">
                  <c:v>0</c:v>
                </c:pt>
                <c:pt idx="1">
                  <c:v>1</c:v>
                </c:pt>
                <c:pt idx="2">
                  <c:v>0</c:v>
                </c:pt>
                <c:pt idx="3">
                  <c:v>0</c:v>
                </c:pt>
                <c:pt idx="4">
                  <c:v>0</c:v>
                </c:pt>
              </c:numCache>
            </c:numRef>
          </c:val>
        </c:ser>
        <c:dLbls>
          <c:showLegendKey val="0"/>
          <c:showVal val="0"/>
          <c:showCatName val="0"/>
          <c:showSerName val="0"/>
          <c:showPercent val="0"/>
          <c:showBubbleSize val="0"/>
        </c:dLbls>
        <c:gapWidth val="219"/>
        <c:overlap val="-27"/>
        <c:axId val="144446208"/>
        <c:axId val="144447744"/>
      </c:barChart>
      <c:catAx>
        <c:axId val="144446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4447744"/>
        <c:crosses val="autoZero"/>
        <c:auto val="1"/>
        <c:lblAlgn val="ctr"/>
        <c:lblOffset val="100"/>
        <c:tickLblSkip val="1"/>
        <c:noMultiLvlLbl val="0"/>
      </c:catAx>
      <c:valAx>
        <c:axId val="1444477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446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likelihood'!$BQ$180:$BQ$186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likelihood'!$BS$180:$BS$186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4488320"/>
        <c:axId val="144489856"/>
      </c:barChart>
      <c:catAx>
        <c:axId val="14448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4489856"/>
        <c:crosses val="autoZero"/>
        <c:auto val="1"/>
        <c:lblAlgn val="ctr"/>
        <c:lblOffset val="100"/>
        <c:tickLblSkip val="1"/>
        <c:noMultiLvlLbl val="0"/>
      </c:catAx>
      <c:valAx>
        <c:axId val="1444898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488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likelihood'!$B$162</c:f>
          <c:strCache>
            <c:ptCount val="1"/>
            <c:pt idx="0">
              <c:v>Policy makers and academia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likelihood'!$G$180:$G$184</c:f>
              <c:strCache>
                <c:ptCount val="5"/>
                <c:pt idx="0">
                  <c:v>Definitely not</c:v>
                </c:pt>
                <c:pt idx="1">
                  <c:v>Sometimes</c:v>
                </c:pt>
                <c:pt idx="2">
                  <c:v>Most of the time</c:v>
                </c:pt>
                <c:pt idx="3">
                  <c:v>Yes, always</c:v>
                </c:pt>
                <c:pt idx="4">
                  <c:v>I don’t know</c:v>
                </c:pt>
              </c:strCache>
            </c:strRef>
          </c:cat>
          <c:val>
            <c:numRef>
              <c:f>'S30a likelihood'!$I$180:$I$184</c:f>
              <c:numCache>
                <c:formatCode>0%</c:formatCode>
                <c:ptCount val="5"/>
                <c:pt idx="0">
                  <c:v>0.66666666666666663</c:v>
                </c:pt>
                <c:pt idx="1">
                  <c:v>0.33333333333333331</c:v>
                </c:pt>
                <c:pt idx="2">
                  <c:v>0</c:v>
                </c:pt>
                <c:pt idx="3">
                  <c:v>0</c:v>
                </c:pt>
                <c:pt idx="4">
                  <c:v>0</c:v>
                </c:pt>
              </c:numCache>
            </c:numRef>
          </c:val>
        </c:ser>
        <c:dLbls>
          <c:showLegendKey val="0"/>
          <c:showVal val="0"/>
          <c:showCatName val="0"/>
          <c:showSerName val="0"/>
          <c:showPercent val="0"/>
          <c:showBubbleSize val="0"/>
        </c:dLbls>
        <c:gapWidth val="219"/>
        <c:overlap val="-27"/>
        <c:axId val="144182272"/>
        <c:axId val="144200448"/>
      </c:barChart>
      <c:catAx>
        <c:axId val="14418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4200448"/>
        <c:crosses val="autoZero"/>
        <c:auto val="1"/>
        <c:lblAlgn val="ctr"/>
        <c:lblOffset val="100"/>
        <c:tickLblSkip val="1"/>
        <c:noMultiLvlLbl val="0"/>
      </c:catAx>
      <c:valAx>
        <c:axId val="1442004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182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likelihood'!$B$189</c:f>
          <c:strCache>
            <c:ptCount val="1"/>
            <c:pt idx="0">
              <c:v>NGOs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likelihood'!$G$207:$G$211</c:f>
              <c:strCache>
                <c:ptCount val="5"/>
                <c:pt idx="0">
                  <c:v>Definitely not</c:v>
                </c:pt>
                <c:pt idx="1">
                  <c:v>Sometimes</c:v>
                </c:pt>
                <c:pt idx="2">
                  <c:v>Most of the time</c:v>
                </c:pt>
                <c:pt idx="3">
                  <c:v>Yes, always</c:v>
                </c:pt>
                <c:pt idx="4">
                  <c:v>I don’t know</c:v>
                </c:pt>
              </c:strCache>
            </c:strRef>
          </c:cat>
          <c:val>
            <c:numRef>
              <c:f>'S30a likelihood'!$I$207:$I$211</c:f>
              <c:numCache>
                <c:formatCode>0%</c:formatCode>
                <c:ptCount val="5"/>
                <c:pt idx="0">
                  <c:v>0</c:v>
                </c:pt>
                <c:pt idx="1">
                  <c:v>0.25</c:v>
                </c:pt>
                <c:pt idx="2">
                  <c:v>0.75</c:v>
                </c:pt>
                <c:pt idx="3">
                  <c:v>0</c:v>
                </c:pt>
                <c:pt idx="4">
                  <c:v>0</c:v>
                </c:pt>
              </c:numCache>
            </c:numRef>
          </c:val>
        </c:ser>
        <c:dLbls>
          <c:showLegendKey val="0"/>
          <c:showVal val="0"/>
          <c:showCatName val="0"/>
          <c:showSerName val="0"/>
          <c:showPercent val="0"/>
          <c:showBubbleSize val="0"/>
        </c:dLbls>
        <c:gapWidth val="219"/>
        <c:overlap val="-27"/>
        <c:axId val="144220544"/>
        <c:axId val="144222080"/>
      </c:barChart>
      <c:catAx>
        <c:axId val="14422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4222080"/>
        <c:crosses val="autoZero"/>
        <c:auto val="1"/>
        <c:lblAlgn val="ctr"/>
        <c:lblOffset val="100"/>
        <c:tickLblSkip val="1"/>
        <c:noMultiLvlLbl val="0"/>
      </c:catAx>
      <c:valAx>
        <c:axId val="1442220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220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likelihood'!$BQ$207:$BQ$213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likelihood'!$BS$207:$BS$213</c:f>
              <c:numCache>
                <c:formatCode>0%</c:formatCode>
                <c:ptCount val="7"/>
                <c:pt idx="0">
                  <c:v>0</c:v>
                </c:pt>
                <c:pt idx="1">
                  <c:v>0</c:v>
                </c:pt>
                <c:pt idx="2">
                  <c:v>0</c:v>
                </c:pt>
                <c:pt idx="3">
                  <c:v>0</c:v>
                </c:pt>
                <c:pt idx="4">
                  <c:v>0</c:v>
                </c:pt>
                <c:pt idx="5">
                  <c:v>1</c:v>
                </c:pt>
                <c:pt idx="6">
                  <c:v>0</c:v>
                </c:pt>
              </c:numCache>
            </c:numRef>
          </c:val>
        </c:ser>
        <c:dLbls>
          <c:showLegendKey val="0"/>
          <c:showVal val="0"/>
          <c:showCatName val="0"/>
          <c:showSerName val="0"/>
          <c:showPercent val="0"/>
          <c:showBubbleSize val="0"/>
        </c:dLbls>
        <c:gapWidth val="219"/>
        <c:overlap val="-27"/>
        <c:axId val="144246272"/>
        <c:axId val="144247808"/>
      </c:barChart>
      <c:catAx>
        <c:axId val="144246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4247808"/>
        <c:crosses val="autoZero"/>
        <c:auto val="1"/>
        <c:lblAlgn val="ctr"/>
        <c:lblOffset val="100"/>
        <c:tickLblSkip val="1"/>
        <c:noMultiLvlLbl val="0"/>
      </c:catAx>
      <c:valAx>
        <c:axId val="1442478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4246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likelihood'!$BQ$234:$BQ$240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likelihood'!$BS$234:$BS$240</c:f>
              <c:numCache>
                <c:formatCode>0%</c:formatCode>
                <c:ptCount val="7"/>
                <c:pt idx="0">
                  <c:v>0.26666666666666666</c:v>
                </c:pt>
                <c:pt idx="1">
                  <c:v>6.6666666666666666E-2</c:v>
                </c:pt>
                <c:pt idx="2">
                  <c:v>6.6666666666666666E-2</c:v>
                </c:pt>
                <c:pt idx="3">
                  <c:v>6.6666666666666666E-2</c:v>
                </c:pt>
                <c:pt idx="4">
                  <c:v>0.13333333333333333</c:v>
                </c:pt>
                <c:pt idx="5">
                  <c:v>0.4</c:v>
                </c:pt>
                <c:pt idx="6">
                  <c:v>0</c:v>
                </c:pt>
              </c:numCache>
            </c:numRef>
          </c:val>
        </c:ser>
        <c:dLbls>
          <c:showLegendKey val="0"/>
          <c:showVal val="0"/>
          <c:showCatName val="0"/>
          <c:showSerName val="0"/>
          <c:showPercent val="0"/>
          <c:showBubbleSize val="0"/>
        </c:dLbls>
        <c:gapWidth val="219"/>
        <c:overlap val="-27"/>
        <c:axId val="144292480"/>
        <c:axId val="144298368"/>
      </c:barChart>
      <c:catAx>
        <c:axId val="14429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4298368"/>
        <c:crosses val="autoZero"/>
        <c:auto val="1"/>
        <c:lblAlgn val="ctr"/>
        <c:lblOffset val="100"/>
        <c:tickLblSkip val="1"/>
        <c:noMultiLvlLbl val="0"/>
      </c:catAx>
      <c:valAx>
        <c:axId val="144298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292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likelihood'!$BM$247</c:f>
              <c:strCache>
                <c:ptCount val="1"/>
                <c:pt idx="0">
                  <c:v>Forest owners/managers</c:v>
                </c:pt>
              </c:strCache>
            </c:strRef>
          </c:tx>
          <c:spPr>
            <a:solidFill>
              <a:schemeClr val="accent1"/>
            </a:solidFill>
            <a:ln>
              <a:noFill/>
            </a:ln>
            <a:effectLst/>
          </c:spPr>
          <c:invertIfNegative val="0"/>
          <c:cat>
            <c:strRef>
              <c:f>'S30a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likelihood'!$BM$248:$BM$254</c:f>
              <c:numCache>
                <c:formatCode>General</c:formatCode>
                <c:ptCount val="7"/>
                <c:pt idx="0">
                  <c:v>2</c:v>
                </c:pt>
                <c:pt idx="1">
                  <c:v>1</c:v>
                </c:pt>
                <c:pt idx="2">
                  <c:v>0</c:v>
                </c:pt>
                <c:pt idx="3">
                  <c:v>0</c:v>
                </c:pt>
                <c:pt idx="4">
                  <c:v>1</c:v>
                </c:pt>
                <c:pt idx="5">
                  <c:v>0</c:v>
                </c:pt>
                <c:pt idx="6">
                  <c:v>0</c:v>
                </c:pt>
              </c:numCache>
            </c:numRef>
          </c:val>
        </c:ser>
        <c:ser>
          <c:idx val="1"/>
          <c:order val="1"/>
          <c:tx>
            <c:strRef>
              <c:f>'S30a likelihood'!$BN$247</c:f>
              <c:strCache>
                <c:ptCount val="1"/>
                <c:pt idx="0">
                  <c:v>Pellet producers</c:v>
                </c:pt>
              </c:strCache>
            </c:strRef>
          </c:tx>
          <c:spPr>
            <a:solidFill>
              <a:schemeClr val="accent2"/>
            </a:solidFill>
            <a:ln>
              <a:noFill/>
            </a:ln>
            <a:effectLst/>
          </c:spPr>
          <c:invertIfNegative val="0"/>
          <c:cat>
            <c:strRef>
              <c:f>'S30a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likelihood'!$BN$248:$BN$254</c:f>
              <c:numCache>
                <c:formatCode>0</c:formatCode>
                <c:ptCount val="7"/>
                <c:pt idx="0">
                  <c:v>2</c:v>
                </c:pt>
                <c:pt idx="1">
                  <c:v>0</c:v>
                </c:pt>
                <c:pt idx="2">
                  <c:v>0</c:v>
                </c:pt>
                <c:pt idx="3">
                  <c:v>0</c:v>
                </c:pt>
                <c:pt idx="4">
                  <c:v>0</c:v>
                </c:pt>
                <c:pt idx="5">
                  <c:v>1</c:v>
                </c:pt>
                <c:pt idx="6">
                  <c:v>0</c:v>
                </c:pt>
              </c:numCache>
            </c:numRef>
          </c:val>
        </c:ser>
        <c:ser>
          <c:idx val="2"/>
          <c:order val="2"/>
          <c:tx>
            <c:strRef>
              <c:f>'S30a likelihood'!$BO$247</c:f>
              <c:strCache>
                <c:ptCount val="1"/>
                <c:pt idx="0">
                  <c:v>Pellet users</c:v>
                </c:pt>
              </c:strCache>
            </c:strRef>
          </c:tx>
          <c:spPr>
            <a:solidFill>
              <a:schemeClr val="accent3"/>
            </a:solidFill>
            <a:ln>
              <a:noFill/>
            </a:ln>
            <a:effectLst/>
          </c:spPr>
          <c:invertIfNegative val="0"/>
          <c:cat>
            <c:strRef>
              <c:f>'S30a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likelihood'!$BO$248:$BO$254</c:f>
              <c:numCache>
                <c:formatCode>General</c:formatCode>
                <c:ptCount val="7"/>
                <c:pt idx="0">
                  <c:v>0</c:v>
                </c:pt>
                <c:pt idx="1">
                  <c:v>0</c:v>
                </c:pt>
                <c:pt idx="2">
                  <c:v>1</c:v>
                </c:pt>
                <c:pt idx="3">
                  <c:v>0</c:v>
                </c:pt>
                <c:pt idx="4">
                  <c:v>1</c:v>
                </c:pt>
                <c:pt idx="5">
                  <c:v>0</c:v>
                </c:pt>
                <c:pt idx="6">
                  <c:v>0</c:v>
                </c:pt>
              </c:numCache>
            </c:numRef>
          </c:val>
        </c:ser>
        <c:ser>
          <c:idx val="3"/>
          <c:order val="3"/>
          <c:tx>
            <c:strRef>
              <c:f>'S30a likelihood'!$BP$247</c:f>
              <c:strCache>
                <c:ptCount val="1"/>
                <c:pt idx="0">
                  <c:v>Non-bioenergy wood users</c:v>
                </c:pt>
              </c:strCache>
            </c:strRef>
          </c:tx>
          <c:spPr>
            <a:solidFill>
              <a:schemeClr val="accent4"/>
            </a:solidFill>
            <a:ln>
              <a:noFill/>
            </a:ln>
            <a:effectLst/>
          </c:spPr>
          <c:invertIfNegative val="0"/>
          <c:cat>
            <c:strRef>
              <c:f>'S30a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likelihood'!$BP$248:$BP$254</c:f>
              <c:numCache>
                <c:formatCode>General</c:formatCode>
                <c:ptCount val="7"/>
                <c:pt idx="0">
                  <c:v>0</c:v>
                </c:pt>
                <c:pt idx="1">
                  <c:v>0</c:v>
                </c:pt>
                <c:pt idx="2">
                  <c:v>0</c:v>
                </c:pt>
                <c:pt idx="3">
                  <c:v>1</c:v>
                </c:pt>
                <c:pt idx="4">
                  <c:v>0</c:v>
                </c:pt>
                <c:pt idx="5">
                  <c:v>1</c:v>
                </c:pt>
                <c:pt idx="6">
                  <c:v>0</c:v>
                </c:pt>
              </c:numCache>
            </c:numRef>
          </c:val>
        </c:ser>
        <c:ser>
          <c:idx val="4"/>
          <c:order val="4"/>
          <c:tx>
            <c:strRef>
              <c:f>'S30a likelihood'!$BQ$247</c:f>
              <c:strCache>
                <c:ptCount val="1"/>
                <c:pt idx="0">
                  <c:v>Policy makers and academia</c:v>
                </c:pt>
              </c:strCache>
            </c:strRef>
          </c:tx>
          <c:spPr>
            <a:solidFill>
              <a:schemeClr val="accent5"/>
            </a:solidFill>
            <a:ln>
              <a:noFill/>
            </a:ln>
            <a:effectLst/>
          </c:spPr>
          <c:invertIfNegative val="0"/>
          <c:cat>
            <c:strRef>
              <c:f>'S30a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likelihood'!$BQ$248:$BQ$254</c:f>
              <c:numCache>
                <c:formatCode>0</c:formatCode>
                <c:ptCount val="7"/>
                <c:pt idx="0">
                  <c:v>0</c:v>
                </c:pt>
                <c:pt idx="1">
                  <c:v>0</c:v>
                </c:pt>
                <c:pt idx="2">
                  <c:v>0</c:v>
                </c:pt>
                <c:pt idx="3">
                  <c:v>0</c:v>
                </c:pt>
                <c:pt idx="4">
                  <c:v>0</c:v>
                </c:pt>
                <c:pt idx="5">
                  <c:v>0</c:v>
                </c:pt>
                <c:pt idx="6">
                  <c:v>0</c:v>
                </c:pt>
              </c:numCache>
            </c:numRef>
          </c:val>
        </c:ser>
        <c:ser>
          <c:idx val="5"/>
          <c:order val="5"/>
          <c:tx>
            <c:strRef>
              <c:f>'S30a likelihood'!$BR$247</c:f>
              <c:strCache>
                <c:ptCount val="1"/>
                <c:pt idx="0">
                  <c:v>NGOs</c:v>
                </c:pt>
              </c:strCache>
            </c:strRef>
          </c:tx>
          <c:spPr>
            <a:solidFill>
              <a:schemeClr val="accent6"/>
            </a:solidFill>
            <a:ln>
              <a:noFill/>
            </a:ln>
            <a:effectLst/>
          </c:spPr>
          <c:invertIfNegative val="0"/>
          <c:cat>
            <c:strRef>
              <c:f>'S30a likelihood'!$BL$248:$BL$254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likelihood'!$BR$248:$BR$254</c:f>
              <c:numCache>
                <c:formatCode>General</c:formatCode>
                <c:ptCount val="7"/>
                <c:pt idx="0">
                  <c:v>0</c:v>
                </c:pt>
                <c:pt idx="1">
                  <c:v>0</c:v>
                </c:pt>
                <c:pt idx="2">
                  <c:v>0</c:v>
                </c:pt>
                <c:pt idx="3">
                  <c:v>0</c:v>
                </c:pt>
                <c:pt idx="4">
                  <c:v>0</c:v>
                </c:pt>
                <c:pt idx="5">
                  <c:v>4</c:v>
                </c:pt>
                <c:pt idx="6">
                  <c:v>0</c:v>
                </c:pt>
              </c:numCache>
            </c:numRef>
          </c:val>
        </c:ser>
        <c:dLbls>
          <c:showLegendKey val="0"/>
          <c:showVal val="0"/>
          <c:showCatName val="0"/>
          <c:showSerName val="0"/>
          <c:showPercent val="0"/>
          <c:showBubbleSize val="0"/>
        </c:dLbls>
        <c:gapWidth val="150"/>
        <c:overlap val="100"/>
        <c:axId val="144420864"/>
        <c:axId val="144422400"/>
      </c:barChart>
      <c:catAx>
        <c:axId val="1444208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4422400"/>
        <c:crosses val="autoZero"/>
        <c:auto val="1"/>
        <c:lblAlgn val="ctr"/>
        <c:lblOffset val="100"/>
        <c:noMultiLvlLbl val="0"/>
      </c:catAx>
      <c:valAx>
        <c:axId val="144422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420864"/>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likelihood'!$C$279</c:f>
              <c:strCache>
                <c:ptCount val="1"/>
                <c:pt idx="0">
                  <c:v>Forest owners/managers</c:v>
                </c:pt>
              </c:strCache>
            </c:strRef>
          </c:tx>
          <c:invertIfNegative val="0"/>
          <c:cat>
            <c:strRef>
              <c:f>'S30a likelihood'!$B$280:$B$284</c:f>
              <c:strCache>
                <c:ptCount val="5"/>
                <c:pt idx="0">
                  <c:v>Definitely not</c:v>
                </c:pt>
                <c:pt idx="1">
                  <c:v>Sometimes</c:v>
                </c:pt>
                <c:pt idx="2">
                  <c:v>Most of the time</c:v>
                </c:pt>
                <c:pt idx="3">
                  <c:v>Yes, always</c:v>
                </c:pt>
                <c:pt idx="4">
                  <c:v>I don’t know</c:v>
                </c:pt>
              </c:strCache>
            </c:strRef>
          </c:cat>
          <c:val>
            <c:numRef>
              <c:f>'S30a likelihood'!$C$280:$C$284</c:f>
              <c:numCache>
                <c:formatCode>0%</c:formatCode>
                <c:ptCount val="5"/>
                <c:pt idx="0">
                  <c:v>3.3333333333333333E-2</c:v>
                </c:pt>
                <c:pt idx="1">
                  <c:v>3.3333333333333333E-2</c:v>
                </c:pt>
                <c:pt idx="2">
                  <c:v>3.3333333333333333E-2</c:v>
                </c:pt>
                <c:pt idx="3">
                  <c:v>0</c:v>
                </c:pt>
                <c:pt idx="4">
                  <c:v>6.6666666666666666E-2</c:v>
                </c:pt>
              </c:numCache>
            </c:numRef>
          </c:val>
        </c:ser>
        <c:ser>
          <c:idx val="1"/>
          <c:order val="1"/>
          <c:tx>
            <c:strRef>
              <c:f>'S30a likelihood'!$D$279</c:f>
              <c:strCache>
                <c:ptCount val="1"/>
                <c:pt idx="0">
                  <c:v>Pellet producers</c:v>
                </c:pt>
              </c:strCache>
            </c:strRef>
          </c:tx>
          <c:invertIfNegative val="0"/>
          <c:cat>
            <c:strRef>
              <c:f>'S30a likelihood'!$B$280:$B$284</c:f>
              <c:strCache>
                <c:ptCount val="5"/>
                <c:pt idx="0">
                  <c:v>Definitely not</c:v>
                </c:pt>
                <c:pt idx="1">
                  <c:v>Sometimes</c:v>
                </c:pt>
                <c:pt idx="2">
                  <c:v>Most of the time</c:v>
                </c:pt>
                <c:pt idx="3">
                  <c:v>Yes, always</c:v>
                </c:pt>
                <c:pt idx="4">
                  <c:v>I don’t know</c:v>
                </c:pt>
              </c:strCache>
            </c:strRef>
          </c:cat>
          <c:val>
            <c:numRef>
              <c:f>'S30a likelihood'!$D$280:$D$284</c:f>
              <c:numCache>
                <c:formatCode>0%</c:formatCode>
                <c:ptCount val="5"/>
                <c:pt idx="0">
                  <c:v>0</c:v>
                </c:pt>
                <c:pt idx="1">
                  <c:v>0.16666666666666666</c:v>
                </c:pt>
                <c:pt idx="2">
                  <c:v>0</c:v>
                </c:pt>
                <c:pt idx="3">
                  <c:v>0</c:v>
                </c:pt>
                <c:pt idx="4">
                  <c:v>0</c:v>
                </c:pt>
              </c:numCache>
            </c:numRef>
          </c:val>
        </c:ser>
        <c:ser>
          <c:idx val="2"/>
          <c:order val="2"/>
          <c:tx>
            <c:strRef>
              <c:f>'S30a likelihood'!$E$279</c:f>
              <c:strCache>
                <c:ptCount val="1"/>
                <c:pt idx="0">
                  <c:v>Pellet users</c:v>
                </c:pt>
              </c:strCache>
            </c:strRef>
          </c:tx>
          <c:invertIfNegative val="0"/>
          <c:cat>
            <c:strRef>
              <c:f>'S30a likelihood'!$B$280:$B$284</c:f>
              <c:strCache>
                <c:ptCount val="5"/>
                <c:pt idx="0">
                  <c:v>Definitely not</c:v>
                </c:pt>
                <c:pt idx="1">
                  <c:v>Sometimes</c:v>
                </c:pt>
                <c:pt idx="2">
                  <c:v>Most of the time</c:v>
                </c:pt>
                <c:pt idx="3">
                  <c:v>Yes, always</c:v>
                </c:pt>
                <c:pt idx="4">
                  <c:v>I don’t know</c:v>
                </c:pt>
              </c:strCache>
            </c:strRef>
          </c:cat>
          <c:val>
            <c:numRef>
              <c:f>'S30a likelihood'!$E$280:$E$284</c:f>
              <c:numCache>
                <c:formatCode>0%</c:formatCode>
                <c:ptCount val="5"/>
                <c:pt idx="0">
                  <c:v>0</c:v>
                </c:pt>
                <c:pt idx="1">
                  <c:v>0.16666666666666666</c:v>
                </c:pt>
                <c:pt idx="2">
                  <c:v>0</c:v>
                </c:pt>
                <c:pt idx="3">
                  <c:v>0</c:v>
                </c:pt>
                <c:pt idx="4">
                  <c:v>0</c:v>
                </c:pt>
              </c:numCache>
            </c:numRef>
          </c:val>
        </c:ser>
        <c:ser>
          <c:idx val="3"/>
          <c:order val="3"/>
          <c:tx>
            <c:strRef>
              <c:f>'S30a likelihood'!$F$279</c:f>
              <c:strCache>
                <c:ptCount val="1"/>
                <c:pt idx="0">
                  <c:v>Non-bioenergy wood users</c:v>
                </c:pt>
              </c:strCache>
            </c:strRef>
          </c:tx>
          <c:invertIfNegative val="0"/>
          <c:cat>
            <c:strRef>
              <c:f>'S30a likelihood'!$B$280:$B$284</c:f>
              <c:strCache>
                <c:ptCount val="5"/>
                <c:pt idx="0">
                  <c:v>Definitely not</c:v>
                </c:pt>
                <c:pt idx="1">
                  <c:v>Sometimes</c:v>
                </c:pt>
                <c:pt idx="2">
                  <c:v>Most of the time</c:v>
                </c:pt>
                <c:pt idx="3">
                  <c:v>Yes, always</c:v>
                </c:pt>
                <c:pt idx="4">
                  <c:v>I don’t know</c:v>
                </c:pt>
              </c:strCache>
            </c:strRef>
          </c:cat>
          <c:val>
            <c:numRef>
              <c:f>'S30a likelihood'!$F$280:$F$284</c:f>
              <c:numCache>
                <c:formatCode>0%</c:formatCode>
                <c:ptCount val="5"/>
                <c:pt idx="0">
                  <c:v>0</c:v>
                </c:pt>
                <c:pt idx="1">
                  <c:v>0.16666666666666666</c:v>
                </c:pt>
                <c:pt idx="2">
                  <c:v>0</c:v>
                </c:pt>
                <c:pt idx="3">
                  <c:v>0</c:v>
                </c:pt>
                <c:pt idx="4">
                  <c:v>0</c:v>
                </c:pt>
              </c:numCache>
            </c:numRef>
          </c:val>
        </c:ser>
        <c:ser>
          <c:idx val="4"/>
          <c:order val="4"/>
          <c:tx>
            <c:strRef>
              <c:f>'S30a likelihood'!$G$279</c:f>
              <c:strCache>
                <c:ptCount val="1"/>
                <c:pt idx="0">
                  <c:v>Policy makers and academia</c:v>
                </c:pt>
              </c:strCache>
            </c:strRef>
          </c:tx>
          <c:invertIfNegative val="0"/>
          <c:cat>
            <c:strRef>
              <c:f>'S30a likelihood'!$B$280:$B$284</c:f>
              <c:strCache>
                <c:ptCount val="5"/>
                <c:pt idx="0">
                  <c:v>Definitely not</c:v>
                </c:pt>
                <c:pt idx="1">
                  <c:v>Sometimes</c:v>
                </c:pt>
                <c:pt idx="2">
                  <c:v>Most of the time</c:v>
                </c:pt>
                <c:pt idx="3">
                  <c:v>Yes, always</c:v>
                </c:pt>
                <c:pt idx="4">
                  <c:v>I don’t know</c:v>
                </c:pt>
              </c:strCache>
            </c:strRef>
          </c:cat>
          <c:val>
            <c:numRef>
              <c:f>'S30a likelihood'!$G$280:$G$284</c:f>
              <c:numCache>
                <c:formatCode>0%</c:formatCode>
                <c:ptCount val="5"/>
                <c:pt idx="0">
                  <c:v>0.1111111111111111</c:v>
                </c:pt>
                <c:pt idx="1">
                  <c:v>5.5555555555555552E-2</c:v>
                </c:pt>
                <c:pt idx="2">
                  <c:v>0</c:v>
                </c:pt>
                <c:pt idx="3">
                  <c:v>0</c:v>
                </c:pt>
                <c:pt idx="4">
                  <c:v>0</c:v>
                </c:pt>
              </c:numCache>
            </c:numRef>
          </c:val>
        </c:ser>
        <c:ser>
          <c:idx val="5"/>
          <c:order val="5"/>
          <c:tx>
            <c:strRef>
              <c:f>'S30a likelihood'!$H$279</c:f>
              <c:strCache>
                <c:ptCount val="1"/>
                <c:pt idx="0">
                  <c:v>NGOs</c:v>
                </c:pt>
              </c:strCache>
            </c:strRef>
          </c:tx>
          <c:invertIfNegative val="0"/>
          <c:cat>
            <c:strRef>
              <c:f>'S30a likelihood'!$B$280:$B$284</c:f>
              <c:strCache>
                <c:ptCount val="5"/>
                <c:pt idx="0">
                  <c:v>Definitely not</c:v>
                </c:pt>
                <c:pt idx="1">
                  <c:v>Sometimes</c:v>
                </c:pt>
                <c:pt idx="2">
                  <c:v>Most of the time</c:v>
                </c:pt>
                <c:pt idx="3">
                  <c:v>Yes, always</c:v>
                </c:pt>
                <c:pt idx="4">
                  <c:v>I don’t know</c:v>
                </c:pt>
              </c:strCache>
            </c:strRef>
          </c:cat>
          <c:val>
            <c:numRef>
              <c:f>'S30a likelihood'!$H$280:$H$284</c:f>
              <c:numCache>
                <c:formatCode>0%</c:formatCode>
                <c:ptCount val="5"/>
                <c:pt idx="0">
                  <c:v>0</c:v>
                </c:pt>
                <c:pt idx="1">
                  <c:v>4.1666666666666664E-2</c:v>
                </c:pt>
                <c:pt idx="2">
                  <c:v>0.125</c:v>
                </c:pt>
                <c:pt idx="3">
                  <c:v>0</c:v>
                </c:pt>
                <c:pt idx="4">
                  <c:v>0</c:v>
                </c:pt>
              </c:numCache>
            </c:numRef>
          </c:val>
        </c:ser>
        <c:dLbls>
          <c:showLegendKey val="0"/>
          <c:showVal val="0"/>
          <c:showCatName val="0"/>
          <c:showSerName val="0"/>
          <c:showPercent val="0"/>
          <c:showBubbleSize val="0"/>
        </c:dLbls>
        <c:gapWidth val="55"/>
        <c:overlap val="100"/>
        <c:axId val="144782464"/>
        <c:axId val="144784000"/>
      </c:barChart>
      <c:catAx>
        <c:axId val="14478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4784000"/>
        <c:crosses val="autoZero"/>
        <c:auto val="1"/>
        <c:lblAlgn val="ctr"/>
        <c:lblOffset val="100"/>
        <c:noMultiLvlLbl val="0"/>
      </c:catAx>
      <c:valAx>
        <c:axId val="144784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447824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likelihood'!$BM$279</c:f>
              <c:strCache>
                <c:ptCount val="1"/>
                <c:pt idx="0">
                  <c:v>Forest owners/managers</c:v>
                </c:pt>
              </c:strCache>
            </c:strRef>
          </c:tx>
          <c:invertIfNegative val="0"/>
          <c:cat>
            <c:strRef>
              <c:f>'S30a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likelihood'!$BM$280:$BM$286</c:f>
              <c:numCache>
                <c:formatCode>0%</c:formatCode>
                <c:ptCount val="7"/>
                <c:pt idx="0">
                  <c:v>8.3333333333333329E-2</c:v>
                </c:pt>
                <c:pt idx="1">
                  <c:v>4.1666666666666664E-2</c:v>
                </c:pt>
                <c:pt idx="2">
                  <c:v>0</c:v>
                </c:pt>
                <c:pt idx="3">
                  <c:v>0</c:v>
                </c:pt>
                <c:pt idx="4">
                  <c:v>4.1666666666666664E-2</c:v>
                </c:pt>
                <c:pt idx="5">
                  <c:v>0</c:v>
                </c:pt>
                <c:pt idx="6">
                  <c:v>0</c:v>
                </c:pt>
              </c:numCache>
            </c:numRef>
          </c:val>
        </c:ser>
        <c:ser>
          <c:idx val="1"/>
          <c:order val="1"/>
          <c:tx>
            <c:strRef>
              <c:f>'S30a likelihood'!$BN$279</c:f>
              <c:strCache>
                <c:ptCount val="1"/>
                <c:pt idx="0">
                  <c:v>Pellet producers</c:v>
                </c:pt>
              </c:strCache>
            </c:strRef>
          </c:tx>
          <c:invertIfNegative val="0"/>
          <c:cat>
            <c:strRef>
              <c:f>'S30a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likelihood'!$BN$280:$BN$286</c:f>
              <c:numCache>
                <c:formatCode>0%</c:formatCode>
                <c:ptCount val="7"/>
                <c:pt idx="0">
                  <c:v>0.1111111111111111</c:v>
                </c:pt>
                <c:pt idx="1">
                  <c:v>0</c:v>
                </c:pt>
                <c:pt idx="2">
                  <c:v>0</c:v>
                </c:pt>
                <c:pt idx="3">
                  <c:v>0</c:v>
                </c:pt>
                <c:pt idx="4">
                  <c:v>0</c:v>
                </c:pt>
                <c:pt idx="5">
                  <c:v>5.5555555555555552E-2</c:v>
                </c:pt>
                <c:pt idx="6">
                  <c:v>0</c:v>
                </c:pt>
              </c:numCache>
            </c:numRef>
          </c:val>
        </c:ser>
        <c:ser>
          <c:idx val="2"/>
          <c:order val="2"/>
          <c:tx>
            <c:strRef>
              <c:f>'S30a likelihood'!$BO$279</c:f>
              <c:strCache>
                <c:ptCount val="1"/>
                <c:pt idx="0">
                  <c:v>Pellet users</c:v>
                </c:pt>
              </c:strCache>
            </c:strRef>
          </c:tx>
          <c:invertIfNegative val="0"/>
          <c:cat>
            <c:strRef>
              <c:f>'S30a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likelihood'!$BO$280:$BO$286</c:f>
              <c:numCache>
                <c:formatCode>0%</c:formatCode>
                <c:ptCount val="7"/>
                <c:pt idx="0">
                  <c:v>0</c:v>
                </c:pt>
                <c:pt idx="1">
                  <c:v>0</c:v>
                </c:pt>
                <c:pt idx="2">
                  <c:v>8.3333333333333329E-2</c:v>
                </c:pt>
                <c:pt idx="3">
                  <c:v>0</c:v>
                </c:pt>
                <c:pt idx="4">
                  <c:v>8.3333333333333329E-2</c:v>
                </c:pt>
                <c:pt idx="5">
                  <c:v>0</c:v>
                </c:pt>
                <c:pt idx="6">
                  <c:v>0</c:v>
                </c:pt>
              </c:numCache>
            </c:numRef>
          </c:val>
        </c:ser>
        <c:ser>
          <c:idx val="3"/>
          <c:order val="3"/>
          <c:tx>
            <c:strRef>
              <c:f>'S30a likelihood'!$BP$279</c:f>
              <c:strCache>
                <c:ptCount val="1"/>
                <c:pt idx="0">
                  <c:v>Non-bioenergy wood users</c:v>
                </c:pt>
              </c:strCache>
            </c:strRef>
          </c:tx>
          <c:invertIfNegative val="0"/>
          <c:cat>
            <c:strRef>
              <c:f>'S30a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likelihood'!$BP$280:$BP$286</c:f>
              <c:numCache>
                <c:formatCode>0%</c:formatCode>
                <c:ptCount val="7"/>
                <c:pt idx="0">
                  <c:v>0</c:v>
                </c:pt>
                <c:pt idx="1">
                  <c:v>0</c:v>
                </c:pt>
                <c:pt idx="2">
                  <c:v>0</c:v>
                </c:pt>
                <c:pt idx="3">
                  <c:v>8.3333333333333329E-2</c:v>
                </c:pt>
                <c:pt idx="4">
                  <c:v>0</c:v>
                </c:pt>
                <c:pt idx="5">
                  <c:v>8.3333333333333329E-2</c:v>
                </c:pt>
                <c:pt idx="6">
                  <c:v>0</c:v>
                </c:pt>
              </c:numCache>
            </c:numRef>
          </c:val>
        </c:ser>
        <c:ser>
          <c:idx val="4"/>
          <c:order val="4"/>
          <c:tx>
            <c:strRef>
              <c:f>'S30a likelihood'!$BQ$279</c:f>
              <c:strCache>
                <c:ptCount val="1"/>
                <c:pt idx="0">
                  <c:v>Policy makers and academia</c:v>
                </c:pt>
              </c:strCache>
            </c:strRef>
          </c:tx>
          <c:invertIfNegative val="0"/>
          <c:cat>
            <c:strRef>
              <c:f>'S30a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likelihood'!$BQ$280:$BQ$286</c:f>
              <c:numCache>
                <c:formatCode>0%</c:formatCode>
                <c:ptCount val="7"/>
                <c:pt idx="0">
                  <c:v>0</c:v>
                </c:pt>
                <c:pt idx="1">
                  <c:v>0</c:v>
                </c:pt>
                <c:pt idx="2">
                  <c:v>0</c:v>
                </c:pt>
                <c:pt idx="3">
                  <c:v>0</c:v>
                </c:pt>
                <c:pt idx="4">
                  <c:v>0</c:v>
                </c:pt>
                <c:pt idx="5">
                  <c:v>0</c:v>
                </c:pt>
                <c:pt idx="6">
                  <c:v>0</c:v>
                </c:pt>
              </c:numCache>
            </c:numRef>
          </c:val>
        </c:ser>
        <c:ser>
          <c:idx val="5"/>
          <c:order val="5"/>
          <c:tx>
            <c:strRef>
              <c:f>'S30a likelihood'!$BR$279</c:f>
              <c:strCache>
                <c:ptCount val="1"/>
                <c:pt idx="0">
                  <c:v>NGOs</c:v>
                </c:pt>
              </c:strCache>
            </c:strRef>
          </c:tx>
          <c:invertIfNegative val="0"/>
          <c:cat>
            <c:strRef>
              <c:f>'S30a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likelihood'!$BR$280:$BR$286</c:f>
              <c:numCache>
                <c:formatCode>0%</c:formatCode>
                <c:ptCount val="7"/>
                <c:pt idx="0">
                  <c:v>0</c:v>
                </c:pt>
                <c:pt idx="1">
                  <c:v>0</c:v>
                </c:pt>
                <c:pt idx="2">
                  <c:v>0</c:v>
                </c:pt>
                <c:pt idx="3">
                  <c:v>0</c:v>
                </c:pt>
                <c:pt idx="4">
                  <c:v>0</c:v>
                </c:pt>
                <c:pt idx="5">
                  <c:v>0.16666666666666666</c:v>
                </c:pt>
                <c:pt idx="6">
                  <c:v>0</c:v>
                </c:pt>
              </c:numCache>
            </c:numRef>
          </c:val>
        </c:ser>
        <c:dLbls>
          <c:showLegendKey val="0"/>
          <c:showVal val="0"/>
          <c:showCatName val="0"/>
          <c:showSerName val="0"/>
          <c:showPercent val="0"/>
          <c:showBubbleSize val="0"/>
        </c:dLbls>
        <c:gapWidth val="150"/>
        <c:overlap val="100"/>
        <c:axId val="144829056"/>
        <c:axId val="144834944"/>
      </c:barChart>
      <c:catAx>
        <c:axId val="144829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4834944"/>
        <c:crosses val="autoZero"/>
        <c:auto val="1"/>
        <c:lblAlgn val="ctr"/>
        <c:lblOffset val="100"/>
        <c:noMultiLvlLbl val="0"/>
      </c:catAx>
      <c:valAx>
        <c:axId val="144834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290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'S26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'S26 likelihood'!$BQ$126:$BQ$132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'S26 likelihood'!$BS$126:$BS$132</c:f>
              <c:numCache>
                <c:formatCode>0%</c:formatCode>
                <c:ptCount val="7"/>
                <c:pt idx="0">
                  <c:v>0.5</c:v>
                </c:pt>
                <c:pt idx="1">
                  <c:v>0</c:v>
                </c:pt>
                <c:pt idx="2">
                  <c:v>0.5</c:v>
                </c:pt>
                <c:pt idx="3">
                  <c:v>0</c:v>
                </c:pt>
                <c:pt idx="4">
                  <c:v>0</c:v>
                </c:pt>
                <c:pt idx="5">
                  <c:v>0</c:v>
                </c:pt>
                <c:pt idx="6">
                  <c:v>0</c:v>
                </c:pt>
              </c:numCache>
            </c:numRef>
          </c:val>
        </c:ser>
        <c:dLbls>
          <c:showLegendKey val="0"/>
          <c:showVal val="0"/>
          <c:showCatName val="0"/>
          <c:showSerName val="0"/>
          <c:showPercent val="0"/>
          <c:showBubbleSize val="0"/>
        </c:dLbls>
        <c:gapWidth val="219"/>
        <c:overlap val="-27"/>
        <c:axId val="138454144"/>
        <c:axId val="138455680"/>
      </c:barChart>
      <c:catAx>
        <c:axId val="13845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455680"/>
        <c:crosses val="autoZero"/>
        <c:auto val="1"/>
        <c:lblAlgn val="ctr"/>
        <c:lblOffset val="100"/>
        <c:tickLblSkip val="1"/>
        <c:noMultiLvlLbl val="0"/>
      </c:catAx>
      <c:valAx>
        <c:axId val="1384556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454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likelihood'!$BM$279</c:f>
              <c:strCache>
                <c:ptCount val="1"/>
                <c:pt idx="0">
                  <c:v>Forest owners/managers</c:v>
                </c:pt>
              </c:strCache>
            </c:strRef>
          </c:tx>
          <c:invertIfNegative val="0"/>
          <c:cat>
            <c:strRef>
              <c:f>'S30a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likelihood'!$BM$280:$BM$286</c:f>
              <c:numCache>
                <c:formatCode>0%</c:formatCode>
                <c:ptCount val="7"/>
                <c:pt idx="0">
                  <c:v>8.3333333333333329E-2</c:v>
                </c:pt>
                <c:pt idx="1">
                  <c:v>4.1666666666666664E-2</c:v>
                </c:pt>
                <c:pt idx="2">
                  <c:v>0</c:v>
                </c:pt>
                <c:pt idx="3">
                  <c:v>0</c:v>
                </c:pt>
                <c:pt idx="4">
                  <c:v>4.1666666666666664E-2</c:v>
                </c:pt>
                <c:pt idx="5">
                  <c:v>0</c:v>
                </c:pt>
                <c:pt idx="6">
                  <c:v>0</c:v>
                </c:pt>
              </c:numCache>
            </c:numRef>
          </c:val>
        </c:ser>
        <c:ser>
          <c:idx val="1"/>
          <c:order val="1"/>
          <c:tx>
            <c:strRef>
              <c:f>'S30a likelihood'!$BN$279</c:f>
              <c:strCache>
                <c:ptCount val="1"/>
                <c:pt idx="0">
                  <c:v>Pellet producers</c:v>
                </c:pt>
              </c:strCache>
            </c:strRef>
          </c:tx>
          <c:invertIfNegative val="0"/>
          <c:cat>
            <c:strRef>
              <c:f>'S30a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likelihood'!$BN$280:$BN$286</c:f>
              <c:numCache>
                <c:formatCode>0%</c:formatCode>
                <c:ptCount val="7"/>
                <c:pt idx="0">
                  <c:v>0.1111111111111111</c:v>
                </c:pt>
                <c:pt idx="1">
                  <c:v>0</c:v>
                </c:pt>
                <c:pt idx="2">
                  <c:v>0</c:v>
                </c:pt>
                <c:pt idx="3">
                  <c:v>0</c:v>
                </c:pt>
                <c:pt idx="4">
                  <c:v>0</c:v>
                </c:pt>
                <c:pt idx="5">
                  <c:v>5.5555555555555552E-2</c:v>
                </c:pt>
                <c:pt idx="6">
                  <c:v>0</c:v>
                </c:pt>
              </c:numCache>
            </c:numRef>
          </c:val>
        </c:ser>
        <c:ser>
          <c:idx val="2"/>
          <c:order val="2"/>
          <c:tx>
            <c:strRef>
              <c:f>'S30a likelihood'!$BO$279</c:f>
              <c:strCache>
                <c:ptCount val="1"/>
                <c:pt idx="0">
                  <c:v>Pellet users</c:v>
                </c:pt>
              </c:strCache>
            </c:strRef>
          </c:tx>
          <c:invertIfNegative val="0"/>
          <c:cat>
            <c:strRef>
              <c:f>'S30a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likelihood'!$BO$280:$BO$286</c:f>
              <c:numCache>
                <c:formatCode>0%</c:formatCode>
                <c:ptCount val="7"/>
                <c:pt idx="0">
                  <c:v>0</c:v>
                </c:pt>
                <c:pt idx="1">
                  <c:v>0</c:v>
                </c:pt>
                <c:pt idx="2">
                  <c:v>8.3333333333333329E-2</c:v>
                </c:pt>
                <c:pt idx="3">
                  <c:v>0</c:v>
                </c:pt>
                <c:pt idx="4">
                  <c:v>8.3333333333333329E-2</c:v>
                </c:pt>
                <c:pt idx="5">
                  <c:v>0</c:v>
                </c:pt>
                <c:pt idx="6">
                  <c:v>0</c:v>
                </c:pt>
              </c:numCache>
            </c:numRef>
          </c:val>
        </c:ser>
        <c:ser>
          <c:idx val="3"/>
          <c:order val="3"/>
          <c:tx>
            <c:strRef>
              <c:f>'S30a likelihood'!$BP$279</c:f>
              <c:strCache>
                <c:ptCount val="1"/>
                <c:pt idx="0">
                  <c:v>Non-bioenergy wood users</c:v>
                </c:pt>
              </c:strCache>
            </c:strRef>
          </c:tx>
          <c:invertIfNegative val="0"/>
          <c:cat>
            <c:strRef>
              <c:f>'S30a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likelihood'!$BP$280:$BP$286</c:f>
              <c:numCache>
                <c:formatCode>0%</c:formatCode>
                <c:ptCount val="7"/>
                <c:pt idx="0">
                  <c:v>0</c:v>
                </c:pt>
                <c:pt idx="1">
                  <c:v>0</c:v>
                </c:pt>
                <c:pt idx="2">
                  <c:v>0</c:v>
                </c:pt>
                <c:pt idx="3">
                  <c:v>8.3333333333333329E-2</c:v>
                </c:pt>
                <c:pt idx="4">
                  <c:v>0</c:v>
                </c:pt>
                <c:pt idx="5">
                  <c:v>8.3333333333333329E-2</c:v>
                </c:pt>
                <c:pt idx="6">
                  <c:v>0</c:v>
                </c:pt>
              </c:numCache>
            </c:numRef>
          </c:val>
        </c:ser>
        <c:ser>
          <c:idx val="4"/>
          <c:order val="4"/>
          <c:tx>
            <c:strRef>
              <c:f>'S30a likelihood'!$BQ$279</c:f>
              <c:strCache>
                <c:ptCount val="1"/>
                <c:pt idx="0">
                  <c:v>Policy makers and academia</c:v>
                </c:pt>
              </c:strCache>
            </c:strRef>
          </c:tx>
          <c:invertIfNegative val="0"/>
          <c:cat>
            <c:strRef>
              <c:f>'S30a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likelihood'!$BQ$280:$BQ$286</c:f>
              <c:numCache>
                <c:formatCode>0%</c:formatCode>
                <c:ptCount val="7"/>
                <c:pt idx="0">
                  <c:v>0</c:v>
                </c:pt>
                <c:pt idx="1">
                  <c:v>0</c:v>
                </c:pt>
                <c:pt idx="2">
                  <c:v>0</c:v>
                </c:pt>
                <c:pt idx="3">
                  <c:v>0</c:v>
                </c:pt>
                <c:pt idx="4">
                  <c:v>0</c:v>
                </c:pt>
                <c:pt idx="5">
                  <c:v>0</c:v>
                </c:pt>
                <c:pt idx="6">
                  <c:v>0</c:v>
                </c:pt>
              </c:numCache>
            </c:numRef>
          </c:val>
        </c:ser>
        <c:ser>
          <c:idx val="5"/>
          <c:order val="5"/>
          <c:tx>
            <c:strRef>
              <c:f>'S30a likelihood'!$BR$279</c:f>
              <c:strCache>
                <c:ptCount val="1"/>
                <c:pt idx="0">
                  <c:v>NGOs</c:v>
                </c:pt>
              </c:strCache>
            </c:strRef>
          </c:tx>
          <c:invertIfNegative val="0"/>
          <c:cat>
            <c:strRef>
              <c:f>'S30a likelihood'!$BL$280:$BL$286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likelihood'!$BR$280:$BR$286</c:f>
              <c:numCache>
                <c:formatCode>0%</c:formatCode>
                <c:ptCount val="7"/>
                <c:pt idx="0">
                  <c:v>0</c:v>
                </c:pt>
                <c:pt idx="1">
                  <c:v>0</c:v>
                </c:pt>
                <c:pt idx="2">
                  <c:v>0</c:v>
                </c:pt>
                <c:pt idx="3">
                  <c:v>0</c:v>
                </c:pt>
                <c:pt idx="4">
                  <c:v>0</c:v>
                </c:pt>
                <c:pt idx="5">
                  <c:v>0.16666666666666666</c:v>
                </c:pt>
                <c:pt idx="6">
                  <c:v>0</c:v>
                </c:pt>
              </c:numCache>
            </c:numRef>
          </c:val>
        </c:ser>
        <c:dLbls>
          <c:showLegendKey val="0"/>
          <c:showVal val="0"/>
          <c:showCatName val="0"/>
          <c:showSerName val="0"/>
          <c:showPercent val="0"/>
          <c:showBubbleSize val="0"/>
        </c:dLbls>
        <c:gapWidth val="150"/>
        <c:overlap val="100"/>
        <c:axId val="144875520"/>
        <c:axId val="144877056"/>
      </c:barChart>
      <c:catAx>
        <c:axId val="1448755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4877056"/>
        <c:crosses val="autoZero"/>
        <c:auto val="1"/>
        <c:lblAlgn val="ctr"/>
        <c:lblOffset val="100"/>
        <c:noMultiLvlLbl val="0"/>
      </c:catAx>
      <c:valAx>
        <c:axId val="14487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755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likelihood'!$DL$279</c:f>
              <c:strCache>
                <c:ptCount val="1"/>
                <c:pt idx="0">
                  <c:v>Forest owners/managers</c:v>
                </c:pt>
              </c:strCache>
            </c:strRef>
          </c:tx>
          <c:invertIfNegative val="0"/>
          <c:cat>
            <c:strRef>
              <c:f>'S30a likelihood'!$DK$280:$DK$284</c:f>
              <c:strCache>
                <c:ptCount val="5"/>
                <c:pt idx="0">
                  <c:v>Definitely not</c:v>
                </c:pt>
                <c:pt idx="1">
                  <c:v>Sometimes</c:v>
                </c:pt>
                <c:pt idx="2">
                  <c:v>Most of the time</c:v>
                </c:pt>
                <c:pt idx="3">
                  <c:v>Yes, always</c:v>
                </c:pt>
                <c:pt idx="4">
                  <c:v>I don’t know</c:v>
                </c:pt>
              </c:strCache>
            </c:strRef>
          </c:cat>
          <c:val>
            <c:numRef>
              <c:f>'S30a likelihood'!$DL$280:$DL$284</c:f>
              <c:numCache>
                <c:formatCode>0%</c:formatCode>
                <c:ptCount val="5"/>
                <c:pt idx="0">
                  <c:v>3.3333333333333333E-2</c:v>
                </c:pt>
                <c:pt idx="1">
                  <c:v>6.6666666666666666E-2</c:v>
                </c:pt>
                <c:pt idx="2">
                  <c:v>3.3333333333333333E-2</c:v>
                </c:pt>
                <c:pt idx="3">
                  <c:v>0</c:v>
                </c:pt>
                <c:pt idx="4">
                  <c:v>3.3333333333333333E-2</c:v>
                </c:pt>
              </c:numCache>
            </c:numRef>
          </c:val>
        </c:ser>
        <c:ser>
          <c:idx val="1"/>
          <c:order val="1"/>
          <c:tx>
            <c:strRef>
              <c:f>'S30a likelihood'!$DM$279</c:f>
              <c:strCache>
                <c:ptCount val="1"/>
                <c:pt idx="0">
                  <c:v>Pellet producers</c:v>
                </c:pt>
              </c:strCache>
            </c:strRef>
          </c:tx>
          <c:invertIfNegative val="0"/>
          <c:cat>
            <c:strRef>
              <c:f>'S30a likelihood'!$DK$280:$DK$284</c:f>
              <c:strCache>
                <c:ptCount val="5"/>
                <c:pt idx="0">
                  <c:v>Definitely not</c:v>
                </c:pt>
                <c:pt idx="1">
                  <c:v>Sometimes</c:v>
                </c:pt>
                <c:pt idx="2">
                  <c:v>Most of the time</c:v>
                </c:pt>
                <c:pt idx="3">
                  <c:v>Yes, always</c:v>
                </c:pt>
                <c:pt idx="4">
                  <c:v>I don’t know</c:v>
                </c:pt>
              </c:strCache>
            </c:strRef>
          </c:cat>
          <c:val>
            <c:numRef>
              <c:f>'S30a likelihood'!$DM$280:$DM$284</c:f>
              <c:numCache>
                <c:formatCode>0%</c:formatCode>
                <c:ptCount val="5"/>
                <c:pt idx="0">
                  <c:v>0</c:v>
                </c:pt>
                <c:pt idx="1">
                  <c:v>8.3333333333333329E-2</c:v>
                </c:pt>
                <c:pt idx="2">
                  <c:v>8.3333333333333329E-2</c:v>
                </c:pt>
                <c:pt idx="3">
                  <c:v>0</c:v>
                </c:pt>
                <c:pt idx="4">
                  <c:v>0</c:v>
                </c:pt>
              </c:numCache>
            </c:numRef>
          </c:val>
        </c:ser>
        <c:ser>
          <c:idx val="2"/>
          <c:order val="2"/>
          <c:tx>
            <c:strRef>
              <c:f>'S30a likelihood'!$DN$279</c:f>
              <c:strCache>
                <c:ptCount val="1"/>
                <c:pt idx="0">
                  <c:v>Pellet users</c:v>
                </c:pt>
              </c:strCache>
            </c:strRef>
          </c:tx>
          <c:invertIfNegative val="0"/>
          <c:cat>
            <c:strRef>
              <c:f>'S30a likelihood'!$DK$280:$DK$284</c:f>
              <c:strCache>
                <c:ptCount val="5"/>
                <c:pt idx="0">
                  <c:v>Definitely not</c:v>
                </c:pt>
                <c:pt idx="1">
                  <c:v>Sometimes</c:v>
                </c:pt>
                <c:pt idx="2">
                  <c:v>Most of the time</c:v>
                </c:pt>
                <c:pt idx="3">
                  <c:v>Yes, always</c:v>
                </c:pt>
                <c:pt idx="4">
                  <c:v>I don’t know</c:v>
                </c:pt>
              </c:strCache>
            </c:strRef>
          </c:cat>
          <c:val>
            <c:numRef>
              <c:f>'S30a likelihood'!$DN$280:$DN$284</c:f>
              <c:numCache>
                <c:formatCode>0%</c:formatCode>
                <c:ptCount val="5"/>
                <c:pt idx="0">
                  <c:v>0</c:v>
                </c:pt>
                <c:pt idx="1">
                  <c:v>8.3333333333333329E-2</c:v>
                </c:pt>
                <c:pt idx="2">
                  <c:v>8.3333333333333329E-2</c:v>
                </c:pt>
                <c:pt idx="3">
                  <c:v>0</c:v>
                </c:pt>
                <c:pt idx="4">
                  <c:v>0</c:v>
                </c:pt>
              </c:numCache>
            </c:numRef>
          </c:val>
        </c:ser>
        <c:ser>
          <c:idx val="3"/>
          <c:order val="3"/>
          <c:tx>
            <c:strRef>
              <c:f>'S30a likelihood'!$DO$279</c:f>
              <c:strCache>
                <c:ptCount val="1"/>
                <c:pt idx="0">
                  <c:v>Non-bioenergy wood users</c:v>
                </c:pt>
              </c:strCache>
            </c:strRef>
          </c:tx>
          <c:invertIfNegative val="0"/>
          <c:cat>
            <c:strRef>
              <c:f>'S30a likelihood'!$DK$280:$DK$284</c:f>
              <c:strCache>
                <c:ptCount val="5"/>
                <c:pt idx="0">
                  <c:v>Definitely not</c:v>
                </c:pt>
                <c:pt idx="1">
                  <c:v>Sometimes</c:v>
                </c:pt>
                <c:pt idx="2">
                  <c:v>Most of the time</c:v>
                </c:pt>
                <c:pt idx="3">
                  <c:v>Yes, always</c:v>
                </c:pt>
                <c:pt idx="4">
                  <c:v>I don’t know</c:v>
                </c:pt>
              </c:strCache>
            </c:strRef>
          </c:cat>
          <c:val>
            <c:numRef>
              <c:f>'S30a likelihood'!$DO$280:$DO$284</c:f>
              <c:numCache>
                <c:formatCode>0%</c:formatCode>
                <c:ptCount val="5"/>
                <c:pt idx="0">
                  <c:v>0</c:v>
                </c:pt>
                <c:pt idx="1">
                  <c:v>0</c:v>
                </c:pt>
                <c:pt idx="2">
                  <c:v>8.3333333333333329E-2</c:v>
                </c:pt>
                <c:pt idx="3">
                  <c:v>8.3333333333333329E-2</c:v>
                </c:pt>
                <c:pt idx="4">
                  <c:v>0</c:v>
                </c:pt>
              </c:numCache>
            </c:numRef>
          </c:val>
        </c:ser>
        <c:ser>
          <c:idx val="4"/>
          <c:order val="4"/>
          <c:tx>
            <c:strRef>
              <c:f>'S30a likelihood'!$DP$279</c:f>
              <c:strCache>
                <c:ptCount val="1"/>
                <c:pt idx="0">
                  <c:v>Policy makers and academia</c:v>
                </c:pt>
              </c:strCache>
            </c:strRef>
          </c:tx>
          <c:invertIfNegative val="0"/>
          <c:cat>
            <c:strRef>
              <c:f>'S30a likelihood'!$DK$280:$DK$284</c:f>
              <c:strCache>
                <c:ptCount val="5"/>
                <c:pt idx="0">
                  <c:v>Definitely not</c:v>
                </c:pt>
                <c:pt idx="1">
                  <c:v>Sometimes</c:v>
                </c:pt>
                <c:pt idx="2">
                  <c:v>Most of the time</c:v>
                </c:pt>
                <c:pt idx="3">
                  <c:v>Yes, always</c:v>
                </c:pt>
                <c:pt idx="4">
                  <c:v>I don’t know</c:v>
                </c:pt>
              </c:strCache>
            </c:strRef>
          </c:cat>
          <c:val>
            <c:numRef>
              <c:f>'S30a likelihood'!$DP$280:$DP$284</c:f>
              <c:numCache>
                <c:formatCode>0%</c:formatCode>
                <c:ptCount val="5"/>
                <c:pt idx="0">
                  <c:v>0.1111111111111111</c:v>
                </c:pt>
                <c:pt idx="1">
                  <c:v>5.5555555555555552E-2</c:v>
                </c:pt>
                <c:pt idx="2">
                  <c:v>0</c:v>
                </c:pt>
                <c:pt idx="3">
                  <c:v>0</c:v>
                </c:pt>
                <c:pt idx="4">
                  <c:v>0</c:v>
                </c:pt>
              </c:numCache>
            </c:numRef>
          </c:val>
        </c:ser>
        <c:ser>
          <c:idx val="5"/>
          <c:order val="5"/>
          <c:tx>
            <c:strRef>
              <c:f>'S30a likelihood'!$DQ$279</c:f>
              <c:strCache>
                <c:ptCount val="1"/>
                <c:pt idx="0">
                  <c:v>NGOs</c:v>
                </c:pt>
              </c:strCache>
            </c:strRef>
          </c:tx>
          <c:invertIfNegative val="0"/>
          <c:cat>
            <c:strRef>
              <c:f>'S30a likelihood'!$DK$280:$DK$284</c:f>
              <c:strCache>
                <c:ptCount val="5"/>
                <c:pt idx="0">
                  <c:v>Definitely not</c:v>
                </c:pt>
                <c:pt idx="1">
                  <c:v>Sometimes</c:v>
                </c:pt>
                <c:pt idx="2">
                  <c:v>Most of the time</c:v>
                </c:pt>
                <c:pt idx="3">
                  <c:v>Yes, always</c:v>
                </c:pt>
                <c:pt idx="4">
                  <c:v>I don’t know</c:v>
                </c:pt>
              </c:strCache>
            </c:strRef>
          </c:cat>
          <c:val>
            <c:numRef>
              <c:f>'S30a likelihood'!$DQ$280:$DQ$284</c:f>
              <c:numCache>
                <c:formatCode>0%</c:formatCode>
                <c:ptCount val="5"/>
                <c:pt idx="0">
                  <c:v>0</c:v>
                </c:pt>
                <c:pt idx="1">
                  <c:v>0.16666666666666666</c:v>
                </c:pt>
                <c:pt idx="2">
                  <c:v>0</c:v>
                </c:pt>
                <c:pt idx="3">
                  <c:v>0</c:v>
                </c:pt>
                <c:pt idx="4">
                  <c:v>0</c:v>
                </c:pt>
              </c:numCache>
            </c:numRef>
          </c:val>
        </c:ser>
        <c:dLbls>
          <c:showLegendKey val="0"/>
          <c:showVal val="0"/>
          <c:showCatName val="0"/>
          <c:showSerName val="0"/>
          <c:showPercent val="0"/>
          <c:showBubbleSize val="0"/>
        </c:dLbls>
        <c:gapWidth val="150"/>
        <c:overlap val="100"/>
        <c:axId val="144606336"/>
        <c:axId val="144607872"/>
      </c:barChart>
      <c:catAx>
        <c:axId val="144606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4607872"/>
        <c:crosses val="autoZero"/>
        <c:auto val="1"/>
        <c:lblAlgn val="ctr"/>
        <c:lblOffset val="100"/>
        <c:noMultiLvlLbl val="0"/>
      </c:catAx>
      <c:valAx>
        <c:axId val="144607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6063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likelihood'!$B$54</c:f>
          <c:strCache>
            <c:ptCount val="1"/>
            <c:pt idx="0">
              <c:v>Forest owners/managers</c:v>
            </c:pt>
          </c:strCache>
        </c:strRef>
      </c:tx>
      <c:layout>
        <c:manualLayout>
          <c:xMode val="edge"/>
          <c:yMode val="edge"/>
          <c:x val="0.23262292271433757"/>
          <c:y val="4.58931088064178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likelihood'!$AM$72:$AM$78</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likelihood'!$AO$72:$AO$78</c:f>
              <c:numCache>
                <c:formatCode>0%</c:formatCode>
                <c:ptCount val="7"/>
                <c:pt idx="0">
                  <c:v>0.5</c:v>
                </c:pt>
                <c:pt idx="1">
                  <c:v>0.25</c:v>
                </c:pt>
                <c:pt idx="2">
                  <c:v>0</c:v>
                </c:pt>
                <c:pt idx="3">
                  <c:v>0.25</c:v>
                </c:pt>
                <c:pt idx="4">
                  <c:v>0</c:v>
                </c:pt>
                <c:pt idx="5">
                  <c:v>0</c:v>
                </c:pt>
                <c:pt idx="6">
                  <c:v>0</c:v>
                </c:pt>
              </c:numCache>
            </c:numRef>
          </c:val>
        </c:ser>
        <c:dLbls>
          <c:showLegendKey val="0"/>
          <c:showVal val="0"/>
          <c:showCatName val="0"/>
          <c:showSerName val="0"/>
          <c:showPercent val="0"/>
          <c:showBubbleSize val="0"/>
        </c:dLbls>
        <c:gapWidth val="219"/>
        <c:overlap val="-27"/>
        <c:axId val="144627968"/>
        <c:axId val="144633856"/>
      </c:barChart>
      <c:catAx>
        <c:axId val="14462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4633856"/>
        <c:crosses val="autoZero"/>
        <c:auto val="1"/>
        <c:lblAlgn val="ctr"/>
        <c:lblOffset val="100"/>
        <c:tickLblSkip val="1"/>
        <c:noMultiLvlLbl val="0"/>
      </c:catAx>
      <c:valAx>
        <c:axId val="1446338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627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likelihood'!$B$81</c:f>
          <c:strCache>
            <c:ptCount val="1"/>
            <c:pt idx="0">
              <c:v>Pellet producers</c:v>
            </c:pt>
          </c:strCache>
        </c:strRef>
      </c:tx>
      <c:layout>
        <c:manualLayout>
          <c:xMode val="edge"/>
          <c:yMode val="edge"/>
          <c:x val="0.38994283174100597"/>
          <c:y val="5.71110315404025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likelihood'!$AM$99:$AM$105</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likelihood'!$AO$99:$AO$105</c:f>
              <c:numCache>
                <c:formatCode>0%</c:formatCode>
                <c:ptCount val="7"/>
                <c:pt idx="0">
                  <c:v>0.66666666666666663</c:v>
                </c:pt>
                <c:pt idx="1">
                  <c:v>0</c:v>
                </c:pt>
                <c:pt idx="2">
                  <c:v>0</c:v>
                </c:pt>
                <c:pt idx="3">
                  <c:v>0</c:v>
                </c:pt>
                <c:pt idx="4">
                  <c:v>0</c:v>
                </c:pt>
                <c:pt idx="5">
                  <c:v>0.33333333333333331</c:v>
                </c:pt>
                <c:pt idx="6">
                  <c:v>0</c:v>
                </c:pt>
              </c:numCache>
            </c:numRef>
          </c:val>
        </c:ser>
        <c:dLbls>
          <c:showLegendKey val="0"/>
          <c:showVal val="0"/>
          <c:showCatName val="0"/>
          <c:showSerName val="0"/>
          <c:showPercent val="0"/>
          <c:showBubbleSize val="0"/>
        </c:dLbls>
        <c:gapWidth val="219"/>
        <c:overlap val="-27"/>
        <c:axId val="144645120"/>
        <c:axId val="144691968"/>
      </c:barChart>
      <c:catAx>
        <c:axId val="14464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4691968"/>
        <c:crosses val="autoZero"/>
        <c:auto val="1"/>
        <c:lblAlgn val="ctr"/>
        <c:lblOffset val="100"/>
        <c:tickLblSkip val="1"/>
        <c:noMultiLvlLbl val="0"/>
      </c:catAx>
      <c:valAx>
        <c:axId val="1446919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645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likelihood'!$B$108</c:f>
          <c:strCache>
            <c:ptCount val="1"/>
            <c:pt idx="0">
              <c:v>Pellet users</c:v>
            </c:pt>
          </c:strCache>
        </c:strRef>
      </c:tx>
      <c:layout>
        <c:manualLayout>
          <c:xMode val="edge"/>
          <c:yMode val="edge"/>
          <c:x val="0.42075179731244305"/>
          <c:y val="3.9882499635589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likelihood'!$AM$126:$AM$132</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likelihood'!$AO$126:$AO$132</c:f>
              <c:numCache>
                <c:formatCode>0%</c:formatCode>
                <c:ptCount val="7"/>
                <c:pt idx="0">
                  <c:v>0.5</c:v>
                </c:pt>
                <c:pt idx="1">
                  <c:v>0</c:v>
                </c:pt>
                <c:pt idx="2">
                  <c:v>0</c:v>
                </c:pt>
                <c:pt idx="3">
                  <c:v>0</c:v>
                </c:pt>
                <c:pt idx="4">
                  <c:v>0.5</c:v>
                </c:pt>
                <c:pt idx="5">
                  <c:v>0</c:v>
                </c:pt>
                <c:pt idx="6">
                  <c:v>0</c:v>
                </c:pt>
              </c:numCache>
            </c:numRef>
          </c:val>
        </c:ser>
        <c:dLbls>
          <c:showLegendKey val="0"/>
          <c:showVal val="0"/>
          <c:showCatName val="0"/>
          <c:showSerName val="0"/>
          <c:showPercent val="0"/>
          <c:showBubbleSize val="0"/>
        </c:dLbls>
        <c:gapWidth val="219"/>
        <c:overlap val="-27"/>
        <c:axId val="144912768"/>
        <c:axId val="144914304"/>
      </c:barChart>
      <c:catAx>
        <c:axId val="144912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4914304"/>
        <c:crosses val="autoZero"/>
        <c:auto val="1"/>
        <c:lblAlgn val="ctr"/>
        <c:lblOffset val="100"/>
        <c:tickLblSkip val="1"/>
        <c:noMultiLvlLbl val="0"/>
      </c:catAx>
      <c:valAx>
        <c:axId val="1449143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12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likelihood'!$B$135</c:f>
          <c:strCache>
            <c:ptCount val="1"/>
            <c:pt idx="0">
              <c:v>Non-bioenergy wood users</c:v>
            </c:pt>
          </c:strCache>
        </c:strRef>
      </c:tx>
      <c:layout>
        <c:manualLayout>
          <c:xMode val="edge"/>
          <c:yMode val="edge"/>
          <c:x val="0.39426846403901183"/>
          <c:y val="6.32934485675458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likelihood'!$AM$153:$AM$159</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likelihood'!$AO$153:$AO$159</c:f>
              <c:numCache>
                <c:formatCode>0%</c:formatCode>
                <c:ptCount val="7"/>
                <c:pt idx="0">
                  <c:v>0</c:v>
                </c:pt>
                <c:pt idx="1">
                  <c:v>0.5</c:v>
                </c:pt>
                <c:pt idx="2">
                  <c:v>0</c:v>
                </c:pt>
                <c:pt idx="3">
                  <c:v>0</c:v>
                </c:pt>
                <c:pt idx="4">
                  <c:v>0.5</c:v>
                </c:pt>
                <c:pt idx="5">
                  <c:v>0</c:v>
                </c:pt>
                <c:pt idx="6">
                  <c:v>0</c:v>
                </c:pt>
              </c:numCache>
            </c:numRef>
          </c:val>
        </c:ser>
        <c:dLbls>
          <c:showLegendKey val="0"/>
          <c:showVal val="0"/>
          <c:showCatName val="0"/>
          <c:showSerName val="0"/>
          <c:showPercent val="0"/>
          <c:showBubbleSize val="0"/>
        </c:dLbls>
        <c:gapWidth val="219"/>
        <c:overlap val="-27"/>
        <c:axId val="144930304"/>
        <c:axId val="144931840"/>
      </c:barChart>
      <c:catAx>
        <c:axId val="14493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4931840"/>
        <c:crosses val="autoZero"/>
        <c:auto val="1"/>
        <c:lblAlgn val="ctr"/>
        <c:lblOffset val="100"/>
        <c:tickLblSkip val="1"/>
        <c:noMultiLvlLbl val="0"/>
      </c:catAx>
      <c:valAx>
        <c:axId val="144931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30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likelihood'!$B$162</c:f>
          <c:strCache>
            <c:ptCount val="1"/>
            <c:pt idx="0">
              <c:v>Policy makers and academia</c:v>
            </c:pt>
          </c:strCache>
        </c:strRef>
      </c:tx>
      <c:layout>
        <c:manualLayout>
          <c:xMode val="edge"/>
          <c:yMode val="edge"/>
          <c:x val="0.39897006268832103"/>
          <c:y val="3.96993981594505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likelihood'!$AM$180:$AM$186</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likelihood'!$AO$180:$AO$186</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219"/>
        <c:overlap val="-27"/>
        <c:axId val="143166080"/>
        <c:axId val="143167872"/>
      </c:barChart>
      <c:catAx>
        <c:axId val="14316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3167872"/>
        <c:crosses val="autoZero"/>
        <c:auto val="1"/>
        <c:lblAlgn val="ctr"/>
        <c:lblOffset val="100"/>
        <c:tickLblSkip val="1"/>
        <c:noMultiLvlLbl val="0"/>
      </c:catAx>
      <c:valAx>
        <c:axId val="143167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166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likelihood'!$B$189</c:f>
          <c:strCache>
            <c:ptCount val="1"/>
            <c:pt idx="0">
              <c:v>NGOs</c:v>
            </c:pt>
          </c:strCache>
        </c:strRef>
      </c:tx>
      <c:layout>
        <c:manualLayout>
          <c:xMode val="edge"/>
          <c:yMode val="edge"/>
          <c:x val="0.47273200562278656"/>
          <c:y val="3.4467316294503655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likelihood'!$AM$207:$AM$213</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likelihood'!$AO$207:$AO$213</c:f>
              <c:numCache>
                <c:formatCode>0%</c:formatCode>
                <c:ptCount val="7"/>
                <c:pt idx="0">
                  <c:v>0</c:v>
                </c:pt>
                <c:pt idx="1">
                  <c:v>0</c:v>
                </c:pt>
                <c:pt idx="2">
                  <c:v>0</c:v>
                </c:pt>
                <c:pt idx="3">
                  <c:v>0</c:v>
                </c:pt>
                <c:pt idx="4">
                  <c:v>1</c:v>
                </c:pt>
                <c:pt idx="5">
                  <c:v>0</c:v>
                </c:pt>
                <c:pt idx="6">
                  <c:v>0</c:v>
                </c:pt>
              </c:numCache>
            </c:numRef>
          </c:val>
        </c:ser>
        <c:dLbls>
          <c:showLegendKey val="0"/>
          <c:showVal val="0"/>
          <c:showCatName val="0"/>
          <c:showSerName val="0"/>
          <c:showPercent val="0"/>
          <c:showBubbleSize val="0"/>
        </c:dLbls>
        <c:gapWidth val="219"/>
        <c:overlap val="-27"/>
        <c:axId val="145227776"/>
        <c:axId val="145229312"/>
      </c:barChart>
      <c:catAx>
        <c:axId val="14522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229312"/>
        <c:crosses val="autoZero"/>
        <c:auto val="1"/>
        <c:lblAlgn val="ctr"/>
        <c:lblOffset val="100"/>
        <c:tickLblSkip val="1"/>
        <c:noMultiLvlLbl val="0"/>
      </c:catAx>
      <c:valAx>
        <c:axId val="1452293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227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'S30a likelihood'!$B$216</c:f>
          <c:strCache>
            <c:ptCount val="1"/>
            <c:pt idx="0">
              <c:v>Combined total responses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'S30a likelihood'!$AM$234:$AM$240</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likelihood'!$AO$234:$AO$240</c:f>
              <c:numCache>
                <c:formatCode>0%</c:formatCode>
                <c:ptCount val="7"/>
                <c:pt idx="0">
                  <c:v>0.33333333333333331</c:v>
                </c:pt>
                <c:pt idx="1">
                  <c:v>0.13333333333333333</c:v>
                </c:pt>
                <c:pt idx="2">
                  <c:v>0</c:v>
                </c:pt>
                <c:pt idx="3">
                  <c:v>6.6666666666666666E-2</c:v>
                </c:pt>
                <c:pt idx="4">
                  <c:v>0.4</c:v>
                </c:pt>
                <c:pt idx="5">
                  <c:v>6.6666666666666666E-2</c:v>
                </c:pt>
                <c:pt idx="6">
                  <c:v>0</c:v>
                </c:pt>
              </c:numCache>
            </c:numRef>
          </c:val>
        </c:ser>
        <c:dLbls>
          <c:showLegendKey val="0"/>
          <c:showVal val="0"/>
          <c:showCatName val="0"/>
          <c:showSerName val="0"/>
          <c:showPercent val="0"/>
          <c:showBubbleSize val="0"/>
        </c:dLbls>
        <c:gapWidth val="219"/>
        <c:overlap val="-27"/>
        <c:axId val="145269888"/>
        <c:axId val="145271424"/>
      </c:barChart>
      <c:catAx>
        <c:axId val="14526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271424"/>
        <c:crosses val="autoZero"/>
        <c:auto val="1"/>
        <c:lblAlgn val="ctr"/>
        <c:lblOffset val="100"/>
        <c:tickLblSkip val="1"/>
        <c:noMultiLvlLbl val="0"/>
      </c:catAx>
      <c:valAx>
        <c:axId val="1452714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269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'S30a likelihood'!$AI$247</c:f>
              <c:strCache>
                <c:ptCount val="1"/>
                <c:pt idx="0">
                  <c:v>Forest owners/managers</c:v>
                </c:pt>
              </c:strCache>
            </c:strRef>
          </c:tx>
          <c:spPr>
            <a:solidFill>
              <a:schemeClr val="accent1"/>
            </a:solidFill>
            <a:ln>
              <a:noFill/>
            </a:ln>
            <a:effectLst/>
          </c:spPr>
          <c:invertIfNegative val="0"/>
          <c:cat>
            <c:strRef>
              <c:f>'S30a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likelihood'!$AI$248:$AI$254</c:f>
              <c:numCache>
                <c:formatCode>General</c:formatCode>
                <c:ptCount val="7"/>
                <c:pt idx="0">
                  <c:v>2</c:v>
                </c:pt>
                <c:pt idx="1">
                  <c:v>1</c:v>
                </c:pt>
                <c:pt idx="2">
                  <c:v>0</c:v>
                </c:pt>
                <c:pt idx="3">
                  <c:v>1</c:v>
                </c:pt>
                <c:pt idx="4">
                  <c:v>0</c:v>
                </c:pt>
                <c:pt idx="5">
                  <c:v>0</c:v>
                </c:pt>
                <c:pt idx="6">
                  <c:v>0</c:v>
                </c:pt>
              </c:numCache>
            </c:numRef>
          </c:val>
        </c:ser>
        <c:ser>
          <c:idx val="1"/>
          <c:order val="1"/>
          <c:tx>
            <c:strRef>
              <c:f>'S30a likelihood'!$AJ$247</c:f>
              <c:strCache>
                <c:ptCount val="1"/>
                <c:pt idx="0">
                  <c:v>Pellet producers</c:v>
                </c:pt>
              </c:strCache>
            </c:strRef>
          </c:tx>
          <c:spPr>
            <a:solidFill>
              <a:schemeClr val="accent2"/>
            </a:solidFill>
            <a:ln>
              <a:noFill/>
            </a:ln>
            <a:effectLst/>
          </c:spPr>
          <c:invertIfNegative val="0"/>
          <c:cat>
            <c:strRef>
              <c:f>'S30a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likelihood'!$AJ$248:$AJ$254</c:f>
              <c:numCache>
                <c:formatCode>0</c:formatCode>
                <c:ptCount val="7"/>
                <c:pt idx="0">
                  <c:v>2</c:v>
                </c:pt>
                <c:pt idx="1">
                  <c:v>0</c:v>
                </c:pt>
                <c:pt idx="2">
                  <c:v>0</c:v>
                </c:pt>
                <c:pt idx="3">
                  <c:v>0</c:v>
                </c:pt>
                <c:pt idx="4">
                  <c:v>0</c:v>
                </c:pt>
                <c:pt idx="5">
                  <c:v>1</c:v>
                </c:pt>
                <c:pt idx="6">
                  <c:v>0</c:v>
                </c:pt>
              </c:numCache>
            </c:numRef>
          </c:val>
        </c:ser>
        <c:ser>
          <c:idx val="2"/>
          <c:order val="2"/>
          <c:tx>
            <c:strRef>
              <c:f>'S30a likelihood'!$AK$247</c:f>
              <c:strCache>
                <c:ptCount val="1"/>
                <c:pt idx="0">
                  <c:v>Pellet users</c:v>
                </c:pt>
              </c:strCache>
            </c:strRef>
          </c:tx>
          <c:spPr>
            <a:solidFill>
              <a:schemeClr val="accent3"/>
            </a:solidFill>
            <a:ln>
              <a:noFill/>
            </a:ln>
            <a:effectLst/>
          </c:spPr>
          <c:invertIfNegative val="0"/>
          <c:cat>
            <c:strRef>
              <c:f>'S30a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likelihood'!$AK$248:$AK$254</c:f>
              <c:numCache>
                <c:formatCode>General</c:formatCode>
                <c:ptCount val="7"/>
                <c:pt idx="0">
                  <c:v>1</c:v>
                </c:pt>
                <c:pt idx="1">
                  <c:v>0</c:v>
                </c:pt>
                <c:pt idx="2">
                  <c:v>0</c:v>
                </c:pt>
                <c:pt idx="3">
                  <c:v>0</c:v>
                </c:pt>
                <c:pt idx="4">
                  <c:v>1</c:v>
                </c:pt>
                <c:pt idx="5">
                  <c:v>0</c:v>
                </c:pt>
                <c:pt idx="6">
                  <c:v>0</c:v>
                </c:pt>
              </c:numCache>
            </c:numRef>
          </c:val>
        </c:ser>
        <c:ser>
          <c:idx val="3"/>
          <c:order val="3"/>
          <c:tx>
            <c:strRef>
              <c:f>'S30a likelihood'!$AL$247</c:f>
              <c:strCache>
                <c:ptCount val="1"/>
                <c:pt idx="0">
                  <c:v>Non-bioenergy wood users</c:v>
                </c:pt>
              </c:strCache>
            </c:strRef>
          </c:tx>
          <c:spPr>
            <a:solidFill>
              <a:schemeClr val="accent4"/>
            </a:solidFill>
            <a:ln>
              <a:noFill/>
            </a:ln>
            <a:effectLst/>
          </c:spPr>
          <c:invertIfNegative val="0"/>
          <c:cat>
            <c:strRef>
              <c:f>'S30a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likelihood'!$AL$248:$AL$254</c:f>
              <c:numCache>
                <c:formatCode>General</c:formatCode>
                <c:ptCount val="7"/>
                <c:pt idx="0">
                  <c:v>0</c:v>
                </c:pt>
                <c:pt idx="1">
                  <c:v>1</c:v>
                </c:pt>
                <c:pt idx="2">
                  <c:v>0</c:v>
                </c:pt>
                <c:pt idx="3">
                  <c:v>0</c:v>
                </c:pt>
                <c:pt idx="4">
                  <c:v>1</c:v>
                </c:pt>
                <c:pt idx="5">
                  <c:v>0</c:v>
                </c:pt>
                <c:pt idx="6">
                  <c:v>0</c:v>
                </c:pt>
              </c:numCache>
            </c:numRef>
          </c:val>
        </c:ser>
        <c:ser>
          <c:idx val="4"/>
          <c:order val="4"/>
          <c:tx>
            <c:strRef>
              <c:f>'S30a likelihood'!$AM$247</c:f>
              <c:strCache>
                <c:ptCount val="1"/>
                <c:pt idx="0">
                  <c:v>Policy makers and academia</c:v>
                </c:pt>
              </c:strCache>
            </c:strRef>
          </c:tx>
          <c:spPr>
            <a:solidFill>
              <a:schemeClr val="accent5"/>
            </a:solidFill>
            <a:ln>
              <a:noFill/>
            </a:ln>
            <a:effectLst/>
          </c:spPr>
          <c:invertIfNegative val="0"/>
          <c:cat>
            <c:strRef>
              <c:f>'S30a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likelihood'!$AM$248:$AM$254</c:f>
              <c:numCache>
                <c:formatCode>0</c:formatCode>
                <c:ptCount val="7"/>
                <c:pt idx="0">
                  <c:v>0</c:v>
                </c:pt>
                <c:pt idx="1">
                  <c:v>0</c:v>
                </c:pt>
                <c:pt idx="2">
                  <c:v>0</c:v>
                </c:pt>
                <c:pt idx="3">
                  <c:v>0</c:v>
                </c:pt>
                <c:pt idx="4">
                  <c:v>0</c:v>
                </c:pt>
                <c:pt idx="5">
                  <c:v>0</c:v>
                </c:pt>
                <c:pt idx="6">
                  <c:v>0</c:v>
                </c:pt>
              </c:numCache>
            </c:numRef>
          </c:val>
        </c:ser>
        <c:ser>
          <c:idx val="5"/>
          <c:order val="5"/>
          <c:tx>
            <c:strRef>
              <c:f>'S30a likelihood'!$AN$247</c:f>
              <c:strCache>
                <c:ptCount val="1"/>
                <c:pt idx="0">
                  <c:v>NGOs</c:v>
                </c:pt>
              </c:strCache>
            </c:strRef>
          </c:tx>
          <c:spPr>
            <a:solidFill>
              <a:schemeClr val="accent6"/>
            </a:solidFill>
            <a:ln>
              <a:noFill/>
            </a:ln>
            <a:effectLst/>
          </c:spPr>
          <c:invertIfNegative val="0"/>
          <c:cat>
            <c:strRef>
              <c:f>'S30a likelihood'!$AH$248:$AH$254</c:f>
              <c:strCache>
                <c:ptCount val="7"/>
                <c:pt idx="0">
                  <c:v>Very unlikely</c:v>
                </c:pt>
                <c:pt idx="1">
                  <c:v>Unlikely</c:v>
                </c:pt>
                <c:pt idx="2">
                  <c:v>Moderately unlikely</c:v>
                </c:pt>
                <c:pt idx="3">
                  <c:v>Moderately likely</c:v>
                </c:pt>
                <c:pt idx="4">
                  <c:v>Likely</c:v>
                </c:pt>
                <c:pt idx="5">
                  <c:v>Very likely</c:v>
                </c:pt>
                <c:pt idx="6">
                  <c:v>I don’t know</c:v>
                </c:pt>
              </c:strCache>
            </c:strRef>
          </c:cat>
          <c:val>
            <c:numRef>
              <c:f>'S30a likelihood'!$AN$248:$AN$254</c:f>
              <c:numCache>
                <c:formatCode>General</c:formatCode>
                <c:ptCount val="7"/>
                <c:pt idx="0">
                  <c:v>0</c:v>
                </c:pt>
                <c:pt idx="1">
                  <c:v>0</c:v>
                </c:pt>
                <c:pt idx="2">
                  <c:v>0</c:v>
                </c:pt>
                <c:pt idx="3">
                  <c:v>0</c:v>
                </c:pt>
                <c:pt idx="4">
                  <c:v>4</c:v>
                </c:pt>
                <c:pt idx="5">
                  <c:v>0</c:v>
                </c:pt>
                <c:pt idx="6">
                  <c:v>0</c:v>
                </c:pt>
              </c:numCache>
            </c:numRef>
          </c:val>
        </c:ser>
        <c:dLbls>
          <c:showLegendKey val="0"/>
          <c:showVal val="0"/>
          <c:showCatName val="0"/>
          <c:showSerName val="0"/>
          <c:showPercent val="0"/>
          <c:showBubbleSize val="0"/>
        </c:dLbls>
        <c:gapWidth val="150"/>
        <c:overlap val="100"/>
        <c:axId val="145320192"/>
        <c:axId val="145330176"/>
      </c:barChart>
      <c:catAx>
        <c:axId val="14532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45330176"/>
        <c:crosses val="autoZero"/>
        <c:auto val="1"/>
        <c:lblAlgn val="ctr"/>
        <c:lblOffset val="100"/>
        <c:noMultiLvlLbl val="0"/>
      </c:catAx>
      <c:valAx>
        <c:axId val="145330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320192"/>
        <c:crosses val="autoZero"/>
        <c:crossBetween val="between"/>
        <c:majorUnit val="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68" Type="http://schemas.openxmlformats.org/officeDocument/2006/relationships/chart" Target="../charts/chart68.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s>
</file>

<file path=xl/drawings/_rels/drawing4.xml.rels><?xml version="1.0" encoding="UTF-8" standalone="yes"?>
<Relationships xmlns="http://schemas.openxmlformats.org/package/2006/relationships"><Relationship Id="rId13" Type="http://schemas.openxmlformats.org/officeDocument/2006/relationships/chart" Target="../charts/chart83.xml"/><Relationship Id="rId18" Type="http://schemas.openxmlformats.org/officeDocument/2006/relationships/chart" Target="../charts/chart88.xml"/><Relationship Id="rId26" Type="http://schemas.openxmlformats.org/officeDocument/2006/relationships/chart" Target="../charts/chart96.xml"/><Relationship Id="rId39" Type="http://schemas.openxmlformats.org/officeDocument/2006/relationships/chart" Target="../charts/chart109.xml"/><Relationship Id="rId21" Type="http://schemas.openxmlformats.org/officeDocument/2006/relationships/chart" Target="../charts/chart91.xml"/><Relationship Id="rId34" Type="http://schemas.openxmlformats.org/officeDocument/2006/relationships/chart" Target="../charts/chart104.xml"/><Relationship Id="rId42" Type="http://schemas.openxmlformats.org/officeDocument/2006/relationships/chart" Target="../charts/chart112.xml"/><Relationship Id="rId47" Type="http://schemas.openxmlformats.org/officeDocument/2006/relationships/chart" Target="../charts/chart117.xml"/><Relationship Id="rId50" Type="http://schemas.openxmlformats.org/officeDocument/2006/relationships/chart" Target="../charts/chart120.xml"/><Relationship Id="rId55" Type="http://schemas.openxmlformats.org/officeDocument/2006/relationships/chart" Target="../charts/chart125.xml"/><Relationship Id="rId63" Type="http://schemas.openxmlformats.org/officeDocument/2006/relationships/chart" Target="../charts/chart133.xml"/><Relationship Id="rId68" Type="http://schemas.openxmlformats.org/officeDocument/2006/relationships/chart" Target="../charts/chart138.xml"/><Relationship Id="rId7" Type="http://schemas.openxmlformats.org/officeDocument/2006/relationships/chart" Target="../charts/chart77.xml"/><Relationship Id="rId2" Type="http://schemas.openxmlformats.org/officeDocument/2006/relationships/chart" Target="../charts/chart72.xml"/><Relationship Id="rId16" Type="http://schemas.openxmlformats.org/officeDocument/2006/relationships/chart" Target="../charts/chart86.xml"/><Relationship Id="rId29" Type="http://schemas.openxmlformats.org/officeDocument/2006/relationships/chart" Target="../charts/chart99.xml"/><Relationship Id="rId1" Type="http://schemas.openxmlformats.org/officeDocument/2006/relationships/chart" Target="../charts/chart71.xml"/><Relationship Id="rId6" Type="http://schemas.openxmlformats.org/officeDocument/2006/relationships/chart" Target="../charts/chart76.xml"/><Relationship Id="rId11" Type="http://schemas.openxmlformats.org/officeDocument/2006/relationships/chart" Target="../charts/chart81.xml"/><Relationship Id="rId24" Type="http://schemas.openxmlformats.org/officeDocument/2006/relationships/chart" Target="../charts/chart94.xml"/><Relationship Id="rId32" Type="http://schemas.openxmlformats.org/officeDocument/2006/relationships/chart" Target="../charts/chart102.xml"/><Relationship Id="rId37" Type="http://schemas.openxmlformats.org/officeDocument/2006/relationships/chart" Target="../charts/chart107.xml"/><Relationship Id="rId40" Type="http://schemas.openxmlformats.org/officeDocument/2006/relationships/chart" Target="../charts/chart110.xml"/><Relationship Id="rId45" Type="http://schemas.openxmlformats.org/officeDocument/2006/relationships/chart" Target="../charts/chart115.xml"/><Relationship Id="rId53" Type="http://schemas.openxmlformats.org/officeDocument/2006/relationships/chart" Target="../charts/chart123.xml"/><Relationship Id="rId58" Type="http://schemas.openxmlformats.org/officeDocument/2006/relationships/chart" Target="../charts/chart128.xml"/><Relationship Id="rId66" Type="http://schemas.openxmlformats.org/officeDocument/2006/relationships/chart" Target="../charts/chart136.xml"/><Relationship Id="rId5" Type="http://schemas.openxmlformats.org/officeDocument/2006/relationships/chart" Target="../charts/chart75.xml"/><Relationship Id="rId15" Type="http://schemas.openxmlformats.org/officeDocument/2006/relationships/chart" Target="../charts/chart85.xml"/><Relationship Id="rId23" Type="http://schemas.openxmlformats.org/officeDocument/2006/relationships/chart" Target="../charts/chart93.xml"/><Relationship Id="rId28" Type="http://schemas.openxmlformats.org/officeDocument/2006/relationships/chart" Target="../charts/chart98.xml"/><Relationship Id="rId36" Type="http://schemas.openxmlformats.org/officeDocument/2006/relationships/chart" Target="../charts/chart106.xml"/><Relationship Id="rId49" Type="http://schemas.openxmlformats.org/officeDocument/2006/relationships/chart" Target="../charts/chart119.xml"/><Relationship Id="rId57" Type="http://schemas.openxmlformats.org/officeDocument/2006/relationships/chart" Target="../charts/chart127.xml"/><Relationship Id="rId61" Type="http://schemas.openxmlformats.org/officeDocument/2006/relationships/chart" Target="../charts/chart131.xml"/><Relationship Id="rId10" Type="http://schemas.openxmlformats.org/officeDocument/2006/relationships/chart" Target="../charts/chart80.xml"/><Relationship Id="rId19" Type="http://schemas.openxmlformats.org/officeDocument/2006/relationships/chart" Target="../charts/chart89.xml"/><Relationship Id="rId31" Type="http://schemas.openxmlformats.org/officeDocument/2006/relationships/chart" Target="../charts/chart101.xml"/><Relationship Id="rId44" Type="http://schemas.openxmlformats.org/officeDocument/2006/relationships/chart" Target="../charts/chart114.xml"/><Relationship Id="rId52" Type="http://schemas.openxmlformats.org/officeDocument/2006/relationships/chart" Target="../charts/chart122.xml"/><Relationship Id="rId60" Type="http://schemas.openxmlformats.org/officeDocument/2006/relationships/chart" Target="../charts/chart130.xml"/><Relationship Id="rId65" Type="http://schemas.openxmlformats.org/officeDocument/2006/relationships/chart" Target="../charts/chart135.xml"/><Relationship Id="rId4" Type="http://schemas.openxmlformats.org/officeDocument/2006/relationships/chart" Target="../charts/chart74.xml"/><Relationship Id="rId9" Type="http://schemas.openxmlformats.org/officeDocument/2006/relationships/chart" Target="../charts/chart79.xml"/><Relationship Id="rId14" Type="http://schemas.openxmlformats.org/officeDocument/2006/relationships/chart" Target="../charts/chart84.xml"/><Relationship Id="rId22" Type="http://schemas.openxmlformats.org/officeDocument/2006/relationships/chart" Target="../charts/chart92.xml"/><Relationship Id="rId27" Type="http://schemas.openxmlformats.org/officeDocument/2006/relationships/chart" Target="../charts/chart97.xml"/><Relationship Id="rId30" Type="http://schemas.openxmlformats.org/officeDocument/2006/relationships/chart" Target="../charts/chart100.xml"/><Relationship Id="rId35" Type="http://schemas.openxmlformats.org/officeDocument/2006/relationships/chart" Target="../charts/chart105.xml"/><Relationship Id="rId43" Type="http://schemas.openxmlformats.org/officeDocument/2006/relationships/chart" Target="../charts/chart113.xml"/><Relationship Id="rId48" Type="http://schemas.openxmlformats.org/officeDocument/2006/relationships/chart" Target="../charts/chart118.xml"/><Relationship Id="rId56" Type="http://schemas.openxmlformats.org/officeDocument/2006/relationships/chart" Target="../charts/chart126.xml"/><Relationship Id="rId64" Type="http://schemas.openxmlformats.org/officeDocument/2006/relationships/chart" Target="../charts/chart134.xml"/><Relationship Id="rId69" Type="http://schemas.openxmlformats.org/officeDocument/2006/relationships/chart" Target="../charts/chart139.xml"/><Relationship Id="rId8" Type="http://schemas.openxmlformats.org/officeDocument/2006/relationships/chart" Target="../charts/chart78.xml"/><Relationship Id="rId51" Type="http://schemas.openxmlformats.org/officeDocument/2006/relationships/chart" Target="../charts/chart121.xml"/><Relationship Id="rId3" Type="http://schemas.openxmlformats.org/officeDocument/2006/relationships/chart" Target="../charts/chart73.xml"/><Relationship Id="rId12" Type="http://schemas.openxmlformats.org/officeDocument/2006/relationships/chart" Target="../charts/chart82.xml"/><Relationship Id="rId17" Type="http://schemas.openxmlformats.org/officeDocument/2006/relationships/chart" Target="../charts/chart87.xml"/><Relationship Id="rId25" Type="http://schemas.openxmlformats.org/officeDocument/2006/relationships/chart" Target="../charts/chart95.xml"/><Relationship Id="rId33" Type="http://schemas.openxmlformats.org/officeDocument/2006/relationships/chart" Target="../charts/chart103.xml"/><Relationship Id="rId38" Type="http://schemas.openxmlformats.org/officeDocument/2006/relationships/chart" Target="../charts/chart108.xml"/><Relationship Id="rId46" Type="http://schemas.openxmlformats.org/officeDocument/2006/relationships/chart" Target="../charts/chart116.xml"/><Relationship Id="rId59" Type="http://schemas.openxmlformats.org/officeDocument/2006/relationships/chart" Target="../charts/chart129.xml"/><Relationship Id="rId67" Type="http://schemas.openxmlformats.org/officeDocument/2006/relationships/chart" Target="../charts/chart137.xml"/><Relationship Id="rId20" Type="http://schemas.openxmlformats.org/officeDocument/2006/relationships/chart" Target="../charts/chart90.xml"/><Relationship Id="rId41" Type="http://schemas.openxmlformats.org/officeDocument/2006/relationships/chart" Target="../charts/chart111.xml"/><Relationship Id="rId54" Type="http://schemas.openxmlformats.org/officeDocument/2006/relationships/chart" Target="../charts/chart124.xml"/><Relationship Id="rId62" Type="http://schemas.openxmlformats.org/officeDocument/2006/relationships/chart" Target="../charts/chart132.xml"/><Relationship Id="rId70" Type="http://schemas.openxmlformats.org/officeDocument/2006/relationships/chart" Target="../charts/chart140.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153.xml"/><Relationship Id="rId18" Type="http://schemas.openxmlformats.org/officeDocument/2006/relationships/chart" Target="../charts/chart158.xml"/><Relationship Id="rId26" Type="http://schemas.openxmlformats.org/officeDocument/2006/relationships/chart" Target="../charts/chart166.xml"/><Relationship Id="rId39" Type="http://schemas.openxmlformats.org/officeDocument/2006/relationships/chart" Target="../charts/chart179.xml"/><Relationship Id="rId21" Type="http://schemas.openxmlformats.org/officeDocument/2006/relationships/chart" Target="../charts/chart161.xml"/><Relationship Id="rId34" Type="http://schemas.openxmlformats.org/officeDocument/2006/relationships/chart" Target="../charts/chart174.xml"/><Relationship Id="rId42" Type="http://schemas.openxmlformats.org/officeDocument/2006/relationships/chart" Target="../charts/chart182.xml"/><Relationship Id="rId47" Type="http://schemas.openxmlformats.org/officeDocument/2006/relationships/chart" Target="../charts/chart187.xml"/><Relationship Id="rId50" Type="http://schemas.openxmlformats.org/officeDocument/2006/relationships/chart" Target="../charts/chart190.xml"/><Relationship Id="rId55" Type="http://schemas.openxmlformats.org/officeDocument/2006/relationships/chart" Target="../charts/chart195.xml"/><Relationship Id="rId63" Type="http://schemas.openxmlformats.org/officeDocument/2006/relationships/chart" Target="../charts/chart203.xml"/><Relationship Id="rId68" Type="http://schemas.openxmlformats.org/officeDocument/2006/relationships/chart" Target="../charts/chart208.xml"/><Relationship Id="rId7" Type="http://schemas.openxmlformats.org/officeDocument/2006/relationships/chart" Target="../charts/chart147.xml"/><Relationship Id="rId2" Type="http://schemas.openxmlformats.org/officeDocument/2006/relationships/chart" Target="../charts/chart142.xml"/><Relationship Id="rId16" Type="http://schemas.openxmlformats.org/officeDocument/2006/relationships/chart" Target="../charts/chart156.xml"/><Relationship Id="rId29" Type="http://schemas.openxmlformats.org/officeDocument/2006/relationships/chart" Target="../charts/chart169.xml"/><Relationship Id="rId1" Type="http://schemas.openxmlformats.org/officeDocument/2006/relationships/chart" Target="../charts/chart141.xml"/><Relationship Id="rId6" Type="http://schemas.openxmlformats.org/officeDocument/2006/relationships/chart" Target="../charts/chart146.xml"/><Relationship Id="rId11" Type="http://schemas.openxmlformats.org/officeDocument/2006/relationships/chart" Target="../charts/chart151.xml"/><Relationship Id="rId24" Type="http://schemas.openxmlformats.org/officeDocument/2006/relationships/chart" Target="../charts/chart164.xml"/><Relationship Id="rId32" Type="http://schemas.openxmlformats.org/officeDocument/2006/relationships/chart" Target="../charts/chart172.xml"/><Relationship Id="rId37" Type="http://schemas.openxmlformats.org/officeDocument/2006/relationships/chart" Target="../charts/chart177.xml"/><Relationship Id="rId40" Type="http://schemas.openxmlformats.org/officeDocument/2006/relationships/chart" Target="../charts/chart180.xml"/><Relationship Id="rId45" Type="http://schemas.openxmlformats.org/officeDocument/2006/relationships/chart" Target="../charts/chart185.xml"/><Relationship Id="rId53" Type="http://schemas.openxmlformats.org/officeDocument/2006/relationships/chart" Target="../charts/chart193.xml"/><Relationship Id="rId58" Type="http://schemas.openxmlformats.org/officeDocument/2006/relationships/chart" Target="../charts/chart198.xml"/><Relationship Id="rId66" Type="http://schemas.openxmlformats.org/officeDocument/2006/relationships/chart" Target="../charts/chart206.xml"/><Relationship Id="rId5" Type="http://schemas.openxmlformats.org/officeDocument/2006/relationships/chart" Target="../charts/chart145.xml"/><Relationship Id="rId15" Type="http://schemas.openxmlformats.org/officeDocument/2006/relationships/chart" Target="../charts/chart155.xml"/><Relationship Id="rId23" Type="http://schemas.openxmlformats.org/officeDocument/2006/relationships/chart" Target="../charts/chart163.xml"/><Relationship Id="rId28" Type="http://schemas.openxmlformats.org/officeDocument/2006/relationships/chart" Target="../charts/chart168.xml"/><Relationship Id="rId36" Type="http://schemas.openxmlformats.org/officeDocument/2006/relationships/chart" Target="../charts/chart176.xml"/><Relationship Id="rId49" Type="http://schemas.openxmlformats.org/officeDocument/2006/relationships/chart" Target="../charts/chart189.xml"/><Relationship Id="rId57" Type="http://schemas.openxmlformats.org/officeDocument/2006/relationships/chart" Target="../charts/chart197.xml"/><Relationship Id="rId61" Type="http://schemas.openxmlformats.org/officeDocument/2006/relationships/chart" Target="../charts/chart201.xml"/><Relationship Id="rId10" Type="http://schemas.openxmlformats.org/officeDocument/2006/relationships/chart" Target="../charts/chart150.xml"/><Relationship Id="rId19" Type="http://schemas.openxmlformats.org/officeDocument/2006/relationships/chart" Target="../charts/chart159.xml"/><Relationship Id="rId31" Type="http://schemas.openxmlformats.org/officeDocument/2006/relationships/chart" Target="../charts/chart171.xml"/><Relationship Id="rId44" Type="http://schemas.openxmlformats.org/officeDocument/2006/relationships/chart" Target="../charts/chart184.xml"/><Relationship Id="rId52" Type="http://schemas.openxmlformats.org/officeDocument/2006/relationships/chart" Target="../charts/chart192.xml"/><Relationship Id="rId60" Type="http://schemas.openxmlformats.org/officeDocument/2006/relationships/chart" Target="../charts/chart200.xml"/><Relationship Id="rId65" Type="http://schemas.openxmlformats.org/officeDocument/2006/relationships/chart" Target="../charts/chart205.xml"/><Relationship Id="rId4" Type="http://schemas.openxmlformats.org/officeDocument/2006/relationships/chart" Target="../charts/chart144.xml"/><Relationship Id="rId9" Type="http://schemas.openxmlformats.org/officeDocument/2006/relationships/chart" Target="../charts/chart149.xml"/><Relationship Id="rId14" Type="http://schemas.openxmlformats.org/officeDocument/2006/relationships/chart" Target="../charts/chart154.xml"/><Relationship Id="rId22" Type="http://schemas.openxmlformats.org/officeDocument/2006/relationships/chart" Target="../charts/chart162.xml"/><Relationship Id="rId27" Type="http://schemas.openxmlformats.org/officeDocument/2006/relationships/chart" Target="../charts/chart167.xml"/><Relationship Id="rId30" Type="http://schemas.openxmlformats.org/officeDocument/2006/relationships/chart" Target="../charts/chart170.xml"/><Relationship Id="rId35" Type="http://schemas.openxmlformats.org/officeDocument/2006/relationships/chart" Target="../charts/chart175.xml"/><Relationship Id="rId43" Type="http://schemas.openxmlformats.org/officeDocument/2006/relationships/chart" Target="../charts/chart183.xml"/><Relationship Id="rId48" Type="http://schemas.openxmlformats.org/officeDocument/2006/relationships/chart" Target="../charts/chart188.xml"/><Relationship Id="rId56" Type="http://schemas.openxmlformats.org/officeDocument/2006/relationships/chart" Target="../charts/chart196.xml"/><Relationship Id="rId64" Type="http://schemas.openxmlformats.org/officeDocument/2006/relationships/chart" Target="../charts/chart204.xml"/><Relationship Id="rId69" Type="http://schemas.openxmlformats.org/officeDocument/2006/relationships/chart" Target="../charts/chart209.xml"/><Relationship Id="rId8" Type="http://schemas.openxmlformats.org/officeDocument/2006/relationships/chart" Target="../charts/chart148.xml"/><Relationship Id="rId51" Type="http://schemas.openxmlformats.org/officeDocument/2006/relationships/chart" Target="../charts/chart191.xml"/><Relationship Id="rId3" Type="http://schemas.openxmlformats.org/officeDocument/2006/relationships/chart" Target="../charts/chart143.xml"/><Relationship Id="rId12" Type="http://schemas.openxmlformats.org/officeDocument/2006/relationships/chart" Target="../charts/chart152.xml"/><Relationship Id="rId17" Type="http://schemas.openxmlformats.org/officeDocument/2006/relationships/chart" Target="../charts/chart157.xml"/><Relationship Id="rId25" Type="http://schemas.openxmlformats.org/officeDocument/2006/relationships/chart" Target="../charts/chart165.xml"/><Relationship Id="rId33" Type="http://schemas.openxmlformats.org/officeDocument/2006/relationships/chart" Target="../charts/chart173.xml"/><Relationship Id="rId38" Type="http://schemas.openxmlformats.org/officeDocument/2006/relationships/chart" Target="../charts/chart178.xml"/><Relationship Id="rId46" Type="http://schemas.openxmlformats.org/officeDocument/2006/relationships/chart" Target="../charts/chart186.xml"/><Relationship Id="rId59" Type="http://schemas.openxmlformats.org/officeDocument/2006/relationships/chart" Target="../charts/chart199.xml"/><Relationship Id="rId67" Type="http://schemas.openxmlformats.org/officeDocument/2006/relationships/chart" Target="../charts/chart207.xml"/><Relationship Id="rId20" Type="http://schemas.openxmlformats.org/officeDocument/2006/relationships/chart" Target="../charts/chart160.xml"/><Relationship Id="rId41" Type="http://schemas.openxmlformats.org/officeDocument/2006/relationships/chart" Target="../charts/chart181.xml"/><Relationship Id="rId54" Type="http://schemas.openxmlformats.org/officeDocument/2006/relationships/chart" Target="../charts/chart194.xml"/><Relationship Id="rId62" Type="http://schemas.openxmlformats.org/officeDocument/2006/relationships/chart" Target="../charts/chart202.xml"/><Relationship Id="rId70" Type="http://schemas.openxmlformats.org/officeDocument/2006/relationships/chart" Target="../charts/chart210.xml"/></Relationships>
</file>

<file path=xl/drawings/_rels/drawing6.xml.rels><?xml version="1.0" encoding="UTF-8" standalone="yes"?>
<Relationships xmlns="http://schemas.openxmlformats.org/package/2006/relationships"><Relationship Id="rId13" Type="http://schemas.openxmlformats.org/officeDocument/2006/relationships/chart" Target="../charts/chart223.xml"/><Relationship Id="rId18" Type="http://schemas.openxmlformats.org/officeDocument/2006/relationships/chart" Target="../charts/chart228.xml"/><Relationship Id="rId26" Type="http://schemas.openxmlformats.org/officeDocument/2006/relationships/chart" Target="../charts/chart236.xml"/><Relationship Id="rId39" Type="http://schemas.openxmlformats.org/officeDocument/2006/relationships/chart" Target="../charts/chart249.xml"/><Relationship Id="rId21" Type="http://schemas.openxmlformats.org/officeDocument/2006/relationships/chart" Target="../charts/chart231.xml"/><Relationship Id="rId34" Type="http://schemas.openxmlformats.org/officeDocument/2006/relationships/chart" Target="../charts/chart244.xml"/><Relationship Id="rId42" Type="http://schemas.openxmlformats.org/officeDocument/2006/relationships/chart" Target="../charts/chart252.xml"/><Relationship Id="rId47" Type="http://schemas.openxmlformats.org/officeDocument/2006/relationships/chart" Target="../charts/chart257.xml"/><Relationship Id="rId50" Type="http://schemas.openxmlformats.org/officeDocument/2006/relationships/chart" Target="../charts/chart260.xml"/><Relationship Id="rId55" Type="http://schemas.openxmlformats.org/officeDocument/2006/relationships/chart" Target="../charts/chart265.xml"/><Relationship Id="rId63" Type="http://schemas.openxmlformats.org/officeDocument/2006/relationships/chart" Target="../charts/chart273.xml"/><Relationship Id="rId68" Type="http://schemas.openxmlformats.org/officeDocument/2006/relationships/chart" Target="../charts/chart278.xml"/><Relationship Id="rId7" Type="http://schemas.openxmlformats.org/officeDocument/2006/relationships/chart" Target="../charts/chart217.xml"/><Relationship Id="rId2" Type="http://schemas.openxmlformats.org/officeDocument/2006/relationships/chart" Target="../charts/chart212.xml"/><Relationship Id="rId16" Type="http://schemas.openxmlformats.org/officeDocument/2006/relationships/chart" Target="../charts/chart226.xml"/><Relationship Id="rId29" Type="http://schemas.openxmlformats.org/officeDocument/2006/relationships/chart" Target="../charts/chart239.xml"/><Relationship Id="rId1" Type="http://schemas.openxmlformats.org/officeDocument/2006/relationships/chart" Target="../charts/chart211.xml"/><Relationship Id="rId6" Type="http://schemas.openxmlformats.org/officeDocument/2006/relationships/chart" Target="../charts/chart216.xml"/><Relationship Id="rId11" Type="http://schemas.openxmlformats.org/officeDocument/2006/relationships/chart" Target="../charts/chart221.xml"/><Relationship Id="rId24" Type="http://schemas.openxmlformats.org/officeDocument/2006/relationships/chart" Target="../charts/chart234.xml"/><Relationship Id="rId32" Type="http://schemas.openxmlformats.org/officeDocument/2006/relationships/chart" Target="../charts/chart242.xml"/><Relationship Id="rId37" Type="http://schemas.openxmlformats.org/officeDocument/2006/relationships/chart" Target="../charts/chart247.xml"/><Relationship Id="rId40" Type="http://schemas.openxmlformats.org/officeDocument/2006/relationships/chart" Target="../charts/chart250.xml"/><Relationship Id="rId45" Type="http://schemas.openxmlformats.org/officeDocument/2006/relationships/chart" Target="../charts/chart255.xml"/><Relationship Id="rId53" Type="http://schemas.openxmlformats.org/officeDocument/2006/relationships/chart" Target="../charts/chart263.xml"/><Relationship Id="rId58" Type="http://schemas.openxmlformats.org/officeDocument/2006/relationships/chart" Target="../charts/chart268.xml"/><Relationship Id="rId66" Type="http://schemas.openxmlformats.org/officeDocument/2006/relationships/chart" Target="../charts/chart276.xml"/><Relationship Id="rId5" Type="http://schemas.openxmlformats.org/officeDocument/2006/relationships/chart" Target="../charts/chart215.xml"/><Relationship Id="rId15" Type="http://schemas.openxmlformats.org/officeDocument/2006/relationships/chart" Target="../charts/chart225.xml"/><Relationship Id="rId23" Type="http://schemas.openxmlformats.org/officeDocument/2006/relationships/chart" Target="../charts/chart233.xml"/><Relationship Id="rId28" Type="http://schemas.openxmlformats.org/officeDocument/2006/relationships/chart" Target="../charts/chart238.xml"/><Relationship Id="rId36" Type="http://schemas.openxmlformats.org/officeDocument/2006/relationships/chart" Target="../charts/chart246.xml"/><Relationship Id="rId49" Type="http://schemas.openxmlformats.org/officeDocument/2006/relationships/chart" Target="../charts/chart259.xml"/><Relationship Id="rId57" Type="http://schemas.openxmlformats.org/officeDocument/2006/relationships/chart" Target="../charts/chart267.xml"/><Relationship Id="rId61" Type="http://schemas.openxmlformats.org/officeDocument/2006/relationships/chart" Target="../charts/chart271.xml"/><Relationship Id="rId10" Type="http://schemas.openxmlformats.org/officeDocument/2006/relationships/chart" Target="../charts/chart220.xml"/><Relationship Id="rId19" Type="http://schemas.openxmlformats.org/officeDocument/2006/relationships/chart" Target="../charts/chart229.xml"/><Relationship Id="rId31" Type="http://schemas.openxmlformats.org/officeDocument/2006/relationships/chart" Target="../charts/chart241.xml"/><Relationship Id="rId44" Type="http://schemas.openxmlformats.org/officeDocument/2006/relationships/chart" Target="../charts/chart254.xml"/><Relationship Id="rId52" Type="http://schemas.openxmlformats.org/officeDocument/2006/relationships/chart" Target="../charts/chart262.xml"/><Relationship Id="rId60" Type="http://schemas.openxmlformats.org/officeDocument/2006/relationships/chart" Target="../charts/chart270.xml"/><Relationship Id="rId65" Type="http://schemas.openxmlformats.org/officeDocument/2006/relationships/chart" Target="../charts/chart275.xml"/><Relationship Id="rId4" Type="http://schemas.openxmlformats.org/officeDocument/2006/relationships/chart" Target="../charts/chart214.xml"/><Relationship Id="rId9" Type="http://schemas.openxmlformats.org/officeDocument/2006/relationships/chart" Target="../charts/chart219.xml"/><Relationship Id="rId14" Type="http://schemas.openxmlformats.org/officeDocument/2006/relationships/chart" Target="../charts/chart224.xml"/><Relationship Id="rId22" Type="http://schemas.openxmlformats.org/officeDocument/2006/relationships/chart" Target="../charts/chart232.xml"/><Relationship Id="rId27" Type="http://schemas.openxmlformats.org/officeDocument/2006/relationships/chart" Target="../charts/chart237.xml"/><Relationship Id="rId30" Type="http://schemas.openxmlformats.org/officeDocument/2006/relationships/chart" Target="../charts/chart240.xml"/><Relationship Id="rId35" Type="http://schemas.openxmlformats.org/officeDocument/2006/relationships/chart" Target="../charts/chart245.xml"/><Relationship Id="rId43" Type="http://schemas.openxmlformats.org/officeDocument/2006/relationships/chart" Target="../charts/chart253.xml"/><Relationship Id="rId48" Type="http://schemas.openxmlformats.org/officeDocument/2006/relationships/chart" Target="../charts/chart258.xml"/><Relationship Id="rId56" Type="http://schemas.openxmlformats.org/officeDocument/2006/relationships/chart" Target="../charts/chart266.xml"/><Relationship Id="rId64" Type="http://schemas.openxmlformats.org/officeDocument/2006/relationships/chart" Target="../charts/chart274.xml"/><Relationship Id="rId69" Type="http://schemas.openxmlformats.org/officeDocument/2006/relationships/chart" Target="../charts/chart279.xml"/><Relationship Id="rId8" Type="http://schemas.openxmlformats.org/officeDocument/2006/relationships/chart" Target="../charts/chart218.xml"/><Relationship Id="rId51" Type="http://schemas.openxmlformats.org/officeDocument/2006/relationships/chart" Target="../charts/chart261.xml"/><Relationship Id="rId3" Type="http://schemas.openxmlformats.org/officeDocument/2006/relationships/chart" Target="../charts/chart213.xml"/><Relationship Id="rId12" Type="http://schemas.openxmlformats.org/officeDocument/2006/relationships/chart" Target="../charts/chart222.xml"/><Relationship Id="rId17" Type="http://schemas.openxmlformats.org/officeDocument/2006/relationships/chart" Target="../charts/chart227.xml"/><Relationship Id="rId25" Type="http://schemas.openxmlformats.org/officeDocument/2006/relationships/chart" Target="../charts/chart235.xml"/><Relationship Id="rId33" Type="http://schemas.openxmlformats.org/officeDocument/2006/relationships/chart" Target="../charts/chart243.xml"/><Relationship Id="rId38" Type="http://schemas.openxmlformats.org/officeDocument/2006/relationships/chart" Target="../charts/chart248.xml"/><Relationship Id="rId46" Type="http://schemas.openxmlformats.org/officeDocument/2006/relationships/chart" Target="../charts/chart256.xml"/><Relationship Id="rId59" Type="http://schemas.openxmlformats.org/officeDocument/2006/relationships/chart" Target="../charts/chart269.xml"/><Relationship Id="rId67" Type="http://schemas.openxmlformats.org/officeDocument/2006/relationships/chart" Target="../charts/chart277.xml"/><Relationship Id="rId20" Type="http://schemas.openxmlformats.org/officeDocument/2006/relationships/chart" Target="../charts/chart230.xml"/><Relationship Id="rId41" Type="http://schemas.openxmlformats.org/officeDocument/2006/relationships/chart" Target="../charts/chart251.xml"/><Relationship Id="rId54" Type="http://schemas.openxmlformats.org/officeDocument/2006/relationships/chart" Target="../charts/chart264.xml"/><Relationship Id="rId62" Type="http://schemas.openxmlformats.org/officeDocument/2006/relationships/chart" Target="../charts/chart272.xml"/><Relationship Id="rId70" Type="http://schemas.openxmlformats.org/officeDocument/2006/relationships/chart" Target="../charts/chart280.xml"/></Relationships>
</file>

<file path=xl/drawings/_rels/drawing7.xml.rels><?xml version="1.0" encoding="UTF-8" standalone="yes"?>
<Relationships xmlns="http://schemas.openxmlformats.org/package/2006/relationships"><Relationship Id="rId13" Type="http://schemas.openxmlformats.org/officeDocument/2006/relationships/chart" Target="../charts/chart293.xml"/><Relationship Id="rId18" Type="http://schemas.openxmlformats.org/officeDocument/2006/relationships/chart" Target="../charts/chart298.xml"/><Relationship Id="rId26" Type="http://schemas.openxmlformats.org/officeDocument/2006/relationships/chart" Target="../charts/chart306.xml"/><Relationship Id="rId39" Type="http://schemas.openxmlformats.org/officeDocument/2006/relationships/chart" Target="../charts/chart319.xml"/><Relationship Id="rId21" Type="http://schemas.openxmlformats.org/officeDocument/2006/relationships/chart" Target="../charts/chart301.xml"/><Relationship Id="rId34" Type="http://schemas.openxmlformats.org/officeDocument/2006/relationships/chart" Target="../charts/chart314.xml"/><Relationship Id="rId42" Type="http://schemas.openxmlformats.org/officeDocument/2006/relationships/chart" Target="../charts/chart322.xml"/><Relationship Id="rId47" Type="http://schemas.openxmlformats.org/officeDocument/2006/relationships/chart" Target="../charts/chart327.xml"/><Relationship Id="rId50" Type="http://schemas.openxmlformats.org/officeDocument/2006/relationships/chart" Target="../charts/chart330.xml"/><Relationship Id="rId55" Type="http://schemas.openxmlformats.org/officeDocument/2006/relationships/chart" Target="../charts/chart335.xml"/><Relationship Id="rId63" Type="http://schemas.openxmlformats.org/officeDocument/2006/relationships/chart" Target="../charts/chart343.xml"/><Relationship Id="rId68" Type="http://schemas.openxmlformats.org/officeDocument/2006/relationships/chart" Target="../charts/chart348.xml"/><Relationship Id="rId7" Type="http://schemas.openxmlformats.org/officeDocument/2006/relationships/chart" Target="../charts/chart287.xml"/><Relationship Id="rId2" Type="http://schemas.openxmlformats.org/officeDocument/2006/relationships/chart" Target="../charts/chart282.xml"/><Relationship Id="rId16" Type="http://schemas.openxmlformats.org/officeDocument/2006/relationships/chart" Target="../charts/chart296.xml"/><Relationship Id="rId29" Type="http://schemas.openxmlformats.org/officeDocument/2006/relationships/chart" Target="../charts/chart309.xml"/><Relationship Id="rId1" Type="http://schemas.openxmlformats.org/officeDocument/2006/relationships/chart" Target="../charts/chart281.xml"/><Relationship Id="rId6" Type="http://schemas.openxmlformats.org/officeDocument/2006/relationships/chart" Target="../charts/chart286.xml"/><Relationship Id="rId11" Type="http://schemas.openxmlformats.org/officeDocument/2006/relationships/chart" Target="../charts/chart291.xml"/><Relationship Id="rId24" Type="http://schemas.openxmlformats.org/officeDocument/2006/relationships/chart" Target="../charts/chart304.xml"/><Relationship Id="rId32" Type="http://schemas.openxmlformats.org/officeDocument/2006/relationships/chart" Target="../charts/chart312.xml"/><Relationship Id="rId37" Type="http://schemas.openxmlformats.org/officeDocument/2006/relationships/chart" Target="../charts/chart317.xml"/><Relationship Id="rId40" Type="http://schemas.openxmlformats.org/officeDocument/2006/relationships/chart" Target="../charts/chart320.xml"/><Relationship Id="rId45" Type="http://schemas.openxmlformats.org/officeDocument/2006/relationships/chart" Target="../charts/chart325.xml"/><Relationship Id="rId53" Type="http://schemas.openxmlformats.org/officeDocument/2006/relationships/chart" Target="../charts/chart333.xml"/><Relationship Id="rId58" Type="http://schemas.openxmlformats.org/officeDocument/2006/relationships/chart" Target="../charts/chart338.xml"/><Relationship Id="rId66" Type="http://schemas.openxmlformats.org/officeDocument/2006/relationships/chart" Target="../charts/chart346.xml"/><Relationship Id="rId5" Type="http://schemas.openxmlformats.org/officeDocument/2006/relationships/chart" Target="../charts/chart285.xml"/><Relationship Id="rId15" Type="http://schemas.openxmlformats.org/officeDocument/2006/relationships/chart" Target="../charts/chart295.xml"/><Relationship Id="rId23" Type="http://schemas.openxmlformats.org/officeDocument/2006/relationships/chart" Target="../charts/chart303.xml"/><Relationship Id="rId28" Type="http://schemas.openxmlformats.org/officeDocument/2006/relationships/chart" Target="../charts/chart308.xml"/><Relationship Id="rId36" Type="http://schemas.openxmlformats.org/officeDocument/2006/relationships/chart" Target="../charts/chart316.xml"/><Relationship Id="rId49" Type="http://schemas.openxmlformats.org/officeDocument/2006/relationships/chart" Target="../charts/chart329.xml"/><Relationship Id="rId57" Type="http://schemas.openxmlformats.org/officeDocument/2006/relationships/chart" Target="../charts/chart337.xml"/><Relationship Id="rId61" Type="http://schemas.openxmlformats.org/officeDocument/2006/relationships/chart" Target="../charts/chart341.xml"/><Relationship Id="rId10" Type="http://schemas.openxmlformats.org/officeDocument/2006/relationships/chart" Target="../charts/chart290.xml"/><Relationship Id="rId19" Type="http://schemas.openxmlformats.org/officeDocument/2006/relationships/chart" Target="../charts/chart299.xml"/><Relationship Id="rId31" Type="http://schemas.openxmlformats.org/officeDocument/2006/relationships/chart" Target="../charts/chart311.xml"/><Relationship Id="rId44" Type="http://schemas.openxmlformats.org/officeDocument/2006/relationships/chart" Target="../charts/chart324.xml"/><Relationship Id="rId52" Type="http://schemas.openxmlformats.org/officeDocument/2006/relationships/chart" Target="../charts/chart332.xml"/><Relationship Id="rId60" Type="http://schemas.openxmlformats.org/officeDocument/2006/relationships/chart" Target="../charts/chart340.xml"/><Relationship Id="rId65" Type="http://schemas.openxmlformats.org/officeDocument/2006/relationships/chart" Target="../charts/chart345.xml"/><Relationship Id="rId4" Type="http://schemas.openxmlformats.org/officeDocument/2006/relationships/chart" Target="../charts/chart284.xml"/><Relationship Id="rId9" Type="http://schemas.openxmlformats.org/officeDocument/2006/relationships/chart" Target="../charts/chart289.xml"/><Relationship Id="rId14" Type="http://schemas.openxmlformats.org/officeDocument/2006/relationships/chart" Target="../charts/chart294.xml"/><Relationship Id="rId22" Type="http://schemas.openxmlformats.org/officeDocument/2006/relationships/chart" Target="../charts/chart302.xml"/><Relationship Id="rId27" Type="http://schemas.openxmlformats.org/officeDocument/2006/relationships/chart" Target="../charts/chart307.xml"/><Relationship Id="rId30" Type="http://schemas.openxmlformats.org/officeDocument/2006/relationships/chart" Target="../charts/chart310.xml"/><Relationship Id="rId35" Type="http://schemas.openxmlformats.org/officeDocument/2006/relationships/chart" Target="../charts/chart315.xml"/><Relationship Id="rId43" Type="http://schemas.openxmlformats.org/officeDocument/2006/relationships/chart" Target="../charts/chart323.xml"/><Relationship Id="rId48" Type="http://schemas.openxmlformats.org/officeDocument/2006/relationships/chart" Target="../charts/chart328.xml"/><Relationship Id="rId56" Type="http://schemas.openxmlformats.org/officeDocument/2006/relationships/chart" Target="../charts/chart336.xml"/><Relationship Id="rId64" Type="http://schemas.openxmlformats.org/officeDocument/2006/relationships/chart" Target="../charts/chart344.xml"/><Relationship Id="rId69" Type="http://schemas.openxmlformats.org/officeDocument/2006/relationships/chart" Target="../charts/chart349.xml"/><Relationship Id="rId8" Type="http://schemas.openxmlformats.org/officeDocument/2006/relationships/chart" Target="../charts/chart288.xml"/><Relationship Id="rId51" Type="http://schemas.openxmlformats.org/officeDocument/2006/relationships/chart" Target="../charts/chart331.xml"/><Relationship Id="rId3" Type="http://schemas.openxmlformats.org/officeDocument/2006/relationships/chart" Target="../charts/chart283.xml"/><Relationship Id="rId12" Type="http://schemas.openxmlformats.org/officeDocument/2006/relationships/chart" Target="../charts/chart292.xml"/><Relationship Id="rId17" Type="http://schemas.openxmlformats.org/officeDocument/2006/relationships/chart" Target="../charts/chart297.xml"/><Relationship Id="rId25" Type="http://schemas.openxmlformats.org/officeDocument/2006/relationships/chart" Target="../charts/chart305.xml"/><Relationship Id="rId33" Type="http://schemas.openxmlformats.org/officeDocument/2006/relationships/chart" Target="../charts/chart313.xml"/><Relationship Id="rId38" Type="http://schemas.openxmlformats.org/officeDocument/2006/relationships/chart" Target="../charts/chart318.xml"/><Relationship Id="rId46" Type="http://schemas.openxmlformats.org/officeDocument/2006/relationships/chart" Target="../charts/chart326.xml"/><Relationship Id="rId59" Type="http://schemas.openxmlformats.org/officeDocument/2006/relationships/chart" Target="../charts/chart339.xml"/><Relationship Id="rId67" Type="http://schemas.openxmlformats.org/officeDocument/2006/relationships/chart" Target="../charts/chart347.xml"/><Relationship Id="rId20" Type="http://schemas.openxmlformats.org/officeDocument/2006/relationships/chart" Target="../charts/chart300.xml"/><Relationship Id="rId41" Type="http://schemas.openxmlformats.org/officeDocument/2006/relationships/chart" Target="../charts/chart321.xml"/><Relationship Id="rId54" Type="http://schemas.openxmlformats.org/officeDocument/2006/relationships/chart" Target="../charts/chart334.xml"/><Relationship Id="rId62" Type="http://schemas.openxmlformats.org/officeDocument/2006/relationships/chart" Target="../charts/chart342.xml"/><Relationship Id="rId70" Type="http://schemas.openxmlformats.org/officeDocument/2006/relationships/chart" Target="../charts/chart35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1</xdr:row>
      <xdr:rowOff>114300</xdr:rowOff>
    </xdr:from>
    <xdr:to>
      <xdr:col>4</xdr:col>
      <xdr:colOff>1795463</xdr:colOff>
      <xdr:row>33</xdr:row>
      <xdr:rowOff>114300</xdr:rowOff>
    </xdr:to>
    <xdr:sp macro="" textlink="">
      <xdr:nvSpPr>
        <xdr:cNvPr id="2" name="Object 11" hidden="1">
          <a:extLst>
            <a:ext uri="{63B3BB69-23CF-44E3-9099-C40C66FF867C}">
              <a14:compatExt xmlns:a14="http://schemas.microsoft.com/office/drawing/2010/main" spid="_x0000_s1035"/>
            </a:ext>
          </a:extLst>
        </xdr:cNvPr>
        <xdr:cNvSpPr/>
      </xdr:nvSpPr>
      <xdr:spPr bwMode="auto">
        <a:xfrm>
          <a:off x="314325" y="295275"/>
          <a:ext cx="11577638" cy="5791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1</xdr:col>
      <xdr:colOff>133350</xdr:colOff>
      <xdr:row>60</xdr:row>
      <xdr:rowOff>0</xdr:rowOff>
    </xdr:from>
    <xdr:to>
      <xdr:col>4</xdr:col>
      <xdr:colOff>1795463</xdr:colOff>
      <xdr:row>66</xdr:row>
      <xdr:rowOff>354352</xdr:rowOff>
    </xdr:to>
    <xdr:sp macro="" textlink="">
      <xdr:nvSpPr>
        <xdr:cNvPr id="3" name="Object 12" hidden="1">
          <a:extLst>
            <a:ext uri="{63B3BB69-23CF-44E3-9099-C40C66FF867C}">
              <a14:compatExt xmlns:a14="http://schemas.microsoft.com/office/drawing/2010/main" spid="_x0000_s1036"/>
            </a:ext>
          </a:extLst>
        </xdr:cNvPr>
        <xdr:cNvSpPr/>
      </xdr:nvSpPr>
      <xdr:spPr bwMode="auto">
        <a:xfrm>
          <a:off x="314325" y="7419975"/>
          <a:ext cx="11577638" cy="165292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xdr:col>
          <xdr:colOff>7200900</xdr:colOff>
          <xdr:row>30</xdr:row>
          <xdr:rowOff>121920</xdr:rowOff>
        </xdr:to>
        <xdr:sp macro="" textlink="">
          <xdr:nvSpPr>
            <xdr:cNvPr id="23556" name="Object 4" hidden="1">
              <a:extLst>
                <a:ext uri="{63B3BB69-23CF-44E3-9099-C40C66FF867C}">
                  <a14:compatExt spid="_x0000_s23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160020</xdr:rowOff>
        </xdr:from>
        <xdr:to>
          <xdr:col>3</xdr:col>
          <xdr:colOff>7200900</xdr:colOff>
          <xdr:row>56</xdr:row>
          <xdr:rowOff>137160</xdr:rowOff>
        </xdr:to>
        <xdr:sp macro="" textlink="">
          <xdr:nvSpPr>
            <xdr:cNvPr id="23557" name="Object 5" hidden="1">
              <a:extLst>
                <a:ext uri="{63B3BB69-23CF-44E3-9099-C40C66FF867C}">
                  <a14:compatExt spid="_x0000_s2355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xdr:col>
          <xdr:colOff>121920</xdr:colOff>
          <xdr:row>42</xdr:row>
          <xdr:rowOff>152400</xdr:rowOff>
        </xdr:to>
        <xdr:sp macro="" textlink="">
          <xdr:nvSpPr>
            <xdr:cNvPr id="24577" name="Object 1" hidden="1">
              <a:extLst>
                <a:ext uri="{63B3BB69-23CF-44E3-9099-C40C66FF867C}">
                  <a14:compatExt spid="_x0000_s2457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34636</xdr:colOff>
      <xdr:row>55</xdr:row>
      <xdr:rowOff>79375</xdr:rowOff>
    </xdr:from>
    <xdr:to>
      <xdr:col>11</xdr:col>
      <xdr:colOff>158749</xdr:colOff>
      <xdr:row>68</xdr:row>
      <xdr:rowOff>34636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15874</xdr:colOff>
      <xdr:row>82</xdr:row>
      <xdr:rowOff>138023</xdr:rowOff>
    </xdr:from>
    <xdr:to>
      <xdr:col>11</xdr:col>
      <xdr:colOff>63499</xdr:colOff>
      <xdr:row>95</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63500</xdr:colOff>
      <xdr:row>109</xdr:row>
      <xdr:rowOff>174625</xdr:rowOff>
    </xdr:from>
    <xdr:to>
      <xdr:col>11</xdr:col>
      <xdr:colOff>15874</xdr:colOff>
      <xdr:row>122</xdr:row>
      <xdr:rowOff>31751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17318</xdr:colOff>
      <xdr:row>218</xdr:row>
      <xdr:rowOff>34636</xdr:rowOff>
    </xdr:from>
    <xdr:to>
      <xdr:col>11</xdr:col>
      <xdr:colOff>69273</xdr:colOff>
      <xdr:row>230</xdr:row>
      <xdr:rowOff>34635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608881</xdr:colOff>
      <xdr:row>255</xdr:row>
      <xdr:rowOff>158750</xdr:rowOff>
    </xdr:from>
    <xdr:to>
      <xdr:col>9</xdr:col>
      <xdr:colOff>63500</xdr:colOff>
      <xdr:row>275</xdr:row>
      <xdr:rowOff>59193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298242</xdr:colOff>
      <xdr:row>30</xdr:row>
      <xdr:rowOff>38348</xdr:rowOff>
    </xdr:from>
    <xdr:to>
      <xdr:col>11</xdr:col>
      <xdr:colOff>323273</xdr:colOff>
      <xdr:row>42</xdr:row>
      <xdr:rowOff>161636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67</xdr:col>
      <xdr:colOff>484908</xdr:colOff>
      <xdr:row>55</xdr:row>
      <xdr:rowOff>143597</xdr:rowOff>
    </xdr:from>
    <xdr:to>
      <xdr:col>74</xdr:col>
      <xdr:colOff>0</xdr:colOff>
      <xdr:row>68</xdr:row>
      <xdr:rowOff>69272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68</xdr:col>
      <xdr:colOff>34636</xdr:colOff>
      <xdr:row>83</xdr:row>
      <xdr:rowOff>56281</xdr:rowOff>
    </xdr:from>
    <xdr:to>
      <xdr:col>74</xdr:col>
      <xdr:colOff>0</xdr:colOff>
      <xdr:row>95</xdr:row>
      <xdr:rowOff>51955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67</xdr:col>
      <xdr:colOff>533400</xdr:colOff>
      <xdr:row>110</xdr:row>
      <xdr:rowOff>50512</xdr:rowOff>
    </xdr:from>
    <xdr:to>
      <xdr:col>74</xdr:col>
      <xdr:colOff>0</xdr:colOff>
      <xdr:row>122</xdr:row>
      <xdr:rowOff>17318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68</xdr:col>
      <xdr:colOff>0</xdr:colOff>
      <xdr:row>137</xdr:row>
      <xdr:rowOff>186170</xdr:rowOff>
    </xdr:from>
    <xdr:to>
      <xdr:col>74</xdr:col>
      <xdr:colOff>0</xdr:colOff>
      <xdr:row>149</xdr:row>
      <xdr:rowOff>121227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1489364</xdr:colOff>
      <xdr:row>137</xdr:row>
      <xdr:rowOff>2887</xdr:rowOff>
    </xdr:from>
    <xdr:to>
      <xdr:col>11</xdr:col>
      <xdr:colOff>0</xdr:colOff>
      <xdr:row>148</xdr:row>
      <xdr:rowOff>155864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68</xdr:col>
      <xdr:colOff>0</xdr:colOff>
      <xdr:row>163</xdr:row>
      <xdr:rowOff>180972</xdr:rowOff>
    </xdr:from>
    <xdr:to>
      <xdr:col>74</xdr:col>
      <xdr:colOff>0</xdr:colOff>
      <xdr:row>177</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1472046</xdr:colOff>
      <xdr:row>163</xdr:row>
      <xdr:rowOff>166688</xdr:rowOff>
    </xdr:from>
    <xdr:to>
      <xdr:col>11</xdr:col>
      <xdr:colOff>0</xdr:colOff>
      <xdr:row>176</xdr:row>
      <xdr:rowOff>51955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190</xdr:row>
      <xdr:rowOff>142873</xdr:rowOff>
    </xdr:from>
    <xdr:to>
      <xdr:col>11</xdr:col>
      <xdr:colOff>47624</xdr:colOff>
      <xdr:row>203</xdr:row>
      <xdr:rowOff>51953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68</xdr:col>
      <xdr:colOff>17318</xdr:colOff>
      <xdr:row>191</xdr:row>
      <xdr:rowOff>17318</xdr:rowOff>
    </xdr:from>
    <xdr:to>
      <xdr:col>74</xdr:col>
      <xdr:colOff>0</xdr:colOff>
      <xdr:row>202</xdr:row>
      <xdr:rowOff>173181</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68</xdr:col>
      <xdr:colOff>0</xdr:colOff>
      <xdr:row>218</xdr:row>
      <xdr:rowOff>86592</xdr:rowOff>
    </xdr:from>
    <xdr:to>
      <xdr:col>74</xdr:col>
      <xdr:colOff>0</xdr:colOff>
      <xdr:row>230</xdr:row>
      <xdr:rowOff>95250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62</xdr:col>
      <xdr:colOff>190500</xdr:colOff>
      <xdr:row>256</xdr:row>
      <xdr:rowOff>127000</xdr:rowOff>
    </xdr:from>
    <xdr:to>
      <xdr:col>71</xdr:col>
      <xdr:colOff>127000</xdr:colOff>
      <xdr:row>275</xdr:row>
      <xdr:rowOff>85989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288</xdr:row>
      <xdr:rowOff>51955</xdr:rowOff>
    </xdr:from>
    <xdr:to>
      <xdr:col>9</xdr:col>
      <xdr:colOff>121227</xdr:colOff>
      <xdr:row>308</xdr:row>
      <xdr:rowOff>103717</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63</xdr:col>
      <xdr:colOff>47625</xdr:colOff>
      <xdr:row>288</xdr:row>
      <xdr:rowOff>95249</xdr:rowOff>
    </xdr:from>
    <xdr:to>
      <xdr:col>71</xdr:col>
      <xdr:colOff>119062</xdr:colOff>
      <xdr:row>308</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68</xdr:col>
      <xdr:colOff>96982</xdr:colOff>
      <xdr:row>29</xdr:row>
      <xdr:rowOff>166254</xdr:rowOff>
    </xdr:from>
    <xdr:to>
      <xdr:col>73</xdr:col>
      <xdr:colOff>2019300</xdr:colOff>
      <xdr:row>42</xdr:row>
      <xdr:rowOff>114299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118</xdr:col>
      <xdr:colOff>604837</xdr:colOff>
      <xdr:row>29</xdr:row>
      <xdr:rowOff>109538</xdr:rowOff>
    </xdr:from>
    <xdr:to>
      <xdr:col>124</xdr:col>
      <xdr:colOff>906461</xdr:colOff>
      <xdr:row>42</xdr:row>
      <xdr:rowOff>204787</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342900</xdr:colOff>
      <xdr:row>55</xdr:row>
      <xdr:rowOff>143597</xdr:rowOff>
    </xdr:from>
    <xdr:to>
      <xdr:col>43</xdr:col>
      <xdr:colOff>1295400</xdr:colOff>
      <xdr:row>68</xdr:row>
      <xdr:rowOff>69272</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304800</xdr:colOff>
      <xdr:row>83</xdr:row>
      <xdr:rowOff>56281</xdr:rowOff>
    </xdr:from>
    <xdr:to>
      <xdr:col>43</xdr:col>
      <xdr:colOff>1257300</xdr:colOff>
      <xdr:row>95</xdr:row>
      <xdr:rowOff>51955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266700</xdr:colOff>
      <xdr:row>110</xdr:row>
      <xdr:rowOff>12412</xdr:rowOff>
    </xdr:from>
    <xdr:to>
      <xdr:col>43</xdr:col>
      <xdr:colOff>1333500</xdr:colOff>
      <xdr:row>121</xdr:row>
      <xdr:rowOff>169718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38100</xdr:colOff>
      <xdr:row>137</xdr:row>
      <xdr:rowOff>186170</xdr:rowOff>
    </xdr:from>
    <xdr:to>
      <xdr:col>43</xdr:col>
      <xdr:colOff>1409700</xdr:colOff>
      <xdr:row>149</xdr:row>
      <xdr:rowOff>121227</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266700</xdr:colOff>
      <xdr:row>163</xdr:row>
      <xdr:rowOff>180972</xdr:rowOff>
    </xdr:from>
    <xdr:to>
      <xdr:col>43</xdr:col>
      <xdr:colOff>1409700</xdr:colOff>
      <xdr:row>177</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360218</xdr:colOff>
      <xdr:row>191</xdr:row>
      <xdr:rowOff>17318</xdr:rowOff>
    </xdr:from>
    <xdr:to>
      <xdr:col>43</xdr:col>
      <xdr:colOff>1447800</xdr:colOff>
      <xdr:row>202</xdr:row>
      <xdr:rowOff>173181</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266700</xdr:colOff>
      <xdr:row>218</xdr:row>
      <xdr:rowOff>86592</xdr:rowOff>
    </xdr:from>
    <xdr:to>
      <xdr:col>43</xdr:col>
      <xdr:colOff>1371600</xdr:colOff>
      <xdr:row>230</xdr:row>
      <xdr:rowOff>95250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190500</xdr:colOff>
      <xdr:row>256</xdr:row>
      <xdr:rowOff>127000</xdr:rowOff>
    </xdr:from>
    <xdr:to>
      <xdr:col>41</xdr:col>
      <xdr:colOff>127000</xdr:colOff>
      <xdr:row>275</xdr:row>
      <xdr:rowOff>85989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47625</xdr:colOff>
      <xdr:row>288</xdr:row>
      <xdr:rowOff>95249</xdr:rowOff>
    </xdr:from>
    <xdr:to>
      <xdr:col>41</xdr:col>
      <xdr:colOff>119062</xdr:colOff>
      <xdr:row>308</xdr:row>
      <xdr:rowOff>142874</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37</xdr:col>
      <xdr:colOff>228600</xdr:colOff>
      <xdr:row>30</xdr:row>
      <xdr:rowOff>51954</xdr:rowOff>
    </xdr:from>
    <xdr:to>
      <xdr:col>43</xdr:col>
      <xdr:colOff>1257300</xdr:colOff>
      <xdr:row>42</xdr:row>
      <xdr:rowOff>190499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52</xdr:col>
      <xdr:colOff>103908</xdr:colOff>
      <xdr:row>55</xdr:row>
      <xdr:rowOff>143597</xdr:rowOff>
    </xdr:from>
    <xdr:to>
      <xdr:col>58</xdr:col>
      <xdr:colOff>1219200</xdr:colOff>
      <xdr:row>68</xdr:row>
      <xdr:rowOff>69272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52</xdr:col>
      <xdr:colOff>225136</xdr:colOff>
      <xdr:row>83</xdr:row>
      <xdr:rowOff>56281</xdr:rowOff>
    </xdr:from>
    <xdr:to>
      <xdr:col>58</xdr:col>
      <xdr:colOff>1295400</xdr:colOff>
      <xdr:row>95</xdr:row>
      <xdr:rowOff>51955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52</xdr:col>
      <xdr:colOff>207817</xdr:colOff>
      <xdr:row>110</xdr:row>
      <xdr:rowOff>126712</xdr:rowOff>
    </xdr:from>
    <xdr:to>
      <xdr:col>58</xdr:col>
      <xdr:colOff>1409700</xdr:colOff>
      <xdr:row>122</xdr:row>
      <xdr:rowOff>93518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52</xdr:col>
      <xdr:colOff>166256</xdr:colOff>
      <xdr:row>137</xdr:row>
      <xdr:rowOff>186170</xdr:rowOff>
    </xdr:from>
    <xdr:to>
      <xdr:col>58</xdr:col>
      <xdr:colOff>1333500</xdr:colOff>
      <xdr:row>149</xdr:row>
      <xdr:rowOff>121227</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52</xdr:col>
      <xdr:colOff>187037</xdr:colOff>
      <xdr:row>163</xdr:row>
      <xdr:rowOff>152397</xdr:rowOff>
    </xdr:from>
    <xdr:to>
      <xdr:col>58</xdr:col>
      <xdr:colOff>1371600</xdr:colOff>
      <xdr:row>176</xdr:row>
      <xdr:rowOff>152400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52</xdr:col>
      <xdr:colOff>169718</xdr:colOff>
      <xdr:row>191</xdr:row>
      <xdr:rowOff>17318</xdr:rowOff>
    </xdr:from>
    <xdr:to>
      <xdr:col>58</xdr:col>
      <xdr:colOff>1257300</xdr:colOff>
      <xdr:row>202</xdr:row>
      <xdr:rowOff>173181</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52</xdr:col>
      <xdr:colOff>58881</xdr:colOff>
      <xdr:row>218</xdr:row>
      <xdr:rowOff>48492</xdr:rowOff>
    </xdr:from>
    <xdr:to>
      <xdr:col>58</xdr:col>
      <xdr:colOff>1295400</xdr:colOff>
      <xdr:row>230</xdr:row>
      <xdr:rowOff>57150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47</xdr:col>
      <xdr:colOff>190500</xdr:colOff>
      <xdr:row>256</xdr:row>
      <xdr:rowOff>127000</xdr:rowOff>
    </xdr:from>
    <xdr:to>
      <xdr:col>56</xdr:col>
      <xdr:colOff>127000</xdr:colOff>
      <xdr:row>275</xdr:row>
      <xdr:rowOff>85989</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48</xdr:col>
      <xdr:colOff>47625</xdr:colOff>
      <xdr:row>288</xdr:row>
      <xdr:rowOff>95249</xdr:rowOff>
    </xdr:from>
    <xdr:to>
      <xdr:col>56</xdr:col>
      <xdr:colOff>119062</xdr:colOff>
      <xdr:row>308</xdr:row>
      <xdr:rowOff>142874</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51</xdr:col>
      <xdr:colOff>1601932</xdr:colOff>
      <xdr:row>30</xdr:row>
      <xdr:rowOff>28141</xdr:rowOff>
    </xdr:from>
    <xdr:to>
      <xdr:col>58</xdr:col>
      <xdr:colOff>1404937</xdr:colOff>
      <xdr:row>42</xdr:row>
      <xdr:rowOff>166686</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119</xdr:col>
      <xdr:colOff>38100</xdr:colOff>
      <xdr:row>54</xdr:row>
      <xdr:rowOff>152400</xdr:rowOff>
    </xdr:from>
    <xdr:to>
      <xdr:col>124</xdr:col>
      <xdr:colOff>2029692</xdr:colOff>
      <xdr:row>67</xdr:row>
      <xdr:rowOff>78075</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119</xdr:col>
      <xdr:colOff>0</xdr:colOff>
      <xdr:row>84</xdr:row>
      <xdr:rowOff>0</xdr:rowOff>
    </xdr:from>
    <xdr:to>
      <xdr:col>124</xdr:col>
      <xdr:colOff>1070264</xdr:colOff>
      <xdr:row>96</xdr:row>
      <xdr:rowOff>186174</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119</xdr:col>
      <xdr:colOff>47625</xdr:colOff>
      <xdr:row>110</xdr:row>
      <xdr:rowOff>38100</xdr:rowOff>
    </xdr:from>
    <xdr:to>
      <xdr:col>124</xdr:col>
      <xdr:colOff>1087583</xdr:colOff>
      <xdr:row>122</xdr:row>
      <xdr:rowOff>71437</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118</xdr:col>
      <xdr:colOff>1428750</xdr:colOff>
      <xdr:row>137</xdr:row>
      <xdr:rowOff>304801</xdr:rowOff>
    </xdr:from>
    <xdr:to>
      <xdr:col>124</xdr:col>
      <xdr:colOff>843394</xdr:colOff>
      <xdr:row>150</xdr:row>
      <xdr:rowOff>1</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119</xdr:col>
      <xdr:colOff>0</xdr:colOff>
      <xdr:row>164</xdr:row>
      <xdr:rowOff>0</xdr:rowOff>
    </xdr:from>
    <xdr:to>
      <xdr:col>124</xdr:col>
      <xdr:colOff>1117888</xdr:colOff>
      <xdr:row>177</xdr:row>
      <xdr:rowOff>9528</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119</xdr:col>
      <xdr:colOff>0</xdr:colOff>
      <xdr:row>191</xdr:row>
      <xdr:rowOff>0</xdr:rowOff>
    </xdr:from>
    <xdr:to>
      <xdr:col>124</xdr:col>
      <xdr:colOff>1087582</xdr:colOff>
      <xdr:row>202</xdr:row>
      <xdr:rowOff>155863</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119</xdr:col>
      <xdr:colOff>0</xdr:colOff>
      <xdr:row>218</xdr:row>
      <xdr:rowOff>0</xdr:rowOff>
    </xdr:from>
    <xdr:to>
      <xdr:col>124</xdr:col>
      <xdr:colOff>1160319</xdr:colOff>
      <xdr:row>230</xdr:row>
      <xdr:rowOff>8658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113</xdr:col>
      <xdr:colOff>608881</xdr:colOff>
      <xdr:row>255</xdr:row>
      <xdr:rowOff>158750</xdr:rowOff>
    </xdr:from>
    <xdr:to>
      <xdr:col>122</xdr:col>
      <xdr:colOff>63500</xdr:colOff>
      <xdr:row>275</xdr:row>
      <xdr:rowOff>59193</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114</xdr:col>
      <xdr:colOff>0</xdr:colOff>
      <xdr:row>288</xdr:row>
      <xdr:rowOff>51955</xdr:rowOff>
    </xdr:from>
    <xdr:to>
      <xdr:col>122</xdr:col>
      <xdr:colOff>121227</xdr:colOff>
      <xdr:row>308</xdr:row>
      <xdr:rowOff>103717</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34636</xdr:colOff>
      <xdr:row>55</xdr:row>
      <xdr:rowOff>79375</xdr:rowOff>
    </xdr:from>
    <xdr:to>
      <xdr:col>11</xdr:col>
      <xdr:colOff>158749</xdr:colOff>
      <xdr:row>68</xdr:row>
      <xdr:rowOff>34636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15874</xdr:colOff>
      <xdr:row>82</xdr:row>
      <xdr:rowOff>138023</xdr:rowOff>
    </xdr:from>
    <xdr:to>
      <xdr:col>11</xdr:col>
      <xdr:colOff>63499</xdr:colOff>
      <xdr:row>95</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63500</xdr:colOff>
      <xdr:row>109</xdr:row>
      <xdr:rowOff>174625</xdr:rowOff>
    </xdr:from>
    <xdr:to>
      <xdr:col>11</xdr:col>
      <xdr:colOff>15874</xdr:colOff>
      <xdr:row>122</xdr:row>
      <xdr:rowOff>31751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17318</xdr:colOff>
      <xdr:row>218</xdr:row>
      <xdr:rowOff>34636</xdr:rowOff>
    </xdr:from>
    <xdr:to>
      <xdr:col>11</xdr:col>
      <xdr:colOff>69273</xdr:colOff>
      <xdr:row>230</xdr:row>
      <xdr:rowOff>34635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608881</xdr:colOff>
      <xdr:row>255</xdr:row>
      <xdr:rowOff>158750</xdr:rowOff>
    </xdr:from>
    <xdr:to>
      <xdr:col>9</xdr:col>
      <xdr:colOff>63500</xdr:colOff>
      <xdr:row>275</xdr:row>
      <xdr:rowOff>59193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298242</xdr:colOff>
      <xdr:row>30</xdr:row>
      <xdr:rowOff>38348</xdr:rowOff>
    </xdr:from>
    <xdr:to>
      <xdr:col>11</xdr:col>
      <xdr:colOff>323273</xdr:colOff>
      <xdr:row>42</xdr:row>
      <xdr:rowOff>161636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67</xdr:col>
      <xdr:colOff>484908</xdr:colOff>
      <xdr:row>55</xdr:row>
      <xdr:rowOff>143597</xdr:rowOff>
    </xdr:from>
    <xdr:to>
      <xdr:col>74</xdr:col>
      <xdr:colOff>0</xdr:colOff>
      <xdr:row>68</xdr:row>
      <xdr:rowOff>69272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68</xdr:col>
      <xdr:colOff>34636</xdr:colOff>
      <xdr:row>83</xdr:row>
      <xdr:rowOff>56281</xdr:rowOff>
    </xdr:from>
    <xdr:to>
      <xdr:col>74</xdr:col>
      <xdr:colOff>0</xdr:colOff>
      <xdr:row>95</xdr:row>
      <xdr:rowOff>51955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67</xdr:col>
      <xdr:colOff>533400</xdr:colOff>
      <xdr:row>110</xdr:row>
      <xdr:rowOff>50512</xdr:rowOff>
    </xdr:from>
    <xdr:to>
      <xdr:col>74</xdr:col>
      <xdr:colOff>0</xdr:colOff>
      <xdr:row>122</xdr:row>
      <xdr:rowOff>17318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68</xdr:col>
      <xdr:colOff>0</xdr:colOff>
      <xdr:row>137</xdr:row>
      <xdr:rowOff>186170</xdr:rowOff>
    </xdr:from>
    <xdr:to>
      <xdr:col>74</xdr:col>
      <xdr:colOff>0</xdr:colOff>
      <xdr:row>149</xdr:row>
      <xdr:rowOff>121227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1489364</xdr:colOff>
      <xdr:row>137</xdr:row>
      <xdr:rowOff>2887</xdr:rowOff>
    </xdr:from>
    <xdr:to>
      <xdr:col>11</xdr:col>
      <xdr:colOff>0</xdr:colOff>
      <xdr:row>148</xdr:row>
      <xdr:rowOff>155864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68</xdr:col>
      <xdr:colOff>0</xdr:colOff>
      <xdr:row>163</xdr:row>
      <xdr:rowOff>180972</xdr:rowOff>
    </xdr:from>
    <xdr:to>
      <xdr:col>74</xdr:col>
      <xdr:colOff>0</xdr:colOff>
      <xdr:row>177</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1472046</xdr:colOff>
      <xdr:row>163</xdr:row>
      <xdr:rowOff>166688</xdr:rowOff>
    </xdr:from>
    <xdr:to>
      <xdr:col>11</xdr:col>
      <xdr:colOff>0</xdr:colOff>
      <xdr:row>176</xdr:row>
      <xdr:rowOff>51955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190</xdr:row>
      <xdr:rowOff>142873</xdr:rowOff>
    </xdr:from>
    <xdr:to>
      <xdr:col>11</xdr:col>
      <xdr:colOff>47624</xdr:colOff>
      <xdr:row>203</xdr:row>
      <xdr:rowOff>51953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68</xdr:col>
      <xdr:colOff>17318</xdr:colOff>
      <xdr:row>191</xdr:row>
      <xdr:rowOff>17318</xdr:rowOff>
    </xdr:from>
    <xdr:to>
      <xdr:col>74</xdr:col>
      <xdr:colOff>0</xdr:colOff>
      <xdr:row>202</xdr:row>
      <xdr:rowOff>173181</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68</xdr:col>
      <xdr:colOff>0</xdr:colOff>
      <xdr:row>218</xdr:row>
      <xdr:rowOff>86592</xdr:rowOff>
    </xdr:from>
    <xdr:to>
      <xdr:col>74</xdr:col>
      <xdr:colOff>0</xdr:colOff>
      <xdr:row>230</xdr:row>
      <xdr:rowOff>95250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62</xdr:col>
      <xdr:colOff>190500</xdr:colOff>
      <xdr:row>256</xdr:row>
      <xdr:rowOff>127000</xdr:rowOff>
    </xdr:from>
    <xdr:to>
      <xdr:col>71</xdr:col>
      <xdr:colOff>127000</xdr:colOff>
      <xdr:row>275</xdr:row>
      <xdr:rowOff>85989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288</xdr:row>
      <xdr:rowOff>51955</xdr:rowOff>
    </xdr:from>
    <xdr:to>
      <xdr:col>9</xdr:col>
      <xdr:colOff>121227</xdr:colOff>
      <xdr:row>308</xdr:row>
      <xdr:rowOff>103717</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63</xdr:col>
      <xdr:colOff>47625</xdr:colOff>
      <xdr:row>288</xdr:row>
      <xdr:rowOff>95249</xdr:rowOff>
    </xdr:from>
    <xdr:to>
      <xdr:col>71</xdr:col>
      <xdr:colOff>119062</xdr:colOff>
      <xdr:row>308</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68</xdr:col>
      <xdr:colOff>96982</xdr:colOff>
      <xdr:row>29</xdr:row>
      <xdr:rowOff>166254</xdr:rowOff>
    </xdr:from>
    <xdr:to>
      <xdr:col>73</xdr:col>
      <xdr:colOff>2019300</xdr:colOff>
      <xdr:row>42</xdr:row>
      <xdr:rowOff>114299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122</xdr:col>
      <xdr:colOff>604837</xdr:colOff>
      <xdr:row>29</xdr:row>
      <xdr:rowOff>109538</xdr:rowOff>
    </xdr:from>
    <xdr:to>
      <xdr:col>128</xdr:col>
      <xdr:colOff>906461</xdr:colOff>
      <xdr:row>42</xdr:row>
      <xdr:rowOff>204787</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342900</xdr:colOff>
      <xdr:row>55</xdr:row>
      <xdr:rowOff>143597</xdr:rowOff>
    </xdr:from>
    <xdr:to>
      <xdr:col>43</xdr:col>
      <xdr:colOff>1295400</xdr:colOff>
      <xdr:row>68</xdr:row>
      <xdr:rowOff>69272</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304800</xdr:colOff>
      <xdr:row>83</xdr:row>
      <xdr:rowOff>56281</xdr:rowOff>
    </xdr:from>
    <xdr:to>
      <xdr:col>43</xdr:col>
      <xdr:colOff>1257300</xdr:colOff>
      <xdr:row>95</xdr:row>
      <xdr:rowOff>51955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266700</xdr:colOff>
      <xdr:row>110</xdr:row>
      <xdr:rowOff>12412</xdr:rowOff>
    </xdr:from>
    <xdr:to>
      <xdr:col>43</xdr:col>
      <xdr:colOff>1333500</xdr:colOff>
      <xdr:row>121</xdr:row>
      <xdr:rowOff>169718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38100</xdr:colOff>
      <xdr:row>137</xdr:row>
      <xdr:rowOff>186170</xdr:rowOff>
    </xdr:from>
    <xdr:to>
      <xdr:col>43</xdr:col>
      <xdr:colOff>1409700</xdr:colOff>
      <xdr:row>149</xdr:row>
      <xdr:rowOff>121227</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266700</xdr:colOff>
      <xdr:row>163</xdr:row>
      <xdr:rowOff>180972</xdr:rowOff>
    </xdr:from>
    <xdr:to>
      <xdr:col>43</xdr:col>
      <xdr:colOff>1409700</xdr:colOff>
      <xdr:row>177</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360218</xdr:colOff>
      <xdr:row>191</xdr:row>
      <xdr:rowOff>17318</xdr:rowOff>
    </xdr:from>
    <xdr:to>
      <xdr:col>43</xdr:col>
      <xdr:colOff>1447800</xdr:colOff>
      <xdr:row>202</xdr:row>
      <xdr:rowOff>173181</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266700</xdr:colOff>
      <xdr:row>218</xdr:row>
      <xdr:rowOff>86592</xdr:rowOff>
    </xdr:from>
    <xdr:to>
      <xdr:col>43</xdr:col>
      <xdr:colOff>1371600</xdr:colOff>
      <xdr:row>230</xdr:row>
      <xdr:rowOff>95250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190500</xdr:colOff>
      <xdr:row>256</xdr:row>
      <xdr:rowOff>127000</xdr:rowOff>
    </xdr:from>
    <xdr:to>
      <xdr:col>41</xdr:col>
      <xdr:colOff>127000</xdr:colOff>
      <xdr:row>275</xdr:row>
      <xdr:rowOff>85989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47625</xdr:colOff>
      <xdr:row>288</xdr:row>
      <xdr:rowOff>95249</xdr:rowOff>
    </xdr:from>
    <xdr:to>
      <xdr:col>41</xdr:col>
      <xdr:colOff>119062</xdr:colOff>
      <xdr:row>308</xdr:row>
      <xdr:rowOff>142874</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37</xdr:col>
      <xdr:colOff>228600</xdr:colOff>
      <xdr:row>30</xdr:row>
      <xdr:rowOff>51954</xdr:rowOff>
    </xdr:from>
    <xdr:to>
      <xdr:col>43</xdr:col>
      <xdr:colOff>1257300</xdr:colOff>
      <xdr:row>42</xdr:row>
      <xdr:rowOff>190499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52</xdr:col>
      <xdr:colOff>103908</xdr:colOff>
      <xdr:row>55</xdr:row>
      <xdr:rowOff>143597</xdr:rowOff>
    </xdr:from>
    <xdr:to>
      <xdr:col>58</xdr:col>
      <xdr:colOff>1219200</xdr:colOff>
      <xdr:row>68</xdr:row>
      <xdr:rowOff>69272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52</xdr:col>
      <xdr:colOff>225136</xdr:colOff>
      <xdr:row>83</xdr:row>
      <xdr:rowOff>56281</xdr:rowOff>
    </xdr:from>
    <xdr:to>
      <xdr:col>58</xdr:col>
      <xdr:colOff>1295400</xdr:colOff>
      <xdr:row>95</xdr:row>
      <xdr:rowOff>51955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52</xdr:col>
      <xdr:colOff>207817</xdr:colOff>
      <xdr:row>110</xdr:row>
      <xdr:rowOff>126712</xdr:rowOff>
    </xdr:from>
    <xdr:to>
      <xdr:col>58</xdr:col>
      <xdr:colOff>1409700</xdr:colOff>
      <xdr:row>122</xdr:row>
      <xdr:rowOff>93518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52</xdr:col>
      <xdr:colOff>166256</xdr:colOff>
      <xdr:row>137</xdr:row>
      <xdr:rowOff>186170</xdr:rowOff>
    </xdr:from>
    <xdr:to>
      <xdr:col>58</xdr:col>
      <xdr:colOff>1333500</xdr:colOff>
      <xdr:row>149</xdr:row>
      <xdr:rowOff>121227</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52</xdr:col>
      <xdr:colOff>187037</xdr:colOff>
      <xdr:row>163</xdr:row>
      <xdr:rowOff>152397</xdr:rowOff>
    </xdr:from>
    <xdr:to>
      <xdr:col>58</xdr:col>
      <xdr:colOff>1371600</xdr:colOff>
      <xdr:row>176</xdr:row>
      <xdr:rowOff>152400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52</xdr:col>
      <xdr:colOff>169718</xdr:colOff>
      <xdr:row>191</xdr:row>
      <xdr:rowOff>17318</xdr:rowOff>
    </xdr:from>
    <xdr:to>
      <xdr:col>58</xdr:col>
      <xdr:colOff>1257300</xdr:colOff>
      <xdr:row>202</xdr:row>
      <xdr:rowOff>173181</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52</xdr:col>
      <xdr:colOff>58881</xdr:colOff>
      <xdr:row>218</xdr:row>
      <xdr:rowOff>48492</xdr:rowOff>
    </xdr:from>
    <xdr:to>
      <xdr:col>58</xdr:col>
      <xdr:colOff>1295400</xdr:colOff>
      <xdr:row>230</xdr:row>
      <xdr:rowOff>57150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47</xdr:col>
      <xdr:colOff>190500</xdr:colOff>
      <xdr:row>256</xdr:row>
      <xdr:rowOff>127000</xdr:rowOff>
    </xdr:from>
    <xdr:to>
      <xdr:col>56</xdr:col>
      <xdr:colOff>127000</xdr:colOff>
      <xdr:row>275</xdr:row>
      <xdr:rowOff>85989</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48</xdr:col>
      <xdr:colOff>47625</xdr:colOff>
      <xdr:row>288</xdr:row>
      <xdr:rowOff>95249</xdr:rowOff>
    </xdr:from>
    <xdr:to>
      <xdr:col>56</xdr:col>
      <xdr:colOff>119062</xdr:colOff>
      <xdr:row>308</xdr:row>
      <xdr:rowOff>142874</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51</xdr:col>
      <xdr:colOff>1601932</xdr:colOff>
      <xdr:row>30</xdr:row>
      <xdr:rowOff>28141</xdr:rowOff>
    </xdr:from>
    <xdr:to>
      <xdr:col>58</xdr:col>
      <xdr:colOff>1404937</xdr:colOff>
      <xdr:row>42</xdr:row>
      <xdr:rowOff>166686</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123</xdr:col>
      <xdr:colOff>38100</xdr:colOff>
      <xdr:row>54</xdr:row>
      <xdr:rowOff>152400</xdr:rowOff>
    </xdr:from>
    <xdr:to>
      <xdr:col>128</xdr:col>
      <xdr:colOff>2029692</xdr:colOff>
      <xdr:row>67</xdr:row>
      <xdr:rowOff>78075</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123</xdr:col>
      <xdr:colOff>0</xdr:colOff>
      <xdr:row>84</xdr:row>
      <xdr:rowOff>0</xdr:rowOff>
    </xdr:from>
    <xdr:to>
      <xdr:col>128</xdr:col>
      <xdr:colOff>1070264</xdr:colOff>
      <xdr:row>96</xdr:row>
      <xdr:rowOff>186174</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123</xdr:col>
      <xdr:colOff>47625</xdr:colOff>
      <xdr:row>110</xdr:row>
      <xdr:rowOff>38100</xdr:rowOff>
    </xdr:from>
    <xdr:to>
      <xdr:col>128</xdr:col>
      <xdr:colOff>1087583</xdr:colOff>
      <xdr:row>122</xdr:row>
      <xdr:rowOff>71437</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122</xdr:col>
      <xdr:colOff>1428750</xdr:colOff>
      <xdr:row>137</xdr:row>
      <xdr:rowOff>304801</xdr:rowOff>
    </xdr:from>
    <xdr:to>
      <xdr:col>128</xdr:col>
      <xdr:colOff>843394</xdr:colOff>
      <xdr:row>150</xdr:row>
      <xdr:rowOff>1</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123</xdr:col>
      <xdr:colOff>0</xdr:colOff>
      <xdr:row>164</xdr:row>
      <xdr:rowOff>0</xdr:rowOff>
    </xdr:from>
    <xdr:to>
      <xdr:col>128</xdr:col>
      <xdr:colOff>1117888</xdr:colOff>
      <xdr:row>177</xdr:row>
      <xdr:rowOff>9528</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123</xdr:col>
      <xdr:colOff>0</xdr:colOff>
      <xdr:row>191</xdr:row>
      <xdr:rowOff>0</xdr:rowOff>
    </xdr:from>
    <xdr:to>
      <xdr:col>128</xdr:col>
      <xdr:colOff>1087582</xdr:colOff>
      <xdr:row>202</xdr:row>
      <xdr:rowOff>155863</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123</xdr:col>
      <xdr:colOff>0</xdr:colOff>
      <xdr:row>218</xdr:row>
      <xdr:rowOff>0</xdr:rowOff>
    </xdr:from>
    <xdr:to>
      <xdr:col>128</xdr:col>
      <xdr:colOff>1160319</xdr:colOff>
      <xdr:row>230</xdr:row>
      <xdr:rowOff>8658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117</xdr:col>
      <xdr:colOff>608881</xdr:colOff>
      <xdr:row>255</xdr:row>
      <xdr:rowOff>158750</xdr:rowOff>
    </xdr:from>
    <xdr:to>
      <xdr:col>126</xdr:col>
      <xdr:colOff>63500</xdr:colOff>
      <xdr:row>275</xdr:row>
      <xdr:rowOff>59193</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118</xdr:col>
      <xdr:colOff>0</xdr:colOff>
      <xdr:row>288</xdr:row>
      <xdr:rowOff>51955</xdr:rowOff>
    </xdr:from>
    <xdr:to>
      <xdr:col>126</xdr:col>
      <xdr:colOff>121227</xdr:colOff>
      <xdr:row>308</xdr:row>
      <xdr:rowOff>103717</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34636</xdr:colOff>
      <xdr:row>55</xdr:row>
      <xdr:rowOff>79375</xdr:rowOff>
    </xdr:from>
    <xdr:to>
      <xdr:col>11</xdr:col>
      <xdr:colOff>158749</xdr:colOff>
      <xdr:row>68</xdr:row>
      <xdr:rowOff>34636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15874</xdr:colOff>
      <xdr:row>82</xdr:row>
      <xdr:rowOff>138023</xdr:rowOff>
    </xdr:from>
    <xdr:to>
      <xdr:col>11</xdr:col>
      <xdr:colOff>63499</xdr:colOff>
      <xdr:row>95</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63500</xdr:colOff>
      <xdr:row>109</xdr:row>
      <xdr:rowOff>174625</xdr:rowOff>
    </xdr:from>
    <xdr:to>
      <xdr:col>11</xdr:col>
      <xdr:colOff>15874</xdr:colOff>
      <xdr:row>122</xdr:row>
      <xdr:rowOff>31751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17318</xdr:colOff>
      <xdr:row>218</xdr:row>
      <xdr:rowOff>34636</xdr:rowOff>
    </xdr:from>
    <xdr:to>
      <xdr:col>11</xdr:col>
      <xdr:colOff>69273</xdr:colOff>
      <xdr:row>230</xdr:row>
      <xdr:rowOff>34635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608881</xdr:colOff>
      <xdr:row>255</xdr:row>
      <xdr:rowOff>158750</xdr:rowOff>
    </xdr:from>
    <xdr:to>
      <xdr:col>9</xdr:col>
      <xdr:colOff>63500</xdr:colOff>
      <xdr:row>275</xdr:row>
      <xdr:rowOff>59193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298242</xdr:colOff>
      <xdr:row>30</xdr:row>
      <xdr:rowOff>38348</xdr:rowOff>
    </xdr:from>
    <xdr:to>
      <xdr:col>11</xdr:col>
      <xdr:colOff>323273</xdr:colOff>
      <xdr:row>42</xdr:row>
      <xdr:rowOff>161636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67</xdr:col>
      <xdr:colOff>484908</xdr:colOff>
      <xdr:row>55</xdr:row>
      <xdr:rowOff>143597</xdr:rowOff>
    </xdr:from>
    <xdr:to>
      <xdr:col>74</xdr:col>
      <xdr:colOff>0</xdr:colOff>
      <xdr:row>68</xdr:row>
      <xdr:rowOff>69272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68</xdr:col>
      <xdr:colOff>34636</xdr:colOff>
      <xdr:row>83</xdr:row>
      <xdr:rowOff>56281</xdr:rowOff>
    </xdr:from>
    <xdr:to>
      <xdr:col>74</xdr:col>
      <xdr:colOff>0</xdr:colOff>
      <xdr:row>95</xdr:row>
      <xdr:rowOff>51955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67</xdr:col>
      <xdr:colOff>533400</xdr:colOff>
      <xdr:row>110</xdr:row>
      <xdr:rowOff>50512</xdr:rowOff>
    </xdr:from>
    <xdr:to>
      <xdr:col>74</xdr:col>
      <xdr:colOff>0</xdr:colOff>
      <xdr:row>122</xdr:row>
      <xdr:rowOff>17318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68</xdr:col>
      <xdr:colOff>0</xdr:colOff>
      <xdr:row>137</xdr:row>
      <xdr:rowOff>186170</xdr:rowOff>
    </xdr:from>
    <xdr:to>
      <xdr:col>74</xdr:col>
      <xdr:colOff>0</xdr:colOff>
      <xdr:row>149</xdr:row>
      <xdr:rowOff>121227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1489364</xdr:colOff>
      <xdr:row>137</xdr:row>
      <xdr:rowOff>2887</xdr:rowOff>
    </xdr:from>
    <xdr:to>
      <xdr:col>11</xdr:col>
      <xdr:colOff>0</xdr:colOff>
      <xdr:row>148</xdr:row>
      <xdr:rowOff>155864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68</xdr:col>
      <xdr:colOff>0</xdr:colOff>
      <xdr:row>163</xdr:row>
      <xdr:rowOff>180972</xdr:rowOff>
    </xdr:from>
    <xdr:to>
      <xdr:col>74</xdr:col>
      <xdr:colOff>0</xdr:colOff>
      <xdr:row>177</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1472046</xdr:colOff>
      <xdr:row>163</xdr:row>
      <xdr:rowOff>166688</xdr:rowOff>
    </xdr:from>
    <xdr:to>
      <xdr:col>11</xdr:col>
      <xdr:colOff>0</xdr:colOff>
      <xdr:row>176</xdr:row>
      <xdr:rowOff>51955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190</xdr:row>
      <xdr:rowOff>142873</xdr:rowOff>
    </xdr:from>
    <xdr:to>
      <xdr:col>11</xdr:col>
      <xdr:colOff>47624</xdr:colOff>
      <xdr:row>203</xdr:row>
      <xdr:rowOff>51953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68</xdr:col>
      <xdr:colOff>17318</xdr:colOff>
      <xdr:row>191</xdr:row>
      <xdr:rowOff>17318</xdr:rowOff>
    </xdr:from>
    <xdr:to>
      <xdr:col>74</xdr:col>
      <xdr:colOff>0</xdr:colOff>
      <xdr:row>202</xdr:row>
      <xdr:rowOff>173181</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68</xdr:col>
      <xdr:colOff>0</xdr:colOff>
      <xdr:row>218</xdr:row>
      <xdr:rowOff>86592</xdr:rowOff>
    </xdr:from>
    <xdr:to>
      <xdr:col>74</xdr:col>
      <xdr:colOff>0</xdr:colOff>
      <xdr:row>230</xdr:row>
      <xdr:rowOff>95250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62</xdr:col>
      <xdr:colOff>190500</xdr:colOff>
      <xdr:row>256</xdr:row>
      <xdr:rowOff>127000</xdr:rowOff>
    </xdr:from>
    <xdr:to>
      <xdr:col>71</xdr:col>
      <xdr:colOff>127000</xdr:colOff>
      <xdr:row>275</xdr:row>
      <xdr:rowOff>85989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288</xdr:row>
      <xdr:rowOff>51955</xdr:rowOff>
    </xdr:from>
    <xdr:to>
      <xdr:col>9</xdr:col>
      <xdr:colOff>121227</xdr:colOff>
      <xdr:row>308</xdr:row>
      <xdr:rowOff>103717</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63</xdr:col>
      <xdr:colOff>47625</xdr:colOff>
      <xdr:row>288</xdr:row>
      <xdr:rowOff>95249</xdr:rowOff>
    </xdr:from>
    <xdr:to>
      <xdr:col>71</xdr:col>
      <xdr:colOff>119062</xdr:colOff>
      <xdr:row>308</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68</xdr:col>
      <xdr:colOff>96982</xdr:colOff>
      <xdr:row>29</xdr:row>
      <xdr:rowOff>166254</xdr:rowOff>
    </xdr:from>
    <xdr:to>
      <xdr:col>73</xdr:col>
      <xdr:colOff>2019300</xdr:colOff>
      <xdr:row>42</xdr:row>
      <xdr:rowOff>114299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122</xdr:col>
      <xdr:colOff>604837</xdr:colOff>
      <xdr:row>29</xdr:row>
      <xdr:rowOff>109538</xdr:rowOff>
    </xdr:from>
    <xdr:to>
      <xdr:col>128</xdr:col>
      <xdr:colOff>906461</xdr:colOff>
      <xdr:row>42</xdr:row>
      <xdr:rowOff>204787</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342900</xdr:colOff>
      <xdr:row>55</xdr:row>
      <xdr:rowOff>143597</xdr:rowOff>
    </xdr:from>
    <xdr:to>
      <xdr:col>43</xdr:col>
      <xdr:colOff>1295400</xdr:colOff>
      <xdr:row>68</xdr:row>
      <xdr:rowOff>69272</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304800</xdr:colOff>
      <xdr:row>83</xdr:row>
      <xdr:rowOff>56281</xdr:rowOff>
    </xdr:from>
    <xdr:to>
      <xdr:col>43</xdr:col>
      <xdr:colOff>1257300</xdr:colOff>
      <xdr:row>95</xdr:row>
      <xdr:rowOff>51955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266700</xdr:colOff>
      <xdr:row>110</xdr:row>
      <xdr:rowOff>12412</xdr:rowOff>
    </xdr:from>
    <xdr:to>
      <xdr:col>43</xdr:col>
      <xdr:colOff>1333500</xdr:colOff>
      <xdr:row>121</xdr:row>
      <xdr:rowOff>169718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38100</xdr:colOff>
      <xdr:row>137</xdr:row>
      <xdr:rowOff>186170</xdr:rowOff>
    </xdr:from>
    <xdr:to>
      <xdr:col>43</xdr:col>
      <xdr:colOff>1409700</xdr:colOff>
      <xdr:row>149</xdr:row>
      <xdr:rowOff>121227</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266700</xdr:colOff>
      <xdr:row>163</xdr:row>
      <xdr:rowOff>180972</xdr:rowOff>
    </xdr:from>
    <xdr:to>
      <xdr:col>43</xdr:col>
      <xdr:colOff>1409700</xdr:colOff>
      <xdr:row>177</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360218</xdr:colOff>
      <xdr:row>191</xdr:row>
      <xdr:rowOff>17318</xdr:rowOff>
    </xdr:from>
    <xdr:to>
      <xdr:col>43</xdr:col>
      <xdr:colOff>1447800</xdr:colOff>
      <xdr:row>202</xdr:row>
      <xdr:rowOff>173181</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266700</xdr:colOff>
      <xdr:row>218</xdr:row>
      <xdr:rowOff>86592</xdr:rowOff>
    </xdr:from>
    <xdr:to>
      <xdr:col>43</xdr:col>
      <xdr:colOff>1371600</xdr:colOff>
      <xdr:row>230</xdr:row>
      <xdr:rowOff>95250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190500</xdr:colOff>
      <xdr:row>256</xdr:row>
      <xdr:rowOff>127000</xdr:rowOff>
    </xdr:from>
    <xdr:to>
      <xdr:col>41</xdr:col>
      <xdr:colOff>127000</xdr:colOff>
      <xdr:row>275</xdr:row>
      <xdr:rowOff>85989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47625</xdr:colOff>
      <xdr:row>288</xdr:row>
      <xdr:rowOff>95249</xdr:rowOff>
    </xdr:from>
    <xdr:to>
      <xdr:col>41</xdr:col>
      <xdr:colOff>119062</xdr:colOff>
      <xdr:row>308</xdr:row>
      <xdr:rowOff>142874</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37</xdr:col>
      <xdr:colOff>228600</xdr:colOff>
      <xdr:row>30</xdr:row>
      <xdr:rowOff>51954</xdr:rowOff>
    </xdr:from>
    <xdr:to>
      <xdr:col>43</xdr:col>
      <xdr:colOff>1257300</xdr:colOff>
      <xdr:row>42</xdr:row>
      <xdr:rowOff>190499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52</xdr:col>
      <xdr:colOff>103908</xdr:colOff>
      <xdr:row>55</xdr:row>
      <xdr:rowOff>143597</xdr:rowOff>
    </xdr:from>
    <xdr:to>
      <xdr:col>58</xdr:col>
      <xdr:colOff>1219200</xdr:colOff>
      <xdr:row>68</xdr:row>
      <xdr:rowOff>69272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52</xdr:col>
      <xdr:colOff>225136</xdr:colOff>
      <xdr:row>83</xdr:row>
      <xdr:rowOff>56281</xdr:rowOff>
    </xdr:from>
    <xdr:to>
      <xdr:col>58</xdr:col>
      <xdr:colOff>1295400</xdr:colOff>
      <xdr:row>95</xdr:row>
      <xdr:rowOff>51955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52</xdr:col>
      <xdr:colOff>207817</xdr:colOff>
      <xdr:row>110</xdr:row>
      <xdr:rowOff>126712</xdr:rowOff>
    </xdr:from>
    <xdr:to>
      <xdr:col>58</xdr:col>
      <xdr:colOff>1409700</xdr:colOff>
      <xdr:row>122</xdr:row>
      <xdr:rowOff>93518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52</xdr:col>
      <xdr:colOff>166256</xdr:colOff>
      <xdr:row>137</xdr:row>
      <xdr:rowOff>186170</xdr:rowOff>
    </xdr:from>
    <xdr:to>
      <xdr:col>58</xdr:col>
      <xdr:colOff>1333500</xdr:colOff>
      <xdr:row>149</xdr:row>
      <xdr:rowOff>121227</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52</xdr:col>
      <xdr:colOff>187037</xdr:colOff>
      <xdr:row>163</xdr:row>
      <xdr:rowOff>152397</xdr:rowOff>
    </xdr:from>
    <xdr:to>
      <xdr:col>58</xdr:col>
      <xdr:colOff>1371600</xdr:colOff>
      <xdr:row>176</xdr:row>
      <xdr:rowOff>152400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52</xdr:col>
      <xdr:colOff>169718</xdr:colOff>
      <xdr:row>191</xdr:row>
      <xdr:rowOff>17318</xdr:rowOff>
    </xdr:from>
    <xdr:to>
      <xdr:col>58</xdr:col>
      <xdr:colOff>1257300</xdr:colOff>
      <xdr:row>202</xdr:row>
      <xdr:rowOff>173181</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52</xdr:col>
      <xdr:colOff>58881</xdr:colOff>
      <xdr:row>218</xdr:row>
      <xdr:rowOff>48492</xdr:rowOff>
    </xdr:from>
    <xdr:to>
      <xdr:col>58</xdr:col>
      <xdr:colOff>1295400</xdr:colOff>
      <xdr:row>230</xdr:row>
      <xdr:rowOff>57150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47</xdr:col>
      <xdr:colOff>190500</xdr:colOff>
      <xdr:row>256</xdr:row>
      <xdr:rowOff>127000</xdr:rowOff>
    </xdr:from>
    <xdr:to>
      <xdr:col>56</xdr:col>
      <xdr:colOff>127000</xdr:colOff>
      <xdr:row>275</xdr:row>
      <xdr:rowOff>85989</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48</xdr:col>
      <xdr:colOff>47625</xdr:colOff>
      <xdr:row>288</xdr:row>
      <xdr:rowOff>95249</xdr:rowOff>
    </xdr:from>
    <xdr:to>
      <xdr:col>56</xdr:col>
      <xdr:colOff>119062</xdr:colOff>
      <xdr:row>308</xdr:row>
      <xdr:rowOff>142874</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51</xdr:col>
      <xdr:colOff>1601932</xdr:colOff>
      <xdr:row>30</xdr:row>
      <xdr:rowOff>28141</xdr:rowOff>
    </xdr:from>
    <xdr:to>
      <xdr:col>58</xdr:col>
      <xdr:colOff>1404937</xdr:colOff>
      <xdr:row>42</xdr:row>
      <xdr:rowOff>166686</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123</xdr:col>
      <xdr:colOff>38100</xdr:colOff>
      <xdr:row>54</xdr:row>
      <xdr:rowOff>152400</xdr:rowOff>
    </xdr:from>
    <xdr:to>
      <xdr:col>128</xdr:col>
      <xdr:colOff>2029692</xdr:colOff>
      <xdr:row>67</xdr:row>
      <xdr:rowOff>78075</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123</xdr:col>
      <xdr:colOff>0</xdr:colOff>
      <xdr:row>84</xdr:row>
      <xdr:rowOff>0</xdr:rowOff>
    </xdr:from>
    <xdr:to>
      <xdr:col>128</xdr:col>
      <xdr:colOff>1070264</xdr:colOff>
      <xdr:row>96</xdr:row>
      <xdr:rowOff>186174</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123</xdr:col>
      <xdr:colOff>47625</xdr:colOff>
      <xdr:row>110</xdr:row>
      <xdr:rowOff>38100</xdr:rowOff>
    </xdr:from>
    <xdr:to>
      <xdr:col>128</xdr:col>
      <xdr:colOff>1087583</xdr:colOff>
      <xdr:row>122</xdr:row>
      <xdr:rowOff>71437</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122</xdr:col>
      <xdr:colOff>1428750</xdr:colOff>
      <xdr:row>137</xdr:row>
      <xdr:rowOff>304801</xdr:rowOff>
    </xdr:from>
    <xdr:to>
      <xdr:col>128</xdr:col>
      <xdr:colOff>843394</xdr:colOff>
      <xdr:row>150</xdr:row>
      <xdr:rowOff>1</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123</xdr:col>
      <xdr:colOff>0</xdr:colOff>
      <xdr:row>164</xdr:row>
      <xdr:rowOff>0</xdr:rowOff>
    </xdr:from>
    <xdr:to>
      <xdr:col>128</xdr:col>
      <xdr:colOff>1117888</xdr:colOff>
      <xdr:row>177</xdr:row>
      <xdr:rowOff>9528</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123</xdr:col>
      <xdr:colOff>0</xdr:colOff>
      <xdr:row>191</xdr:row>
      <xdr:rowOff>0</xdr:rowOff>
    </xdr:from>
    <xdr:to>
      <xdr:col>128</xdr:col>
      <xdr:colOff>1087582</xdr:colOff>
      <xdr:row>202</xdr:row>
      <xdr:rowOff>155863</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123</xdr:col>
      <xdr:colOff>0</xdr:colOff>
      <xdr:row>218</xdr:row>
      <xdr:rowOff>0</xdr:rowOff>
    </xdr:from>
    <xdr:to>
      <xdr:col>128</xdr:col>
      <xdr:colOff>1160319</xdr:colOff>
      <xdr:row>230</xdr:row>
      <xdr:rowOff>8658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114</xdr:col>
      <xdr:colOff>105416</xdr:colOff>
      <xdr:row>255</xdr:row>
      <xdr:rowOff>104321</xdr:rowOff>
    </xdr:from>
    <xdr:to>
      <xdr:col>122</xdr:col>
      <xdr:colOff>9071</xdr:colOff>
      <xdr:row>275</xdr:row>
      <xdr:rowOff>4764</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118</xdr:col>
      <xdr:colOff>0</xdr:colOff>
      <xdr:row>288</xdr:row>
      <xdr:rowOff>51955</xdr:rowOff>
    </xdr:from>
    <xdr:to>
      <xdr:col>126</xdr:col>
      <xdr:colOff>121227</xdr:colOff>
      <xdr:row>308</xdr:row>
      <xdr:rowOff>103717</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34636</xdr:colOff>
      <xdr:row>55</xdr:row>
      <xdr:rowOff>79375</xdr:rowOff>
    </xdr:from>
    <xdr:to>
      <xdr:col>11</xdr:col>
      <xdr:colOff>158749</xdr:colOff>
      <xdr:row>68</xdr:row>
      <xdr:rowOff>34636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15874</xdr:colOff>
      <xdr:row>82</xdr:row>
      <xdr:rowOff>138023</xdr:rowOff>
    </xdr:from>
    <xdr:to>
      <xdr:col>11</xdr:col>
      <xdr:colOff>63499</xdr:colOff>
      <xdr:row>95</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63500</xdr:colOff>
      <xdr:row>109</xdr:row>
      <xdr:rowOff>174625</xdr:rowOff>
    </xdr:from>
    <xdr:to>
      <xdr:col>11</xdr:col>
      <xdr:colOff>15874</xdr:colOff>
      <xdr:row>122</xdr:row>
      <xdr:rowOff>31751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17318</xdr:colOff>
      <xdr:row>218</xdr:row>
      <xdr:rowOff>34636</xdr:rowOff>
    </xdr:from>
    <xdr:to>
      <xdr:col>11</xdr:col>
      <xdr:colOff>69273</xdr:colOff>
      <xdr:row>230</xdr:row>
      <xdr:rowOff>34635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608881</xdr:colOff>
      <xdr:row>255</xdr:row>
      <xdr:rowOff>158750</xdr:rowOff>
    </xdr:from>
    <xdr:to>
      <xdr:col>9</xdr:col>
      <xdr:colOff>63500</xdr:colOff>
      <xdr:row>275</xdr:row>
      <xdr:rowOff>59193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298242</xdr:colOff>
      <xdr:row>30</xdr:row>
      <xdr:rowOff>38348</xdr:rowOff>
    </xdr:from>
    <xdr:to>
      <xdr:col>11</xdr:col>
      <xdr:colOff>323273</xdr:colOff>
      <xdr:row>42</xdr:row>
      <xdr:rowOff>161636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67</xdr:col>
      <xdr:colOff>484908</xdr:colOff>
      <xdr:row>55</xdr:row>
      <xdr:rowOff>143597</xdr:rowOff>
    </xdr:from>
    <xdr:to>
      <xdr:col>74</xdr:col>
      <xdr:colOff>0</xdr:colOff>
      <xdr:row>68</xdr:row>
      <xdr:rowOff>69272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68</xdr:col>
      <xdr:colOff>34636</xdr:colOff>
      <xdr:row>83</xdr:row>
      <xdr:rowOff>56281</xdr:rowOff>
    </xdr:from>
    <xdr:to>
      <xdr:col>74</xdr:col>
      <xdr:colOff>0</xdr:colOff>
      <xdr:row>95</xdr:row>
      <xdr:rowOff>51955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67</xdr:col>
      <xdr:colOff>533400</xdr:colOff>
      <xdr:row>110</xdr:row>
      <xdr:rowOff>50512</xdr:rowOff>
    </xdr:from>
    <xdr:to>
      <xdr:col>74</xdr:col>
      <xdr:colOff>0</xdr:colOff>
      <xdr:row>122</xdr:row>
      <xdr:rowOff>17318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68</xdr:col>
      <xdr:colOff>0</xdr:colOff>
      <xdr:row>137</xdr:row>
      <xdr:rowOff>186170</xdr:rowOff>
    </xdr:from>
    <xdr:to>
      <xdr:col>74</xdr:col>
      <xdr:colOff>0</xdr:colOff>
      <xdr:row>149</xdr:row>
      <xdr:rowOff>121227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1489364</xdr:colOff>
      <xdr:row>137</xdr:row>
      <xdr:rowOff>2887</xdr:rowOff>
    </xdr:from>
    <xdr:to>
      <xdr:col>11</xdr:col>
      <xdr:colOff>0</xdr:colOff>
      <xdr:row>148</xdr:row>
      <xdr:rowOff>155864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68</xdr:col>
      <xdr:colOff>0</xdr:colOff>
      <xdr:row>163</xdr:row>
      <xdr:rowOff>180972</xdr:rowOff>
    </xdr:from>
    <xdr:to>
      <xdr:col>74</xdr:col>
      <xdr:colOff>0</xdr:colOff>
      <xdr:row>177</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1472046</xdr:colOff>
      <xdr:row>163</xdr:row>
      <xdr:rowOff>166688</xdr:rowOff>
    </xdr:from>
    <xdr:to>
      <xdr:col>11</xdr:col>
      <xdr:colOff>0</xdr:colOff>
      <xdr:row>176</xdr:row>
      <xdr:rowOff>51955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190</xdr:row>
      <xdr:rowOff>142873</xdr:rowOff>
    </xdr:from>
    <xdr:to>
      <xdr:col>11</xdr:col>
      <xdr:colOff>47624</xdr:colOff>
      <xdr:row>203</xdr:row>
      <xdr:rowOff>51953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68</xdr:col>
      <xdr:colOff>17318</xdr:colOff>
      <xdr:row>191</xdr:row>
      <xdr:rowOff>17318</xdr:rowOff>
    </xdr:from>
    <xdr:to>
      <xdr:col>74</xdr:col>
      <xdr:colOff>0</xdr:colOff>
      <xdr:row>202</xdr:row>
      <xdr:rowOff>173181</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68</xdr:col>
      <xdr:colOff>0</xdr:colOff>
      <xdr:row>218</xdr:row>
      <xdr:rowOff>86592</xdr:rowOff>
    </xdr:from>
    <xdr:to>
      <xdr:col>74</xdr:col>
      <xdr:colOff>0</xdr:colOff>
      <xdr:row>230</xdr:row>
      <xdr:rowOff>95250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62</xdr:col>
      <xdr:colOff>190500</xdr:colOff>
      <xdr:row>256</xdr:row>
      <xdr:rowOff>127000</xdr:rowOff>
    </xdr:from>
    <xdr:to>
      <xdr:col>71</xdr:col>
      <xdr:colOff>127000</xdr:colOff>
      <xdr:row>275</xdr:row>
      <xdr:rowOff>85989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288</xdr:row>
      <xdr:rowOff>51955</xdr:rowOff>
    </xdr:from>
    <xdr:to>
      <xdr:col>9</xdr:col>
      <xdr:colOff>121227</xdr:colOff>
      <xdr:row>308</xdr:row>
      <xdr:rowOff>103717</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63</xdr:col>
      <xdr:colOff>47625</xdr:colOff>
      <xdr:row>288</xdr:row>
      <xdr:rowOff>95249</xdr:rowOff>
    </xdr:from>
    <xdr:to>
      <xdr:col>71</xdr:col>
      <xdr:colOff>119062</xdr:colOff>
      <xdr:row>308</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68</xdr:col>
      <xdr:colOff>96982</xdr:colOff>
      <xdr:row>29</xdr:row>
      <xdr:rowOff>166254</xdr:rowOff>
    </xdr:from>
    <xdr:to>
      <xdr:col>73</xdr:col>
      <xdr:colOff>2019300</xdr:colOff>
      <xdr:row>42</xdr:row>
      <xdr:rowOff>114299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122</xdr:col>
      <xdr:colOff>604837</xdr:colOff>
      <xdr:row>29</xdr:row>
      <xdr:rowOff>109538</xdr:rowOff>
    </xdr:from>
    <xdr:to>
      <xdr:col>128</xdr:col>
      <xdr:colOff>906461</xdr:colOff>
      <xdr:row>42</xdr:row>
      <xdr:rowOff>204787</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342900</xdr:colOff>
      <xdr:row>55</xdr:row>
      <xdr:rowOff>143597</xdr:rowOff>
    </xdr:from>
    <xdr:to>
      <xdr:col>43</xdr:col>
      <xdr:colOff>1295400</xdr:colOff>
      <xdr:row>68</xdr:row>
      <xdr:rowOff>69272</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304800</xdr:colOff>
      <xdr:row>83</xdr:row>
      <xdr:rowOff>56281</xdr:rowOff>
    </xdr:from>
    <xdr:to>
      <xdr:col>43</xdr:col>
      <xdr:colOff>1257300</xdr:colOff>
      <xdr:row>95</xdr:row>
      <xdr:rowOff>51955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266700</xdr:colOff>
      <xdr:row>110</xdr:row>
      <xdr:rowOff>12412</xdr:rowOff>
    </xdr:from>
    <xdr:to>
      <xdr:col>43</xdr:col>
      <xdr:colOff>1333500</xdr:colOff>
      <xdr:row>121</xdr:row>
      <xdr:rowOff>169718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38100</xdr:colOff>
      <xdr:row>137</xdr:row>
      <xdr:rowOff>186170</xdr:rowOff>
    </xdr:from>
    <xdr:to>
      <xdr:col>43</xdr:col>
      <xdr:colOff>1409700</xdr:colOff>
      <xdr:row>149</xdr:row>
      <xdr:rowOff>121227</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266700</xdr:colOff>
      <xdr:row>163</xdr:row>
      <xdr:rowOff>180972</xdr:rowOff>
    </xdr:from>
    <xdr:to>
      <xdr:col>43</xdr:col>
      <xdr:colOff>1409700</xdr:colOff>
      <xdr:row>177</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360218</xdr:colOff>
      <xdr:row>191</xdr:row>
      <xdr:rowOff>17318</xdr:rowOff>
    </xdr:from>
    <xdr:to>
      <xdr:col>43</xdr:col>
      <xdr:colOff>1447800</xdr:colOff>
      <xdr:row>202</xdr:row>
      <xdr:rowOff>173181</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266700</xdr:colOff>
      <xdr:row>218</xdr:row>
      <xdr:rowOff>86592</xdr:rowOff>
    </xdr:from>
    <xdr:to>
      <xdr:col>43</xdr:col>
      <xdr:colOff>1371600</xdr:colOff>
      <xdr:row>230</xdr:row>
      <xdr:rowOff>95250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190500</xdr:colOff>
      <xdr:row>256</xdr:row>
      <xdr:rowOff>127000</xdr:rowOff>
    </xdr:from>
    <xdr:to>
      <xdr:col>41</xdr:col>
      <xdr:colOff>127000</xdr:colOff>
      <xdr:row>275</xdr:row>
      <xdr:rowOff>85989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47625</xdr:colOff>
      <xdr:row>288</xdr:row>
      <xdr:rowOff>95249</xdr:rowOff>
    </xdr:from>
    <xdr:to>
      <xdr:col>41</xdr:col>
      <xdr:colOff>119062</xdr:colOff>
      <xdr:row>308</xdr:row>
      <xdr:rowOff>142874</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37</xdr:col>
      <xdr:colOff>228600</xdr:colOff>
      <xdr:row>30</xdr:row>
      <xdr:rowOff>51954</xdr:rowOff>
    </xdr:from>
    <xdr:to>
      <xdr:col>43</xdr:col>
      <xdr:colOff>1257300</xdr:colOff>
      <xdr:row>42</xdr:row>
      <xdr:rowOff>190499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52</xdr:col>
      <xdr:colOff>103908</xdr:colOff>
      <xdr:row>55</xdr:row>
      <xdr:rowOff>143597</xdr:rowOff>
    </xdr:from>
    <xdr:to>
      <xdr:col>58</xdr:col>
      <xdr:colOff>1219200</xdr:colOff>
      <xdr:row>68</xdr:row>
      <xdr:rowOff>69272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52</xdr:col>
      <xdr:colOff>225136</xdr:colOff>
      <xdr:row>83</xdr:row>
      <xdr:rowOff>56281</xdr:rowOff>
    </xdr:from>
    <xdr:to>
      <xdr:col>58</xdr:col>
      <xdr:colOff>1295400</xdr:colOff>
      <xdr:row>95</xdr:row>
      <xdr:rowOff>51955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52</xdr:col>
      <xdr:colOff>207817</xdr:colOff>
      <xdr:row>110</xdr:row>
      <xdr:rowOff>126712</xdr:rowOff>
    </xdr:from>
    <xdr:to>
      <xdr:col>58</xdr:col>
      <xdr:colOff>1409700</xdr:colOff>
      <xdr:row>122</xdr:row>
      <xdr:rowOff>93518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52</xdr:col>
      <xdr:colOff>166256</xdr:colOff>
      <xdr:row>137</xdr:row>
      <xdr:rowOff>186170</xdr:rowOff>
    </xdr:from>
    <xdr:to>
      <xdr:col>58</xdr:col>
      <xdr:colOff>1333500</xdr:colOff>
      <xdr:row>149</xdr:row>
      <xdr:rowOff>121227</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52</xdr:col>
      <xdr:colOff>187037</xdr:colOff>
      <xdr:row>163</xdr:row>
      <xdr:rowOff>152397</xdr:rowOff>
    </xdr:from>
    <xdr:to>
      <xdr:col>58</xdr:col>
      <xdr:colOff>1371600</xdr:colOff>
      <xdr:row>176</xdr:row>
      <xdr:rowOff>152400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52</xdr:col>
      <xdr:colOff>169718</xdr:colOff>
      <xdr:row>191</xdr:row>
      <xdr:rowOff>17318</xdr:rowOff>
    </xdr:from>
    <xdr:to>
      <xdr:col>58</xdr:col>
      <xdr:colOff>1257300</xdr:colOff>
      <xdr:row>202</xdr:row>
      <xdr:rowOff>173181</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52</xdr:col>
      <xdr:colOff>58881</xdr:colOff>
      <xdr:row>218</xdr:row>
      <xdr:rowOff>48492</xdr:rowOff>
    </xdr:from>
    <xdr:to>
      <xdr:col>58</xdr:col>
      <xdr:colOff>1295400</xdr:colOff>
      <xdr:row>230</xdr:row>
      <xdr:rowOff>57150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47</xdr:col>
      <xdr:colOff>190500</xdr:colOff>
      <xdr:row>256</xdr:row>
      <xdr:rowOff>127000</xdr:rowOff>
    </xdr:from>
    <xdr:to>
      <xdr:col>56</xdr:col>
      <xdr:colOff>127000</xdr:colOff>
      <xdr:row>275</xdr:row>
      <xdr:rowOff>85989</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48</xdr:col>
      <xdr:colOff>47625</xdr:colOff>
      <xdr:row>288</xdr:row>
      <xdr:rowOff>95249</xdr:rowOff>
    </xdr:from>
    <xdr:to>
      <xdr:col>56</xdr:col>
      <xdr:colOff>119062</xdr:colOff>
      <xdr:row>308</xdr:row>
      <xdr:rowOff>142874</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51</xdr:col>
      <xdr:colOff>1601932</xdr:colOff>
      <xdr:row>30</xdr:row>
      <xdr:rowOff>28141</xdr:rowOff>
    </xdr:from>
    <xdr:to>
      <xdr:col>58</xdr:col>
      <xdr:colOff>1404937</xdr:colOff>
      <xdr:row>42</xdr:row>
      <xdr:rowOff>166686</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123</xdr:col>
      <xdr:colOff>38100</xdr:colOff>
      <xdr:row>54</xdr:row>
      <xdr:rowOff>152400</xdr:rowOff>
    </xdr:from>
    <xdr:to>
      <xdr:col>128</xdr:col>
      <xdr:colOff>2029692</xdr:colOff>
      <xdr:row>67</xdr:row>
      <xdr:rowOff>78075</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123</xdr:col>
      <xdr:colOff>0</xdr:colOff>
      <xdr:row>84</xdr:row>
      <xdr:rowOff>0</xdr:rowOff>
    </xdr:from>
    <xdr:to>
      <xdr:col>128</xdr:col>
      <xdr:colOff>1070264</xdr:colOff>
      <xdr:row>96</xdr:row>
      <xdr:rowOff>186174</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123</xdr:col>
      <xdr:colOff>47625</xdr:colOff>
      <xdr:row>110</xdr:row>
      <xdr:rowOff>38100</xdr:rowOff>
    </xdr:from>
    <xdr:to>
      <xdr:col>128</xdr:col>
      <xdr:colOff>1087583</xdr:colOff>
      <xdr:row>122</xdr:row>
      <xdr:rowOff>71437</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122</xdr:col>
      <xdr:colOff>1428750</xdr:colOff>
      <xdr:row>137</xdr:row>
      <xdr:rowOff>304801</xdr:rowOff>
    </xdr:from>
    <xdr:to>
      <xdr:col>128</xdr:col>
      <xdr:colOff>843394</xdr:colOff>
      <xdr:row>150</xdr:row>
      <xdr:rowOff>1</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123</xdr:col>
      <xdr:colOff>0</xdr:colOff>
      <xdr:row>164</xdr:row>
      <xdr:rowOff>0</xdr:rowOff>
    </xdr:from>
    <xdr:to>
      <xdr:col>128</xdr:col>
      <xdr:colOff>1117888</xdr:colOff>
      <xdr:row>177</xdr:row>
      <xdr:rowOff>9528</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123</xdr:col>
      <xdr:colOff>0</xdr:colOff>
      <xdr:row>191</xdr:row>
      <xdr:rowOff>0</xdr:rowOff>
    </xdr:from>
    <xdr:to>
      <xdr:col>128</xdr:col>
      <xdr:colOff>1087582</xdr:colOff>
      <xdr:row>202</xdr:row>
      <xdr:rowOff>155863</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123</xdr:col>
      <xdr:colOff>0</xdr:colOff>
      <xdr:row>218</xdr:row>
      <xdr:rowOff>0</xdr:rowOff>
    </xdr:from>
    <xdr:to>
      <xdr:col>128</xdr:col>
      <xdr:colOff>1160319</xdr:colOff>
      <xdr:row>230</xdr:row>
      <xdr:rowOff>8658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114</xdr:col>
      <xdr:colOff>116756</xdr:colOff>
      <xdr:row>255</xdr:row>
      <xdr:rowOff>31750</xdr:rowOff>
    </xdr:from>
    <xdr:to>
      <xdr:col>122</xdr:col>
      <xdr:colOff>15875</xdr:colOff>
      <xdr:row>274</xdr:row>
      <xdr:rowOff>106818</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118</xdr:col>
      <xdr:colOff>0</xdr:colOff>
      <xdr:row>288</xdr:row>
      <xdr:rowOff>51955</xdr:rowOff>
    </xdr:from>
    <xdr:to>
      <xdr:col>126</xdr:col>
      <xdr:colOff>121227</xdr:colOff>
      <xdr:row>308</xdr:row>
      <xdr:rowOff>103717</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34636</xdr:colOff>
      <xdr:row>55</xdr:row>
      <xdr:rowOff>79375</xdr:rowOff>
    </xdr:from>
    <xdr:to>
      <xdr:col>11</xdr:col>
      <xdr:colOff>158749</xdr:colOff>
      <xdr:row>68</xdr:row>
      <xdr:rowOff>34636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15874</xdr:colOff>
      <xdr:row>82</xdr:row>
      <xdr:rowOff>138023</xdr:rowOff>
    </xdr:from>
    <xdr:to>
      <xdr:col>11</xdr:col>
      <xdr:colOff>63499</xdr:colOff>
      <xdr:row>95</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63500</xdr:colOff>
      <xdr:row>109</xdr:row>
      <xdr:rowOff>174625</xdr:rowOff>
    </xdr:from>
    <xdr:to>
      <xdr:col>11</xdr:col>
      <xdr:colOff>15874</xdr:colOff>
      <xdr:row>122</xdr:row>
      <xdr:rowOff>31751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17318</xdr:colOff>
      <xdr:row>218</xdr:row>
      <xdr:rowOff>34636</xdr:rowOff>
    </xdr:from>
    <xdr:to>
      <xdr:col>11</xdr:col>
      <xdr:colOff>69273</xdr:colOff>
      <xdr:row>230</xdr:row>
      <xdr:rowOff>34635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608881</xdr:colOff>
      <xdr:row>255</xdr:row>
      <xdr:rowOff>158750</xdr:rowOff>
    </xdr:from>
    <xdr:to>
      <xdr:col>9</xdr:col>
      <xdr:colOff>63500</xdr:colOff>
      <xdr:row>275</xdr:row>
      <xdr:rowOff>59193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298242</xdr:colOff>
      <xdr:row>30</xdr:row>
      <xdr:rowOff>38348</xdr:rowOff>
    </xdr:from>
    <xdr:to>
      <xdr:col>11</xdr:col>
      <xdr:colOff>323273</xdr:colOff>
      <xdr:row>42</xdr:row>
      <xdr:rowOff>161636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67</xdr:col>
      <xdr:colOff>484908</xdr:colOff>
      <xdr:row>55</xdr:row>
      <xdr:rowOff>143597</xdr:rowOff>
    </xdr:from>
    <xdr:to>
      <xdr:col>74</xdr:col>
      <xdr:colOff>0</xdr:colOff>
      <xdr:row>68</xdr:row>
      <xdr:rowOff>69272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68</xdr:col>
      <xdr:colOff>34636</xdr:colOff>
      <xdr:row>83</xdr:row>
      <xdr:rowOff>56281</xdr:rowOff>
    </xdr:from>
    <xdr:to>
      <xdr:col>74</xdr:col>
      <xdr:colOff>0</xdr:colOff>
      <xdr:row>95</xdr:row>
      <xdr:rowOff>51955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67</xdr:col>
      <xdr:colOff>533400</xdr:colOff>
      <xdr:row>110</xdr:row>
      <xdr:rowOff>50512</xdr:rowOff>
    </xdr:from>
    <xdr:to>
      <xdr:col>74</xdr:col>
      <xdr:colOff>0</xdr:colOff>
      <xdr:row>122</xdr:row>
      <xdr:rowOff>17318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68</xdr:col>
      <xdr:colOff>0</xdr:colOff>
      <xdr:row>137</xdr:row>
      <xdr:rowOff>186170</xdr:rowOff>
    </xdr:from>
    <xdr:to>
      <xdr:col>74</xdr:col>
      <xdr:colOff>0</xdr:colOff>
      <xdr:row>149</xdr:row>
      <xdr:rowOff>121227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1489364</xdr:colOff>
      <xdr:row>137</xdr:row>
      <xdr:rowOff>2887</xdr:rowOff>
    </xdr:from>
    <xdr:to>
      <xdr:col>11</xdr:col>
      <xdr:colOff>0</xdr:colOff>
      <xdr:row>148</xdr:row>
      <xdr:rowOff>155864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68</xdr:col>
      <xdr:colOff>0</xdr:colOff>
      <xdr:row>163</xdr:row>
      <xdr:rowOff>180972</xdr:rowOff>
    </xdr:from>
    <xdr:to>
      <xdr:col>74</xdr:col>
      <xdr:colOff>0</xdr:colOff>
      <xdr:row>177</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1472046</xdr:colOff>
      <xdr:row>163</xdr:row>
      <xdr:rowOff>166688</xdr:rowOff>
    </xdr:from>
    <xdr:to>
      <xdr:col>11</xdr:col>
      <xdr:colOff>0</xdr:colOff>
      <xdr:row>176</xdr:row>
      <xdr:rowOff>51955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190</xdr:row>
      <xdr:rowOff>142873</xdr:rowOff>
    </xdr:from>
    <xdr:to>
      <xdr:col>11</xdr:col>
      <xdr:colOff>47624</xdr:colOff>
      <xdr:row>203</xdr:row>
      <xdr:rowOff>51953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68</xdr:col>
      <xdr:colOff>17318</xdr:colOff>
      <xdr:row>191</xdr:row>
      <xdr:rowOff>17318</xdr:rowOff>
    </xdr:from>
    <xdr:to>
      <xdr:col>74</xdr:col>
      <xdr:colOff>0</xdr:colOff>
      <xdr:row>202</xdr:row>
      <xdr:rowOff>173181</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68</xdr:col>
      <xdr:colOff>0</xdr:colOff>
      <xdr:row>218</xdr:row>
      <xdr:rowOff>86592</xdr:rowOff>
    </xdr:from>
    <xdr:to>
      <xdr:col>74</xdr:col>
      <xdr:colOff>0</xdr:colOff>
      <xdr:row>230</xdr:row>
      <xdr:rowOff>95250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62</xdr:col>
      <xdr:colOff>190500</xdr:colOff>
      <xdr:row>256</xdr:row>
      <xdr:rowOff>127000</xdr:rowOff>
    </xdr:from>
    <xdr:to>
      <xdr:col>71</xdr:col>
      <xdr:colOff>127000</xdr:colOff>
      <xdr:row>275</xdr:row>
      <xdr:rowOff>85989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288</xdr:row>
      <xdr:rowOff>51955</xdr:rowOff>
    </xdr:from>
    <xdr:to>
      <xdr:col>9</xdr:col>
      <xdr:colOff>121227</xdr:colOff>
      <xdr:row>308</xdr:row>
      <xdr:rowOff>103717</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63</xdr:col>
      <xdr:colOff>47625</xdr:colOff>
      <xdr:row>288</xdr:row>
      <xdr:rowOff>95249</xdr:rowOff>
    </xdr:from>
    <xdr:to>
      <xdr:col>71</xdr:col>
      <xdr:colOff>119062</xdr:colOff>
      <xdr:row>308</xdr:row>
      <xdr:rowOff>142874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68</xdr:col>
      <xdr:colOff>96982</xdr:colOff>
      <xdr:row>29</xdr:row>
      <xdr:rowOff>166254</xdr:rowOff>
    </xdr:from>
    <xdr:to>
      <xdr:col>73</xdr:col>
      <xdr:colOff>2019300</xdr:colOff>
      <xdr:row>42</xdr:row>
      <xdr:rowOff>114299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122</xdr:col>
      <xdr:colOff>604837</xdr:colOff>
      <xdr:row>29</xdr:row>
      <xdr:rowOff>109538</xdr:rowOff>
    </xdr:from>
    <xdr:to>
      <xdr:col>128</xdr:col>
      <xdr:colOff>906461</xdr:colOff>
      <xdr:row>42</xdr:row>
      <xdr:rowOff>204787</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342900</xdr:colOff>
      <xdr:row>55</xdr:row>
      <xdr:rowOff>143597</xdr:rowOff>
    </xdr:from>
    <xdr:to>
      <xdr:col>43</xdr:col>
      <xdr:colOff>1295400</xdr:colOff>
      <xdr:row>68</xdr:row>
      <xdr:rowOff>69272</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304800</xdr:colOff>
      <xdr:row>83</xdr:row>
      <xdr:rowOff>56281</xdr:rowOff>
    </xdr:from>
    <xdr:to>
      <xdr:col>43</xdr:col>
      <xdr:colOff>1257300</xdr:colOff>
      <xdr:row>95</xdr:row>
      <xdr:rowOff>51955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266700</xdr:colOff>
      <xdr:row>110</xdr:row>
      <xdr:rowOff>12412</xdr:rowOff>
    </xdr:from>
    <xdr:to>
      <xdr:col>43</xdr:col>
      <xdr:colOff>1333500</xdr:colOff>
      <xdr:row>121</xdr:row>
      <xdr:rowOff>169718</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38100</xdr:colOff>
      <xdr:row>137</xdr:row>
      <xdr:rowOff>186170</xdr:rowOff>
    </xdr:from>
    <xdr:to>
      <xdr:col>43</xdr:col>
      <xdr:colOff>1409700</xdr:colOff>
      <xdr:row>149</xdr:row>
      <xdr:rowOff>121227</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266700</xdr:colOff>
      <xdr:row>163</xdr:row>
      <xdr:rowOff>180972</xdr:rowOff>
    </xdr:from>
    <xdr:to>
      <xdr:col>43</xdr:col>
      <xdr:colOff>1409700</xdr:colOff>
      <xdr:row>177</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360218</xdr:colOff>
      <xdr:row>191</xdr:row>
      <xdr:rowOff>17318</xdr:rowOff>
    </xdr:from>
    <xdr:to>
      <xdr:col>43</xdr:col>
      <xdr:colOff>1447800</xdr:colOff>
      <xdr:row>202</xdr:row>
      <xdr:rowOff>173181</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266700</xdr:colOff>
      <xdr:row>218</xdr:row>
      <xdr:rowOff>86592</xdr:rowOff>
    </xdr:from>
    <xdr:to>
      <xdr:col>43</xdr:col>
      <xdr:colOff>1371600</xdr:colOff>
      <xdr:row>230</xdr:row>
      <xdr:rowOff>95250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190500</xdr:colOff>
      <xdr:row>256</xdr:row>
      <xdr:rowOff>127000</xdr:rowOff>
    </xdr:from>
    <xdr:to>
      <xdr:col>41</xdr:col>
      <xdr:colOff>127000</xdr:colOff>
      <xdr:row>275</xdr:row>
      <xdr:rowOff>85989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47625</xdr:colOff>
      <xdr:row>288</xdr:row>
      <xdr:rowOff>95249</xdr:rowOff>
    </xdr:from>
    <xdr:to>
      <xdr:col>41</xdr:col>
      <xdr:colOff>119062</xdr:colOff>
      <xdr:row>308</xdr:row>
      <xdr:rowOff>142874</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37</xdr:col>
      <xdr:colOff>228600</xdr:colOff>
      <xdr:row>30</xdr:row>
      <xdr:rowOff>51954</xdr:rowOff>
    </xdr:from>
    <xdr:to>
      <xdr:col>43</xdr:col>
      <xdr:colOff>1257300</xdr:colOff>
      <xdr:row>42</xdr:row>
      <xdr:rowOff>190499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52</xdr:col>
      <xdr:colOff>103908</xdr:colOff>
      <xdr:row>55</xdr:row>
      <xdr:rowOff>143597</xdr:rowOff>
    </xdr:from>
    <xdr:to>
      <xdr:col>58</xdr:col>
      <xdr:colOff>1219200</xdr:colOff>
      <xdr:row>68</xdr:row>
      <xdr:rowOff>69272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52</xdr:col>
      <xdr:colOff>225136</xdr:colOff>
      <xdr:row>83</xdr:row>
      <xdr:rowOff>56281</xdr:rowOff>
    </xdr:from>
    <xdr:to>
      <xdr:col>58</xdr:col>
      <xdr:colOff>1295400</xdr:colOff>
      <xdr:row>95</xdr:row>
      <xdr:rowOff>51955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52</xdr:col>
      <xdr:colOff>207817</xdr:colOff>
      <xdr:row>110</xdr:row>
      <xdr:rowOff>126712</xdr:rowOff>
    </xdr:from>
    <xdr:to>
      <xdr:col>58</xdr:col>
      <xdr:colOff>1409700</xdr:colOff>
      <xdr:row>122</xdr:row>
      <xdr:rowOff>93518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52</xdr:col>
      <xdr:colOff>166256</xdr:colOff>
      <xdr:row>137</xdr:row>
      <xdr:rowOff>186170</xdr:rowOff>
    </xdr:from>
    <xdr:to>
      <xdr:col>58</xdr:col>
      <xdr:colOff>1333500</xdr:colOff>
      <xdr:row>149</xdr:row>
      <xdr:rowOff>121227</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52</xdr:col>
      <xdr:colOff>187037</xdr:colOff>
      <xdr:row>163</xdr:row>
      <xdr:rowOff>152397</xdr:rowOff>
    </xdr:from>
    <xdr:to>
      <xdr:col>58</xdr:col>
      <xdr:colOff>1371600</xdr:colOff>
      <xdr:row>176</xdr:row>
      <xdr:rowOff>152400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52</xdr:col>
      <xdr:colOff>169718</xdr:colOff>
      <xdr:row>191</xdr:row>
      <xdr:rowOff>17318</xdr:rowOff>
    </xdr:from>
    <xdr:to>
      <xdr:col>58</xdr:col>
      <xdr:colOff>1257300</xdr:colOff>
      <xdr:row>202</xdr:row>
      <xdr:rowOff>173181</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52</xdr:col>
      <xdr:colOff>58881</xdr:colOff>
      <xdr:row>218</xdr:row>
      <xdr:rowOff>48492</xdr:rowOff>
    </xdr:from>
    <xdr:to>
      <xdr:col>58</xdr:col>
      <xdr:colOff>1295400</xdr:colOff>
      <xdr:row>230</xdr:row>
      <xdr:rowOff>57150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47</xdr:col>
      <xdr:colOff>190500</xdr:colOff>
      <xdr:row>256</xdr:row>
      <xdr:rowOff>127000</xdr:rowOff>
    </xdr:from>
    <xdr:to>
      <xdr:col>56</xdr:col>
      <xdr:colOff>127000</xdr:colOff>
      <xdr:row>275</xdr:row>
      <xdr:rowOff>85989</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48</xdr:col>
      <xdr:colOff>47625</xdr:colOff>
      <xdr:row>288</xdr:row>
      <xdr:rowOff>95249</xdr:rowOff>
    </xdr:from>
    <xdr:to>
      <xdr:col>56</xdr:col>
      <xdr:colOff>119062</xdr:colOff>
      <xdr:row>308</xdr:row>
      <xdr:rowOff>142874</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51</xdr:col>
      <xdr:colOff>1601932</xdr:colOff>
      <xdr:row>30</xdr:row>
      <xdr:rowOff>28141</xdr:rowOff>
    </xdr:from>
    <xdr:to>
      <xdr:col>58</xdr:col>
      <xdr:colOff>1404937</xdr:colOff>
      <xdr:row>42</xdr:row>
      <xdr:rowOff>166686</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123</xdr:col>
      <xdr:colOff>38100</xdr:colOff>
      <xdr:row>54</xdr:row>
      <xdr:rowOff>152400</xdr:rowOff>
    </xdr:from>
    <xdr:to>
      <xdr:col>128</xdr:col>
      <xdr:colOff>2029692</xdr:colOff>
      <xdr:row>67</xdr:row>
      <xdr:rowOff>78075</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123</xdr:col>
      <xdr:colOff>0</xdr:colOff>
      <xdr:row>84</xdr:row>
      <xdr:rowOff>0</xdr:rowOff>
    </xdr:from>
    <xdr:to>
      <xdr:col>128</xdr:col>
      <xdr:colOff>1070264</xdr:colOff>
      <xdr:row>96</xdr:row>
      <xdr:rowOff>186174</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123</xdr:col>
      <xdr:colOff>47625</xdr:colOff>
      <xdr:row>110</xdr:row>
      <xdr:rowOff>38100</xdr:rowOff>
    </xdr:from>
    <xdr:to>
      <xdr:col>128</xdr:col>
      <xdr:colOff>1087583</xdr:colOff>
      <xdr:row>122</xdr:row>
      <xdr:rowOff>71437</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122</xdr:col>
      <xdr:colOff>1428750</xdr:colOff>
      <xdr:row>137</xdr:row>
      <xdr:rowOff>304801</xdr:rowOff>
    </xdr:from>
    <xdr:to>
      <xdr:col>128</xdr:col>
      <xdr:colOff>843394</xdr:colOff>
      <xdr:row>150</xdr:row>
      <xdr:rowOff>1</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123</xdr:col>
      <xdr:colOff>0</xdr:colOff>
      <xdr:row>164</xdr:row>
      <xdr:rowOff>0</xdr:rowOff>
    </xdr:from>
    <xdr:to>
      <xdr:col>128</xdr:col>
      <xdr:colOff>1117888</xdr:colOff>
      <xdr:row>177</xdr:row>
      <xdr:rowOff>9528</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123</xdr:col>
      <xdr:colOff>0</xdr:colOff>
      <xdr:row>191</xdr:row>
      <xdr:rowOff>0</xdr:rowOff>
    </xdr:from>
    <xdr:to>
      <xdr:col>128</xdr:col>
      <xdr:colOff>1087582</xdr:colOff>
      <xdr:row>202</xdr:row>
      <xdr:rowOff>155863</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123</xdr:col>
      <xdr:colOff>0</xdr:colOff>
      <xdr:row>218</xdr:row>
      <xdr:rowOff>0</xdr:rowOff>
    </xdr:from>
    <xdr:to>
      <xdr:col>128</xdr:col>
      <xdr:colOff>1160319</xdr:colOff>
      <xdr:row>230</xdr:row>
      <xdr:rowOff>8658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23</xdr:col>
      <xdr:colOff>3895</xdr:colOff>
      <xdr:row>56</xdr:row>
      <xdr:rowOff>24535</xdr:rowOff>
    </xdr:from>
    <xdr:to>
      <xdr:col>29</xdr:col>
      <xdr:colOff>0</xdr:colOff>
      <xdr:row>68</xdr:row>
      <xdr:rowOff>140710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23</xdr:col>
      <xdr:colOff>34636</xdr:colOff>
      <xdr:row>83</xdr:row>
      <xdr:rowOff>56281</xdr:rowOff>
    </xdr:from>
    <xdr:to>
      <xdr:col>29</xdr:col>
      <xdr:colOff>0</xdr:colOff>
      <xdr:row>95</xdr:row>
      <xdr:rowOff>51955</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22</xdr:col>
      <xdr:colOff>398317</xdr:colOff>
      <xdr:row>110</xdr:row>
      <xdr:rowOff>50512</xdr:rowOff>
    </xdr:from>
    <xdr:to>
      <xdr:col>29</xdr:col>
      <xdr:colOff>0</xdr:colOff>
      <xdr:row>122</xdr:row>
      <xdr:rowOff>17318</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22</xdr:col>
      <xdr:colOff>432956</xdr:colOff>
      <xdr:row>137</xdr:row>
      <xdr:rowOff>186170</xdr:rowOff>
    </xdr:from>
    <xdr:to>
      <xdr:col>29</xdr:col>
      <xdr:colOff>0</xdr:colOff>
      <xdr:row>149</xdr:row>
      <xdr:rowOff>121227</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22</xdr:col>
      <xdr:colOff>415637</xdr:colOff>
      <xdr:row>163</xdr:row>
      <xdr:rowOff>190497</xdr:rowOff>
    </xdr:from>
    <xdr:to>
      <xdr:col>29</xdr:col>
      <xdr:colOff>0</xdr:colOff>
      <xdr:row>177</xdr:row>
      <xdr:rowOff>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23</xdr:col>
      <xdr:colOff>17318</xdr:colOff>
      <xdr:row>191</xdr:row>
      <xdr:rowOff>17318</xdr:rowOff>
    </xdr:from>
    <xdr:to>
      <xdr:col>29</xdr:col>
      <xdr:colOff>0</xdr:colOff>
      <xdr:row>202</xdr:row>
      <xdr:rowOff>173181</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22</xdr:col>
      <xdr:colOff>363681</xdr:colOff>
      <xdr:row>218</xdr:row>
      <xdr:rowOff>86592</xdr:rowOff>
    </xdr:from>
    <xdr:to>
      <xdr:col>29</xdr:col>
      <xdr:colOff>0</xdr:colOff>
      <xdr:row>230</xdr:row>
      <xdr:rowOff>95250</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17</xdr:col>
      <xdr:colOff>190500</xdr:colOff>
      <xdr:row>256</xdr:row>
      <xdr:rowOff>127000</xdr:rowOff>
    </xdr:from>
    <xdr:to>
      <xdr:col>26</xdr:col>
      <xdr:colOff>127000</xdr:colOff>
      <xdr:row>275</xdr:row>
      <xdr:rowOff>85989</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18</xdr:col>
      <xdr:colOff>47625</xdr:colOff>
      <xdr:row>288</xdr:row>
      <xdr:rowOff>95249</xdr:rowOff>
    </xdr:from>
    <xdr:to>
      <xdr:col>26</xdr:col>
      <xdr:colOff>119062</xdr:colOff>
      <xdr:row>308</xdr:row>
      <xdr:rowOff>142874</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22</xdr:col>
      <xdr:colOff>173181</xdr:colOff>
      <xdr:row>30</xdr:row>
      <xdr:rowOff>63500</xdr:rowOff>
    </xdr:from>
    <xdr:to>
      <xdr:col>28</xdr:col>
      <xdr:colOff>1238249</xdr:colOff>
      <xdr:row>42</xdr:row>
      <xdr:rowOff>190499</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114</xdr:col>
      <xdr:colOff>64595</xdr:colOff>
      <xdr:row>255</xdr:row>
      <xdr:rowOff>22679</xdr:rowOff>
    </xdr:from>
    <xdr:to>
      <xdr:col>121</xdr:col>
      <xdr:colOff>1056822</xdr:colOff>
      <xdr:row>274</xdr:row>
      <xdr:rowOff>100015</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118</xdr:col>
      <xdr:colOff>0</xdr:colOff>
      <xdr:row>288</xdr:row>
      <xdr:rowOff>51955</xdr:rowOff>
    </xdr:from>
    <xdr:to>
      <xdr:col>126</xdr:col>
      <xdr:colOff>121227</xdr:colOff>
      <xdr:row>308</xdr:row>
      <xdr:rowOff>103717</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2.docx"/><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3.emf"/></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60:E110"/>
  <sheetViews>
    <sheetView tabSelected="1" zoomScale="75" zoomScaleNormal="75" workbookViewId="0">
      <selection activeCell="B110" sqref="B110"/>
    </sheetView>
  </sheetViews>
  <sheetFormatPr defaultColWidth="9" defaultRowHeight="13.8" x14ac:dyDescent="0.25"/>
  <cols>
    <col min="1" max="1" width="2.3984375" style="2" customWidth="1"/>
    <col min="2" max="2" width="10.19921875" style="2" customWidth="1"/>
    <col min="3" max="3" width="10.09765625" style="282" customWidth="1"/>
    <col min="4" max="4" width="109.69921875" style="2" customWidth="1"/>
    <col min="5" max="5" width="47.5" style="2" customWidth="1"/>
    <col min="6" max="16384" width="9" style="2"/>
  </cols>
  <sheetData>
    <row r="60" spans="2:5" ht="14.4" thickBot="1" x14ac:dyDescent="0.3"/>
    <row r="61" spans="2:5" s="7" customFormat="1" x14ac:dyDescent="0.25">
      <c r="B61" s="438" t="s">
        <v>574</v>
      </c>
      <c r="C61" s="440" t="s">
        <v>575</v>
      </c>
      <c r="D61" s="442" t="s">
        <v>576</v>
      </c>
      <c r="E61" s="444" t="s">
        <v>644</v>
      </c>
    </row>
    <row r="62" spans="2:5" s="7" customFormat="1" ht="28.5" customHeight="1" thickBot="1" x14ac:dyDescent="0.3">
      <c r="B62" s="439"/>
      <c r="C62" s="441"/>
      <c r="D62" s="443"/>
      <c r="E62" s="445"/>
    </row>
    <row r="63" spans="2:5" ht="14.4" thickBot="1" x14ac:dyDescent="0.3">
      <c r="B63" s="292" t="s">
        <v>577</v>
      </c>
      <c r="C63" s="293" t="s">
        <v>578</v>
      </c>
      <c r="D63" s="294" t="s">
        <v>579</v>
      </c>
      <c r="E63" s="294" t="s">
        <v>645</v>
      </c>
    </row>
    <row r="64" spans="2:5" ht="14.4" thickBot="1" x14ac:dyDescent="0.3">
      <c r="B64" s="295" t="s">
        <v>577</v>
      </c>
      <c r="C64" s="296" t="s">
        <v>580</v>
      </c>
      <c r="D64" s="297" t="s">
        <v>581</v>
      </c>
      <c r="E64" s="297" t="s">
        <v>645</v>
      </c>
    </row>
    <row r="65" spans="2:5" ht="14.4" thickBot="1" x14ac:dyDescent="0.3">
      <c r="B65" s="292" t="s">
        <v>577</v>
      </c>
      <c r="C65" s="293" t="s">
        <v>582</v>
      </c>
      <c r="D65" s="294" t="s">
        <v>583</v>
      </c>
      <c r="E65" s="294" t="s">
        <v>645</v>
      </c>
    </row>
    <row r="66" spans="2:5" ht="14.4" thickBot="1" x14ac:dyDescent="0.3">
      <c r="B66" s="295" t="s">
        <v>577</v>
      </c>
      <c r="C66" s="296" t="s">
        <v>584</v>
      </c>
      <c r="D66" s="297" t="s">
        <v>585</v>
      </c>
      <c r="E66" s="297" t="s">
        <v>645</v>
      </c>
    </row>
    <row r="67" spans="2:5" ht="32.25" customHeight="1" thickBot="1" x14ac:dyDescent="0.3">
      <c r="B67" s="292" t="s">
        <v>577</v>
      </c>
      <c r="C67" s="293" t="s">
        <v>586</v>
      </c>
      <c r="D67" s="294" t="s">
        <v>587</v>
      </c>
      <c r="E67" s="294" t="s">
        <v>645</v>
      </c>
    </row>
    <row r="68" spans="2:5" ht="14.4" thickBot="1" x14ac:dyDescent="0.3">
      <c r="B68" s="295" t="s">
        <v>577</v>
      </c>
      <c r="C68" s="296" t="s">
        <v>588</v>
      </c>
      <c r="D68" s="297" t="s">
        <v>589</v>
      </c>
      <c r="E68" s="297" t="s">
        <v>645</v>
      </c>
    </row>
    <row r="69" spans="2:5" ht="28.2" thickBot="1" x14ac:dyDescent="0.3">
      <c r="B69" s="292" t="s">
        <v>590</v>
      </c>
      <c r="C69" s="293" t="s">
        <v>335</v>
      </c>
      <c r="D69" s="294" t="s">
        <v>591</v>
      </c>
      <c r="E69" s="294" t="s">
        <v>646</v>
      </c>
    </row>
    <row r="70" spans="2:5" ht="28.2" thickBot="1" x14ac:dyDescent="0.3">
      <c r="B70" s="295" t="s">
        <v>590</v>
      </c>
      <c r="C70" s="296" t="s">
        <v>592</v>
      </c>
      <c r="D70" s="297" t="s">
        <v>593</v>
      </c>
      <c r="E70" s="297" t="s">
        <v>646</v>
      </c>
    </row>
    <row r="71" spans="2:5" ht="28.2" thickBot="1" x14ac:dyDescent="0.3">
      <c r="B71" s="292" t="s">
        <v>590</v>
      </c>
      <c r="C71" s="293">
        <v>11</v>
      </c>
      <c r="D71" s="294" t="s">
        <v>594</v>
      </c>
      <c r="E71" s="294" t="s">
        <v>647</v>
      </c>
    </row>
    <row r="72" spans="2:5" ht="28.2" thickBot="1" x14ac:dyDescent="0.3">
      <c r="B72" s="295" t="s">
        <v>590</v>
      </c>
      <c r="C72" s="296" t="s">
        <v>595</v>
      </c>
      <c r="D72" s="297" t="s">
        <v>596</v>
      </c>
      <c r="E72" s="297" t="s">
        <v>646</v>
      </c>
    </row>
    <row r="73" spans="2:5" ht="28.2" thickBot="1" x14ac:dyDescent="0.3">
      <c r="B73" s="292" t="s">
        <v>590</v>
      </c>
      <c r="C73" s="293" t="s">
        <v>597</v>
      </c>
      <c r="D73" s="294" t="s">
        <v>598</v>
      </c>
      <c r="E73" s="294" t="s">
        <v>646</v>
      </c>
    </row>
    <row r="74" spans="2:5" ht="28.2" thickBot="1" x14ac:dyDescent="0.3">
      <c r="B74" s="295" t="s">
        <v>590</v>
      </c>
      <c r="C74" s="296" t="s">
        <v>599</v>
      </c>
      <c r="D74" s="297" t="s">
        <v>600</v>
      </c>
      <c r="E74" s="297" t="s">
        <v>647</v>
      </c>
    </row>
    <row r="75" spans="2:5" ht="28.2" thickBot="1" x14ac:dyDescent="0.3">
      <c r="B75" s="292" t="s">
        <v>590</v>
      </c>
      <c r="C75" s="293" t="s">
        <v>601</v>
      </c>
      <c r="D75" s="294" t="s">
        <v>602</v>
      </c>
      <c r="E75" s="298" t="s">
        <v>648</v>
      </c>
    </row>
    <row r="76" spans="2:5" ht="28.2" thickBot="1" x14ac:dyDescent="0.3">
      <c r="B76" s="295" t="s">
        <v>590</v>
      </c>
      <c r="C76" s="296" t="s">
        <v>603</v>
      </c>
      <c r="D76" s="297" t="s">
        <v>604</v>
      </c>
      <c r="E76" s="299" t="s">
        <v>649</v>
      </c>
    </row>
    <row r="77" spans="2:5" ht="28.2" thickBot="1" x14ac:dyDescent="0.3">
      <c r="B77" s="292" t="s">
        <v>590</v>
      </c>
      <c r="C77" s="293" t="s">
        <v>605</v>
      </c>
      <c r="D77" s="294" t="s">
        <v>606</v>
      </c>
      <c r="E77" s="298" t="s">
        <v>649</v>
      </c>
    </row>
    <row r="78" spans="2:5" ht="28.2" thickBot="1" x14ac:dyDescent="0.3">
      <c r="B78" s="295" t="s">
        <v>590</v>
      </c>
      <c r="C78" s="296" t="s">
        <v>607</v>
      </c>
      <c r="D78" s="297" t="s">
        <v>608</v>
      </c>
      <c r="E78" s="299" t="s">
        <v>649</v>
      </c>
    </row>
    <row r="79" spans="2:5" ht="28.2" thickBot="1" x14ac:dyDescent="0.3">
      <c r="B79" s="292" t="s">
        <v>590</v>
      </c>
      <c r="C79" s="293" t="s">
        <v>609</v>
      </c>
      <c r="D79" s="294" t="s">
        <v>610</v>
      </c>
      <c r="E79" s="298" t="s">
        <v>649</v>
      </c>
    </row>
    <row r="80" spans="2:5" ht="28.2" thickBot="1" x14ac:dyDescent="0.3">
      <c r="B80" s="295" t="s">
        <v>590</v>
      </c>
      <c r="C80" s="296" t="s">
        <v>611</v>
      </c>
      <c r="D80" s="297" t="s">
        <v>612</v>
      </c>
      <c r="E80" s="299" t="s">
        <v>649</v>
      </c>
    </row>
    <row r="81" spans="2:5" ht="28.2" thickBot="1" x14ac:dyDescent="0.3">
      <c r="B81" s="292" t="s">
        <v>590</v>
      </c>
      <c r="C81" s="293" t="s">
        <v>613</v>
      </c>
      <c r="D81" s="294" t="s">
        <v>614</v>
      </c>
      <c r="E81" s="298" t="s">
        <v>649</v>
      </c>
    </row>
    <row r="82" spans="2:5" ht="28.2" thickBot="1" x14ac:dyDescent="0.3">
      <c r="B82" s="295" t="s">
        <v>590</v>
      </c>
      <c r="C82" s="296" t="s">
        <v>615</v>
      </c>
      <c r="D82" s="297" t="s">
        <v>616</v>
      </c>
      <c r="E82" s="297" t="s">
        <v>650</v>
      </c>
    </row>
    <row r="83" spans="2:5" ht="28.2" thickBot="1" x14ac:dyDescent="0.3">
      <c r="B83" s="292" t="s">
        <v>617</v>
      </c>
      <c r="C83" s="293" t="s">
        <v>618</v>
      </c>
      <c r="D83" s="294" t="s">
        <v>619</v>
      </c>
      <c r="E83" s="298" t="s">
        <v>651</v>
      </c>
    </row>
    <row r="84" spans="2:5" ht="28.2" thickBot="1" x14ac:dyDescent="0.3">
      <c r="B84" s="295" t="s">
        <v>617</v>
      </c>
      <c r="C84" s="296" t="s">
        <v>620</v>
      </c>
      <c r="D84" s="297" t="s">
        <v>621</v>
      </c>
      <c r="E84" s="299" t="s">
        <v>651</v>
      </c>
    </row>
    <row r="85" spans="2:5" ht="28.2" thickBot="1" x14ac:dyDescent="0.3">
      <c r="B85" s="292" t="s">
        <v>617</v>
      </c>
      <c r="C85" s="293">
        <v>19</v>
      </c>
      <c r="D85" s="294" t="s">
        <v>622</v>
      </c>
      <c r="E85" s="298" t="s">
        <v>652</v>
      </c>
    </row>
    <row r="86" spans="2:5" ht="28.2" thickBot="1" x14ac:dyDescent="0.3">
      <c r="B86" s="295" t="s">
        <v>617</v>
      </c>
      <c r="C86" s="296">
        <v>20</v>
      </c>
      <c r="D86" s="297" t="s">
        <v>623</v>
      </c>
      <c r="E86" s="299" t="s">
        <v>652</v>
      </c>
    </row>
    <row r="87" spans="2:5" ht="28.2" thickBot="1" x14ac:dyDescent="0.3">
      <c r="B87" s="292" t="s">
        <v>617</v>
      </c>
      <c r="C87" s="293">
        <v>21</v>
      </c>
      <c r="D87" s="294" t="s">
        <v>624</v>
      </c>
      <c r="E87" s="298" t="s">
        <v>652</v>
      </c>
    </row>
    <row r="88" spans="2:5" ht="28.2" thickBot="1" x14ac:dyDescent="0.3">
      <c r="B88" s="295" t="s">
        <v>617</v>
      </c>
      <c r="C88" s="296" t="s">
        <v>625</v>
      </c>
      <c r="D88" s="297" t="s">
        <v>626</v>
      </c>
      <c r="E88" s="299" t="s">
        <v>653</v>
      </c>
    </row>
    <row r="89" spans="2:5" ht="28.2" thickBot="1" x14ac:dyDescent="0.3">
      <c r="B89" s="292" t="s">
        <v>617</v>
      </c>
      <c r="C89" s="293" t="s">
        <v>627</v>
      </c>
      <c r="D89" s="294" t="s">
        <v>628</v>
      </c>
      <c r="E89" s="298" t="s">
        <v>653</v>
      </c>
    </row>
    <row r="90" spans="2:5" ht="28.2" thickBot="1" x14ac:dyDescent="0.3">
      <c r="B90" s="295" t="s">
        <v>617</v>
      </c>
      <c r="C90" s="296" t="s">
        <v>629</v>
      </c>
      <c r="D90" s="297" t="s">
        <v>630</v>
      </c>
      <c r="E90" s="299" t="s">
        <v>654</v>
      </c>
    </row>
    <row r="91" spans="2:5" ht="28.2" thickBot="1" x14ac:dyDescent="0.3">
      <c r="B91" s="292" t="s">
        <v>617</v>
      </c>
      <c r="C91" s="293" t="s">
        <v>631</v>
      </c>
      <c r="D91" s="294" t="s">
        <v>632</v>
      </c>
      <c r="E91" s="298" t="s">
        <v>654</v>
      </c>
    </row>
    <row r="92" spans="2:5" ht="28.2" thickBot="1" x14ac:dyDescent="0.3">
      <c r="B92" s="295" t="s">
        <v>617</v>
      </c>
      <c r="C92" s="296" t="s">
        <v>633</v>
      </c>
      <c r="D92" s="297" t="s">
        <v>634</v>
      </c>
      <c r="E92" s="299" t="s">
        <v>653</v>
      </c>
    </row>
    <row r="93" spans="2:5" ht="28.2" thickBot="1" x14ac:dyDescent="0.3">
      <c r="B93" s="292" t="s">
        <v>617</v>
      </c>
      <c r="C93" s="293" t="s">
        <v>635</v>
      </c>
      <c r="D93" s="294" t="s">
        <v>636</v>
      </c>
      <c r="E93" s="298" t="s">
        <v>653</v>
      </c>
    </row>
    <row r="94" spans="2:5" ht="28.2" thickBot="1" x14ac:dyDescent="0.3">
      <c r="B94" s="295" t="s">
        <v>617</v>
      </c>
      <c r="C94" s="296" t="s">
        <v>637</v>
      </c>
      <c r="D94" s="297" t="s">
        <v>638</v>
      </c>
      <c r="E94" s="299" t="s">
        <v>654</v>
      </c>
    </row>
    <row r="95" spans="2:5" ht="28.2" thickBot="1" x14ac:dyDescent="0.3">
      <c r="B95" s="292" t="s">
        <v>617</v>
      </c>
      <c r="C95" s="293" t="s">
        <v>639</v>
      </c>
      <c r="D95" s="294" t="s">
        <v>640</v>
      </c>
      <c r="E95" s="298" t="s">
        <v>654</v>
      </c>
    </row>
    <row r="96" spans="2:5" ht="28.2" thickBot="1" x14ac:dyDescent="0.3">
      <c r="B96" s="295" t="s">
        <v>641</v>
      </c>
      <c r="C96" s="296">
        <v>26</v>
      </c>
      <c r="D96" s="297" t="s">
        <v>446</v>
      </c>
      <c r="E96" s="299" t="s">
        <v>655</v>
      </c>
    </row>
    <row r="97" spans="2:5" ht="14.4" thickBot="1" x14ac:dyDescent="0.3">
      <c r="B97" s="292" t="s">
        <v>641</v>
      </c>
      <c r="C97" s="293" t="s">
        <v>378</v>
      </c>
      <c r="D97" s="294" t="s">
        <v>568</v>
      </c>
      <c r="E97" s="298" t="s">
        <v>656</v>
      </c>
    </row>
    <row r="98" spans="2:5" ht="14.4" thickBot="1" x14ac:dyDescent="0.3">
      <c r="B98" s="295" t="s">
        <v>641</v>
      </c>
      <c r="C98" s="296" t="s">
        <v>379</v>
      </c>
      <c r="D98" s="297" t="s">
        <v>569</v>
      </c>
      <c r="E98" s="299" t="s">
        <v>656</v>
      </c>
    </row>
    <row r="99" spans="2:5" ht="14.4" thickBot="1" x14ac:dyDescent="0.3">
      <c r="B99" s="292" t="s">
        <v>641</v>
      </c>
      <c r="C99" s="293" t="s">
        <v>380</v>
      </c>
      <c r="D99" s="294" t="s">
        <v>570</v>
      </c>
      <c r="E99" s="298" t="s">
        <v>656</v>
      </c>
    </row>
    <row r="100" spans="2:5" ht="14.4" thickBot="1" x14ac:dyDescent="0.3">
      <c r="B100" s="295" t="s">
        <v>641</v>
      </c>
      <c r="C100" s="296" t="s">
        <v>381</v>
      </c>
      <c r="D100" s="297" t="s">
        <v>571</v>
      </c>
      <c r="E100" s="299" t="s">
        <v>656</v>
      </c>
    </row>
    <row r="102" spans="2:5" ht="22.8" x14ac:dyDescent="0.4">
      <c r="B102" s="344" t="s">
        <v>740</v>
      </c>
    </row>
    <row r="103" spans="2:5" ht="14.4" thickBot="1" x14ac:dyDescent="0.3"/>
    <row r="104" spans="2:5" ht="14.25" customHeight="1" x14ac:dyDescent="0.25">
      <c r="B104" s="438" t="s">
        <v>743</v>
      </c>
      <c r="C104" s="440" t="s">
        <v>741</v>
      </c>
      <c r="D104" s="440" t="s">
        <v>742</v>
      </c>
      <c r="E104" s="446"/>
    </row>
    <row r="105" spans="2:5" ht="15" customHeight="1" thickBot="1" x14ac:dyDescent="0.3">
      <c r="B105" s="439"/>
      <c r="C105" s="441"/>
      <c r="D105" s="441"/>
      <c r="E105" s="447"/>
    </row>
    <row r="106" spans="2:5" ht="15" thickBot="1" x14ac:dyDescent="0.3">
      <c r="B106" s="347">
        <v>0</v>
      </c>
      <c r="C106" s="348" t="s">
        <v>744</v>
      </c>
      <c r="D106" s="432" t="s">
        <v>745</v>
      </c>
      <c r="E106" s="433"/>
    </row>
    <row r="107" spans="2:5" ht="15" thickBot="1" x14ac:dyDescent="0.3">
      <c r="B107" s="349">
        <v>1</v>
      </c>
      <c r="C107" s="350" t="s">
        <v>746</v>
      </c>
      <c r="D107" s="434" t="s">
        <v>747</v>
      </c>
      <c r="E107" s="435"/>
    </row>
    <row r="108" spans="2:5" ht="15" thickBot="1" x14ac:dyDescent="0.3">
      <c r="B108" s="347">
        <v>1.1000000000000001</v>
      </c>
      <c r="C108" s="348" t="s">
        <v>748</v>
      </c>
      <c r="D108" s="436" t="s">
        <v>749</v>
      </c>
      <c r="E108" s="437"/>
    </row>
    <row r="109" spans="2:5" ht="15" thickBot="1" x14ac:dyDescent="0.3">
      <c r="B109" s="349">
        <v>2</v>
      </c>
      <c r="C109" s="350" t="s">
        <v>750</v>
      </c>
      <c r="D109" s="430" t="s">
        <v>751</v>
      </c>
      <c r="E109" s="431"/>
    </row>
    <row r="110" spans="2:5" ht="15" thickBot="1" x14ac:dyDescent="0.3">
      <c r="B110" s="349">
        <v>2.1</v>
      </c>
      <c r="C110" s="350" t="s">
        <v>773</v>
      </c>
      <c r="D110" s="430" t="s">
        <v>774</v>
      </c>
      <c r="E110" s="431"/>
    </row>
  </sheetData>
  <mergeCells count="12">
    <mergeCell ref="B61:B62"/>
    <mergeCell ref="C61:C62"/>
    <mergeCell ref="D61:D62"/>
    <mergeCell ref="E61:E62"/>
    <mergeCell ref="B104:B105"/>
    <mergeCell ref="C104:C105"/>
    <mergeCell ref="D104:E105"/>
    <mergeCell ref="D110:E110"/>
    <mergeCell ref="D106:E106"/>
    <mergeCell ref="D107:E107"/>
    <mergeCell ref="D108:E108"/>
    <mergeCell ref="D109:E109"/>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23556" r:id="rId4">
          <objectPr defaultSize="0" r:id="rId5">
            <anchor moveWithCells="1">
              <from>
                <xdr:col>0</xdr:col>
                <xdr:colOff>0</xdr:colOff>
                <xdr:row>0</xdr:row>
                <xdr:rowOff>0</xdr:rowOff>
              </from>
              <to>
                <xdr:col>3</xdr:col>
                <xdr:colOff>7200900</xdr:colOff>
                <xdr:row>30</xdr:row>
                <xdr:rowOff>121920</xdr:rowOff>
              </to>
            </anchor>
          </objectPr>
        </oleObject>
      </mc:Choice>
      <mc:Fallback>
        <oleObject progId="Word.Document.12" shapeId="23556" r:id="rId4"/>
      </mc:Fallback>
    </mc:AlternateContent>
    <mc:AlternateContent xmlns:mc="http://schemas.openxmlformats.org/markup-compatibility/2006">
      <mc:Choice Requires="x14">
        <oleObject progId="Word.Document.12" shapeId="23557" r:id="rId6">
          <objectPr defaultSize="0" r:id="rId7">
            <anchor moveWithCells="1">
              <from>
                <xdr:col>0</xdr:col>
                <xdr:colOff>76200</xdr:colOff>
                <xdr:row>30</xdr:row>
                <xdr:rowOff>160020</xdr:rowOff>
              </from>
              <to>
                <xdr:col>3</xdr:col>
                <xdr:colOff>7200900</xdr:colOff>
                <xdr:row>56</xdr:row>
                <xdr:rowOff>137160</xdr:rowOff>
              </to>
            </anchor>
          </objectPr>
        </oleObject>
      </mc:Choice>
      <mc:Fallback>
        <oleObject progId="Word.Document.12" shapeId="23557"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39997558519241921"/>
  </sheetPr>
  <dimension ref="A1:EL331"/>
  <sheetViews>
    <sheetView zoomScale="60" zoomScaleNormal="60" workbookViewId="0">
      <selection activeCell="B318" sqref="B318"/>
    </sheetView>
  </sheetViews>
  <sheetFormatPr defaultColWidth="9" defaultRowHeight="13.8" x14ac:dyDescent="0.25"/>
  <cols>
    <col min="1" max="1" width="11.09765625" style="22" customWidth="1"/>
    <col min="2" max="2" width="26.09765625" style="22" customWidth="1"/>
    <col min="3" max="3" width="24.8984375" style="22" customWidth="1"/>
    <col min="4" max="4" width="25.09765625" style="385" customWidth="1"/>
    <col min="5" max="5" width="26.59765625" style="22" bestFit="1" customWidth="1"/>
    <col min="6" max="6" width="22" style="22" customWidth="1"/>
    <col min="7" max="7" width="20.8984375" style="22" customWidth="1"/>
    <col min="8" max="9" width="8" style="385" customWidth="1"/>
    <col min="10" max="10" width="25.5" style="22" customWidth="1"/>
    <col min="11" max="11" width="15.3984375" style="22" customWidth="1"/>
    <col min="12" max="16" width="7.69921875" style="386" customWidth="1"/>
    <col min="17" max="18" width="3.09765625" style="386" customWidth="1"/>
    <col min="19" max="19" width="26.09765625" style="22" customWidth="1"/>
    <col min="20" max="20" width="23.09765625" style="22" customWidth="1"/>
    <col min="21" max="21" width="19.8984375" style="22" customWidth="1"/>
    <col min="22" max="22" width="21.09765625" style="22" customWidth="1"/>
    <col min="23" max="23" width="22.8984375" style="22" customWidth="1"/>
    <col min="24" max="24" width="18.3984375" style="22" customWidth="1"/>
    <col min="25" max="25" width="10.8984375" style="22" customWidth="1"/>
    <col min="26" max="28" width="20.59765625" style="22" customWidth="1"/>
    <col min="29" max="29" width="21" style="386" customWidth="1"/>
    <col min="30" max="31" width="1.59765625" style="386" customWidth="1"/>
    <col min="32" max="32" width="4.8984375" style="386" customWidth="1"/>
    <col min="33" max="33" width="3.09765625" style="70" customWidth="1"/>
    <col min="34" max="34" width="26.09765625" style="22" customWidth="1"/>
    <col min="35" max="35" width="23.09765625" style="22" customWidth="1"/>
    <col min="36" max="36" width="19.8984375" style="22" customWidth="1"/>
    <col min="37" max="37" width="21.09765625" style="22" customWidth="1"/>
    <col min="38" max="38" width="35.69921875" style="22" customWidth="1"/>
    <col min="39" max="39" width="18.3984375" style="22" customWidth="1"/>
    <col min="40" max="40" width="10.8984375" style="22" customWidth="1"/>
    <col min="41" max="42" width="15" style="22" customWidth="1"/>
    <col min="43" max="43" width="20" style="22" customWidth="1"/>
    <col min="44" max="44" width="11.19921875" style="386" customWidth="1"/>
    <col min="45" max="46" width="1.59765625" style="386" customWidth="1"/>
    <col min="47" max="47" width="3.59765625" style="386" customWidth="1"/>
    <col min="48" max="48" width="4.59765625" style="22" customWidth="1"/>
    <col min="49" max="49" width="26.09765625" style="22" customWidth="1"/>
    <col min="50" max="50" width="23.09765625" style="22" customWidth="1"/>
    <col min="51" max="51" width="19.8984375" style="22" customWidth="1"/>
    <col min="52" max="52" width="21.09765625" style="22" customWidth="1"/>
    <col min="53" max="53" width="22.59765625" style="22" customWidth="1"/>
    <col min="54" max="54" width="18.3984375" style="22" customWidth="1"/>
    <col min="55" max="55" width="10.8984375" style="22" customWidth="1"/>
    <col min="56" max="57" width="15" style="22" customWidth="1"/>
    <col min="58" max="58" width="20" style="22" customWidth="1"/>
    <col min="59" max="59" width="21.19921875" style="386" customWidth="1"/>
    <col min="60" max="61" width="1.59765625" style="386" customWidth="1"/>
    <col min="62" max="62" width="4.8984375" style="386" customWidth="1"/>
    <col min="63" max="63" width="3.09765625" style="70" customWidth="1"/>
    <col min="64" max="64" width="26.09765625" style="22" customWidth="1"/>
    <col min="65" max="65" width="23" style="22" customWidth="1"/>
    <col min="66" max="66" width="19.8984375" style="22" customWidth="1"/>
    <col min="67" max="67" width="21.09765625" style="22" customWidth="1"/>
    <col min="68" max="68" width="23.19921875" style="22" customWidth="1"/>
    <col min="69" max="69" width="18.3984375" style="22" customWidth="1"/>
    <col min="70" max="70" width="10.8984375" style="22" customWidth="1"/>
    <col min="71" max="71" width="17.09765625" style="22" customWidth="1"/>
    <col min="72" max="72" width="16.8984375" style="22" customWidth="1"/>
    <col min="73" max="73" width="22.09765625" style="22" customWidth="1"/>
    <col min="74" max="74" width="27.5" style="386" customWidth="1"/>
    <col min="75" max="76" width="1.59765625" style="386" customWidth="1"/>
    <col min="77" max="77" width="2.3984375" style="386" customWidth="1"/>
    <col min="78" max="78" width="5.59765625" style="22" customWidth="1"/>
    <col min="79" max="79" width="34.8984375" style="22" customWidth="1"/>
    <col min="80" max="80" width="17.19921875" style="385" customWidth="1"/>
    <col min="81" max="81" width="11.5" style="385" customWidth="1"/>
    <col min="82" max="82" width="12.09765625" style="385" customWidth="1"/>
    <col min="83" max="83" width="16.8984375" style="385" customWidth="1"/>
    <col min="84" max="84" width="16.09765625" style="385" customWidth="1"/>
    <col min="85" max="85" width="5.8984375" style="22" customWidth="1"/>
    <col min="86" max="86" width="37.09765625" style="22" customWidth="1"/>
    <col min="87" max="87" width="35.8984375" style="22" customWidth="1"/>
    <col min="88" max="88" width="11.09765625" style="22" customWidth="1"/>
    <col min="89" max="89" width="12.8984375" style="22" customWidth="1"/>
    <col min="90" max="90" width="14.8984375" style="22" customWidth="1"/>
    <col min="91" max="92" width="11.09765625" style="22" customWidth="1"/>
    <col min="93" max="93" width="35.69921875" style="387" customWidth="1"/>
    <col min="94" max="94" width="6.59765625" style="22" customWidth="1"/>
    <col min="95" max="95" width="2.8984375" style="388" customWidth="1"/>
    <col min="96" max="96" width="6" style="22" customWidth="1"/>
    <col min="97" max="97" width="34.8984375" style="22" customWidth="1"/>
    <col min="98" max="98" width="13.69921875" style="22" customWidth="1"/>
    <col min="99" max="99" width="10.09765625" style="22" customWidth="1"/>
    <col min="100" max="100" width="10.09765625" style="385" customWidth="1"/>
    <col min="101" max="101" width="18.3984375" style="22" customWidth="1"/>
    <col min="102" max="103" width="11.09765625" style="22" customWidth="1"/>
    <col min="104" max="104" width="38.09765625" style="22" customWidth="1"/>
    <col min="105" max="105" width="35.69921875" style="22" customWidth="1"/>
    <col min="106" max="106" width="11.09765625" style="22" customWidth="1"/>
    <col min="107" max="107" width="13.59765625" style="22" customWidth="1"/>
    <col min="108" max="108" width="15.59765625" style="22" customWidth="1"/>
    <col min="109" max="110" width="11.09765625" style="22" customWidth="1"/>
    <col min="111" max="111" width="35.8984375" style="387" customWidth="1"/>
    <col min="112" max="112" width="9.8984375" style="22" customWidth="1"/>
    <col min="113" max="113" width="3" style="388" customWidth="1"/>
    <col min="114" max="114" width="3" style="22" customWidth="1"/>
    <col min="115" max="115" width="27" style="22" customWidth="1"/>
    <col min="116" max="116" width="42.8984375" style="22" customWidth="1"/>
    <col min="117" max="117" width="12.3984375" style="22" customWidth="1"/>
    <col min="118" max="118" width="30.59765625" style="22" customWidth="1"/>
    <col min="119" max="119" width="26" style="22" customWidth="1"/>
    <col min="120" max="120" width="22.5" style="22" customWidth="1"/>
    <col min="121" max="121" width="31.19921875" style="22" customWidth="1"/>
    <col min="122" max="122" width="14.19921875" style="22" customWidth="1"/>
    <col min="123" max="123" width="28.8984375" style="22" customWidth="1"/>
    <col min="124" max="124" width="8.59765625" style="22" customWidth="1"/>
    <col min="125" max="125" width="30.69921875" style="22" customWidth="1"/>
    <col min="126" max="126" width="19.69921875" style="22" customWidth="1"/>
    <col min="127" max="127" width="14.69921875" style="22" customWidth="1"/>
    <col min="128" max="128" width="29.5" style="22" customWidth="1"/>
    <col min="129" max="129" width="14.5" style="22" bestFit="1" customWidth="1"/>
    <col min="130" max="142" width="9" style="22"/>
    <col min="143" max="16384" width="9" style="70"/>
  </cols>
  <sheetData>
    <row r="1" spans="1:142" x14ac:dyDescent="0.25">
      <c r="A1" s="14"/>
      <c r="B1" s="14"/>
      <c r="C1" s="14"/>
      <c r="D1" s="21"/>
      <c r="E1" s="14"/>
      <c r="F1" s="14"/>
      <c r="G1" s="14"/>
      <c r="H1" s="21"/>
      <c r="I1" s="21"/>
      <c r="J1" s="14"/>
      <c r="K1" s="260"/>
      <c r="L1" s="14"/>
      <c r="M1" s="14"/>
      <c r="N1" s="14"/>
      <c r="O1" s="14"/>
      <c r="P1" s="14"/>
      <c r="Q1" s="45"/>
      <c r="R1" s="19"/>
      <c r="S1" s="14"/>
      <c r="T1" s="14"/>
      <c r="U1" s="14"/>
      <c r="V1" s="14"/>
      <c r="W1" s="14"/>
      <c r="X1" s="14"/>
      <c r="Y1" s="14"/>
      <c r="Z1" s="14"/>
      <c r="AA1" s="14"/>
      <c r="AB1" s="14"/>
      <c r="AC1" s="14"/>
      <c r="AD1" s="14"/>
      <c r="AE1" s="14"/>
      <c r="AF1" s="45"/>
      <c r="AG1" s="19"/>
      <c r="AH1" s="14"/>
      <c r="AI1" s="14"/>
      <c r="AJ1" s="14"/>
      <c r="AK1" s="14"/>
      <c r="AL1" s="14"/>
      <c r="AM1" s="14"/>
      <c r="AN1" s="14"/>
      <c r="AO1" s="14"/>
      <c r="AP1" s="14"/>
      <c r="AQ1" s="14"/>
      <c r="AR1" s="14"/>
      <c r="AS1" s="14"/>
      <c r="AT1" s="14"/>
      <c r="AU1" s="45"/>
      <c r="AV1" s="14"/>
      <c r="AW1" s="14"/>
      <c r="AX1" s="14"/>
      <c r="AY1" s="14"/>
      <c r="AZ1" s="14"/>
      <c r="BA1" s="14"/>
      <c r="BB1" s="14"/>
      <c r="BC1" s="14"/>
      <c r="BD1" s="14"/>
      <c r="BE1" s="14"/>
      <c r="BF1" s="14"/>
      <c r="BG1" s="14"/>
      <c r="BH1" s="14"/>
      <c r="BI1" s="14"/>
      <c r="BJ1" s="45"/>
      <c r="BK1" s="19"/>
      <c r="BL1" s="14"/>
      <c r="BM1" s="14"/>
      <c r="BN1" s="14"/>
      <c r="BO1" s="14"/>
      <c r="BP1" s="14"/>
      <c r="BQ1" s="14"/>
      <c r="BR1" s="14"/>
      <c r="BS1" s="14"/>
      <c r="BT1" s="14"/>
      <c r="BU1" s="14"/>
      <c r="BV1" s="14"/>
      <c r="BW1" s="14"/>
      <c r="BX1" s="14"/>
      <c r="BY1" s="45"/>
      <c r="BZ1" s="14"/>
      <c r="CA1" s="14"/>
      <c r="CB1" s="21"/>
      <c r="CC1" s="21"/>
      <c r="CD1" s="21"/>
      <c r="CE1" s="21"/>
      <c r="CF1" s="21"/>
      <c r="CG1" s="14"/>
      <c r="CH1" s="14"/>
      <c r="CI1" s="14"/>
      <c r="CJ1" s="14"/>
      <c r="CK1" s="14"/>
      <c r="CL1" s="14"/>
      <c r="CM1" s="14"/>
      <c r="CN1" s="14"/>
      <c r="CO1" s="129"/>
      <c r="CP1" s="14"/>
      <c r="CQ1" s="45"/>
      <c r="CR1" s="14"/>
      <c r="CS1" s="14"/>
      <c r="CT1" s="14"/>
      <c r="CU1" s="14"/>
      <c r="CV1" s="21"/>
      <c r="CW1" s="14"/>
      <c r="CX1" s="14"/>
      <c r="CY1" s="14"/>
      <c r="CZ1" s="14"/>
      <c r="DA1" s="14"/>
      <c r="DB1" s="14"/>
      <c r="DC1" s="14"/>
      <c r="DD1" s="14"/>
      <c r="DE1" s="14"/>
      <c r="DF1" s="14"/>
      <c r="DG1" s="129"/>
      <c r="DH1" s="14"/>
      <c r="DI1" s="45"/>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row>
    <row r="2" spans="1:142" s="130" customFormat="1" x14ac:dyDescent="0.25">
      <c r="A2" s="87" t="s">
        <v>0</v>
      </c>
      <c r="B2" s="87">
        <v>26</v>
      </c>
      <c r="C2" s="87" t="str">
        <f ca="1">INDIRECT("Title_"&amp;B2)</f>
        <v xml:space="preserve">Additional wood (in comparison to the counterfactual) from the conversion of abandoned agricultural land in USA that was previously annually ploughed, to an SRC hardwood plantation that is coppiced every 3 years. Assumed exported to UK from South USA. </v>
      </c>
      <c r="D2" s="87"/>
      <c r="E2" s="87"/>
      <c r="F2" s="87"/>
      <c r="G2" s="87"/>
      <c r="H2" s="87"/>
      <c r="I2" s="87"/>
      <c r="J2" s="87"/>
      <c r="K2" s="87"/>
      <c r="L2" s="90"/>
      <c r="M2" s="90"/>
      <c r="N2" s="90"/>
      <c r="O2" s="90"/>
      <c r="P2" s="90"/>
      <c r="Q2" s="93"/>
      <c r="R2" s="94"/>
      <c r="S2" s="87"/>
      <c r="T2" s="90"/>
      <c r="U2" s="90"/>
      <c r="V2" s="90"/>
      <c r="W2" s="90"/>
      <c r="X2" s="90"/>
      <c r="Y2" s="90"/>
      <c r="Z2" s="90"/>
      <c r="AA2" s="90"/>
      <c r="AB2" s="90"/>
      <c r="AC2" s="90"/>
      <c r="AD2" s="90"/>
      <c r="AE2" s="90"/>
      <c r="AF2" s="93"/>
      <c r="AG2" s="94"/>
      <c r="AH2" s="90"/>
      <c r="AI2" s="90"/>
      <c r="AJ2" s="90"/>
      <c r="AK2" s="90"/>
      <c r="AL2" s="90"/>
      <c r="AM2" s="90"/>
      <c r="AN2" s="90"/>
      <c r="AO2" s="90"/>
      <c r="AP2" s="90"/>
      <c r="AQ2" s="90"/>
      <c r="AR2" s="90"/>
      <c r="AS2" s="90"/>
      <c r="AT2" s="90"/>
      <c r="AU2" s="93"/>
      <c r="AV2" s="90"/>
      <c r="AW2" s="90"/>
      <c r="AX2" s="90"/>
      <c r="AY2" s="90"/>
      <c r="AZ2" s="90"/>
      <c r="BA2" s="90"/>
      <c r="BB2" s="90"/>
      <c r="BC2" s="90"/>
      <c r="BD2" s="90"/>
      <c r="BE2" s="90"/>
      <c r="BF2" s="90"/>
      <c r="BG2" s="90"/>
      <c r="BH2" s="90"/>
      <c r="BI2" s="90"/>
      <c r="BJ2" s="93"/>
      <c r="BK2" s="94"/>
      <c r="BL2" s="90"/>
      <c r="BM2" s="90"/>
      <c r="BN2" s="90"/>
      <c r="BO2" s="90"/>
      <c r="BP2" s="90"/>
      <c r="BQ2" s="90"/>
      <c r="BR2" s="90"/>
      <c r="BS2" s="90"/>
      <c r="BT2" s="90"/>
      <c r="BU2" s="90"/>
      <c r="BV2" s="90"/>
      <c r="BW2" s="90"/>
      <c r="BX2" s="90"/>
      <c r="BY2" s="93"/>
      <c r="BZ2" s="90"/>
      <c r="CA2" s="90"/>
      <c r="CB2" s="89"/>
      <c r="CC2" s="89"/>
      <c r="CD2" s="89"/>
      <c r="CE2" s="89"/>
      <c r="CF2" s="89"/>
      <c r="CG2" s="90"/>
      <c r="CH2" s="90"/>
      <c r="CI2" s="90"/>
      <c r="CJ2" s="90"/>
      <c r="CK2" s="90"/>
      <c r="CL2" s="90"/>
      <c r="CM2" s="90"/>
      <c r="CN2" s="90"/>
      <c r="CO2" s="90"/>
      <c r="CP2" s="90"/>
      <c r="CQ2" s="93"/>
      <c r="CR2" s="90"/>
      <c r="CS2" s="90"/>
      <c r="CT2" s="90"/>
      <c r="CU2" s="90"/>
      <c r="CV2" s="89"/>
      <c r="CW2" s="90"/>
      <c r="CX2" s="90"/>
      <c r="CY2" s="90"/>
      <c r="CZ2" s="90"/>
      <c r="DA2" s="90"/>
      <c r="DB2" s="90"/>
      <c r="DC2" s="90"/>
      <c r="DD2" s="90"/>
      <c r="DE2" s="90"/>
      <c r="DF2" s="90"/>
      <c r="DG2" s="90"/>
      <c r="DH2" s="90"/>
      <c r="DI2" s="93"/>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row>
    <row r="3" spans="1:142" x14ac:dyDescent="0.25">
      <c r="A3" s="14"/>
      <c r="B3" s="14"/>
      <c r="C3" s="14"/>
      <c r="D3" s="21"/>
      <c r="E3" s="14"/>
      <c r="F3" s="14"/>
      <c r="G3" s="14"/>
      <c r="H3" s="21"/>
      <c r="I3" s="21"/>
      <c r="J3" s="14"/>
      <c r="K3" s="14"/>
      <c r="L3" s="14"/>
      <c r="M3" s="14"/>
      <c r="N3" s="14"/>
      <c r="O3" s="14"/>
      <c r="P3" s="14"/>
      <c r="Q3" s="47"/>
      <c r="R3" s="19"/>
      <c r="S3" s="8"/>
      <c r="T3" s="14"/>
      <c r="U3" s="14"/>
      <c r="V3" s="14"/>
      <c r="W3" s="14"/>
      <c r="X3" s="14"/>
      <c r="Y3" s="14"/>
      <c r="Z3" s="14"/>
      <c r="AA3" s="14"/>
      <c r="AB3" s="14"/>
      <c r="AC3" s="14"/>
      <c r="AD3" s="14"/>
      <c r="AE3" s="14"/>
      <c r="AF3" s="47"/>
      <c r="AG3" s="19"/>
      <c r="AH3" s="14"/>
      <c r="AI3" s="14"/>
      <c r="AJ3" s="14"/>
      <c r="AK3" s="14"/>
      <c r="AL3" s="14"/>
      <c r="AM3" s="14"/>
      <c r="AN3" s="14"/>
      <c r="AO3" s="14"/>
      <c r="AP3" s="14"/>
      <c r="AQ3" s="14"/>
      <c r="AR3" s="14"/>
      <c r="AS3" s="14"/>
      <c r="AT3" s="14"/>
      <c r="AU3" s="47"/>
      <c r="AV3" s="14"/>
      <c r="AW3" s="14"/>
      <c r="AX3" s="14"/>
      <c r="AY3" s="14"/>
      <c r="AZ3" s="14"/>
      <c r="BA3" s="14"/>
      <c r="BB3" s="14"/>
      <c r="BC3" s="14"/>
      <c r="BD3" s="14"/>
      <c r="BE3" s="14"/>
      <c r="BF3" s="14"/>
      <c r="BG3" s="14"/>
      <c r="BH3" s="14"/>
      <c r="BI3" s="14"/>
      <c r="BJ3" s="47"/>
      <c r="BK3" s="19"/>
      <c r="BL3" s="14"/>
      <c r="BM3" s="14"/>
      <c r="BN3" s="14"/>
      <c r="BO3" s="14"/>
      <c r="BP3" s="14"/>
      <c r="BQ3" s="14"/>
      <c r="BR3" s="14"/>
      <c r="BS3" s="14"/>
      <c r="BT3" s="14"/>
      <c r="BU3" s="14"/>
      <c r="BV3" s="14"/>
      <c r="BW3" s="14"/>
      <c r="BX3" s="14"/>
      <c r="BY3" s="47"/>
      <c r="BZ3" s="14"/>
      <c r="CA3" s="14"/>
      <c r="CB3" s="21"/>
      <c r="CC3" s="21"/>
      <c r="CD3" s="21"/>
      <c r="CE3" s="21"/>
      <c r="CF3" s="21"/>
      <c r="CG3" s="14"/>
      <c r="CH3" s="14"/>
      <c r="CI3" s="14"/>
      <c r="CJ3" s="14"/>
      <c r="CK3" s="14"/>
      <c r="CL3" s="14"/>
      <c r="CM3" s="14"/>
      <c r="CN3" s="14"/>
      <c r="CO3" s="129"/>
      <c r="CP3" s="14"/>
      <c r="CQ3" s="47"/>
      <c r="CR3" s="14"/>
      <c r="CS3" s="14"/>
      <c r="CT3" s="14"/>
      <c r="CU3" s="14"/>
      <c r="CV3" s="21"/>
      <c r="CW3" s="14"/>
      <c r="CX3" s="14"/>
      <c r="CY3" s="14"/>
      <c r="CZ3" s="14"/>
      <c r="DA3" s="14"/>
      <c r="DB3" s="14"/>
      <c r="DC3" s="14"/>
      <c r="DD3" s="14"/>
      <c r="DE3" s="14"/>
      <c r="DF3" s="14"/>
      <c r="DG3" s="129"/>
      <c r="DH3" s="14"/>
      <c r="DI3" s="47"/>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row>
    <row r="4" spans="1:142" s="134" customFormat="1" x14ac:dyDescent="0.25">
      <c r="A4" s="520" t="s">
        <v>349</v>
      </c>
      <c r="B4" s="520"/>
      <c r="C4" s="520"/>
      <c r="D4" s="154">
        <f>((COUNTIFS(Response_Q165_1,"Confident")-F321)*2+(COUNTIFS(Response_Q165_1,"Very Confident")-F322)*3+(COUNTIFS(Response_Q165_1,"Somewhat confident")-F320)*1)/(COUNTIFS(Response_Q165_1,"&lt;&gt;0")-COUNTBLANK(Response_Q165_1)-SUM(P2:P4))</f>
        <v>2.3076923076923075</v>
      </c>
      <c r="E4" s="521" t="s">
        <v>559</v>
      </c>
      <c r="F4" s="521"/>
      <c r="G4" s="521"/>
      <c r="H4" s="77"/>
      <c r="I4" s="77"/>
      <c r="J4" s="8"/>
      <c r="K4" s="8"/>
      <c r="L4" s="8"/>
      <c r="M4" s="8"/>
      <c r="N4" s="8"/>
      <c r="O4" s="8"/>
      <c r="P4" s="8"/>
      <c r="Q4" s="48"/>
      <c r="R4" s="44"/>
      <c r="S4" s="8"/>
      <c r="T4" s="8"/>
      <c r="U4" s="8"/>
      <c r="V4" s="8"/>
      <c r="W4" s="8"/>
      <c r="X4" s="8"/>
      <c r="Y4" s="8"/>
      <c r="Z4" s="8"/>
      <c r="AA4" s="8"/>
      <c r="AB4" s="8"/>
      <c r="AC4" s="8"/>
      <c r="AD4" s="8"/>
      <c r="AE4" s="8"/>
      <c r="AF4" s="48"/>
      <c r="AG4" s="44"/>
      <c r="AH4" s="8"/>
      <c r="AI4" s="8"/>
      <c r="AJ4" s="8"/>
      <c r="AK4" s="8"/>
      <c r="AL4" s="8"/>
      <c r="AM4" s="8"/>
      <c r="AN4" s="8"/>
      <c r="AO4" s="8"/>
      <c r="AP4" s="8"/>
      <c r="AQ4" s="8"/>
      <c r="AR4" s="8"/>
      <c r="AS4" s="8"/>
      <c r="AT4" s="8"/>
      <c r="AU4" s="48"/>
      <c r="AV4" s="8"/>
      <c r="AW4" s="8"/>
      <c r="AX4" s="8"/>
      <c r="AY4" s="8"/>
      <c r="AZ4" s="8"/>
      <c r="BA4" s="8"/>
      <c r="BB4" s="8"/>
      <c r="BC4" s="8"/>
      <c r="BD4" s="8"/>
      <c r="BE4" s="8"/>
      <c r="BF4" s="8"/>
      <c r="BG4" s="8"/>
      <c r="BH4" s="8"/>
      <c r="BI4" s="8"/>
      <c r="BJ4" s="48"/>
      <c r="BK4" s="44"/>
      <c r="BL4" s="8"/>
      <c r="BM4" s="8"/>
      <c r="BN4" s="8"/>
      <c r="BO4" s="8"/>
      <c r="BP4" s="8"/>
      <c r="BQ4" s="8"/>
      <c r="BR4" s="8"/>
      <c r="BS4" s="8"/>
      <c r="BT4" s="8"/>
      <c r="BU4" s="8"/>
      <c r="BV4" s="8"/>
      <c r="BW4" s="8"/>
      <c r="BX4" s="8"/>
      <c r="BY4" s="48"/>
      <c r="BZ4" s="8"/>
      <c r="CA4" s="8"/>
      <c r="CB4" s="77"/>
      <c r="CC4" s="77"/>
      <c r="CD4" s="77"/>
      <c r="CE4" s="77"/>
      <c r="CF4" s="77"/>
      <c r="CG4" s="8"/>
      <c r="CH4" s="8"/>
      <c r="CI4" s="8"/>
      <c r="CJ4" s="8"/>
      <c r="CK4" s="8"/>
      <c r="CL4" s="8"/>
      <c r="CM4" s="8"/>
      <c r="CN4" s="8"/>
      <c r="CO4" s="315"/>
      <c r="CP4" s="8"/>
      <c r="CQ4" s="48"/>
      <c r="CR4" s="8"/>
      <c r="CS4" s="8"/>
      <c r="CT4" s="8"/>
      <c r="CU4" s="8"/>
      <c r="CV4" s="77"/>
      <c r="CW4" s="8"/>
      <c r="CX4" s="8"/>
      <c r="CY4" s="8"/>
      <c r="CZ4" s="8"/>
      <c r="DA4" s="8"/>
      <c r="DB4" s="8"/>
      <c r="DC4" s="8"/>
      <c r="DD4" s="8"/>
      <c r="DE4" s="8"/>
      <c r="DF4" s="8"/>
      <c r="DG4" s="315"/>
      <c r="DH4" s="8"/>
      <c r="DI4" s="4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row>
    <row r="5" spans="1:142" s="134" customFormat="1" x14ac:dyDescent="0.25">
      <c r="A5" s="520" t="s">
        <v>447</v>
      </c>
      <c r="B5" s="520"/>
      <c r="C5" s="520"/>
      <c r="D5" s="520"/>
      <c r="E5" s="520"/>
      <c r="F5" s="520"/>
      <c r="G5" s="8"/>
      <c r="H5" s="77"/>
      <c r="I5" s="77"/>
      <c r="J5" s="8"/>
      <c r="K5" s="8"/>
      <c r="L5" s="8"/>
      <c r="M5" s="8"/>
      <c r="N5" s="8"/>
      <c r="O5" s="8"/>
      <c r="P5" s="8"/>
      <c r="Q5" s="48"/>
      <c r="R5" s="44"/>
      <c r="S5" s="8"/>
      <c r="T5" s="8"/>
      <c r="U5" s="8"/>
      <c r="V5" s="8"/>
      <c r="W5" s="8"/>
      <c r="X5" s="8"/>
      <c r="Y5" s="8"/>
      <c r="Z5" s="8"/>
      <c r="AA5" s="8"/>
      <c r="AB5" s="8"/>
      <c r="AC5" s="8"/>
      <c r="AD5" s="8"/>
      <c r="AE5" s="8"/>
      <c r="AF5" s="48"/>
      <c r="AG5" s="44"/>
      <c r="AH5" s="8"/>
      <c r="AI5" s="8"/>
      <c r="AJ5" s="8"/>
      <c r="AK5" s="8"/>
      <c r="AL5" s="8"/>
      <c r="AM5" s="8"/>
      <c r="AN5" s="8"/>
      <c r="AO5" s="8"/>
      <c r="AP5" s="8"/>
      <c r="AQ5" s="8"/>
      <c r="AR5" s="8"/>
      <c r="AS5" s="8"/>
      <c r="AT5" s="8"/>
      <c r="AU5" s="48"/>
      <c r="AV5" s="8"/>
      <c r="AW5" s="8"/>
      <c r="AX5" s="8"/>
      <c r="AY5" s="8"/>
      <c r="AZ5" s="8"/>
      <c r="BA5" s="8"/>
      <c r="BB5" s="8"/>
      <c r="BC5" s="8"/>
      <c r="BD5" s="8"/>
      <c r="BE5" s="8"/>
      <c r="BF5" s="8"/>
      <c r="BG5" s="8"/>
      <c r="BH5" s="8"/>
      <c r="BI5" s="8"/>
      <c r="BJ5" s="48"/>
      <c r="BK5" s="44"/>
      <c r="BL5" s="8"/>
      <c r="BM5" s="8"/>
      <c r="BN5" s="8"/>
      <c r="BO5" s="8"/>
      <c r="BP5" s="8"/>
      <c r="BQ5" s="8"/>
      <c r="BR5" s="8"/>
      <c r="BS5" s="8"/>
      <c r="BT5" s="8"/>
      <c r="BU5" s="8"/>
      <c r="BV5" s="8"/>
      <c r="BW5" s="8"/>
      <c r="BX5" s="8"/>
      <c r="BY5" s="48"/>
      <c r="BZ5" s="8"/>
      <c r="CA5" s="8"/>
      <c r="CB5" s="77"/>
      <c r="CC5" s="77"/>
      <c r="CD5" s="77"/>
      <c r="CE5" s="77"/>
      <c r="CF5" s="77"/>
      <c r="CG5" s="8"/>
      <c r="CH5" s="8"/>
      <c r="CI5" s="8"/>
      <c r="CJ5" s="8"/>
      <c r="CK5" s="8"/>
      <c r="CL5" s="8"/>
      <c r="CM5" s="8"/>
      <c r="CN5" s="8"/>
      <c r="CO5" s="315"/>
      <c r="CP5" s="8"/>
      <c r="CQ5" s="48"/>
      <c r="CR5" s="8"/>
      <c r="CS5" s="8"/>
      <c r="CT5" s="8"/>
      <c r="CU5" s="8"/>
      <c r="CV5" s="77"/>
      <c r="CW5" s="8"/>
      <c r="CX5" s="8"/>
      <c r="CY5" s="8"/>
      <c r="CZ5" s="8"/>
      <c r="DA5" s="8"/>
      <c r="DB5" s="8"/>
      <c r="DC5" s="8"/>
      <c r="DD5" s="8"/>
      <c r="DE5" s="8"/>
      <c r="DF5" s="8"/>
      <c r="DG5" s="315"/>
      <c r="DH5" s="8"/>
      <c r="DI5" s="4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row>
    <row r="6" spans="1:142" x14ac:dyDescent="0.25">
      <c r="A6" s="14"/>
      <c r="B6" s="14"/>
      <c r="C6" s="14"/>
      <c r="D6" s="13"/>
      <c r="E6" s="14"/>
      <c r="F6" s="14"/>
      <c r="G6" s="14"/>
      <c r="H6" s="21"/>
      <c r="I6" s="15"/>
      <c r="J6" s="14"/>
      <c r="K6" s="14"/>
      <c r="L6" s="14"/>
      <c r="M6" s="14"/>
      <c r="N6" s="14"/>
      <c r="O6" s="14"/>
      <c r="P6" s="14"/>
      <c r="Q6" s="47"/>
      <c r="R6" s="19"/>
      <c r="S6" s="14"/>
      <c r="T6" s="14"/>
      <c r="U6" s="14"/>
      <c r="V6" s="14"/>
      <c r="W6" s="14"/>
      <c r="X6" s="14"/>
      <c r="Y6" s="14"/>
      <c r="Z6" s="14"/>
      <c r="AA6" s="14"/>
      <c r="AB6" s="14"/>
      <c r="AC6" s="14"/>
      <c r="AD6" s="14"/>
      <c r="AE6" s="14"/>
      <c r="AF6" s="47"/>
      <c r="AG6" s="19"/>
      <c r="AH6" s="14"/>
      <c r="AI6" s="14"/>
      <c r="AJ6" s="14"/>
      <c r="AK6" s="14"/>
      <c r="AL6" s="14"/>
      <c r="AM6" s="14"/>
      <c r="AN6" s="14"/>
      <c r="AO6" s="14"/>
      <c r="AP6" s="14"/>
      <c r="AQ6" s="14"/>
      <c r="AR6" s="14"/>
      <c r="AS6" s="14"/>
      <c r="AT6" s="14"/>
      <c r="AU6" s="47"/>
      <c r="AV6" s="14"/>
      <c r="AW6" s="14"/>
      <c r="AX6" s="14"/>
      <c r="AY6" s="14"/>
      <c r="AZ6" s="14"/>
      <c r="BA6" s="14"/>
      <c r="BB6" s="14"/>
      <c r="BC6" s="14"/>
      <c r="BD6" s="14"/>
      <c r="BE6" s="14"/>
      <c r="BF6" s="14"/>
      <c r="BG6" s="14"/>
      <c r="BH6" s="14"/>
      <c r="BI6" s="14"/>
      <c r="BJ6" s="47"/>
      <c r="BK6" s="19"/>
      <c r="BL6" s="14"/>
      <c r="BM6" s="14"/>
      <c r="BN6" s="14"/>
      <c r="BO6" s="14"/>
      <c r="BP6" s="14"/>
      <c r="BQ6" s="14"/>
      <c r="BR6" s="14"/>
      <c r="BS6" s="14"/>
      <c r="BT6" s="14"/>
      <c r="BU6" s="14"/>
      <c r="BV6" s="14"/>
      <c r="BW6" s="14"/>
      <c r="BX6" s="14"/>
      <c r="BY6" s="47"/>
      <c r="BZ6" s="14"/>
      <c r="CB6" s="21"/>
      <c r="CC6" s="21"/>
      <c r="CD6" s="21"/>
      <c r="CE6" s="21"/>
      <c r="CF6" s="21"/>
      <c r="CG6" s="14"/>
      <c r="CH6" s="14"/>
      <c r="CI6" s="14"/>
      <c r="CJ6" s="14"/>
      <c r="CK6" s="14"/>
      <c r="CL6" s="14"/>
      <c r="CM6" s="14"/>
      <c r="CN6" s="14"/>
      <c r="CO6" s="129"/>
      <c r="CP6" s="14"/>
      <c r="CQ6" s="47"/>
      <c r="CR6" s="14"/>
      <c r="CS6" s="14"/>
      <c r="CT6" s="14"/>
      <c r="CU6" s="14"/>
      <c r="CV6" s="21"/>
      <c r="CW6" s="14"/>
      <c r="CX6" s="14"/>
      <c r="CY6" s="14"/>
      <c r="CZ6" s="14"/>
      <c r="DA6" s="14"/>
      <c r="DB6" s="14"/>
      <c r="DC6" s="14"/>
      <c r="DD6" s="14"/>
      <c r="DE6" s="14"/>
      <c r="DF6" s="14"/>
      <c r="DG6" s="129"/>
      <c r="DH6" s="14"/>
      <c r="DI6" s="47"/>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row>
    <row r="7" spans="1:142" s="130" customFormat="1" x14ac:dyDescent="0.25">
      <c r="A7" s="87"/>
      <c r="B7" s="87" t="s">
        <v>752</v>
      </c>
      <c r="C7" s="87"/>
      <c r="D7" s="88"/>
      <c r="E7" s="87"/>
      <c r="F7" s="87"/>
      <c r="G7" s="87"/>
      <c r="H7" s="88"/>
      <c r="I7" s="88"/>
      <c r="J7" s="87"/>
      <c r="K7" s="87"/>
      <c r="L7" s="87"/>
      <c r="M7" s="87"/>
      <c r="N7" s="87"/>
      <c r="O7" s="87"/>
      <c r="P7" s="87"/>
      <c r="Q7" s="93"/>
      <c r="R7" s="196"/>
      <c r="S7" s="87" t="s">
        <v>752</v>
      </c>
      <c r="T7" s="87"/>
      <c r="U7" s="87"/>
      <c r="V7" s="87"/>
      <c r="W7" s="87"/>
      <c r="X7" s="87"/>
      <c r="Y7" s="87"/>
      <c r="Z7" s="87"/>
      <c r="AA7" s="87"/>
      <c r="AB7" s="87"/>
      <c r="AC7" s="87"/>
      <c r="AD7" s="87"/>
      <c r="AE7" s="87"/>
      <c r="AF7" s="93"/>
      <c r="AG7" s="196"/>
      <c r="AH7" s="87" t="s">
        <v>752</v>
      </c>
      <c r="AI7" s="87"/>
      <c r="AJ7" s="87"/>
      <c r="AK7" s="87"/>
      <c r="AL7" s="87"/>
      <c r="AM7" s="87"/>
      <c r="AN7" s="87"/>
      <c r="AO7" s="87"/>
      <c r="AP7" s="87"/>
      <c r="AQ7" s="87"/>
      <c r="AR7" s="87"/>
      <c r="AS7" s="87"/>
      <c r="AT7" s="87"/>
      <c r="AU7" s="93"/>
      <c r="AV7" s="87"/>
      <c r="AW7" s="87" t="s">
        <v>752</v>
      </c>
      <c r="AX7" s="87"/>
      <c r="AY7" s="87"/>
      <c r="AZ7" s="87"/>
      <c r="BA7" s="87"/>
      <c r="BB7" s="87"/>
      <c r="BC7" s="87"/>
      <c r="BD7" s="87"/>
      <c r="BE7" s="87"/>
      <c r="BF7" s="87"/>
      <c r="BG7" s="87"/>
      <c r="BH7" s="87"/>
      <c r="BI7" s="87"/>
      <c r="BJ7" s="93"/>
      <c r="BK7" s="196"/>
      <c r="BL7" s="87" t="s">
        <v>752</v>
      </c>
      <c r="BM7" s="87"/>
      <c r="BN7" s="87"/>
      <c r="BO7" s="87"/>
      <c r="BP7" s="87"/>
      <c r="BQ7" s="87"/>
      <c r="BR7" s="87"/>
      <c r="BS7" s="87"/>
      <c r="BT7" s="87"/>
      <c r="BU7" s="87"/>
      <c r="BV7" s="87"/>
      <c r="BW7" s="87"/>
      <c r="BX7" s="87"/>
      <c r="BY7" s="93"/>
      <c r="BZ7" s="87"/>
      <c r="CA7" s="87"/>
      <c r="CB7" s="88"/>
      <c r="CC7" s="88"/>
      <c r="CD7" s="88"/>
      <c r="CE7" s="88"/>
      <c r="CF7" s="88"/>
      <c r="CG7" s="87"/>
      <c r="CH7" s="87"/>
      <c r="CI7" s="87"/>
      <c r="CJ7" s="87"/>
      <c r="CK7" s="87"/>
      <c r="CL7" s="87"/>
      <c r="CM7" s="87"/>
      <c r="CN7" s="87"/>
      <c r="CO7" s="87"/>
      <c r="CP7" s="87"/>
      <c r="CQ7" s="93"/>
      <c r="CR7" s="87"/>
      <c r="CS7" s="87"/>
      <c r="CT7" s="87"/>
      <c r="CU7" s="87"/>
      <c r="CV7" s="88"/>
      <c r="CW7" s="87"/>
      <c r="CX7" s="87"/>
      <c r="CY7" s="87"/>
      <c r="CZ7" s="87"/>
      <c r="DA7" s="87"/>
      <c r="DB7" s="87"/>
      <c r="DC7" s="87"/>
      <c r="DD7" s="87"/>
      <c r="DE7" s="87"/>
      <c r="DF7" s="87"/>
      <c r="DG7" s="87"/>
      <c r="DH7" s="87"/>
      <c r="DI7" s="93"/>
      <c r="DJ7" s="87"/>
      <c r="DK7" s="87" t="s">
        <v>28</v>
      </c>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row>
    <row r="8" spans="1:142" s="132" customFormat="1" x14ac:dyDescent="0.25">
      <c r="A8" s="23"/>
      <c r="B8" s="148" t="s">
        <v>301</v>
      </c>
      <c r="C8" s="148"/>
      <c r="D8" s="149"/>
      <c r="E8" s="148"/>
      <c r="F8" s="23"/>
      <c r="G8" s="23"/>
      <c r="H8" s="18"/>
      <c r="I8" s="18"/>
      <c r="J8" s="23"/>
      <c r="K8" s="23"/>
      <c r="L8" s="23"/>
      <c r="M8" s="23"/>
      <c r="N8" s="23"/>
      <c r="O8" s="23"/>
      <c r="P8" s="23"/>
      <c r="Q8" s="73"/>
      <c r="R8" s="56"/>
      <c r="S8" s="148" t="s">
        <v>294</v>
      </c>
      <c r="T8" s="148"/>
      <c r="U8" s="149"/>
      <c r="V8" s="148"/>
      <c r="W8" s="148"/>
      <c r="X8" s="148"/>
      <c r="Y8" s="148"/>
      <c r="Z8" s="148"/>
      <c r="AA8" s="148"/>
      <c r="AB8" s="23"/>
      <c r="AC8" s="23"/>
      <c r="AD8" s="23"/>
      <c r="AE8" s="23"/>
      <c r="AF8" s="73"/>
      <c r="AG8" s="56"/>
      <c r="AH8" s="148" t="s">
        <v>328</v>
      </c>
      <c r="AI8" s="148"/>
      <c r="AJ8" s="149"/>
      <c r="AK8" s="148"/>
      <c r="AL8" s="148"/>
      <c r="AM8" s="23"/>
      <c r="AN8" s="23"/>
      <c r="AO8" s="23"/>
      <c r="AP8" s="23"/>
      <c r="AQ8" s="23"/>
      <c r="AR8" s="23"/>
      <c r="AS8" s="23"/>
      <c r="AT8" s="23"/>
      <c r="AU8" s="73"/>
      <c r="AV8" s="23"/>
      <c r="AW8" s="148" t="s">
        <v>347</v>
      </c>
      <c r="AX8" s="148"/>
      <c r="AY8" s="149"/>
      <c r="AZ8" s="148"/>
      <c r="BA8" s="148"/>
      <c r="BB8" s="23"/>
      <c r="BC8" s="23"/>
      <c r="BD8" s="23"/>
      <c r="BE8" s="23"/>
      <c r="BF8" s="23"/>
      <c r="BG8" s="23"/>
      <c r="BH8" s="23"/>
      <c r="BI8" s="23"/>
      <c r="BJ8" s="73"/>
      <c r="BK8" s="56"/>
      <c r="BL8" s="148" t="s">
        <v>348</v>
      </c>
      <c r="BM8" s="148"/>
      <c r="BN8" s="149"/>
      <c r="BO8" s="148"/>
      <c r="BP8" s="148"/>
      <c r="BQ8" s="23"/>
      <c r="BR8" s="23"/>
      <c r="BS8" s="23"/>
      <c r="BT8" s="23"/>
      <c r="BU8" s="23"/>
      <c r="BV8" s="23"/>
      <c r="BW8" s="23"/>
      <c r="BX8" s="23"/>
      <c r="BY8" s="73"/>
      <c r="BZ8" s="56"/>
      <c r="CA8" s="148" t="s">
        <v>303</v>
      </c>
      <c r="CB8" s="148"/>
      <c r="CC8" s="149"/>
      <c r="CD8" s="148"/>
      <c r="CE8" s="148"/>
      <c r="CF8" s="148"/>
      <c r="CG8" s="23"/>
      <c r="CH8" s="23"/>
      <c r="CI8" s="23"/>
      <c r="CJ8" s="23"/>
      <c r="CK8" s="23"/>
      <c r="CL8" s="23"/>
      <c r="CM8" s="23"/>
      <c r="CN8" s="23"/>
      <c r="CO8" s="90"/>
      <c r="CP8" s="23"/>
      <c r="CQ8" s="73"/>
      <c r="CR8" s="23"/>
      <c r="CS8" s="148" t="s">
        <v>370</v>
      </c>
      <c r="CT8" s="148"/>
      <c r="CU8" s="149"/>
      <c r="CV8" s="149"/>
      <c r="CW8" s="151"/>
      <c r="CX8" s="151"/>
      <c r="CY8" s="23"/>
      <c r="CZ8" s="23"/>
      <c r="DA8" s="23"/>
      <c r="DB8" s="23"/>
      <c r="DC8" s="23"/>
      <c r="DD8" s="23"/>
      <c r="DE8" s="23"/>
      <c r="DF8" s="23"/>
      <c r="DG8" s="90"/>
      <c r="DH8" s="23"/>
      <c r="DI8" s="73"/>
      <c r="DJ8" s="23"/>
      <c r="DK8" s="148" t="s">
        <v>305</v>
      </c>
      <c r="DL8" s="148"/>
      <c r="DM8" s="149"/>
      <c r="DN8" s="148"/>
      <c r="DO8" s="23"/>
      <c r="DP8" s="23"/>
      <c r="DQ8" s="23"/>
      <c r="DR8" s="23"/>
      <c r="DS8" s="23"/>
      <c r="DT8" s="23"/>
      <c r="DU8" s="23"/>
      <c r="DV8" s="23"/>
      <c r="DW8" s="23"/>
      <c r="DX8" s="23"/>
      <c r="DY8" s="23"/>
      <c r="DZ8" s="23"/>
      <c r="EA8" s="23"/>
      <c r="EB8" s="23"/>
      <c r="EC8" s="23"/>
      <c r="ED8" s="23"/>
      <c r="EE8" s="23"/>
      <c r="EF8" s="23"/>
      <c r="EG8" s="23"/>
      <c r="EH8" s="23"/>
      <c r="EI8" s="23"/>
      <c r="EJ8" s="23"/>
      <c r="EK8" s="23"/>
      <c r="EL8" s="23"/>
    </row>
    <row r="9" spans="1:142" ht="14.4" thickBot="1" x14ac:dyDescent="0.3">
      <c r="A9" s="14"/>
      <c r="B9" s="23"/>
      <c r="C9" s="23"/>
      <c r="D9" s="18"/>
      <c r="E9" s="23"/>
      <c r="F9" s="23"/>
      <c r="G9" s="23"/>
      <c r="H9" s="18"/>
      <c r="I9" s="21"/>
      <c r="J9" s="14"/>
      <c r="K9" s="14"/>
      <c r="L9" s="14"/>
      <c r="M9" s="14"/>
      <c r="N9" s="14"/>
      <c r="O9" s="14"/>
      <c r="P9" s="14"/>
      <c r="Q9" s="47"/>
      <c r="R9" s="19"/>
      <c r="S9" s="14"/>
      <c r="T9" s="14"/>
      <c r="U9" s="14"/>
      <c r="V9" s="14"/>
      <c r="W9" s="14"/>
      <c r="X9" s="14"/>
      <c r="Y9" s="14"/>
      <c r="Z9" s="14"/>
      <c r="AA9" s="14"/>
      <c r="AB9" s="14"/>
      <c r="AC9" s="14"/>
      <c r="AD9" s="14"/>
      <c r="AE9" s="14"/>
      <c r="AF9" s="47"/>
      <c r="AG9" s="19"/>
      <c r="AH9" s="14"/>
      <c r="AI9" s="14"/>
      <c r="AJ9" s="14"/>
      <c r="AK9" s="14"/>
      <c r="AL9" s="14"/>
      <c r="AM9" s="14"/>
      <c r="AN9" s="14"/>
      <c r="AO9" s="14"/>
      <c r="AP9" s="14"/>
      <c r="AQ9" s="14"/>
      <c r="AR9" s="14"/>
      <c r="AS9" s="14"/>
      <c r="AT9" s="14"/>
      <c r="AU9" s="47"/>
      <c r="AV9" s="14"/>
      <c r="AW9" s="14"/>
      <c r="AX9" s="14"/>
      <c r="AY9" s="14"/>
      <c r="AZ9" s="14"/>
      <c r="BA9" s="14"/>
      <c r="BB9" s="14"/>
      <c r="BC9" s="14"/>
      <c r="BD9" s="14"/>
      <c r="BE9" s="14"/>
      <c r="BF9" s="14"/>
      <c r="BG9" s="14"/>
      <c r="BH9" s="14"/>
      <c r="BI9" s="14"/>
      <c r="BJ9" s="47"/>
      <c r="BK9" s="19"/>
      <c r="BL9" s="14"/>
      <c r="BM9" s="14"/>
      <c r="BN9" s="14"/>
      <c r="BO9" s="14"/>
      <c r="BP9" s="14"/>
      <c r="BQ9" s="14"/>
      <c r="BR9" s="14"/>
      <c r="BS9" s="14"/>
      <c r="BT9" s="14"/>
      <c r="BU9" s="14"/>
      <c r="BV9" s="14"/>
      <c r="BW9" s="14"/>
      <c r="BX9" s="14"/>
      <c r="BY9" s="47"/>
      <c r="BZ9" s="14"/>
      <c r="CA9" s="14"/>
      <c r="CB9" s="21"/>
      <c r="CC9" s="21"/>
      <c r="CD9" s="21"/>
      <c r="CE9" s="21"/>
      <c r="CF9" s="21"/>
      <c r="CG9" s="14"/>
      <c r="CH9" s="14"/>
      <c r="CI9" s="14"/>
      <c r="CJ9" s="14"/>
      <c r="CK9" s="14"/>
      <c r="CL9" s="14"/>
      <c r="CM9" s="14"/>
      <c r="CN9" s="14"/>
      <c r="CO9" s="129"/>
      <c r="CP9" s="14"/>
      <c r="CQ9" s="47"/>
      <c r="CR9" s="14"/>
      <c r="CS9" s="14"/>
      <c r="CT9" s="14"/>
      <c r="CU9" s="14"/>
      <c r="CV9" s="21"/>
      <c r="CW9" s="14"/>
      <c r="CX9" s="14"/>
      <c r="CY9" s="14"/>
      <c r="CZ9" s="14"/>
      <c r="DA9" s="14"/>
      <c r="DB9" s="14"/>
      <c r="DC9" s="14"/>
      <c r="DD9" s="14"/>
      <c r="DE9" s="14"/>
      <c r="DF9" s="14"/>
      <c r="DG9" s="129"/>
      <c r="DH9" s="14"/>
      <c r="DI9" s="47"/>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row>
    <row r="10" spans="1:142" s="19" customFormat="1" ht="33.75" customHeight="1" x14ac:dyDescent="0.25">
      <c r="A10" s="14"/>
      <c r="B10" s="258" t="s">
        <v>676</v>
      </c>
      <c r="C10" s="24"/>
      <c r="D10" s="25"/>
      <c r="E10" s="158" t="s">
        <v>469</v>
      </c>
      <c r="F10" s="24"/>
      <c r="G10" s="24"/>
      <c r="H10" s="74"/>
      <c r="I10" s="21"/>
      <c r="J10" s="524" t="s">
        <v>753</v>
      </c>
      <c r="K10" s="525"/>
      <c r="L10" s="14"/>
      <c r="M10" s="14"/>
      <c r="N10" s="14"/>
      <c r="O10" s="14"/>
      <c r="P10" s="14"/>
      <c r="Q10" s="47"/>
      <c r="S10" s="522" t="s">
        <v>676</v>
      </c>
      <c r="T10" s="523"/>
      <c r="U10" s="523"/>
      <c r="V10" s="24" t="s">
        <v>5</v>
      </c>
      <c r="W10" s="24"/>
      <c r="X10" s="24"/>
      <c r="Y10" s="26"/>
      <c r="Z10" s="14"/>
      <c r="AA10" s="524" t="s">
        <v>753</v>
      </c>
      <c r="AB10" s="525"/>
      <c r="AC10" s="14"/>
      <c r="AD10" s="14"/>
      <c r="AE10" s="14"/>
      <c r="AF10" s="47"/>
      <c r="AH10" s="522" t="s">
        <v>676</v>
      </c>
      <c r="AI10" s="523"/>
      <c r="AJ10" s="523"/>
      <c r="AK10" s="24" t="s">
        <v>464</v>
      </c>
      <c r="AL10" s="24"/>
      <c r="AM10" s="24"/>
      <c r="AN10" s="26"/>
      <c r="AO10" s="14"/>
      <c r="AP10" s="524" t="s">
        <v>753</v>
      </c>
      <c r="AQ10" s="525"/>
      <c r="AR10" s="14"/>
      <c r="AS10" s="14"/>
      <c r="AT10" s="14"/>
      <c r="AU10" s="47"/>
      <c r="AV10" s="14"/>
      <c r="AW10" s="522" t="s">
        <v>676</v>
      </c>
      <c r="AX10" s="523"/>
      <c r="AY10" s="523"/>
      <c r="AZ10" s="24" t="s">
        <v>464</v>
      </c>
      <c r="BA10" s="24"/>
      <c r="BB10" s="24"/>
      <c r="BC10" s="26"/>
      <c r="BD10" s="14"/>
      <c r="BE10" s="524" t="s">
        <v>753</v>
      </c>
      <c r="BF10" s="525"/>
      <c r="BG10" s="14"/>
      <c r="BH10" s="14"/>
      <c r="BI10" s="14"/>
      <c r="BJ10" s="47"/>
      <c r="BL10" s="522" t="s">
        <v>676</v>
      </c>
      <c r="BM10" s="523"/>
      <c r="BN10" s="523"/>
      <c r="BO10" s="24" t="s">
        <v>464</v>
      </c>
      <c r="BP10" s="24"/>
      <c r="BQ10" s="24"/>
      <c r="BR10" s="26"/>
      <c r="BS10" s="14"/>
      <c r="BT10" s="524" t="s">
        <v>753</v>
      </c>
      <c r="BU10" s="525"/>
      <c r="BV10" s="14"/>
      <c r="BW10" s="14"/>
      <c r="BX10" s="14"/>
      <c r="BY10" s="47"/>
      <c r="BZ10" s="14"/>
      <c r="CA10" s="109" t="s">
        <v>14</v>
      </c>
      <c r="CB10" s="110"/>
      <c r="CC10" s="110" t="s">
        <v>149</v>
      </c>
      <c r="CD10" s="109" t="s">
        <v>150</v>
      </c>
      <c r="CE10" s="110" t="s">
        <v>151</v>
      </c>
      <c r="CF10" s="109" t="s">
        <v>152</v>
      </c>
      <c r="CG10" s="14"/>
      <c r="CH10" s="110" t="s">
        <v>560</v>
      </c>
      <c r="CI10" s="110" t="s">
        <v>385</v>
      </c>
      <c r="CJ10" s="201"/>
      <c r="CK10" s="201"/>
      <c r="CL10" s="201"/>
      <c r="CM10" s="201"/>
      <c r="CN10" s="201"/>
      <c r="CO10" s="325"/>
      <c r="CP10" s="14"/>
      <c r="CQ10" s="47"/>
      <c r="CR10" s="14"/>
      <c r="CS10" s="109" t="s">
        <v>14</v>
      </c>
      <c r="CT10" s="110"/>
      <c r="CU10" s="110" t="s">
        <v>149</v>
      </c>
      <c r="CV10" s="110" t="s">
        <v>150</v>
      </c>
      <c r="CW10" s="110" t="s">
        <v>151</v>
      </c>
      <c r="CX10" s="109" t="s">
        <v>152</v>
      </c>
      <c r="CY10" s="14"/>
      <c r="CZ10" s="110" t="s">
        <v>560</v>
      </c>
      <c r="DA10" s="110" t="s">
        <v>385</v>
      </c>
      <c r="DB10" s="201"/>
      <c r="DC10" s="201"/>
      <c r="DD10" s="201"/>
      <c r="DE10" s="201"/>
      <c r="DF10" s="201"/>
      <c r="DG10" s="325"/>
      <c r="DH10" s="14"/>
      <c r="DI10" s="47"/>
      <c r="DJ10" s="14"/>
      <c r="DK10" s="522" t="s">
        <v>676</v>
      </c>
      <c r="DL10" s="523"/>
      <c r="DM10" s="523"/>
      <c r="DN10" s="24" t="s">
        <v>469</v>
      </c>
      <c r="DO10" s="24"/>
      <c r="DP10" s="24"/>
      <c r="DQ10" s="26"/>
      <c r="DR10" s="14"/>
      <c r="DS10" s="524" t="s">
        <v>753</v>
      </c>
      <c r="DT10" s="525"/>
      <c r="DU10" s="14"/>
      <c r="DV10" s="14"/>
      <c r="DW10" s="14"/>
      <c r="DX10" s="14"/>
      <c r="DY10" s="14"/>
      <c r="DZ10" s="14"/>
      <c r="EA10" s="14"/>
      <c r="EB10" s="14"/>
      <c r="EC10" s="14"/>
      <c r="ED10" s="14"/>
      <c r="EE10" s="14"/>
      <c r="EF10" s="14"/>
      <c r="EG10" s="14"/>
      <c r="EH10" s="14"/>
      <c r="EI10" s="14"/>
      <c r="EJ10" s="14"/>
      <c r="EK10" s="14"/>
      <c r="EL10" s="14"/>
    </row>
    <row r="11" spans="1:142" s="260" customFormat="1" ht="15" customHeight="1" x14ac:dyDescent="0.25">
      <c r="A11" s="129"/>
      <c r="B11" s="530" t="s">
        <v>660</v>
      </c>
      <c r="C11" s="531"/>
      <c r="D11" s="531"/>
      <c r="E11" s="531"/>
      <c r="F11" s="531"/>
      <c r="G11" s="531"/>
      <c r="H11" s="532"/>
      <c r="I11" s="285"/>
      <c r="J11" s="526"/>
      <c r="K11" s="527"/>
      <c r="L11" s="129"/>
      <c r="M11" s="129"/>
      <c r="N11" s="129"/>
      <c r="O11" s="129"/>
      <c r="P11" s="129"/>
      <c r="Q11" s="82"/>
      <c r="S11" s="530" t="s">
        <v>662</v>
      </c>
      <c r="T11" s="531"/>
      <c r="U11" s="531"/>
      <c r="V11" s="531"/>
      <c r="W11" s="531"/>
      <c r="X11" s="531"/>
      <c r="Y11" s="532"/>
      <c r="Z11" s="129"/>
      <c r="AA11" s="526"/>
      <c r="AB11" s="527"/>
      <c r="AC11" s="129"/>
      <c r="AD11" s="129"/>
      <c r="AE11" s="129"/>
      <c r="AF11" s="82"/>
      <c r="AH11" s="536" t="s">
        <v>663</v>
      </c>
      <c r="AI11" s="537"/>
      <c r="AJ11" s="537"/>
      <c r="AK11" s="537"/>
      <c r="AL11" s="537"/>
      <c r="AM11" s="537"/>
      <c r="AN11" s="538"/>
      <c r="AO11" s="129"/>
      <c r="AP11" s="526"/>
      <c r="AQ11" s="527"/>
      <c r="AR11" s="129"/>
      <c r="AS11" s="129"/>
      <c r="AT11" s="129"/>
      <c r="AU11" s="82"/>
      <c r="AV11" s="129"/>
      <c r="AW11" s="530" t="s">
        <v>661</v>
      </c>
      <c r="AX11" s="531"/>
      <c r="AY11" s="531"/>
      <c r="AZ11" s="531"/>
      <c r="BA11" s="531"/>
      <c r="BB11" s="531"/>
      <c r="BC11" s="532"/>
      <c r="BD11" s="129"/>
      <c r="BE11" s="526"/>
      <c r="BF11" s="527"/>
      <c r="BG11" s="129"/>
      <c r="BH11" s="129"/>
      <c r="BI11" s="129"/>
      <c r="BJ11" s="82"/>
      <c r="BL11" s="530" t="s">
        <v>661</v>
      </c>
      <c r="BM11" s="531"/>
      <c r="BN11" s="531"/>
      <c r="BO11" s="531"/>
      <c r="BP11" s="531"/>
      <c r="BQ11" s="531"/>
      <c r="BR11" s="532"/>
      <c r="BS11" s="129"/>
      <c r="BT11" s="526"/>
      <c r="BU11" s="527"/>
      <c r="BV11" s="129"/>
      <c r="BW11" s="129"/>
      <c r="BX11" s="129"/>
      <c r="BY11" s="82"/>
      <c r="BZ11" s="129"/>
      <c r="CA11" s="286" t="s">
        <v>461</v>
      </c>
      <c r="CB11" s="139"/>
      <c r="CC11" s="141">
        <f>IF(ISBLANK($CA11),"",IFERROR(CC64/$CB$58,0)+IFERROR(CC91/$CG$82,0)+IFERROR(CC118/$CB$112,0)+IFERROR(CC145/$CB$139,0)+IFERROR(CC172/$CB$166,0)+IFERROR(CC199/$CB$193,0))</f>
        <v>2.333333333333333</v>
      </c>
      <c r="CD11" s="141">
        <f t="shared" ref="CD11:CE11" si="0">IF(ISBLANK($CA11),"",IFERROR(CD64/$CB$58,0)+IFERROR(CD91/$CG$82,0)+IFERROR(CD118/$CB$112,0)+IFERROR(CD145/$CB$139,0)+IFERROR(CD172/$CB$166,0)+IFERROR(CD199/$CB$193,0))</f>
        <v>0</v>
      </c>
      <c r="CE11" s="141">
        <f t="shared" si="0"/>
        <v>0</v>
      </c>
      <c r="CF11" s="141">
        <f>IF(ISBLANK(CA11),"",ROUND(SUMPRODUCT(CC11:CE11,Rank_score)/MAX(SUM($CC$11:$CC$18),SUM($CD$11:$CD$18),SUM($CE$11:$CE$18)),4)+(0.000001*ROWS(CF$10:$CF10)))</f>
        <v>1.7500009999999999</v>
      </c>
      <c r="CG11" s="129"/>
      <c r="CH11" s="207">
        <f t="shared" ref="CH11:CH17" si="1">IF(ISBLANK($CA11),"",SUM(CO64,CO91,CO118,CO145,CO172,CO199)/COUNTIF($CB$22:$CB$27,"&gt;0"))</f>
        <v>2</v>
      </c>
      <c r="CI11" s="314" t="str">
        <f t="shared" ref="CI11:CI18" si="2">IF(ISBLANK(CA11),"",IF(SUM(CC11:CE11)=0,not_ranked,IF(CH11=0,not_estimated,VLOOKUP(ROUNDDOWN(CH11,ScoresDPs),ScoresToLikelihoods,3,1))))</f>
        <v>Moderately unlikely</v>
      </c>
      <c r="CJ11" s="139"/>
      <c r="CK11" s="139"/>
      <c r="CL11" s="139"/>
      <c r="CM11" s="139"/>
      <c r="CN11" s="139"/>
      <c r="CO11" s="141"/>
      <c r="CP11" s="129"/>
      <c r="CQ11" s="82"/>
      <c r="CR11" s="129"/>
      <c r="CS11" s="286" t="s">
        <v>373</v>
      </c>
      <c r="CT11" s="139"/>
      <c r="CU11" s="141">
        <f>IF(ISBLANK($CS11),"",IFERROR(CU64/$CT$58,0)+IFERROR(CU91/$CT$85,0)+IFERROR(CU118/$CT$112,0)+IFERROR(CU145/$CT$139,0)+IFERROR(CU172/$CT$166,0)+IFERROR(CU199/$CT$193,0))</f>
        <v>2</v>
      </c>
      <c r="CV11" s="141">
        <f t="shared" ref="CV11:CW11" si="3">IF(ISBLANK($CS11),"",IFERROR(CV64/$CT$58,0)+IFERROR(CV91/$CT$85,0)+IFERROR(CV118/$CT$112,0)+IFERROR(CV145/$CT$139,0)+IFERROR(CV172/$CT$166,0)+IFERROR(CV199/$CT$193,0))</f>
        <v>1</v>
      </c>
      <c r="CW11" s="141">
        <f t="shared" si="3"/>
        <v>0</v>
      </c>
      <c r="CX11" s="141">
        <f>IF(ISBLANK($CS11),"",ROUND(SUMPRODUCT(CU11:CW11,Rank_score)/MAX(SUM($CU$11:$CU$18),SUM($CV$11:$CV$18),SUM($CW$11:$CW$18)),4)+(0.000001*ROWS($CX$10:CX10)))</f>
        <v>2.0000010000000001</v>
      </c>
      <c r="CY11" s="129"/>
      <c r="CZ11" s="207">
        <f t="shared" ref="CZ11:CZ18" si="4">IF(ISBLANK(CS11),"",SUM(DG64,DG91,DG118,DG145,DG172,DG199)/COUNTIF($CT$22:$CT$27,"&gt;0"))</f>
        <v>4.125</v>
      </c>
      <c r="DA11" s="314" t="str">
        <f t="shared" ref="DA11:DA18" si="5">IF(ISBLANK(CS11),"",IF(SUM(CU11:CW11)=0,not_ranked,IF(CZ11=0,not_estimated,VLOOKUP(ROUNDDOWN(CZ11,ScoresDPs),ScoresToLikelihoods,3,1))))</f>
        <v>Likely</v>
      </c>
      <c r="DB11" s="139"/>
      <c r="DC11" s="139"/>
      <c r="DD11" s="139"/>
      <c r="DE11" s="139"/>
      <c r="DF11" s="139"/>
      <c r="DG11" s="141"/>
      <c r="DH11" s="129"/>
      <c r="DI11" s="82"/>
      <c r="DJ11" s="129"/>
      <c r="DK11" s="530" t="s">
        <v>664</v>
      </c>
      <c r="DL11" s="531"/>
      <c r="DM11" s="531"/>
      <c r="DN11" s="531"/>
      <c r="DO11" s="531"/>
      <c r="DP11" s="531"/>
      <c r="DQ11" s="532"/>
      <c r="DR11" s="129"/>
      <c r="DS11" s="526"/>
      <c r="DT11" s="527"/>
      <c r="DU11" s="129"/>
      <c r="DV11" s="129"/>
      <c r="DW11" s="129"/>
      <c r="DX11" s="129"/>
      <c r="DY11" s="129"/>
      <c r="DZ11" s="129"/>
      <c r="EA11" s="129"/>
      <c r="EB11" s="129"/>
      <c r="EC11" s="129"/>
      <c r="ED11" s="129"/>
      <c r="EE11" s="129"/>
      <c r="EF11" s="129"/>
      <c r="EG11" s="129"/>
      <c r="EH11" s="129"/>
      <c r="EI11" s="129"/>
      <c r="EJ11" s="129"/>
      <c r="EK11" s="129"/>
      <c r="EL11" s="129"/>
    </row>
    <row r="12" spans="1:142" s="260" customFormat="1" ht="15" customHeight="1" x14ac:dyDescent="0.25">
      <c r="A12" s="129"/>
      <c r="B12" s="530"/>
      <c r="C12" s="531"/>
      <c r="D12" s="531"/>
      <c r="E12" s="531"/>
      <c r="F12" s="531"/>
      <c r="G12" s="531"/>
      <c r="H12" s="532"/>
      <c r="I12" s="285"/>
      <c r="J12" s="526"/>
      <c r="K12" s="527"/>
      <c r="L12" s="129"/>
      <c r="M12" s="129"/>
      <c r="N12" s="129"/>
      <c r="O12" s="129"/>
      <c r="P12" s="129"/>
      <c r="Q12" s="82"/>
      <c r="S12" s="530"/>
      <c r="T12" s="531"/>
      <c r="U12" s="531"/>
      <c r="V12" s="531"/>
      <c r="W12" s="531"/>
      <c r="X12" s="531"/>
      <c r="Y12" s="532"/>
      <c r="Z12" s="129"/>
      <c r="AA12" s="526"/>
      <c r="AB12" s="527"/>
      <c r="AC12" s="129"/>
      <c r="AD12" s="129"/>
      <c r="AE12" s="129"/>
      <c r="AF12" s="82"/>
      <c r="AH12" s="536"/>
      <c r="AI12" s="537"/>
      <c r="AJ12" s="537"/>
      <c r="AK12" s="537"/>
      <c r="AL12" s="537"/>
      <c r="AM12" s="537"/>
      <c r="AN12" s="538"/>
      <c r="AO12" s="129"/>
      <c r="AP12" s="526"/>
      <c r="AQ12" s="527"/>
      <c r="AR12" s="129"/>
      <c r="AS12" s="129"/>
      <c r="AT12" s="129"/>
      <c r="AU12" s="82"/>
      <c r="AV12" s="129"/>
      <c r="AW12" s="530"/>
      <c r="AX12" s="531"/>
      <c r="AY12" s="531"/>
      <c r="AZ12" s="531"/>
      <c r="BA12" s="531"/>
      <c r="BB12" s="531"/>
      <c r="BC12" s="532"/>
      <c r="BD12" s="129"/>
      <c r="BE12" s="526"/>
      <c r="BF12" s="527"/>
      <c r="BG12" s="129"/>
      <c r="BH12" s="129"/>
      <c r="BI12" s="129"/>
      <c r="BJ12" s="82"/>
      <c r="BL12" s="530"/>
      <c r="BM12" s="531"/>
      <c r="BN12" s="531"/>
      <c r="BO12" s="531"/>
      <c r="BP12" s="531"/>
      <c r="BQ12" s="531"/>
      <c r="BR12" s="532"/>
      <c r="BS12" s="129"/>
      <c r="BT12" s="526"/>
      <c r="BU12" s="527"/>
      <c r="BV12" s="129"/>
      <c r="BW12" s="129"/>
      <c r="BX12" s="129"/>
      <c r="BY12" s="82"/>
      <c r="BZ12" s="129"/>
      <c r="CA12" s="286" t="s">
        <v>338</v>
      </c>
      <c r="CB12" s="139"/>
      <c r="CC12" s="141">
        <f t="shared" ref="CC12:CE12" si="6">IF(ISBLANK($CA12),"",IFERROR(CC65/$CB$58,0)+IFERROR(CC92/$CG$82,0)+IFERROR(CC119/$CB$112,0)+IFERROR(CC146/$CB$139,0)+IFERROR(CC173/$CB$166,0)+IFERROR(CC200/$CB$193,0))</f>
        <v>0</v>
      </c>
      <c r="CD12" s="141">
        <f t="shared" si="6"/>
        <v>1</v>
      </c>
      <c r="CE12" s="141">
        <f t="shared" si="6"/>
        <v>1.3333333333333333</v>
      </c>
      <c r="CF12" s="141">
        <f>IF(ISBLANK(CA12),"",ROUND(SUMPRODUCT(CC12:CE12,Rank_score)/MAX(SUM($CC$11:$CC$18),SUM($CD$11:$CD$18),SUM($CE$11:$CE$18)),4)+(0.000001*ROWS(CF$10:$CF11)))</f>
        <v>0.83330199999999999</v>
      </c>
      <c r="CG12" s="129"/>
      <c r="CH12" s="207">
        <f t="shared" si="1"/>
        <v>1.5</v>
      </c>
      <c r="CI12" s="314" t="str">
        <f t="shared" si="2"/>
        <v>Unlikely</v>
      </c>
      <c r="CJ12" s="139"/>
      <c r="CK12" s="139"/>
      <c r="CL12" s="139"/>
      <c r="CM12" s="139"/>
      <c r="CN12" s="139"/>
      <c r="CO12" s="141"/>
      <c r="CP12" s="129"/>
      <c r="CQ12" s="82"/>
      <c r="CR12" s="129"/>
      <c r="CS12" s="286" t="s">
        <v>338</v>
      </c>
      <c r="CT12" s="139"/>
      <c r="CU12" s="141">
        <f t="shared" ref="CU12:CW12" si="7">IF(ISBLANK($CS12),"",IFERROR(CU65/$CT$58,0)+IFERROR(CU92/$CT$85,0)+IFERROR(CU119/$CT$112,0)+IFERROR(CU146/$CT$139,0)+IFERROR(CU173/$CT$166,0)+IFERROR(CU200/$CT$193,0))</f>
        <v>0</v>
      </c>
      <c r="CV12" s="141">
        <f t="shared" si="7"/>
        <v>0.66666666666666663</v>
      </c>
      <c r="CW12" s="141">
        <f t="shared" si="7"/>
        <v>2</v>
      </c>
      <c r="CX12" s="141">
        <f>IF(ISBLANK($CS12),"",ROUND(SUMPRODUCT(CU12:CW12,Rank_score)/MAX(SUM($CU$11:$CU$18),SUM($CV$11:$CV$18),SUM($CW$11:$CW$18)),4)+(0.000001*ROWS($CX$10:CX11)))</f>
        <v>0.83330199999999999</v>
      </c>
      <c r="CY12" s="129"/>
      <c r="CZ12" s="207">
        <f t="shared" si="4"/>
        <v>1</v>
      </c>
      <c r="DA12" s="314" t="str">
        <f t="shared" si="5"/>
        <v>Unlikely</v>
      </c>
      <c r="DB12" s="139"/>
      <c r="DC12" s="139"/>
      <c r="DD12" s="139"/>
      <c r="DE12" s="139"/>
      <c r="DF12" s="139"/>
      <c r="DG12" s="141"/>
      <c r="DH12" s="129"/>
      <c r="DI12" s="82"/>
      <c r="DJ12" s="129"/>
      <c r="DK12" s="530"/>
      <c r="DL12" s="531"/>
      <c r="DM12" s="531"/>
      <c r="DN12" s="531"/>
      <c r="DO12" s="531"/>
      <c r="DP12" s="531"/>
      <c r="DQ12" s="532"/>
      <c r="DR12" s="129"/>
      <c r="DS12" s="526"/>
      <c r="DT12" s="527"/>
      <c r="DU12" s="129"/>
      <c r="DV12" s="129"/>
      <c r="DW12" s="129"/>
      <c r="DX12" s="129"/>
      <c r="DY12" s="129"/>
      <c r="DZ12" s="129"/>
      <c r="EA12" s="129"/>
      <c r="EB12" s="129"/>
      <c r="EC12" s="129"/>
      <c r="ED12" s="129"/>
      <c r="EE12" s="129"/>
      <c r="EF12" s="129"/>
      <c r="EG12" s="129"/>
      <c r="EH12" s="129"/>
      <c r="EI12" s="129"/>
      <c r="EJ12" s="129"/>
      <c r="EK12" s="129"/>
      <c r="EL12" s="129"/>
    </row>
    <row r="13" spans="1:142" s="260" customFormat="1" ht="15" customHeight="1" x14ac:dyDescent="0.25">
      <c r="A13" s="129"/>
      <c r="B13" s="530"/>
      <c r="C13" s="531"/>
      <c r="D13" s="531"/>
      <c r="E13" s="531"/>
      <c r="F13" s="531"/>
      <c r="G13" s="531"/>
      <c r="H13" s="532"/>
      <c r="I13" s="285"/>
      <c r="J13" s="528"/>
      <c r="K13" s="529"/>
      <c r="L13" s="129"/>
      <c r="M13" s="129"/>
      <c r="N13" s="129"/>
      <c r="O13" s="129"/>
      <c r="P13" s="129"/>
      <c r="Q13" s="82"/>
      <c r="S13" s="530"/>
      <c r="T13" s="531"/>
      <c r="U13" s="531"/>
      <c r="V13" s="531"/>
      <c r="W13" s="531"/>
      <c r="X13" s="531"/>
      <c r="Y13" s="532"/>
      <c r="Z13" s="129"/>
      <c r="AA13" s="528"/>
      <c r="AB13" s="529"/>
      <c r="AC13" s="129"/>
      <c r="AD13" s="129"/>
      <c r="AE13" s="129"/>
      <c r="AF13" s="82"/>
      <c r="AH13" s="536"/>
      <c r="AI13" s="537"/>
      <c r="AJ13" s="537"/>
      <c r="AK13" s="537"/>
      <c r="AL13" s="537"/>
      <c r="AM13" s="537"/>
      <c r="AN13" s="538"/>
      <c r="AO13" s="129"/>
      <c r="AP13" s="528"/>
      <c r="AQ13" s="529"/>
      <c r="AR13" s="129"/>
      <c r="AS13" s="129"/>
      <c r="AT13" s="129"/>
      <c r="AU13" s="82"/>
      <c r="AV13" s="129"/>
      <c r="AW13" s="530"/>
      <c r="AX13" s="531"/>
      <c r="AY13" s="531"/>
      <c r="AZ13" s="531"/>
      <c r="BA13" s="531"/>
      <c r="BB13" s="531"/>
      <c r="BC13" s="532"/>
      <c r="BD13" s="129"/>
      <c r="BE13" s="528"/>
      <c r="BF13" s="529"/>
      <c r="BG13" s="129"/>
      <c r="BH13" s="129"/>
      <c r="BI13" s="129"/>
      <c r="BJ13" s="82"/>
      <c r="BL13" s="530"/>
      <c r="BM13" s="531"/>
      <c r="BN13" s="531"/>
      <c r="BO13" s="531"/>
      <c r="BP13" s="531"/>
      <c r="BQ13" s="531"/>
      <c r="BR13" s="532"/>
      <c r="BS13" s="129"/>
      <c r="BT13" s="528"/>
      <c r="BU13" s="529"/>
      <c r="BV13" s="129"/>
      <c r="BW13" s="129"/>
      <c r="BX13" s="129"/>
      <c r="BY13" s="82"/>
      <c r="BZ13" s="129"/>
      <c r="CA13" s="286" t="s">
        <v>340</v>
      </c>
      <c r="CB13" s="139"/>
      <c r="CC13" s="141">
        <f t="shared" ref="CC13:CE13" si="8">IF(ISBLANK($CA13),"",IFERROR(CC66/$CB$58,0)+IFERROR(CC93/$CG$82,0)+IFERROR(CC120/$CB$112,0)+IFERROR(CC147/$CB$139,0)+IFERROR(CC174/$CB$166,0)+IFERROR(CC201/$CB$193,0))</f>
        <v>0</v>
      </c>
      <c r="CD13" s="141">
        <f t="shared" si="8"/>
        <v>1.3333333333333333</v>
      </c>
      <c r="CE13" s="141">
        <f t="shared" si="8"/>
        <v>1</v>
      </c>
      <c r="CF13" s="141">
        <f>IF(ISBLANK(CA13),"",ROUND(SUMPRODUCT(CC13:CE13,Rank_score)/MAX(SUM($CC$11:$CC$18),SUM($CD$11:$CD$18),SUM($CE$11:$CE$18)),4)+(0.000001*ROWS(CF$10:$CF12)))</f>
        <v>0.91670299999999993</v>
      </c>
      <c r="CG13" s="129"/>
      <c r="CH13" s="207">
        <f t="shared" si="1"/>
        <v>0.5</v>
      </c>
      <c r="CI13" s="314" t="str">
        <f t="shared" si="2"/>
        <v>Very unlikely</v>
      </c>
      <c r="CJ13" s="139"/>
      <c r="CK13" s="139"/>
      <c r="CL13" s="139"/>
      <c r="CM13" s="139"/>
      <c r="CN13" s="139"/>
      <c r="CO13" s="141"/>
      <c r="CP13" s="129"/>
      <c r="CQ13" s="82"/>
      <c r="CR13" s="129"/>
      <c r="CS13" s="286" t="s">
        <v>159</v>
      </c>
      <c r="CT13" s="139"/>
      <c r="CU13" s="141">
        <f t="shared" ref="CU13:CW13" si="9">IF(ISBLANK($CS13),"",IFERROR(CU66/$CT$58,0)+IFERROR(CU93/$CT$85,0)+IFERROR(CU120/$CT$112,0)+IFERROR(CU147/$CT$139,0)+IFERROR(CU174/$CT$166,0)+IFERROR(CU201/$CT$193,0))</f>
        <v>0</v>
      </c>
      <c r="CV13" s="141">
        <f t="shared" si="9"/>
        <v>0</v>
      </c>
      <c r="CW13" s="141">
        <f t="shared" si="9"/>
        <v>0</v>
      </c>
      <c r="CX13" s="141">
        <f>IF(ISBLANK($CS13),"",ROUND(SUMPRODUCT(CU13:CW13,Rank_score)/MAX(SUM($CU$11:$CU$18),SUM($CV$11:$CV$18),SUM($CW$11:$CW$18)),4)+(0.000001*ROWS($CX$10:CX12)))</f>
        <v>3.0000000000000001E-6</v>
      </c>
      <c r="CY13" s="129"/>
      <c r="CZ13" s="207">
        <f t="shared" si="4"/>
        <v>0</v>
      </c>
      <c r="DA13" s="314" t="str">
        <f t="shared" si="5"/>
        <v>Factor not ranked</v>
      </c>
      <c r="DB13" s="139"/>
      <c r="DC13" s="139"/>
      <c r="DD13" s="139"/>
      <c r="DE13" s="139"/>
      <c r="DF13" s="139"/>
      <c r="DG13" s="141"/>
      <c r="DH13" s="129"/>
      <c r="DI13" s="82"/>
      <c r="DJ13" s="129"/>
      <c r="DK13" s="530"/>
      <c r="DL13" s="531"/>
      <c r="DM13" s="531"/>
      <c r="DN13" s="531"/>
      <c r="DO13" s="531"/>
      <c r="DP13" s="531"/>
      <c r="DQ13" s="532"/>
      <c r="DR13" s="287"/>
      <c r="DS13" s="528"/>
      <c r="DT13" s="529"/>
      <c r="DU13" s="129"/>
      <c r="DV13" s="129"/>
      <c r="DW13" s="129"/>
      <c r="DX13" s="129"/>
      <c r="DY13" s="129"/>
      <c r="DZ13" s="129"/>
      <c r="EA13" s="129"/>
      <c r="EB13" s="129"/>
      <c r="EC13" s="129"/>
      <c r="ED13" s="129"/>
      <c r="EE13" s="129"/>
      <c r="EF13" s="129"/>
      <c r="EG13" s="129"/>
      <c r="EH13" s="129"/>
      <c r="EI13" s="129"/>
      <c r="EJ13" s="129"/>
      <c r="EK13" s="129"/>
      <c r="EL13" s="129"/>
    </row>
    <row r="14" spans="1:142" s="260" customFormat="1" ht="15" customHeight="1" x14ac:dyDescent="0.25">
      <c r="A14" s="129"/>
      <c r="B14" s="530"/>
      <c r="C14" s="531"/>
      <c r="D14" s="531"/>
      <c r="E14" s="531"/>
      <c r="F14" s="531"/>
      <c r="G14" s="531"/>
      <c r="H14" s="532"/>
      <c r="I14" s="285"/>
      <c r="J14" s="129"/>
      <c r="K14" s="129"/>
      <c r="L14" s="129"/>
      <c r="M14" s="129"/>
      <c r="N14" s="129"/>
      <c r="O14" s="129"/>
      <c r="P14" s="129"/>
      <c r="Q14" s="82"/>
      <c r="S14" s="530"/>
      <c r="T14" s="531"/>
      <c r="U14" s="531"/>
      <c r="V14" s="531"/>
      <c r="W14" s="531"/>
      <c r="X14" s="531"/>
      <c r="Y14" s="532"/>
      <c r="Z14" s="129"/>
      <c r="AA14" s="129"/>
      <c r="AB14" s="129"/>
      <c r="AC14" s="129"/>
      <c r="AD14" s="129"/>
      <c r="AE14" s="129"/>
      <c r="AF14" s="82"/>
      <c r="AH14" s="536"/>
      <c r="AI14" s="537"/>
      <c r="AJ14" s="537"/>
      <c r="AK14" s="537"/>
      <c r="AL14" s="537"/>
      <c r="AM14" s="537"/>
      <c r="AN14" s="538"/>
      <c r="AO14" s="129"/>
      <c r="AP14" s="129"/>
      <c r="AQ14" s="129"/>
      <c r="AR14" s="129"/>
      <c r="AS14" s="129"/>
      <c r="AT14" s="129"/>
      <c r="AU14" s="82"/>
      <c r="AV14" s="129"/>
      <c r="AW14" s="530"/>
      <c r="AX14" s="531"/>
      <c r="AY14" s="531"/>
      <c r="AZ14" s="531"/>
      <c r="BA14" s="531"/>
      <c r="BB14" s="531"/>
      <c r="BC14" s="532"/>
      <c r="BD14" s="129"/>
      <c r="BE14" s="129"/>
      <c r="BF14" s="129"/>
      <c r="BG14" s="129"/>
      <c r="BH14" s="129"/>
      <c r="BI14" s="129"/>
      <c r="BJ14" s="82"/>
      <c r="BL14" s="530"/>
      <c r="BM14" s="531"/>
      <c r="BN14" s="531"/>
      <c r="BO14" s="531"/>
      <c r="BP14" s="531"/>
      <c r="BQ14" s="531"/>
      <c r="BR14" s="532"/>
      <c r="BS14" s="129"/>
      <c r="BT14" s="129"/>
      <c r="BU14" s="129"/>
      <c r="BV14" s="129"/>
      <c r="BW14" s="129"/>
      <c r="BX14" s="129"/>
      <c r="BY14" s="82"/>
      <c r="BZ14" s="129"/>
      <c r="CA14" s="286" t="s">
        <v>341</v>
      </c>
      <c r="CB14" s="139"/>
      <c r="CC14" s="141">
        <f t="shared" ref="CC14:CE14" si="10">IF(ISBLANK($CA14),"",IFERROR(CC67/$CB$58,0)+IFERROR(CC94/$CG$82,0)+IFERROR(CC121/$CB$112,0)+IFERROR(CC148/$CB$139,0)+IFERROR(CC175/$CB$166,0)+IFERROR(CC202/$CB$193,0))</f>
        <v>1</v>
      </c>
      <c r="CD14" s="141">
        <f t="shared" si="10"/>
        <v>0</v>
      </c>
      <c r="CE14" s="141">
        <f t="shared" si="10"/>
        <v>0</v>
      </c>
      <c r="CF14" s="141">
        <f>IF(ISBLANK(CA14),"",ROUND(SUMPRODUCT(CC14:CE14,Rank_score)/MAX(SUM($CC$11:$CC$18),SUM($CD$11:$CD$18),SUM($CE$11:$CE$18)),4)+(0.000001*ROWS(CF$10:$CF13)))</f>
        <v>0.750004</v>
      </c>
      <c r="CG14" s="129"/>
      <c r="CH14" s="207">
        <f t="shared" si="1"/>
        <v>0.5</v>
      </c>
      <c r="CI14" s="314" t="str">
        <f t="shared" si="2"/>
        <v>Very unlikely</v>
      </c>
      <c r="CJ14" s="139"/>
      <c r="CK14" s="139"/>
      <c r="CL14" s="139"/>
      <c r="CM14" s="139"/>
      <c r="CN14" s="139"/>
      <c r="CO14" s="141"/>
      <c r="CP14" s="129"/>
      <c r="CQ14" s="82"/>
      <c r="CR14" s="129"/>
      <c r="CS14" s="286" t="s">
        <v>345</v>
      </c>
      <c r="CT14" s="139"/>
      <c r="CU14" s="141">
        <f t="shared" ref="CU14:CW14" si="11">IF(ISBLANK($CS14),"",IFERROR(CU67/$CT$58,0)+IFERROR(CU94/$CT$85,0)+IFERROR(CU121/$CT$112,0)+IFERROR(CU148/$CT$139,0)+IFERROR(CU175/$CT$166,0)+IFERROR(CU202/$CT$193,0))</f>
        <v>0.33333333333333331</v>
      </c>
      <c r="CV14" s="141">
        <f t="shared" si="11"/>
        <v>0.33333333333333331</v>
      </c>
      <c r="CW14" s="141">
        <f t="shared" si="11"/>
        <v>0</v>
      </c>
      <c r="CX14" s="141">
        <f>IF(ISBLANK($CS14),"",ROUND(SUMPRODUCT(CU14:CW14,Rank_score)/MAX(SUM($CU$11:$CU$18),SUM($CV$11:$CV$18),SUM($CW$11:$CW$18)),4)+(0.000001*ROWS($CX$10:CX13)))</f>
        <v>0.41670400000000002</v>
      </c>
      <c r="CY14" s="129"/>
      <c r="CZ14" s="207">
        <f t="shared" si="4"/>
        <v>1.5</v>
      </c>
      <c r="DA14" s="314" t="str">
        <f t="shared" si="5"/>
        <v>Unlikely</v>
      </c>
      <c r="DB14" s="139"/>
      <c r="DC14" s="139"/>
      <c r="DD14" s="139"/>
      <c r="DE14" s="139"/>
      <c r="DF14" s="139"/>
      <c r="DG14" s="141"/>
      <c r="DH14" s="129"/>
      <c r="DI14" s="82"/>
      <c r="DJ14" s="129"/>
      <c r="DK14" s="530"/>
      <c r="DL14" s="531"/>
      <c r="DM14" s="531"/>
      <c r="DN14" s="531"/>
      <c r="DO14" s="531"/>
      <c r="DP14" s="531"/>
      <c r="DQ14" s="532"/>
      <c r="DR14" s="287"/>
      <c r="DS14" s="129"/>
      <c r="DT14" s="129"/>
      <c r="DU14" s="129"/>
      <c r="DV14" s="129"/>
      <c r="DW14" s="129"/>
      <c r="DX14" s="129"/>
      <c r="DY14" s="129"/>
      <c r="DZ14" s="129"/>
      <c r="EA14" s="129"/>
      <c r="EB14" s="129"/>
      <c r="EC14" s="129"/>
      <c r="ED14" s="129"/>
      <c r="EE14" s="129"/>
      <c r="EF14" s="129"/>
      <c r="EG14" s="129"/>
      <c r="EH14" s="129"/>
      <c r="EI14" s="129"/>
      <c r="EJ14" s="129"/>
      <c r="EK14" s="129"/>
      <c r="EL14" s="129"/>
    </row>
    <row r="15" spans="1:142" s="260" customFormat="1" ht="15" customHeight="1" x14ac:dyDescent="0.25">
      <c r="A15" s="129"/>
      <c r="B15" s="530"/>
      <c r="C15" s="531"/>
      <c r="D15" s="531"/>
      <c r="E15" s="531"/>
      <c r="F15" s="531"/>
      <c r="G15" s="531"/>
      <c r="H15" s="532"/>
      <c r="I15" s="285"/>
      <c r="J15" s="129"/>
      <c r="K15" s="129"/>
      <c r="L15" s="129"/>
      <c r="M15" s="129"/>
      <c r="N15" s="129"/>
      <c r="O15" s="129"/>
      <c r="P15" s="129"/>
      <c r="Q15" s="82"/>
      <c r="S15" s="530"/>
      <c r="T15" s="531"/>
      <c r="U15" s="531"/>
      <c r="V15" s="531"/>
      <c r="W15" s="531"/>
      <c r="X15" s="531"/>
      <c r="Y15" s="532"/>
      <c r="Z15" s="129"/>
      <c r="AA15" s="129"/>
      <c r="AB15" s="129"/>
      <c r="AC15" s="129"/>
      <c r="AD15" s="129"/>
      <c r="AE15" s="129"/>
      <c r="AF15" s="82"/>
      <c r="AH15" s="536"/>
      <c r="AI15" s="537"/>
      <c r="AJ15" s="537"/>
      <c r="AK15" s="537"/>
      <c r="AL15" s="537"/>
      <c r="AM15" s="537"/>
      <c r="AN15" s="538"/>
      <c r="AO15" s="129"/>
      <c r="AP15" s="129"/>
      <c r="AQ15" s="129"/>
      <c r="AR15" s="129"/>
      <c r="AS15" s="129"/>
      <c r="AT15" s="129"/>
      <c r="AU15" s="82"/>
      <c r="AV15" s="129"/>
      <c r="AW15" s="530"/>
      <c r="AX15" s="531"/>
      <c r="AY15" s="531"/>
      <c r="AZ15" s="531"/>
      <c r="BA15" s="531"/>
      <c r="BB15" s="531"/>
      <c r="BC15" s="532"/>
      <c r="BD15" s="129"/>
      <c r="BE15" s="129"/>
      <c r="BF15" s="129"/>
      <c r="BG15" s="129"/>
      <c r="BH15" s="129"/>
      <c r="BI15" s="129"/>
      <c r="BJ15" s="82"/>
      <c r="BL15" s="530"/>
      <c r="BM15" s="531"/>
      <c r="BN15" s="531"/>
      <c r="BO15" s="531"/>
      <c r="BP15" s="531"/>
      <c r="BQ15" s="531"/>
      <c r="BR15" s="532"/>
      <c r="BS15" s="129"/>
      <c r="BT15" s="129"/>
      <c r="BU15" s="129"/>
      <c r="BV15" s="129"/>
      <c r="BW15" s="129"/>
      <c r="BX15" s="129"/>
      <c r="BY15" s="82"/>
      <c r="BZ15" s="129"/>
      <c r="CA15" s="286" t="s">
        <v>462</v>
      </c>
      <c r="CB15" s="139"/>
      <c r="CC15" s="141">
        <f t="shared" ref="CC15:CE15" si="12">IF(ISBLANK($CA15),"",IFERROR(CC68/$CB$58,0)+IFERROR(CC95/$CG$82,0)+IFERROR(CC122/$CB$112,0)+IFERROR(CC149/$CB$139,0)+IFERROR(CC176/$CB$166,0)+IFERROR(CC203/$CB$193,0))</f>
        <v>0</v>
      </c>
      <c r="CD15" s="141">
        <f t="shared" si="12"/>
        <v>0</v>
      </c>
      <c r="CE15" s="141">
        <f t="shared" si="12"/>
        <v>0</v>
      </c>
      <c r="CF15" s="141">
        <f>IF(ISBLANK(CA15),"",ROUND(SUMPRODUCT(CC15:CE15,Rank_score)/MAX(SUM($CC$11:$CC$18),SUM($CD$11:$CD$18),SUM($CE$11:$CE$18)),4)+(0.000001*ROWS(CF$10:$CF14)))</f>
        <v>4.9999999999999996E-6</v>
      </c>
      <c r="CG15" s="129"/>
      <c r="CH15" s="207">
        <f t="shared" si="1"/>
        <v>0</v>
      </c>
      <c r="CI15" s="314" t="str">
        <f t="shared" si="2"/>
        <v>Factor not ranked</v>
      </c>
      <c r="CJ15" s="139"/>
      <c r="CK15" s="139"/>
      <c r="CL15" s="139"/>
      <c r="CM15" s="139"/>
      <c r="CN15" s="139"/>
      <c r="CO15" s="141"/>
      <c r="CP15" s="129"/>
      <c r="CQ15" s="82"/>
      <c r="CR15" s="129"/>
      <c r="CS15" s="286" t="s">
        <v>342</v>
      </c>
      <c r="CT15" s="139"/>
      <c r="CU15" s="141">
        <f t="shared" ref="CU15:CW15" si="13">IF(ISBLANK($CS15),"",IFERROR(CU68/$CT$58,0)+IFERROR(CU95/$CT$85,0)+IFERROR(CU122/$CT$112,0)+IFERROR(CU149/$CT$139,0)+IFERROR(CU176/$CT$166,0)+IFERROR(CU203/$CT$193,0))</f>
        <v>1</v>
      </c>
      <c r="CV15" s="141">
        <f t="shared" si="13"/>
        <v>0.33333333333333331</v>
      </c>
      <c r="CW15" s="141">
        <f t="shared" si="13"/>
        <v>0.33333333333333331</v>
      </c>
      <c r="CX15" s="141">
        <f>IF(ISBLANK($CS15),"",ROUND(SUMPRODUCT(CU15:CW15,Rank_score)/MAX(SUM($CU$11:$CU$18),SUM($CV$11:$CV$18),SUM($CW$11:$CW$18)),4)+(0.000001*ROWS($CX$10:CX14)))</f>
        <v>1.000005</v>
      </c>
      <c r="CY15" s="129"/>
      <c r="CZ15" s="207">
        <f t="shared" si="4"/>
        <v>3</v>
      </c>
      <c r="DA15" s="314" t="str">
        <f t="shared" si="5"/>
        <v>Moderately likely</v>
      </c>
      <c r="DB15" s="139"/>
      <c r="DC15" s="139"/>
      <c r="DD15" s="139"/>
      <c r="DE15" s="139"/>
      <c r="DF15" s="139"/>
      <c r="DG15" s="141"/>
      <c r="DH15" s="129"/>
      <c r="DI15" s="82"/>
      <c r="DJ15" s="129"/>
      <c r="DK15" s="530"/>
      <c r="DL15" s="531"/>
      <c r="DM15" s="531"/>
      <c r="DN15" s="531"/>
      <c r="DO15" s="531"/>
      <c r="DP15" s="531"/>
      <c r="DQ15" s="532"/>
      <c r="DR15" s="287"/>
      <c r="DS15" s="129"/>
      <c r="DT15" s="129"/>
      <c r="DU15" s="129"/>
      <c r="DV15" s="129"/>
      <c r="DW15" s="129"/>
      <c r="DX15" s="129"/>
      <c r="DY15" s="129"/>
      <c r="DZ15" s="129"/>
      <c r="EA15" s="129"/>
      <c r="EB15" s="129"/>
      <c r="EC15" s="129"/>
      <c r="ED15" s="129"/>
      <c r="EE15" s="129"/>
      <c r="EF15" s="129"/>
      <c r="EG15" s="129"/>
      <c r="EH15" s="129"/>
      <c r="EI15" s="129"/>
      <c r="EJ15" s="129"/>
      <c r="EK15" s="129"/>
      <c r="EL15" s="129"/>
    </row>
    <row r="16" spans="1:142" s="260" customFormat="1" ht="13.5" customHeight="1" x14ac:dyDescent="0.25">
      <c r="A16" s="129"/>
      <c r="B16" s="530"/>
      <c r="C16" s="531"/>
      <c r="D16" s="531"/>
      <c r="E16" s="531"/>
      <c r="F16" s="531"/>
      <c r="G16" s="531"/>
      <c r="H16" s="532"/>
      <c r="I16" s="285"/>
      <c r="J16" s="129"/>
      <c r="K16" s="129"/>
      <c r="L16" s="129"/>
      <c r="M16" s="129"/>
      <c r="N16" s="129"/>
      <c r="O16" s="129"/>
      <c r="P16" s="129"/>
      <c r="Q16" s="82"/>
      <c r="S16" s="530"/>
      <c r="T16" s="531"/>
      <c r="U16" s="531"/>
      <c r="V16" s="531"/>
      <c r="W16" s="531"/>
      <c r="X16" s="531"/>
      <c r="Y16" s="532"/>
      <c r="Z16" s="129"/>
      <c r="AA16" s="129"/>
      <c r="AB16" s="129"/>
      <c r="AC16" s="129"/>
      <c r="AD16" s="129"/>
      <c r="AE16" s="129"/>
      <c r="AF16" s="82"/>
      <c r="AH16" s="536"/>
      <c r="AI16" s="537"/>
      <c r="AJ16" s="537"/>
      <c r="AK16" s="537"/>
      <c r="AL16" s="537"/>
      <c r="AM16" s="537"/>
      <c r="AN16" s="538"/>
      <c r="AO16" s="129"/>
      <c r="AP16" s="129"/>
      <c r="AQ16" s="129"/>
      <c r="AR16" s="129"/>
      <c r="AS16" s="129"/>
      <c r="AT16" s="129"/>
      <c r="AU16" s="82"/>
      <c r="AV16" s="129"/>
      <c r="AW16" s="530"/>
      <c r="AX16" s="531"/>
      <c r="AY16" s="531"/>
      <c r="AZ16" s="531"/>
      <c r="BA16" s="531"/>
      <c r="BB16" s="531"/>
      <c r="BC16" s="532"/>
      <c r="BD16" s="129"/>
      <c r="BE16" s="129"/>
      <c r="BF16" s="129"/>
      <c r="BG16" s="129"/>
      <c r="BH16" s="129"/>
      <c r="BI16" s="129"/>
      <c r="BJ16" s="82"/>
      <c r="BL16" s="530"/>
      <c r="BM16" s="531"/>
      <c r="BN16" s="531"/>
      <c r="BO16" s="531"/>
      <c r="BP16" s="531"/>
      <c r="BQ16" s="531"/>
      <c r="BR16" s="532"/>
      <c r="BS16" s="129"/>
      <c r="BT16" s="129"/>
      <c r="BU16" s="129"/>
      <c r="BV16" s="129"/>
      <c r="BW16" s="129"/>
      <c r="BX16" s="129"/>
      <c r="BY16" s="82"/>
      <c r="BZ16" s="129"/>
      <c r="CA16" s="286" t="s">
        <v>49</v>
      </c>
      <c r="CB16" s="139"/>
      <c r="CC16" s="141">
        <f t="shared" ref="CC16:CE17" si="14">IF(ISBLANK($CA16),"",IFERROR(CC69/$CB$58,0)+IFERROR(CC96/$CG$82,0)+IFERROR(CC123/$CB$112,0)+IFERROR(CC150/$CB$139,0)+IFERROR(CC177/$CB$166,0)+IFERROR(CC204/$CB$193,0))</f>
        <v>0.66666666666666663</v>
      </c>
      <c r="CD16" s="141">
        <f t="shared" si="14"/>
        <v>0</v>
      </c>
      <c r="CE16" s="141">
        <f t="shared" si="14"/>
        <v>0</v>
      </c>
      <c r="CF16" s="141">
        <f>IF(ISBLANK(CA16),"",ROUND(SUMPRODUCT(CC16:CE16,Rank_score)/MAX(SUM($CC$11:$CC$18),SUM($CD$11:$CD$18),SUM($CE$11:$CE$18)),4)+(0.000001*ROWS(CF$10:$CF15)))</f>
        <v>0.50000599999999995</v>
      </c>
      <c r="CG16" s="287"/>
      <c r="CH16" s="207">
        <f t="shared" si="1"/>
        <v>0.5</v>
      </c>
      <c r="CI16" s="314" t="str">
        <f t="shared" si="2"/>
        <v>Very unlikely</v>
      </c>
      <c r="CJ16" s="139"/>
      <c r="CK16" s="139"/>
      <c r="CL16" s="139"/>
      <c r="CM16" s="139"/>
      <c r="CN16" s="139"/>
      <c r="CO16" s="141"/>
      <c r="CP16" s="287"/>
      <c r="CQ16" s="82"/>
      <c r="CR16" s="129"/>
      <c r="CS16" s="286" t="s">
        <v>49</v>
      </c>
      <c r="CT16" s="139"/>
      <c r="CU16" s="141">
        <f t="shared" ref="CU16:CW16" si="15">IF(ISBLANK($CS16),"",IFERROR(CU69/$CT$58,0)+IFERROR(CU96/$CT$85,0)+IFERROR(CU123/$CT$112,0)+IFERROR(CU150/$CT$139,0)+IFERROR(CU177/$CT$166,0)+IFERROR(CU204/$CT$193,0))</f>
        <v>0.66666666666666663</v>
      </c>
      <c r="CV16" s="141">
        <f t="shared" si="15"/>
        <v>1</v>
      </c>
      <c r="CW16" s="141">
        <f t="shared" si="15"/>
        <v>0</v>
      </c>
      <c r="CX16" s="141">
        <f>IF(ISBLANK($CS16),"",ROUND(SUMPRODUCT(CU16:CW16,Rank_score)/MAX(SUM($CU$11:$CU$18),SUM($CV$11:$CV$18),SUM($CW$11:$CW$18)),4)+(0.000001*ROWS($CX$10:CX15)))</f>
        <v>1.000006</v>
      </c>
      <c r="CY16" s="287"/>
      <c r="CZ16" s="207">
        <f t="shared" si="4"/>
        <v>3</v>
      </c>
      <c r="DA16" s="314" t="str">
        <f t="shared" si="5"/>
        <v>Moderately likely</v>
      </c>
      <c r="DB16" s="139"/>
      <c r="DC16" s="139"/>
      <c r="DD16" s="139"/>
      <c r="DE16" s="139"/>
      <c r="DF16" s="139"/>
      <c r="DG16" s="141"/>
      <c r="DH16" s="287"/>
      <c r="DI16" s="82"/>
      <c r="DJ16" s="287"/>
      <c r="DK16" s="530"/>
      <c r="DL16" s="531"/>
      <c r="DM16" s="531"/>
      <c r="DN16" s="531"/>
      <c r="DO16" s="531"/>
      <c r="DP16" s="531"/>
      <c r="DQ16" s="532"/>
      <c r="DR16" s="287"/>
      <c r="DS16" s="129"/>
      <c r="DT16" s="129"/>
      <c r="DU16" s="129"/>
      <c r="DV16" s="129"/>
      <c r="DW16" s="129"/>
      <c r="DX16" s="129"/>
      <c r="DY16" s="129"/>
      <c r="DZ16" s="129"/>
      <c r="EA16" s="129"/>
      <c r="EB16" s="129"/>
      <c r="EC16" s="129"/>
      <c r="ED16" s="129"/>
      <c r="EE16" s="129"/>
      <c r="EF16" s="129"/>
      <c r="EG16" s="129"/>
      <c r="EH16" s="129"/>
      <c r="EI16" s="129"/>
      <c r="EJ16" s="129"/>
      <c r="EK16" s="129"/>
      <c r="EL16" s="129"/>
    </row>
    <row r="17" spans="1:142" s="260" customFormat="1" ht="15" customHeight="1" thickBot="1" x14ac:dyDescent="0.3">
      <c r="A17" s="129"/>
      <c r="B17" s="533"/>
      <c r="C17" s="534"/>
      <c r="D17" s="534"/>
      <c r="E17" s="534"/>
      <c r="F17" s="534"/>
      <c r="G17" s="534"/>
      <c r="H17" s="535"/>
      <c r="I17" s="285"/>
      <c r="J17" s="129"/>
      <c r="K17" s="129"/>
      <c r="L17" s="129"/>
      <c r="M17" s="129"/>
      <c r="N17" s="129"/>
      <c r="O17" s="129"/>
      <c r="P17" s="129"/>
      <c r="Q17" s="82"/>
      <c r="S17" s="533"/>
      <c r="T17" s="534"/>
      <c r="U17" s="534"/>
      <c r="V17" s="534"/>
      <c r="W17" s="534"/>
      <c r="X17" s="534"/>
      <c r="Y17" s="535"/>
      <c r="Z17" s="129"/>
      <c r="AA17" s="129"/>
      <c r="AB17" s="129"/>
      <c r="AC17" s="129"/>
      <c r="AD17" s="129"/>
      <c r="AE17" s="129"/>
      <c r="AF17" s="82"/>
      <c r="AH17" s="539"/>
      <c r="AI17" s="540"/>
      <c r="AJ17" s="540"/>
      <c r="AK17" s="540"/>
      <c r="AL17" s="540"/>
      <c r="AM17" s="540"/>
      <c r="AN17" s="541"/>
      <c r="AO17" s="129"/>
      <c r="AP17" s="129"/>
      <c r="AQ17" s="129"/>
      <c r="AR17" s="129"/>
      <c r="AS17" s="129"/>
      <c r="AT17" s="129"/>
      <c r="AU17" s="82"/>
      <c r="AV17" s="129"/>
      <c r="AW17" s="533"/>
      <c r="AX17" s="534"/>
      <c r="AY17" s="534"/>
      <c r="AZ17" s="534"/>
      <c r="BA17" s="534"/>
      <c r="BB17" s="534"/>
      <c r="BC17" s="535"/>
      <c r="BD17" s="129"/>
      <c r="BE17" s="129"/>
      <c r="BF17" s="129"/>
      <c r="BG17" s="129"/>
      <c r="BH17" s="129"/>
      <c r="BI17" s="129"/>
      <c r="BJ17" s="82"/>
      <c r="BL17" s="533"/>
      <c r="BM17" s="534"/>
      <c r="BN17" s="534"/>
      <c r="BO17" s="534"/>
      <c r="BP17" s="534"/>
      <c r="BQ17" s="534"/>
      <c r="BR17" s="535"/>
      <c r="BS17" s="129"/>
      <c r="BT17" s="129"/>
      <c r="BU17" s="129"/>
      <c r="BV17" s="129"/>
      <c r="BW17" s="129"/>
      <c r="BX17" s="129"/>
      <c r="BY17" s="82"/>
      <c r="BZ17" s="129"/>
      <c r="CA17" s="140"/>
      <c r="CB17" s="139"/>
      <c r="CC17" s="141" t="str">
        <f t="shared" si="14"/>
        <v/>
      </c>
      <c r="CD17" s="141" t="str">
        <f t="shared" si="14"/>
        <v/>
      </c>
      <c r="CE17" s="141" t="str">
        <f t="shared" si="14"/>
        <v/>
      </c>
      <c r="CF17" s="141" t="str">
        <f>IF(ISBLANK(CA17),"",ROUND(SUMPRODUCT(CC17:CE17,Rank_score)/MAX(SUM($CC$11:$CC$18),SUM($CD$11:$CD$18),SUM($CE$11:$CE$18)),4)+(0.000001*ROWS(CF$10:$CF16)))</f>
        <v/>
      </c>
      <c r="CG17" s="38"/>
      <c r="CH17" s="207" t="str">
        <f t="shared" si="1"/>
        <v/>
      </c>
      <c r="CI17" s="314" t="str">
        <f t="shared" si="2"/>
        <v/>
      </c>
      <c r="CJ17" s="139"/>
      <c r="CK17" s="139"/>
      <c r="CL17" s="139"/>
      <c r="CM17" s="139"/>
      <c r="CN17" s="139"/>
      <c r="CO17" s="141"/>
      <c r="CP17" s="38"/>
      <c r="CQ17" s="82"/>
      <c r="CR17" s="129"/>
      <c r="CS17" s="140"/>
      <c r="CT17" s="139"/>
      <c r="CU17" s="141" t="str">
        <f t="shared" ref="CU17:CW17" si="16">IF(ISBLANK($CS17),"",IFERROR(CU70/$CT$58,0)+IFERROR(CU97/$CT$85,0)+IFERROR(CU124/$CT$112,0)+IFERROR(CU151/$CT$139,0)+IFERROR(CU178/$CT$166,0)+IFERROR(CU205/$CT$193,0))</f>
        <v/>
      </c>
      <c r="CV17" s="141" t="str">
        <f t="shared" si="16"/>
        <v/>
      </c>
      <c r="CW17" s="141" t="str">
        <f t="shared" si="16"/>
        <v/>
      </c>
      <c r="CX17" s="141" t="str">
        <f>IF(ISBLANK($CS17),"",ROUND(SUMPRODUCT(CU17:CW17,Rank_score)/MAX(SUM($CU$11:$CU$18),SUM($CV$11:$CV$18),SUM($CW$11:$CW$18)),4)+(0.000001*ROWS($CX$10:CX16)))</f>
        <v/>
      </c>
      <c r="CY17" s="38"/>
      <c r="CZ17" s="207" t="str">
        <f t="shared" si="4"/>
        <v/>
      </c>
      <c r="DA17" s="314" t="str">
        <f t="shared" si="5"/>
        <v/>
      </c>
      <c r="DB17" s="139"/>
      <c r="DC17" s="139"/>
      <c r="DD17" s="139"/>
      <c r="DE17" s="139"/>
      <c r="DF17" s="139"/>
      <c r="DG17" s="141"/>
      <c r="DH17" s="38"/>
      <c r="DI17" s="82"/>
      <c r="DJ17" s="38"/>
      <c r="DK17" s="533"/>
      <c r="DL17" s="534"/>
      <c r="DM17" s="534"/>
      <c r="DN17" s="534"/>
      <c r="DO17" s="534"/>
      <c r="DP17" s="534"/>
      <c r="DQ17" s="535"/>
      <c r="DR17" s="287"/>
      <c r="DS17" s="129"/>
      <c r="DT17" s="129"/>
      <c r="DU17" s="129"/>
      <c r="DV17" s="129"/>
      <c r="DW17" s="129"/>
      <c r="DX17" s="129"/>
      <c r="DY17" s="129"/>
      <c r="DZ17" s="129"/>
      <c r="EA17" s="129"/>
      <c r="EB17" s="129"/>
      <c r="EC17" s="129"/>
      <c r="ED17" s="129"/>
      <c r="EE17" s="129"/>
      <c r="EF17" s="129"/>
      <c r="EG17" s="129"/>
      <c r="EH17" s="129"/>
      <c r="EI17" s="129"/>
      <c r="EJ17" s="129"/>
      <c r="EK17" s="129"/>
      <c r="EL17" s="129"/>
    </row>
    <row r="18" spans="1:142" ht="14.4" x14ac:dyDescent="0.3">
      <c r="A18" s="14"/>
      <c r="B18" s="23"/>
      <c r="C18" s="14"/>
      <c r="D18" s="18"/>
      <c r="E18" s="14"/>
      <c r="F18" s="14"/>
      <c r="G18" s="14"/>
      <c r="H18" s="75"/>
      <c r="I18" s="21"/>
      <c r="J18" s="14"/>
      <c r="K18" s="14"/>
      <c r="L18" s="14"/>
      <c r="M18" s="14"/>
      <c r="N18" s="14"/>
      <c r="O18" s="14"/>
      <c r="P18" s="14"/>
      <c r="Q18" s="47"/>
      <c r="R18" s="19"/>
      <c r="S18" s="14"/>
      <c r="T18" s="14"/>
      <c r="U18" s="14"/>
      <c r="V18" s="14"/>
      <c r="W18" s="14"/>
      <c r="X18" s="14"/>
      <c r="Y18" s="14"/>
      <c r="Z18" s="14"/>
      <c r="AA18" s="14"/>
      <c r="AB18" s="14"/>
      <c r="AC18" s="14"/>
      <c r="AD18" s="14"/>
      <c r="AE18" s="14"/>
      <c r="AF18" s="47"/>
      <c r="AG18" s="19"/>
      <c r="AH18" s="14"/>
      <c r="AI18" s="14"/>
      <c r="AJ18" s="14"/>
      <c r="AK18" s="14"/>
      <c r="AL18" s="14"/>
      <c r="AM18" s="14"/>
      <c r="AN18" s="14"/>
      <c r="AO18" s="14"/>
      <c r="AP18" s="14"/>
      <c r="AQ18" s="14"/>
      <c r="AR18" s="14"/>
      <c r="AS18" s="14"/>
      <c r="AT18" s="14"/>
      <c r="AU18" s="47"/>
      <c r="AV18" s="14"/>
      <c r="AW18" s="14"/>
      <c r="AX18" s="14"/>
      <c r="AY18" s="14"/>
      <c r="AZ18" s="14"/>
      <c r="BA18" s="14"/>
      <c r="BB18" s="14"/>
      <c r="BC18" s="14"/>
      <c r="BD18" s="14"/>
      <c r="BE18" s="14"/>
      <c r="BF18" s="14"/>
      <c r="BG18" s="14"/>
      <c r="BH18" s="14"/>
      <c r="BI18" s="14"/>
      <c r="BJ18" s="47"/>
      <c r="BK18" s="19"/>
      <c r="BL18" s="14"/>
      <c r="BM18" s="14"/>
      <c r="BN18" s="14"/>
      <c r="BO18" s="14"/>
      <c r="BP18" s="14"/>
      <c r="BQ18" s="14"/>
      <c r="BR18" s="14"/>
      <c r="BS18" s="14"/>
      <c r="BT18" s="14"/>
      <c r="BU18" s="14"/>
      <c r="BV18" s="14"/>
      <c r="BW18" s="14"/>
      <c r="BX18" s="14"/>
      <c r="BY18" s="47"/>
      <c r="BZ18" s="14"/>
      <c r="CA18" s="107"/>
      <c r="CB18" s="27"/>
      <c r="CC18" s="141"/>
      <c r="CD18" s="141"/>
      <c r="CE18" s="141"/>
      <c r="CF18" s="141" t="str">
        <f>IF(ISBLANK(CA18),"",ROUND(SUMPRODUCT(CC18:CE18,Rank_score)/MAX(SUM($CC$11:$CC$18),SUM($CD$11:$CD$18),SUM($CE$11:$CE$18)),4)+(0.000001*ROWS(CF$10:$CF17)))</f>
        <v/>
      </c>
      <c r="CG18" s="29"/>
      <c r="CH18" s="207"/>
      <c r="CI18" s="314" t="str">
        <f t="shared" si="2"/>
        <v/>
      </c>
      <c r="CJ18" s="115"/>
      <c r="CK18" s="115"/>
      <c r="CL18" s="115"/>
      <c r="CM18" s="115"/>
      <c r="CN18" s="115"/>
      <c r="CO18" s="326"/>
      <c r="CP18" s="29"/>
      <c r="CQ18" s="47"/>
      <c r="CR18" s="14"/>
      <c r="CS18" s="107"/>
      <c r="CT18" s="27"/>
      <c r="CU18" s="141" t="str">
        <f t="shared" ref="CU18:CW18" si="17">IF(ISBLANK($CS18),"",IFERROR(CU71/$CT$58,0)+IFERROR(CU98/$CT$85,0)+IFERROR(CU125/$CT$112,0)+IFERROR(CU152/$CT$139,0)+IFERROR(CU179/$CT$166,0)+IFERROR(CU206/$CT$193,0))</f>
        <v/>
      </c>
      <c r="CV18" s="141" t="str">
        <f t="shared" si="17"/>
        <v/>
      </c>
      <c r="CW18" s="141" t="str">
        <f t="shared" si="17"/>
        <v/>
      </c>
      <c r="CX18" s="141" t="str">
        <f>IF(ISBLANK($CS18),"",ROUND(SUMPRODUCT(CU18:CW18,Rank_score)/MAX(SUM($CU$11:$CU$18),SUM($CV$11:$CV$18),SUM($CW$11:$CW$18)),4)+(0.000001*ROWS($CX$10:CX17)))</f>
        <v/>
      </c>
      <c r="CY18" s="29"/>
      <c r="CZ18" s="207" t="str">
        <f t="shared" si="4"/>
        <v/>
      </c>
      <c r="DA18" s="314" t="str">
        <f t="shared" si="5"/>
        <v/>
      </c>
      <c r="DB18" s="27"/>
      <c r="DC18" s="27"/>
      <c r="DD18" s="27"/>
      <c r="DE18" s="27"/>
      <c r="DF18" s="27"/>
      <c r="DG18" s="141"/>
      <c r="DH18" s="29"/>
      <c r="DI18" s="47"/>
      <c r="DJ18" s="29"/>
      <c r="DK18" s="14"/>
      <c r="DL18" s="14"/>
      <c r="DM18" s="14"/>
      <c r="DN18" s="14"/>
      <c r="DO18" s="14"/>
      <c r="DP18" s="14"/>
      <c r="DQ18" s="14"/>
      <c r="DR18" s="57"/>
      <c r="DS18" s="14"/>
      <c r="DT18" s="14"/>
      <c r="DU18" s="14"/>
      <c r="DV18" s="14"/>
      <c r="DW18" s="14"/>
      <c r="DX18" s="14"/>
      <c r="DY18" s="14"/>
      <c r="DZ18" s="14"/>
      <c r="EA18" s="14"/>
      <c r="EB18" s="14"/>
      <c r="EC18" s="14"/>
      <c r="ED18" s="14"/>
      <c r="EE18" s="14"/>
      <c r="EF18" s="14"/>
      <c r="EG18" s="14"/>
      <c r="EH18" s="14"/>
      <c r="EI18" s="14"/>
      <c r="EJ18" s="14"/>
      <c r="EK18" s="14"/>
      <c r="EL18" s="14"/>
    </row>
    <row r="19" spans="1:142" x14ac:dyDescent="0.25">
      <c r="A19" s="14"/>
      <c r="B19" s="23"/>
      <c r="C19" s="14"/>
      <c r="D19" s="18"/>
      <c r="E19" s="14"/>
      <c r="F19" s="14"/>
      <c r="G19" s="14"/>
      <c r="H19" s="21"/>
      <c r="I19" s="21"/>
      <c r="J19" s="14"/>
      <c r="K19" s="14"/>
      <c r="L19" s="14"/>
      <c r="M19" s="14"/>
      <c r="N19" s="14"/>
      <c r="O19" s="14"/>
      <c r="P19" s="14"/>
      <c r="Q19" s="47"/>
      <c r="R19" s="19"/>
      <c r="S19" s="14"/>
      <c r="T19" s="14"/>
      <c r="U19" s="14"/>
      <c r="V19" s="14"/>
      <c r="W19" s="14"/>
      <c r="X19" s="19"/>
      <c r="Y19" s="19"/>
      <c r="Z19" s="14"/>
      <c r="AA19" s="14"/>
      <c r="AB19" s="14"/>
      <c r="AC19" s="14"/>
      <c r="AD19" s="14"/>
      <c r="AE19" s="14"/>
      <c r="AF19" s="47"/>
      <c r="AG19" s="19"/>
      <c r="AH19" s="14"/>
      <c r="AI19" s="14"/>
      <c r="AJ19" s="14"/>
      <c r="AK19" s="14"/>
      <c r="AL19" s="14"/>
      <c r="AM19" s="19"/>
      <c r="AN19" s="14"/>
      <c r="AO19" s="14"/>
      <c r="AP19" s="14"/>
      <c r="AQ19" s="14"/>
      <c r="AR19" s="14"/>
      <c r="AS19" s="14"/>
      <c r="AT19" s="14"/>
      <c r="AU19" s="47"/>
      <c r="AV19" s="14"/>
      <c r="AW19" s="14"/>
      <c r="AX19" s="14"/>
      <c r="AY19" s="14"/>
      <c r="AZ19" s="14"/>
      <c r="BA19" s="14"/>
      <c r="BB19" s="19"/>
      <c r="BC19" s="19"/>
      <c r="BD19" s="14"/>
      <c r="BE19" s="14"/>
      <c r="BF19" s="14"/>
      <c r="BG19" s="14"/>
      <c r="BH19" s="14"/>
      <c r="BI19" s="14"/>
      <c r="BJ19" s="47"/>
      <c r="BK19" s="19"/>
      <c r="BL19" s="14"/>
      <c r="BM19" s="14"/>
      <c r="BN19" s="14"/>
      <c r="BO19" s="14"/>
      <c r="BP19" s="14"/>
      <c r="BQ19" s="19"/>
      <c r="BR19" s="19"/>
      <c r="BS19" s="14"/>
      <c r="BT19" s="14"/>
      <c r="BU19" s="14"/>
      <c r="BV19" s="14"/>
      <c r="BW19" s="14"/>
      <c r="BX19" s="14"/>
      <c r="BY19" s="47"/>
      <c r="BZ19" s="14"/>
      <c r="CA19" s="86"/>
      <c r="CB19" s="111"/>
      <c r="CC19" s="86"/>
      <c r="CD19" s="86"/>
      <c r="CE19" s="86"/>
      <c r="CF19" s="108"/>
      <c r="CG19" s="29"/>
      <c r="CH19" s="110"/>
      <c r="CI19" s="110"/>
      <c r="CJ19" s="115"/>
      <c r="CK19" s="115"/>
      <c r="CL19" s="115"/>
      <c r="CM19" s="115"/>
      <c r="CN19" s="115"/>
      <c r="CO19" s="129"/>
      <c r="CP19" s="29"/>
      <c r="CQ19" s="47"/>
      <c r="CR19" s="14"/>
      <c r="CS19" s="86"/>
      <c r="CT19" s="111"/>
      <c r="CU19" s="86"/>
      <c r="CV19" s="111"/>
      <c r="CW19" s="86"/>
      <c r="CX19" s="108"/>
      <c r="CY19" s="29"/>
      <c r="CZ19" s="110"/>
      <c r="DA19" s="110"/>
      <c r="DB19" s="115"/>
      <c r="DC19" s="115"/>
      <c r="DD19" s="115"/>
      <c r="DE19" s="115"/>
      <c r="DF19" s="115"/>
      <c r="DG19" s="326"/>
      <c r="DH19" s="29"/>
      <c r="DI19" s="47"/>
      <c r="DJ19" s="29"/>
      <c r="DK19" s="14"/>
      <c r="DL19" s="14"/>
      <c r="DM19" s="14"/>
      <c r="DN19" s="14"/>
      <c r="DO19" s="14"/>
      <c r="DP19" s="14"/>
      <c r="DQ19" s="14"/>
      <c r="DR19" s="57"/>
      <c r="DS19" s="14"/>
      <c r="DT19" s="14"/>
      <c r="DU19" s="14"/>
      <c r="DV19" s="14"/>
      <c r="DW19" s="14"/>
      <c r="DX19" s="14"/>
      <c r="DY19" s="14"/>
      <c r="DZ19" s="14"/>
      <c r="EA19" s="14"/>
      <c r="EB19" s="14"/>
      <c r="EC19" s="14"/>
      <c r="ED19" s="14"/>
      <c r="EE19" s="14"/>
      <c r="EF19" s="14"/>
      <c r="EG19" s="14"/>
      <c r="EH19" s="14"/>
      <c r="EI19" s="14"/>
      <c r="EJ19" s="14"/>
      <c r="EK19" s="14"/>
      <c r="EL19" s="14"/>
    </row>
    <row r="20" spans="1:142" x14ac:dyDescent="0.25">
      <c r="A20" s="14"/>
      <c r="B20" s="23"/>
      <c r="C20" s="14"/>
      <c r="D20" s="18"/>
      <c r="E20" s="14"/>
      <c r="F20" s="14"/>
      <c r="G20" s="14"/>
      <c r="H20" s="21"/>
      <c r="I20" s="21"/>
      <c r="J20" s="14"/>
      <c r="K20" s="14"/>
      <c r="L20" s="14"/>
      <c r="M20" s="14"/>
      <c r="N20" s="14"/>
      <c r="O20" s="14"/>
      <c r="P20" s="14"/>
      <c r="Q20" s="47"/>
      <c r="R20" s="19"/>
      <c r="S20" s="14"/>
      <c r="T20" s="14"/>
      <c r="U20" s="14"/>
      <c r="V20" s="14"/>
      <c r="W20" s="14"/>
      <c r="X20" s="19"/>
      <c r="Y20" s="19"/>
      <c r="Z20" s="14"/>
      <c r="AA20" s="14"/>
      <c r="AB20" s="14"/>
      <c r="AC20" s="14"/>
      <c r="AD20" s="14"/>
      <c r="AE20" s="14"/>
      <c r="AF20" s="47"/>
      <c r="AG20" s="19"/>
      <c r="AH20" s="14"/>
      <c r="AI20" s="14"/>
      <c r="AJ20" s="14"/>
      <c r="AK20" s="14"/>
      <c r="AL20" s="14"/>
      <c r="AM20" s="19"/>
      <c r="AN20" s="19"/>
      <c r="AO20" s="14"/>
      <c r="AP20" s="14"/>
      <c r="AQ20" s="14"/>
      <c r="AR20" s="14"/>
      <c r="AS20" s="14"/>
      <c r="AT20" s="14"/>
      <c r="AU20" s="47"/>
      <c r="AV20" s="14"/>
      <c r="AW20" s="14"/>
      <c r="AX20" s="14"/>
      <c r="AY20" s="14"/>
      <c r="AZ20" s="14"/>
      <c r="BA20" s="14"/>
      <c r="BB20" s="19"/>
      <c r="BC20" s="19"/>
      <c r="BD20" s="14"/>
      <c r="BE20" s="14"/>
      <c r="BF20" s="14"/>
      <c r="BG20" s="14"/>
      <c r="BH20" s="14"/>
      <c r="BI20" s="14"/>
      <c r="BJ20" s="47"/>
      <c r="BK20" s="19"/>
      <c r="BL20" s="14"/>
      <c r="BM20" s="14"/>
      <c r="BN20" s="14"/>
      <c r="BO20" s="14"/>
      <c r="BP20" s="14"/>
      <c r="BQ20" s="19"/>
      <c r="BR20" s="19"/>
      <c r="BS20" s="14"/>
      <c r="BT20" s="14"/>
      <c r="BU20" s="14"/>
      <c r="BV20" s="14"/>
      <c r="BW20" s="14"/>
      <c r="BX20" s="14"/>
      <c r="BY20" s="47"/>
      <c r="BZ20" s="14"/>
      <c r="CA20" s="14"/>
      <c r="CB20" s="21"/>
      <c r="CC20" s="14"/>
      <c r="CD20" s="14"/>
      <c r="CE20" s="14"/>
      <c r="CF20" s="14"/>
      <c r="CG20" s="29"/>
      <c r="CH20" s="14"/>
      <c r="CI20" s="13"/>
      <c r="CJ20" s="14"/>
      <c r="CK20" s="14"/>
      <c r="CL20" s="14"/>
      <c r="CM20" s="14"/>
      <c r="CN20" s="14"/>
      <c r="CO20" s="327"/>
      <c r="CP20" s="29"/>
      <c r="CQ20" s="47"/>
      <c r="CR20" s="14"/>
      <c r="CS20" s="14"/>
      <c r="CT20" s="21"/>
      <c r="CU20" s="14"/>
      <c r="CV20" s="21"/>
      <c r="CW20" s="14"/>
      <c r="CX20" s="14"/>
      <c r="CY20" s="29"/>
      <c r="CZ20" s="14"/>
      <c r="DA20" s="13"/>
      <c r="DB20" s="14"/>
      <c r="DC20" s="14"/>
      <c r="DD20" s="14"/>
      <c r="DE20" s="14"/>
      <c r="DF20" s="14"/>
      <c r="DG20" s="129"/>
      <c r="DH20" s="29"/>
      <c r="DI20" s="47"/>
      <c r="DJ20" s="29"/>
      <c r="DK20" s="14"/>
      <c r="DL20" s="14"/>
      <c r="DM20" s="14"/>
      <c r="DN20" s="14"/>
      <c r="DO20" s="14"/>
      <c r="DP20" s="14"/>
      <c r="DQ20" s="14"/>
      <c r="DR20" s="17"/>
      <c r="DS20" s="14"/>
      <c r="DT20" s="14"/>
      <c r="DU20" s="14"/>
      <c r="DV20" s="14"/>
      <c r="DW20" s="14"/>
      <c r="DX20" s="14"/>
      <c r="DY20" s="14"/>
      <c r="DZ20" s="14"/>
      <c r="EA20" s="14"/>
      <c r="EB20" s="14"/>
      <c r="EC20" s="14"/>
      <c r="ED20" s="14"/>
      <c r="EE20" s="14"/>
      <c r="EF20" s="14"/>
      <c r="EG20" s="14"/>
      <c r="EH20" s="14"/>
      <c r="EI20" s="14"/>
      <c r="EJ20" s="14"/>
      <c r="EK20" s="14"/>
      <c r="EL20" s="14"/>
    </row>
    <row r="21" spans="1:142" ht="27.6" x14ac:dyDescent="0.25">
      <c r="A21" s="14"/>
      <c r="B21" s="112" t="s">
        <v>23</v>
      </c>
      <c r="C21" s="113" t="s">
        <v>24</v>
      </c>
      <c r="D21" s="113" t="s">
        <v>145</v>
      </c>
      <c r="E21" s="113" t="s">
        <v>300</v>
      </c>
      <c r="F21" s="14"/>
      <c r="G21" s="524" t="s">
        <v>754</v>
      </c>
      <c r="H21" s="542"/>
      <c r="I21" s="525"/>
      <c r="J21" s="14"/>
      <c r="K21" s="14"/>
      <c r="L21" s="14"/>
      <c r="M21" s="14"/>
      <c r="N21" s="14"/>
      <c r="O21" s="14"/>
      <c r="P21" s="14"/>
      <c r="Q21" s="47"/>
      <c r="R21" s="19"/>
      <c r="S21" s="112" t="s">
        <v>23</v>
      </c>
      <c r="T21" s="113" t="s">
        <v>24</v>
      </c>
      <c r="U21" s="113" t="s">
        <v>145</v>
      </c>
      <c r="V21" s="113" t="s">
        <v>300</v>
      </c>
      <c r="W21" s="14"/>
      <c r="X21" s="19"/>
      <c r="Y21" s="524" t="s">
        <v>754</v>
      </c>
      <c r="Z21" s="542"/>
      <c r="AA21" s="525"/>
      <c r="AB21" s="14"/>
      <c r="AC21" s="14"/>
      <c r="AD21" s="14"/>
      <c r="AE21" s="14"/>
      <c r="AF21" s="47"/>
      <c r="AG21" s="19"/>
      <c r="AH21" s="112" t="s">
        <v>23</v>
      </c>
      <c r="AI21" s="113" t="s">
        <v>24</v>
      </c>
      <c r="AJ21" s="113" t="s">
        <v>145</v>
      </c>
      <c r="AK21" s="113" t="s">
        <v>300</v>
      </c>
      <c r="AL21" s="14"/>
      <c r="AM21" s="524" t="s">
        <v>754</v>
      </c>
      <c r="AN21" s="542"/>
      <c r="AO21" s="525"/>
      <c r="AP21" s="14"/>
      <c r="AQ21" s="14"/>
      <c r="AR21" s="14"/>
      <c r="AS21" s="14"/>
      <c r="AT21" s="14"/>
      <c r="AU21" s="47"/>
      <c r="AV21" s="14"/>
      <c r="AW21" s="112" t="s">
        <v>23</v>
      </c>
      <c r="AX21" s="113" t="s">
        <v>24</v>
      </c>
      <c r="AY21" s="113" t="s">
        <v>145</v>
      </c>
      <c r="AZ21" s="113" t="s">
        <v>300</v>
      </c>
      <c r="BA21" s="14"/>
      <c r="BB21" s="524" t="s">
        <v>754</v>
      </c>
      <c r="BC21" s="542"/>
      <c r="BD21" s="525"/>
      <c r="BE21" s="14"/>
      <c r="BF21" s="14"/>
      <c r="BG21" s="14"/>
      <c r="BH21" s="14"/>
      <c r="BI21" s="14"/>
      <c r="BJ21" s="47"/>
      <c r="BK21" s="19"/>
      <c r="BL21" s="112" t="s">
        <v>23</v>
      </c>
      <c r="BM21" s="113" t="s">
        <v>24</v>
      </c>
      <c r="BN21" s="113" t="s">
        <v>145</v>
      </c>
      <c r="BO21" s="113" t="s">
        <v>300</v>
      </c>
      <c r="BP21" s="14"/>
      <c r="BQ21" s="524" t="s">
        <v>754</v>
      </c>
      <c r="BR21" s="542"/>
      <c r="BS21" s="525"/>
      <c r="BT21" s="14"/>
      <c r="BU21" s="14"/>
      <c r="BV21" s="14"/>
      <c r="BW21" s="14"/>
      <c r="BX21" s="14"/>
      <c r="BY21" s="47"/>
      <c r="BZ21" s="14"/>
      <c r="CA21" s="112" t="s">
        <v>23</v>
      </c>
      <c r="CB21" s="113" t="s">
        <v>145</v>
      </c>
      <c r="CC21" s="14"/>
      <c r="CD21" s="205" t="s">
        <v>465</v>
      </c>
      <c r="CE21" s="316"/>
      <c r="CF21" s="316"/>
      <c r="CG21" s="316"/>
      <c r="CH21" s="202"/>
      <c r="CI21" s="205" t="s">
        <v>698</v>
      </c>
      <c r="CJ21" s="316"/>
      <c r="CK21" s="202"/>
      <c r="CL21" s="14"/>
      <c r="CM21" s="14"/>
      <c r="CN21" s="14"/>
      <c r="CO21" s="129"/>
      <c r="CP21" s="29"/>
      <c r="CQ21" s="47"/>
      <c r="CR21" s="14"/>
      <c r="CS21" s="112" t="s">
        <v>23</v>
      </c>
      <c r="CT21" s="113" t="s">
        <v>145</v>
      </c>
      <c r="CU21" s="14"/>
      <c r="CV21" s="333" t="s">
        <v>465</v>
      </c>
      <c r="CW21" s="316"/>
      <c r="CX21" s="316"/>
      <c r="CY21" s="316"/>
      <c r="CZ21" s="202"/>
      <c r="DA21" s="205" t="s">
        <v>698</v>
      </c>
      <c r="DB21" s="316"/>
      <c r="DC21" s="202"/>
      <c r="DD21" s="14"/>
      <c r="DE21" s="14"/>
      <c r="DF21" s="14"/>
      <c r="DG21" s="129"/>
      <c r="DH21" s="29"/>
      <c r="DI21" s="47"/>
      <c r="DJ21" s="29"/>
      <c r="DK21" s="112" t="s">
        <v>23</v>
      </c>
      <c r="DL21" s="113" t="s">
        <v>24</v>
      </c>
      <c r="DM21" s="113" t="s">
        <v>145</v>
      </c>
      <c r="DN21" s="113" t="s">
        <v>300</v>
      </c>
      <c r="DO21" s="14"/>
      <c r="DP21" s="14"/>
      <c r="DQ21" s="524" t="s">
        <v>754</v>
      </c>
      <c r="DR21" s="542"/>
      <c r="DS21" s="525"/>
      <c r="DT21" s="14"/>
      <c r="DU21" s="14"/>
      <c r="DV21" s="14"/>
      <c r="DW21" s="14"/>
      <c r="DX21" s="14"/>
      <c r="DY21" s="14"/>
      <c r="DZ21" s="14"/>
      <c r="EA21" s="14"/>
      <c r="EB21" s="14"/>
      <c r="EC21" s="14"/>
      <c r="ED21" s="14"/>
      <c r="EE21" s="14"/>
      <c r="EF21" s="14"/>
      <c r="EG21" s="14"/>
      <c r="EH21" s="14"/>
      <c r="EI21" s="14"/>
      <c r="EJ21" s="14"/>
      <c r="EK21" s="14"/>
      <c r="EL21" s="14"/>
    </row>
    <row r="22" spans="1:142" x14ac:dyDescent="0.25">
      <c r="A22" s="14"/>
      <c r="B22" s="57" t="s">
        <v>2</v>
      </c>
      <c r="C22" s="122" t="str">
        <f ca="1">IF(COUNTIF(C58:C60,"")=2,C58,                                                                                                                                                                                                IF(COUNTIF(C58:C60,"")=1,                                                                                                                                                                                                                                     IFERROR(IF(ABS(MATCH(C58,Responses_list1_frequency,0)-MATCH(C59,Responses_list1_frequency,0))=1,C58&amp;" / "&amp;C59,"No consensus"),"No consensus"),   IF(COUNTIF(C58:C60,"")=0,                                                                                                                                                                                                                                                       IFERROR(IF(AND(ABS(MATCH(C58,Responses_list1_frequency,0)-MATCH(C59,Responses_list1_frequency,0))=1,ABS(MATCH(C59,Responses_list1_frequency,0)-MATCH(C60,Responses_list1_frequency,0))=1),C58&amp;" / "&amp;C59&amp;" / "&amp;C60,"No consensus"),"No consensus"),C58)     ))</f>
        <v>Definitely not</v>
      </c>
      <c r="D22" s="58">
        <f>D58</f>
        <v>3</v>
      </c>
      <c r="E22" s="121">
        <f>E58</f>
        <v>0</v>
      </c>
      <c r="F22" s="14"/>
      <c r="G22" s="526"/>
      <c r="H22" s="543"/>
      <c r="I22" s="527"/>
      <c r="J22" s="33"/>
      <c r="K22" s="14"/>
      <c r="L22" s="14"/>
      <c r="M22" s="14"/>
      <c r="N22" s="14"/>
      <c r="O22" s="14"/>
      <c r="P22" s="14"/>
      <c r="Q22" s="47"/>
      <c r="R22" s="19"/>
      <c r="S22" s="34" t="s">
        <v>2</v>
      </c>
      <c r="T22" s="122" t="str">
        <f ca="1">IF(COUNTIF(T58:T60,"")=2,T58,                                                                                                                                                                                                IF(COUNTIF(T58:T60,"")=1,                                                                                                                                                                                                                                     IFERROR(IF(ABS(MATCH(T58,Responses_list1_frequency,0)-MATCH(T59,Responses_list1_frequency,0))=1,T58&amp;" / "&amp;T59,"No consensus"),"No consensus"),   IF(COUNTIF(T58:T60,"")=0,                                                                                                                                                                                                                                                       IFERROR(IF(AND(ABS(MATCH(T58,Responses_list1_frequency,0)-MATCH(T59,Responses_list1_frequency,0))=1,ABS(MATCH(T59,Responses_list1_frequency,0)-MATCH(T60,Responses_list1_frequency,0))=1),T58&amp;" / "&amp;T59&amp;" / "&amp;T60,"No consensus"),"No consensus"),T58)     ))</f>
        <v>No consensus</v>
      </c>
      <c r="U22" s="33">
        <f>U58</f>
        <v>3</v>
      </c>
      <c r="V22" s="37">
        <f>V58</f>
        <v>0</v>
      </c>
      <c r="W22" s="14"/>
      <c r="X22" s="19"/>
      <c r="Y22" s="526"/>
      <c r="Z22" s="543"/>
      <c r="AA22" s="527"/>
      <c r="AB22" s="14"/>
      <c r="AC22" s="14"/>
      <c r="AD22" s="14"/>
      <c r="AE22" s="14"/>
      <c r="AF22" s="47"/>
      <c r="AG22" s="19"/>
      <c r="AH22" s="57" t="s">
        <v>2</v>
      </c>
      <c r="AI22" s="122" t="str">
        <f ca="1">IF(COUNTIF(AI58:AI60,"")=2,AI58,                                                                                                                                                                                                IF(COUNTIF(AI58:AI60,"")=1,                                                                                                                                                                                                                                     IFERROR(IF(ABS(MATCH(AI58,Responses_list1_frequency,0)-MATCH(AI59,Responses_list1_frequency,0))=1,AI58&amp;" / "&amp;AI59,"No consensus"),"No consensus"),   IF(COUNTIF(AI58:AI60,"")=0,                                                                                                                                                                                                                                                       IFERROR(IF(AND(ABS(MATCH(AI58,Responses_list1_frequency,0)-MATCH(AI59,Responses_list1_frequency,0))=1,ABS(MATCH(AI59,Responses_list1_frequency,0)-MATCH(AI60,Responses_list1_frequency,0))=1),AI58&amp;" / "&amp;AI59&amp;" / "&amp;AI60,"No consensus"),"No consensus"),AI58)     ))</f>
        <v>Very unlikely</v>
      </c>
      <c r="AJ22" s="58">
        <f>AJ58</f>
        <v>4</v>
      </c>
      <c r="AK22" s="58">
        <f>AK58</f>
        <v>0</v>
      </c>
      <c r="AL22" s="14"/>
      <c r="AM22" s="526"/>
      <c r="AN22" s="543"/>
      <c r="AO22" s="527"/>
      <c r="AP22" s="14"/>
      <c r="AQ22" s="14"/>
      <c r="AR22" s="14"/>
      <c r="AS22" s="14"/>
      <c r="AT22" s="14"/>
      <c r="AU22" s="47"/>
      <c r="AV22" s="14"/>
      <c r="AW22" s="57" t="s">
        <v>2</v>
      </c>
      <c r="AX22" s="122" t="str">
        <f ca="1">IF(COUNTIF(AX58:AX60,"")=2,AX58,                                                                                                                                                                                                IF(COUNTIF(AX58:AX60,"")=1,                                                                                                                                                                                                                                     IFERROR(IF(ABS(MATCH(AX58,Responses_list1_frequency,0)-MATCH(AX59,Responses_list1_frequency,0))=1,AX58&amp;" / "&amp;AX59,"No consensus"),"No consensus"),   IF(COUNTIF(AX58:AX60,"")=0,                                                                                                                                                                                                                                                       IFERROR(IF(AND(ABS(MATCH(AX58,Responses_list1_frequency,0)-MATCH(AX59,Responses_list1_frequency,0))=1,ABS(MATCH(AX59,Responses_list1_frequency,0)-MATCH(AX60,Responses_list1_frequency,0))=1),AX58&amp;" / "&amp;AX59&amp;" / "&amp;AX60,"No consensus"),"No consensus"),AX58)     ))</f>
        <v>Very unlikely</v>
      </c>
      <c r="AY22" s="58">
        <f>AY58</f>
        <v>4</v>
      </c>
      <c r="AZ22" s="121">
        <f>AZ58</f>
        <v>0</v>
      </c>
      <c r="BA22" s="14"/>
      <c r="BB22" s="526"/>
      <c r="BC22" s="543"/>
      <c r="BD22" s="527"/>
      <c r="BE22" s="14"/>
      <c r="BF22" s="14"/>
      <c r="BG22" s="14"/>
      <c r="BH22" s="14"/>
      <c r="BI22" s="14"/>
      <c r="BJ22" s="47"/>
      <c r="BK22" s="19"/>
      <c r="BL22" s="57" t="s">
        <v>2</v>
      </c>
      <c r="BM22" s="122" t="str">
        <f ca="1">IF(COUNTIF(BM58:BM60,"")=2,BM58,                                                                                                                                                                                                IF(COUNTIF(BM58:BM60,"")=1,                                                                                                                                                                                                                                     IFERROR(IF(ABS(MATCH(BM58,Responses_list1_frequency,0)-MATCH(BM59,Responses_list1_frequency,0))=1,BM58&amp;" / "&amp;BM59,"No consensus"),"No consensus"),   IF(COUNTIF(BM58:BM60,"")=0,                                                                                                                                                                                                                                                       IFERROR(IF(AND(ABS(MATCH(BM58,Responses_list1_frequency,0)-MATCH(BM59,Responses_list1_frequency,0))=1,ABS(MATCH(BM59,Responses_list1_frequency,0)-MATCH(BM60,Responses_list1_frequency,0))=1),BM58&amp;" / "&amp;BM59&amp;" / "&amp;BM60,"No consensus"),"No consensus"),BM58)     ))</f>
        <v>Very unlikely</v>
      </c>
      <c r="BN22" s="58">
        <f>BN58</f>
        <v>4</v>
      </c>
      <c r="BO22" s="121">
        <f>BO58</f>
        <v>0</v>
      </c>
      <c r="BP22" s="14"/>
      <c r="BQ22" s="526"/>
      <c r="BR22" s="543"/>
      <c r="BS22" s="527"/>
      <c r="BT22" s="14"/>
      <c r="BU22" s="14"/>
      <c r="BV22" s="14"/>
      <c r="BW22" s="14"/>
      <c r="BX22" s="14"/>
      <c r="BY22" s="47"/>
      <c r="BZ22" s="14"/>
      <c r="CA22" s="34" t="s">
        <v>2</v>
      </c>
      <c r="CB22" s="37">
        <f>CB58</f>
        <v>3</v>
      </c>
      <c r="CC22" s="14"/>
      <c r="CD22" s="203" t="str">
        <f>INDEX($CA$11:$CA$18,MATCH(LARGE($CF$11:$CF$18,1),$CF$11:$CF$18,0),1)</f>
        <v>Increased pellet demand allows sufficient financial return</v>
      </c>
      <c r="CE22" s="260"/>
      <c r="CF22" s="19"/>
      <c r="CG22" s="29"/>
      <c r="CH22" s="317"/>
      <c r="CI22" s="203" t="str">
        <f>VLOOKUP(CD22,$CA$11:$CI$18,9,0)</f>
        <v>Moderately unlikely</v>
      </c>
      <c r="CJ22" s="19"/>
      <c r="CK22" s="318"/>
      <c r="CL22" s="14"/>
      <c r="CM22" s="14"/>
      <c r="CN22" s="14"/>
      <c r="CO22" s="129"/>
      <c r="CP22" s="29"/>
      <c r="CQ22" s="47"/>
      <c r="CR22" s="14"/>
      <c r="CS22" s="34" t="s">
        <v>2</v>
      </c>
      <c r="CT22" s="37">
        <f>CT58</f>
        <v>3</v>
      </c>
      <c r="CU22" s="14"/>
      <c r="CV22" s="331" t="str">
        <f>INDEX($CS$11:$CS$18,MATCH(LARGE($CX$11:$CX$18,1),$CX$11:$CX$18,0),1)</f>
        <v>Insufficient financial return</v>
      </c>
      <c r="CW22" s="260"/>
      <c r="CX22" s="19"/>
      <c r="CY22" s="29"/>
      <c r="CZ22" s="317"/>
      <c r="DA22" s="203" t="str">
        <f>VLOOKUP(CV22,$CS$11:$DA$18,9,0)</f>
        <v>Likely</v>
      </c>
      <c r="DB22" s="19"/>
      <c r="DC22" s="318"/>
      <c r="DD22" s="14"/>
      <c r="DE22" s="14"/>
      <c r="DF22" s="14"/>
      <c r="DG22" s="129"/>
      <c r="DH22" s="29"/>
      <c r="DI22" s="47"/>
      <c r="DJ22" s="29"/>
      <c r="DK22" s="34" t="s">
        <v>2</v>
      </c>
      <c r="DL22" s="122" t="str">
        <f ca="1">IF(COUNTIF(DL58:DL60,"")=2,DL58,                                                                                                                                                                                                IF(COUNTIF(DL58:DL60,"")=1,                                                                                                                                                                                                                                     IFERROR(IF(ABS(MATCH(DL58,Responses_list1_frequency,0)-MATCH(DL59,Responses_list1_frequency,0))=1,DL58&amp;" / "&amp;DL59,"No consensus"),"No consensus"),   IF(COUNTIF(DL58:DL60,"")=0,                                                                                                                                                                                                                                                       IFERROR(IF(AND(ABS(MATCH(DL58,Responses_list1_frequency,0)-MATCH(DL59,Responses_list1_frequency,0))=1,ABS(MATCH(DL59,Responses_list1_frequency,0)-MATCH(DL60,Responses_list1_frequency,0))=1),DL58&amp;" / "&amp;DL59&amp;" / "&amp;DL60,"No consensus"),"No consensus"),DL58)     ))</f>
        <v>Definitely not</v>
      </c>
      <c r="DM22" s="33">
        <f>DM58</f>
        <v>3</v>
      </c>
      <c r="DN22" s="37">
        <f>DN58</f>
        <v>0</v>
      </c>
      <c r="DO22" s="14"/>
      <c r="DP22" s="14"/>
      <c r="DQ22" s="526"/>
      <c r="DR22" s="543"/>
      <c r="DS22" s="527"/>
      <c r="DT22" s="14"/>
      <c r="DU22" s="14"/>
      <c r="DV22" s="14"/>
      <c r="DW22" s="14"/>
      <c r="DX22" s="14"/>
      <c r="DY22" s="14"/>
      <c r="DZ22" s="14"/>
      <c r="EA22" s="14"/>
      <c r="EB22" s="14"/>
      <c r="EC22" s="14"/>
      <c r="ED22" s="14"/>
      <c r="EE22" s="14"/>
      <c r="EF22" s="14"/>
      <c r="EG22" s="14"/>
      <c r="EH22" s="14"/>
      <c r="EI22" s="14"/>
      <c r="EJ22" s="14"/>
      <c r="EK22" s="14"/>
      <c r="EL22" s="14"/>
    </row>
    <row r="23" spans="1:142" x14ac:dyDescent="0.25">
      <c r="A23" s="14"/>
      <c r="B23" s="57" t="s">
        <v>31</v>
      </c>
      <c r="C23" s="122" t="str">
        <f ca="1">IF(COUNTIF(C85:C87,"")=2,C85,                                                                                                                                                                                                IF(COUNTIF(C85:C87,"")=1,                                                                                                                                                                                                                                     IFERROR(IF(ABS(MATCH(C85,Responses_list1_frequency,0)-MATCH(C86,Responses_list1_frequency,0))=1,C85&amp;" / "&amp;C86,"No consensus"),"No consensus"),   IF(COUNTIF(C85:C87,"")=0,                                                                                                                                                                                                                                                       IFERROR(IF(AND(ABS(MATCH(C85,Responses_list1_frequency,0)-MATCH(C86,Responses_list1_frequency,0))=1,ABS(MATCH(C86,Responses_list1_frequency,0)-MATCH(C87,Responses_list1_frequency,0))=1),C85&amp;" / "&amp;C86&amp;" / "&amp;C87,"No consensus"),"No consensus"),C85)     ))</f>
        <v>Definitely not</v>
      </c>
      <c r="D23" s="58">
        <f>D85</f>
        <v>3</v>
      </c>
      <c r="E23" s="121">
        <f>E85</f>
        <v>0</v>
      </c>
      <c r="F23" s="14"/>
      <c r="G23" s="526"/>
      <c r="H23" s="543"/>
      <c r="I23" s="527"/>
      <c r="J23" s="33"/>
      <c r="K23" s="14"/>
      <c r="L23" s="14"/>
      <c r="M23" s="14"/>
      <c r="N23" s="14"/>
      <c r="O23" s="14"/>
      <c r="P23" s="14"/>
      <c r="Q23" s="47"/>
      <c r="R23" s="19"/>
      <c r="S23" s="34" t="s">
        <v>31</v>
      </c>
      <c r="T23" s="122" t="str">
        <f ca="1">IF(COUNTIF(T85:T87,"")=2,T85,                                                                                                                                                                                                IF(COUNTIF(T85:T87,"")=1,                                                                                                                                                                                                                                     IFERROR(IF(ABS(MATCH(T85,Responses_list1_frequency,0)-MATCH(T86,Responses_list1_frequency,0))=1,T85&amp;" / "&amp;T86,"No consensus"),"No consensus"),   IF(COUNTIF(T85:T87,"")=0,                                                                                                                                                                                                                                                       IFERROR(IF(AND(ABS(MATCH(T85,Responses_list1_frequency,0)-MATCH(T86,Responses_list1_frequency,0))=1,ABS(MATCH(T86,Responses_list1_frequency,0)-MATCH(T87,Responses_list1_frequency,0))=1),T85&amp;" / "&amp;T86&amp;" / "&amp;T87,"No consensus"),"No consensus"),T85)     ))</f>
        <v>Very unlikely</v>
      </c>
      <c r="U23" s="33">
        <f>U85</f>
        <v>3</v>
      </c>
      <c r="V23" s="37">
        <f>V85</f>
        <v>0</v>
      </c>
      <c r="W23" s="14"/>
      <c r="X23" s="19"/>
      <c r="Y23" s="526"/>
      <c r="Z23" s="543"/>
      <c r="AA23" s="527"/>
      <c r="AB23" s="14"/>
      <c r="AC23" s="14"/>
      <c r="AD23" s="14"/>
      <c r="AE23" s="14"/>
      <c r="AF23" s="47"/>
      <c r="AG23" s="19"/>
      <c r="AH23" s="57" t="s">
        <v>31</v>
      </c>
      <c r="AI23" s="122" t="str">
        <f ca="1">IF(COUNTIF(AI85:AI87,"")=2,AI85,                                                                                                                                                                                                IF(COUNTIF(AI85:AI87,"")=1,                                                                                                                                                                                                                                     IFERROR(IF(ABS(MATCH(AI85,Responses_list1_frequency,0)-MATCH(AI86,Responses_list1_frequency,0))=1,AI85&amp;" / "&amp;AI86,"No consensus"),"No consensus"),   IF(COUNTIF(AI85:AI87,"")=0,                                                                                                                                                                                                                                                       IFERROR(IF(AND(ABS(MATCH(AI85,Responses_list1_frequency,0)-MATCH(AI86,Responses_list1_frequency,0))=1,ABS(MATCH(AI86,Responses_list1_frequency,0)-MATCH(AI87,Responses_list1_frequency,0))=1),AI85&amp;" / "&amp;AI86&amp;" / "&amp;AI87,"No consensus"),"No consensus"),AI85)     ))</f>
        <v>Very unlikely</v>
      </c>
      <c r="AJ23" s="58">
        <f>AJ85</f>
        <v>4</v>
      </c>
      <c r="AK23" s="58">
        <f>AK85</f>
        <v>0</v>
      </c>
      <c r="AL23" s="14"/>
      <c r="AM23" s="526"/>
      <c r="AN23" s="543"/>
      <c r="AO23" s="527"/>
      <c r="AP23" s="14"/>
      <c r="AQ23" s="14"/>
      <c r="AR23" s="14"/>
      <c r="AS23" s="14"/>
      <c r="AT23" s="14"/>
      <c r="AU23" s="47"/>
      <c r="AV23" s="14"/>
      <c r="AW23" s="57" t="s">
        <v>31</v>
      </c>
      <c r="AX23" s="122" t="str">
        <f ca="1">IF(COUNTIF(AX85:AX87,"")=2,AX85,                                                                                                                                                                                                IF(COUNTIF(AX85:AX87,"")=1,                                                                                                                                                                                                                                     IFERROR(IF(ABS(MATCH(AX85,Responses_list1_frequency,0)-MATCH(AX86,Responses_list1_frequency,0))=1,AX85&amp;" / "&amp;AX86,"No consensus"),"No consensus"),   IF(COUNTIF(AX85:AX87,"")=0,                                                                                                                                                                                                                                                       IFERROR(IF(AND(ABS(MATCH(AX85,Responses_list1_frequency,0)-MATCH(AX86,Responses_list1_frequency,0))=1,ABS(MATCH(AX86,Responses_list1_frequency,0)-MATCH(AX87,Responses_list1_frequency,0))=1),AX85&amp;" / "&amp;AX86&amp;" / "&amp;AX87,"No consensus"),"No consensus"),AX85)     ))</f>
        <v>Very unlikely</v>
      </c>
      <c r="AY23" s="58">
        <f>AY85</f>
        <v>4</v>
      </c>
      <c r="AZ23" s="121">
        <f>AZ85</f>
        <v>0</v>
      </c>
      <c r="BA23" s="14"/>
      <c r="BB23" s="526"/>
      <c r="BC23" s="543"/>
      <c r="BD23" s="527"/>
      <c r="BE23" s="14"/>
      <c r="BF23" s="14"/>
      <c r="BG23" s="14"/>
      <c r="BH23" s="14"/>
      <c r="BI23" s="14"/>
      <c r="BJ23" s="47"/>
      <c r="BK23" s="19"/>
      <c r="BL23" s="57" t="s">
        <v>31</v>
      </c>
      <c r="BM23" s="122" t="str">
        <f ca="1">IF(COUNTIF(BM85:BM87,"")=2,BM85,                                                                                                                                                                                                IF(COUNTIF(BM85:BM87,"")=1,                                                                                                                                                                                                                                     IFERROR(IF(ABS(MATCH(BM85,Responses_list1_frequency,0)-MATCH(BM86,Responses_list1_frequency,0))=1,BM85&amp;" / "&amp;BM86,"No consensus"),"No consensus"),   IF(COUNTIF(BM85:BM87,"")=0,                                                                                                                                                                                                                                                       IFERROR(IF(AND(ABS(MATCH(BM85,Responses_list1_frequency,0)-MATCH(BM86,Responses_list1_frequency,0))=1,ABS(MATCH(BM86,Responses_list1_frequency,0)-MATCH(BM87,Responses_list1_frequency,0))=1),BM85&amp;" / "&amp;BM86&amp;" / "&amp;BM87,"No consensus"),"No consensus"),BM85)     ))</f>
        <v>Very unlikely</v>
      </c>
      <c r="BN23" s="58">
        <f>BN85</f>
        <v>4</v>
      </c>
      <c r="BO23" s="121">
        <f>BO85</f>
        <v>0</v>
      </c>
      <c r="BP23" s="14"/>
      <c r="BQ23" s="526"/>
      <c r="BR23" s="543"/>
      <c r="BS23" s="527"/>
      <c r="BT23" s="14"/>
      <c r="BU23" s="14"/>
      <c r="BV23" s="14"/>
      <c r="BW23" s="14"/>
      <c r="BX23" s="14"/>
      <c r="BY23" s="47"/>
      <c r="BZ23" s="14"/>
      <c r="CA23" s="34" t="s">
        <v>31</v>
      </c>
      <c r="CB23" s="37">
        <f>CB85</f>
        <v>0</v>
      </c>
      <c r="CC23" s="14"/>
      <c r="CD23" s="203" t="str">
        <f>INDEX($CA$11:$CA$18,MATCH(LARGE($CF$11:$CF$18,2),$CF$11:$CF$18,0),1)</f>
        <v>Changes in forest incentives</v>
      </c>
      <c r="CE23" s="260"/>
      <c r="CF23" s="19"/>
      <c r="CG23" s="29"/>
      <c r="CH23" s="317"/>
      <c r="CI23" s="203" t="str">
        <f>VLOOKUP(CD23,$CA$11:$CI$18,9,0)</f>
        <v>Very unlikely</v>
      </c>
      <c r="CJ23" s="19"/>
      <c r="CK23" s="318"/>
      <c r="CL23" s="14"/>
      <c r="CM23" s="14"/>
      <c r="CN23" s="14"/>
      <c r="CO23" s="129"/>
      <c r="CP23" s="29"/>
      <c r="CQ23" s="47"/>
      <c r="CR23" s="14"/>
      <c r="CS23" s="34" t="s">
        <v>31</v>
      </c>
      <c r="CT23" s="37">
        <f>CT85</f>
        <v>3</v>
      </c>
      <c r="CU23" s="14"/>
      <c r="CV23" s="331" t="str">
        <f>INDEX($CS$11:$CS$18,MATCH(LARGE($CX$11:$CX$18,2),$CX$11:$CX$18,0),1)</f>
        <v>Other</v>
      </c>
      <c r="CW23" s="260"/>
      <c r="CX23" s="19"/>
      <c r="CY23" s="29"/>
      <c r="CZ23" s="317"/>
      <c r="DA23" s="203" t="str">
        <f>VLOOKUP(CV23,$CS$11:$DA$18,9,0)</f>
        <v>Moderately likely</v>
      </c>
      <c r="DB23" s="19"/>
      <c r="DC23" s="318"/>
      <c r="DD23" s="14"/>
      <c r="DE23" s="14"/>
      <c r="DF23" s="14"/>
      <c r="DG23" s="129"/>
      <c r="DH23" s="29"/>
      <c r="DI23" s="47"/>
      <c r="DJ23" s="29"/>
      <c r="DK23" s="34" t="s">
        <v>31</v>
      </c>
      <c r="DL23" s="122" t="str">
        <f ca="1">IF(COUNTIF(DL85:DL87,"")=2,DL85,                                                                                                                                                                                                IF(COUNTIF(DL85:DL87,"")=1,                                                                                                                                                                                                                                     IFERROR(IF(ABS(MATCH(DL85,Responses_list1_frequency,0)-MATCH(DL86,Responses_list1_frequency,0))=1,DL85&amp;" / "&amp;DL86,"No consensus"),"No consensus"),   IF(COUNTIF(DL85:DL87,"")=0,                                                                                                                                                                                                                                                       IFERROR(IF(AND(ABS(MATCH(DL85,Responses_list1_frequency,0)-MATCH(DL86,Responses_list1_frequency,0))=1,ABS(MATCH(DL86,Responses_list1_frequency,0)-MATCH(DL87,Responses_list1_frequency,0))=1),DL85&amp;" / "&amp;DL86&amp;" / "&amp;DL87,"No consensus"),"No consensus"),DL85)     ))</f>
        <v>Definitely not</v>
      </c>
      <c r="DM23" s="33">
        <f>DM85</f>
        <v>3</v>
      </c>
      <c r="DN23" s="37">
        <f>DN85</f>
        <v>0</v>
      </c>
      <c r="DO23" s="14"/>
      <c r="DP23" s="14"/>
      <c r="DQ23" s="526"/>
      <c r="DR23" s="543"/>
      <c r="DS23" s="527"/>
      <c r="DT23" s="14"/>
      <c r="DU23" s="14"/>
      <c r="DV23" s="14"/>
      <c r="DW23" s="14"/>
      <c r="DX23" s="14"/>
      <c r="DY23" s="14"/>
      <c r="DZ23" s="14"/>
      <c r="EA23" s="14"/>
      <c r="EB23" s="14"/>
      <c r="EC23" s="14"/>
      <c r="ED23" s="14"/>
      <c r="EE23" s="14"/>
      <c r="EF23" s="14"/>
      <c r="EG23" s="14"/>
      <c r="EH23" s="14"/>
      <c r="EI23" s="14"/>
      <c r="EJ23" s="14"/>
      <c r="EK23" s="14"/>
      <c r="EL23" s="14"/>
    </row>
    <row r="24" spans="1:142" x14ac:dyDescent="0.25">
      <c r="A24" s="14"/>
      <c r="B24" s="57" t="s">
        <v>22</v>
      </c>
      <c r="C24" s="122" t="str">
        <f ca="1">IF(COUNTIF(C112:C114,"")=2,C112,                                                                                                                                                                                                IF(COUNTIF(C112:C114,"")=1,                                                                                                                                                                                                                                     IFERROR(IF(ABS(MATCH(C112,Responses_list1_frequency,0)-MATCH(C113,Responses_list1_frequency,0))=1,C112&amp;" / "&amp;C113,"No consensus"),"No consensus"),   IF(COUNTIF(C112:C114,"")=0,                                                                                                                                                                                                                                                       IFERROR(IF(AND(ABS(MATCH(C112,Responses_list1_frequency,0)-MATCH(C113,Responses_list1_frequency,0))=1,ABS(MATCH(C113,Responses_list1_frequency,0)-MATCH(C114,Responses_list1_frequency,0))=1),C112&amp;" / "&amp;C113&amp;" / "&amp;C114,"No consensus"),"No consensus"),C112)     ))</f>
        <v>Definitely not / Sometimes</v>
      </c>
      <c r="D24" s="58">
        <f>D112</f>
        <v>2</v>
      </c>
      <c r="E24" s="121">
        <f>E112</f>
        <v>0</v>
      </c>
      <c r="F24" s="14"/>
      <c r="G24" s="526"/>
      <c r="H24" s="543"/>
      <c r="I24" s="527"/>
      <c r="J24" s="33"/>
      <c r="K24" s="14"/>
      <c r="L24" s="14"/>
      <c r="M24" s="14"/>
      <c r="N24" s="14"/>
      <c r="O24" s="14"/>
      <c r="P24" s="14"/>
      <c r="Q24" s="47"/>
      <c r="R24" s="19"/>
      <c r="S24" s="34" t="s">
        <v>22</v>
      </c>
      <c r="T24" s="122" t="str">
        <f ca="1">IF(COUNTIF(T112:T114,"")=2,T112,                                                                                                                                                                                                IF(COUNTIF(T112:T114,"")=1,                                                                                                                                                                                                                                     IFERROR(IF(ABS(MATCH(T112,Responses_list1_frequency,0)-MATCH(T113,Responses_list1_frequency,0))=1,T112&amp;" / "&amp;T113,"No consensus"),"No consensus"),   IF(COUNTIF(T112:T114,"")=0,                                                                                                                                                                                                                                                       IFERROR(IF(AND(ABS(MATCH(T112,Responses_list1_frequency,0)-MATCH(T113,Responses_list1_frequency,0))=1,ABS(MATCH(T113,Responses_list1_frequency,0)-MATCH(T114,Responses_list1_frequency,0))=1),T112&amp;" / "&amp;T113&amp;" / "&amp;T114,"No consensus"),"No consensus"),T112)     ))</f>
        <v>Very unlikely</v>
      </c>
      <c r="U24" s="33">
        <f>U112</f>
        <v>2</v>
      </c>
      <c r="V24" s="37">
        <f>V112</f>
        <v>0</v>
      </c>
      <c r="W24" s="14"/>
      <c r="X24" s="19"/>
      <c r="Y24" s="526"/>
      <c r="Z24" s="543"/>
      <c r="AA24" s="527"/>
      <c r="AB24" s="14"/>
      <c r="AC24" s="14"/>
      <c r="AD24" s="14"/>
      <c r="AE24" s="14"/>
      <c r="AF24" s="47"/>
      <c r="AG24" s="19"/>
      <c r="AH24" s="57" t="s">
        <v>22</v>
      </c>
      <c r="AI24" s="122" t="str">
        <f ca="1">IF(COUNTIF(AI112:AI114,"")=2,AI112,                                                                                                                                                                                                IF(COUNTIF(AI112:AI114,"")=1,                                                                                                                                                                                                                                     IFERROR(IF(ABS(MATCH(AI112,Responses_list1_frequency,0)-MATCH(AI113,Responses_list1_frequency,0))=1,AI112&amp;" / "&amp;AI113,"No consensus"),"No consensus"),   IF(COUNTIF(AI112:AI114,"")=0,                                                                                                                                                                                                                                                       IFERROR(IF(AND(ABS(MATCH(AI112,Responses_list1_frequency,0)-MATCH(AI113,Responses_list1_frequency,0))=1,ABS(MATCH(AI113,Responses_list1_frequency,0)-MATCH(AI114,Responses_list1_frequency,0))=1),AI112&amp;" / "&amp;AI113&amp;" / "&amp;AI114,"No consensus"),"No consensus"),AI112)     ))</f>
        <v>Very unlikely</v>
      </c>
      <c r="AJ24" s="58">
        <f>AJ112</f>
        <v>2</v>
      </c>
      <c r="AK24" s="58">
        <f>AK112</f>
        <v>0</v>
      </c>
      <c r="AL24" s="14"/>
      <c r="AM24" s="526"/>
      <c r="AN24" s="543"/>
      <c r="AO24" s="527"/>
      <c r="AP24" s="14"/>
      <c r="AQ24" s="14"/>
      <c r="AR24" s="14"/>
      <c r="AS24" s="14"/>
      <c r="AT24" s="14"/>
      <c r="AU24" s="47"/>
      <c r="AV24" s="14"/>
      <c r="AW24" s="57" t="s">
        <v>22</v>
      </c>
      <c r="AX24" s="122" t="str">
        <f ca="1">IF(COUNTIF(AX112:AX114,"")=2,AX112,                                                                                                                                                                                                IF(COUNTIF(AX112:AX114,"")=1,                                                                                                                                                                                                                                     IFERROR(IF(ABS(MATCH(AX112,Responses_list1_frequency,0)-MATCH(AX113,Responses_list1_frequency,0))=1,AX112&amp;" / "&amp;AX113,"No consensus"),"No consensus"),   IF(COUNTIF(AX112:AX114,"")=0,                                                                                                                                                                                                                                                       IFERROR(IF(AND(ABS(MATCH(AX112,Responses_list1_frequency,0)-MATCH(AX113,Responses_list1_frequency,0))=1,ABS(MATCH(AX113,Responses_list1_frequency,0)-MATCH(AX114,Responses_list1_frequency,0))=1),AX112&amp;" / "&amp;AX113&amp;" / "&amp;AX114,"No consensus"),"No consensus"),AX112)     ))</f>
        <v>No consensus</v>
      </c>
      <c r="AY24" s="58">
        <f>AY112</f>
        <v>2</v>
      </c>
      <c r="AZ24" s="121">
        <f>AZ112</f>
        <v>0</v>
      </c>
      <c r="BA24" s="14"/>
      <c r="BB24" s="526"/>
      <c r="BC24" s="543"/>
      <c r="BD24" s="527"/>
      <c r="BE24" s="14"/>
      <c r="BF24" s="14"/>
      <c r="BG24" s="14"/>
      <c r="BH24" s="14"/>
      <c r="BI24" s="14"/>
      <c r="BJ24" s="47"/>
      <c r="BK24" s="19"/>
      <c r="BL24" s="57" t="s">
        <v>22</v>
      </c>
      <c r="BM24" s="122" t="str">
        <f ca="1">IF(COUNTIF(BM112:BM114,"")=2,BM112,                                                                                                                                                                                                IF(COUNTIF(BM112:BM114,"")=1,                                                                                                                                                                                                                                     IFERROR(IF(ABS(MATCH(BM112,Responses_list1_frequency,0)-MATCH(BM113,Responses_list1_frequency,0))=1,BM112&amp;" / "&amp;BM113,"No consensus"),"No consensus"),   IF(COUNTIF(BM112:BM114,"")=0,                                                                                                                                                                                                                                                       IFERROR(IF(AND(ABS(MATCH(BM112,Responses_list1_frequency,0)-MATCH(BM113,Responses_list1_frequency,0))=1,ABS(MATCH(BM113,Responses_list1_frequency,0)-MATCH(BM114,Responses_list1_frequency,0))=1),BM112&amp;" / "&amp;BM113&amp;" / "&amp;BM114,"No consensus"),"No consensus"),BM112)     ))</f>
        <v>No consensus</v>
      </c>
      <c r="BN24" s="58">
        <f>BN112</f>
        <v>2</v>
      </c>
      <c r="BO24" s="121">
        <f>BO112</f>
        <v>0</v>
      </c>
      <c r="BP24" s="14"/>
      <c r="BQ24" s="526"/>
      <c r="BR24" s="543"/>
      <c r="BS24" s="527"/>
      <c r="BT24" s="14"/>
      <c r="BU24" s="14"/>
      <c r="BV24" s="14"/>
      <c r="BW24" s="14"/>
      <c r="BX24" s="14"/>
      <c r="BY24" s="47"/>
      <c r="BZ24" s="14"/>
      <c r="CA24" s="34" t="s">
        <v>22</v>
      </c>
      <c r="CB24" s="37">
        <f>CB112</f>
        <v>1</v>
      </c>
      <c r="CC24" s="14"/>
      <c r="CD24" s="319" t="str">
        <f>CONCATENATE(INDEX(CA11:CA18,MATCH(LARGE(CF11:CF18,3),CF11:CF18,0),1),IF(ROUND(LARGE(CF11:CF18,3),4)=ROUND(LARGE(CF11:CF18,4),4),CONCATENATE(" / ",INDEX(CA11:CA18,MATCH(LARGE(CF11:CF18,4),CF11:CF18,0),1)),""),IF(ROUND(LARGE(CF11:CF18,3),4)=ROUND(LARGE(CF11:CF18,5),4),CONCATENATE(" / ",INDEX(CA11:CA18,MATCH(LARGE(CF11:CF18,5),CF11:CF18,0),1)),""))</f>
        <v>Changes in legislation or policy</v>
      </c>
      <c r="CE24" s="320"/>
      <c r="CF24" s="321"/>
      <c r="CG24" s="322"/>
      <c r="CH24" s="323"/>
      <c r="CI24" s="319" t="str">
        <f>CONCATENATE(INDEX(CI11:CI18,MATCH(LARGE(CF11:CF18,3),CF11:CF18,0),1),IF(ROUND(LARGE(CF11:CF18,3),4)=ROUND(LARGE(CF11:CF18,4),4),CONCATENATE(" / ",INDEX(CI11:CI18,MATCH(LARGE(CF11:CF18,4),CF11:CF18,0),1)),""),IF(ROUND(LARGE(CF11:CF18,3),4)=ROUND(LARGE(CF11:CF18,5),4),CONCATENATE(" / ",INDEX(CI11:CI18,MATCH(LARGE(CF11:CF18,5),CF11:CF18,0),1)),""))</f>
        <v>Unlikely</v>
      </c>
      <c r="CJ24" s="321"/>
      <c r="CK24" s="204"/>
      <c r="CL24" s="14"/>
      <c r="CM24" s="14"/>
      <c r="CN24" s="14"/>
      <c r="CO24" s="129"/>
      <c r="CP24" s="14"/>
      <c r="CQ24" s="47"/>
      <c r="CR24" s="14"/>
      <c r="CS24" s="34" t="s">
        <v>22</v>
      </c>
      <c r="CT24" s="37">
        <f>CT112</f>
        <v>1</v>
      </c>
      <c r="CU24" s="14"/>
      <c r="CV24" s="332" t="str">
        <f>CONCATENATE(INDEX(CS11:CS18,MATCH(LARGE(CX11:CX18,3),CX11:CX18,0),1),IF(ROUND(LARGE(CX11:CX18,3),4)=ROUND(LARGE(CX11:CX18,4),4),CONCATENATE(" / ",INDEX(CS11:CS18,MATCH(LARGE(CX11:$CX18,4),CX11:CX18,0),1)),""),IF(ROUND(LARGE(CX11:CX18,3),4)=ROUND(LARGE(CX11:CX18,5),4),CONCATENATE(" / ",INDEX(CS11:CS18,MATCH(LARGE(CX11:CX18,5),CX11:CX18,0),1)),""))</f>
        <v>Other uses increase land value</v>
      </c>
      <c r="CW24" s="320"/>
      <c r="CX24" s="321"/>
      <c r="CY24" s="322"/>
      <c r="CZ24" s="323"/>
      <c r="DA24" s="319" t="str">
        <f>CONCATENATE(INDEX($DA$11:$DA$18,MATCH(LARGE($CX$11:$CX$18,3),$CX$11:$CX$18,0),1),IF(ROUND(LARGE(CX11:CX18,3),4)=ROUND(LARGE(CX11:CX18,4),4),CONCATENATE(" / ",INDEX($DA$11:$DA$18,MATCH(LARGE($CX$11:$CX$18,4),$CX$11:$CX$18,0),1)),""),IF(ROUND(LARGE(CX11:CX18,3),4)=ROUND(LARGE(CX11:CX18,5),4),CONCATENATE(" / ",INDEX($DA$11:$DA$18,MATCH(LARGE($CX$11:$CX$18,5),$CX$11:$CX$18,0),1)),""))</f>
        <v>Moderately likely</v>
      </c>
      <c r="DB24" s="321"/>
      <c r="DC24" s="204"/>
      <c r="DD24" s="14"/>
      <c r="DE24" s="14"/>
      <c r="DF24" s="14"/>
      <c r="DG24" s="129"/>
      <c r="DH24" s="14"/>
      <c r="DI24" s="47"/>
      <c r="DJ24" s="14"/>
      <c r="DK24" s="34" t="s">
        <v>22</v>
      </c>
      <c r="DL24" s="122" t="str">
        <f ca="1">IF(COUNTIF(DL112:DL114,"")=2,DL112,                                                                                                                                                                                                IF(COUNTIF(DL112:DL114,"")=1,                                                                                                                                                                                                                                     IFERROR(IF(ABS(MATCH(DL112,Responses_list1_frequency,0)-MATCH(DL113,Responses_list1_frequency,0))=1,DL112&amp;" / "&amp;DL113,"No consensus"),"No consensus"),   IF(COUNTIF(DL112:DL114,"")=0,                                                                                                                                                                                                                                                       IFERROR(IF(AND(ABS(MATCH(DL112,Responses_list1_frequency,0)-MATCH(DL113,Responses_list1_frequency,0))=1,ABS(MATCH(DL113,Responses_list1_frequency,0)-MATCH(DL114,Responses_list1_frequency,0))=1),DL112&amp;" / "&amp;DL113&amp;" / "&amp;DL114,"No consensus"),"No consensus"),DL112)     ))</f>
        <v>Definitely not / Sometimes</v>
      </c>
      <c r="DM24" s="33">
        <f>DM112</f>
        <v>2</v>
      </c>
      <c r="DN24" s="37">
        <f>DN112</f>
        <v>0</v>
      </c>
      <c r="DO24" s="14"/>
      <c r="DP24" s="14"/>
      <c r="DQ24" s="526"/>
      <c r="DR24" s="543"/>
      <c r="DS24" s="527"/>
      <c r="DT24" s="14"/>
      <c r="DU24" s="14"/>
      <c r="DV24" s="14"/>
      <c r="DW24" s="14"/>
      <c r="DX24" s="14"/>
      <c r="DY24" s="14"/>
      <c r="DZ24" s="14"/>
      <c r="EA24" s="14"/>
      <c r="EB24" s="14"/>
      <c r="EC24" s="14"/>
      <c r="ED24" s="14"/>
      <c r="EE24" s="14"/>
      <c r="EF24" s="14"/>
      <c r="EG24" s="14"/>
      <c r="EH24" s="14"/>
      <c r="EI24" s="14"/>
      <c r="EJ24" s="14"/>
      <c r="EK24" s="14"/>
      <c r="EL24" s="14"/>
    </row>
    <row r="25" spans="1:142" x14ac:dyDescent="0.25">
      <c r="A25" s="14"/>
      <c r="B25" s="57" t="s">
        <v>32</v>
      </c>
      <c r="C25" s="122" t="str">
        <f ca="1">IF(COUNTIF(C139:C141,"")=2,C139,                                                                                                                                                                                                IF(COUNTIF(C139:C141,"")=1,                                                                                                                                                                                                                                     IFERROR(IF(ABS(MATCH(C139,Responses_list1_frequency,0)-MATCH(C140,Responses_list1_frequency,0))=1,C139&amp;" / "&amp;C140,"No consensus"),"No consensus"),   IF(COUNTIF(C139:C141,"")=0,                                                                                                                                                                                                                                                       IFERROR(IF(AND(ABS(MATCH(C139,Responses_list1_frequency,0)-MATCH(C140,Responses_list1_frequency,0))=1,ABS(MATCH(C140,Responses_list1_frequency,0)-MATCH(C141,Responses_list1_frequency,0))=1),C139&amp;" / "&amp;C140&amp;" / "&amp;C141,"No consensus"),"No consensus"),C139)     ))</f>
        <v>Sometimes</v>
      </c>
      <c r="D25" s="58">
        <f>D139</f>
        <v>2</v>
      </c>
      <c r="E25" s="121">
        <f>E139</f>
        <v>0</v>
      </c>
      <c r="F25" s="14"/>
      <c r="G25" s="528"/>
      <c r="H25" s="544"/>
      <c r="I25" s="529"/>
      <c r="J25" s="33"/>
      <c r="K25" s="14"/>
      <c r="L25" s="14"/>
      <c r="M25" s="14"/>
      <c r="N25" s="14"/>
      <c r="O25" s="14"/>
      <c r="P25" s="14"/>
      <c r="Q25" s="47"/>
      <c r="R25" s="19"/>
      <c r="S25" s="34" t="s">
        <v>32</v>
      </c>
      <c r="T25" s="122" t="str">
        <f ca="1">IF(COUNTIF(T139:T141,"")=2,T139,                                                                                                                                                                                                IF(COUNTIF(T139:T141,"")=1,                                                                                                                                                                                                                                     IFERROR(IF(ABS(MATCH(T139,Responses_list1_frequency,0)-MATCH(T140,Responses_list1_frequency,0))=1,T139&amp;" / "&amp;T140,"No consensus"),"No consensus"),   IF(COUNTIF(T139:T141,"")=0,                                                                                                                                                                                                                                                       IFERROR(IF(AND(ABS(MATCH(T139,Responses_list1_frequency,0)-MATCH(T140,Responses_list1_frequency,0))=1,ABS(MATCH(T140,Responses_list1_frequency,0)-MATCH(T141,Responses_list1_frequency,0))=1),T139&amp;" / "&amp;T140&amp;" / "&amp;T141,"No consensus"),"No consensus"),T139)     ))</f>
        <v>Very unlikely</v>
      </c>
      <c r="U25" s="33">
        <f>U139</f>
        <v>2</v>
      </c>
      <c r="V25" s="37">
        <f>V139</f>
        <v>0</v>
      </c>
      <c r="W25" s="14"/>
      <c r="X25" s="19"/>
      <c r="Y25" s="528"/>
      <c r="Z25" s="544"/>
      <c r="AA25" s="529"/>
      <c r="AB25" s="14"/>
      <c r="AC25" s="14"/>
      <c r="AD25" s="14"/>
      <c r="AE25" s="14"/>
      <c r="AF25" s="47"/>
      <c r="AG25" s="19"/>
      <c r="AH25" s="57" t="s">
        <v>32</v>
      </c>
      <c r="AI25" s="122" t="str">
        <f ca="1">IF(COUNTIF(AI139:AI141,"")=2,AI139,                                                                                                                                                                                                IF(COUNTIF(AI139:AI141,"")=1,                                                                                                                                                                                                                                     IFERROR(IF(ABS(MATCH(AI139,Responses_list1_frequency,0)-MATCH(AI140,Responses_list1_frequency,0))=1,AI139&amp;" / "&amp;AI140,"No consensus"),"No consensus"),   IF(COUNTIF(AI139:AI141,"")=0,                                                                                                                                                                                                                                                       IFERROR(IF(AND(ABS(MATCH(AI139,Responses_list1_frequency,0)-MATCH(AI140,Responses_list1_frequency,0))=1,ABS(MATCH(AI140,Responses_list1_frequency,0)-MATCH(AI141,Responses_list1_frequency,0))=1),AI139&amp;" / "&amp;AI140&amp;" / "&amp;AI141,"No consensus"),"No consensus"),AI139)     ))</f>
        <v>No consensus</v>
      </c>
      <c r="AJ25" s="58">
        <f>AJ139</f>
        <v>2</v>
      </c>
      <c r="AK25" s="58">
        <f>AK139</f>
        <v>1</v>
      </c>
      <c r="AL25" s="14"/>
      <c r="AM25" s="528"/>
      <c r="AN25" s="544"/>
      <c r="AO25" s="529"/>
      <c r="AP25" s="14"/>
      <c r="AQ25" s="14"/>
      <c r="AR25" s="14"/>
      <c r="AS25" s="14"/>
      <c r="AT25" s="14"/>
      <c r="AU25" s="47"/>
      <c r="AV25" s="14"/>
      <c r="AW25" s="57" t="s">
        <v>32</v>
      </c>
      <c r="AX25" s="122" t="str">
        <f ca="1">IF(COUNTIF(AX139:AX141,"")=2,AX139,                                                                                                                                                                                                IF(COUNTIF(AX139:AX141,"")=1,                                                                                                                                                                                                                                     IFERROR(IF(ABS(MATCH(AX139,Responses_list1_frequency,0)-MATCH(AX140,Responses_list1_frequency,0))=1,AX139&amp;" / "&amp;AX140,"No consensus"),"No consensus"),   IF(COUNTIF(AX139:AX141,"")=0,                                                                                                                                                                                                                                                       IFERROR(IF(AND(ABS(MATCH(AX139,Responses_list1_frequency,0)-MATCH(AX140,Responses_list1_frequency,0))=1,ABS(MATCH(AX140,Responses_list1_frequency,0)-MATCH(AX141,Responses_list1_frequency,0))=1),AX139&amp;" / "&amp;AX140&amp;" / "&amp;AX141,"No consensus"),"No consensus"),AX139)     ))</f>
        <v>No consensus</v>
      </c>
      <c r="AY25" s="58">
        <f>AY139</f>
        <v>2</v>
      </c>
      <c r="AZ25" s="121">
        <f>AZ139</f>
        <v>1</v>
      </c>
      <c r="BA25" s="14"/>
      <c r="BB25" s="528"/>
      <c r="BC25" s="544"/>
      <c r="BD25" s="529"/>
      <c r="BE25" s="14"/>
      <c r="BF25" s="14"/>
      <c r="BG25" s="14"/>
      <c r="BH25" s="14"/>
      <c r="BI25" s="14"/>
      <c r="BJ25" s="47"/>
      <c r="BK25" s="19"/>
      <c r="BL25" s="57" t="s">
        <v>32</v>
      </c>
      <c r="BM25" s="122" t="str">
        <f ca="1">IF(COUNTIF(BM139:BM141,"")=2,BM139,                                                                                                                                                                                                IF(COUNTIF(BM139:BM141,"")=1,                                                                                                                                                                                                                                     IFERROR(IF(ABS(MATCH(BM139,Responses_list1_frequency,0)-MATCH(BM140,Responses_list1_frequency,0))=1,BM139&amp;" / "&amp;BM140,"No consensus"),"No consensus"),   IF(COUNTIF(BM139:BM141,"")=0,                                                                                                                                                                                                                                                       IFERROR(IF(AND(ABS(MATCH(BM139,Responses_list1_frequency,0)-MATCH(BM140,Responses_list1_frequency,0))=1,ABS(MATCH(BM140,Responses_list1_frequency,0)-MATCH(BM141,Responses_list1_frequency,0))=1),BM139&amp;" / "&amp;BM140&amp;" / "&amp;BM141,"No consensus"),"No consensus"),BM139)     ))</f>
        <v>No consensus</v>
      </c>
      <c r="BN25" s="58">
        <f>BN139</f>
        <v>2</v>
      </c>
      <c r="BO25" s="121">
        <f>BO139</f>
        <v>1</v>
      </c>
      <c r="BP25" s="14"/>
      <c r="BQ25" s="528"/>
      <c r="BR25" s="544"/>
      <c r="BS25" s="529"/>
      <c r="BT25" s="14"/>
      <c r="BU25" s="14"/>
      <c r="BV25" s="14"/>
      <c r="BW25" s="14"/>
      <c r="BX25" s="14"/>
      <c r="BY25" s="47"/>
      <c r="BZ25" s="14"/>
      <c r="CA25" s="34" t="s">
        <v>32</v>
      </c>
      <c r="CB25" s="37">
        <f>CB139</f>
        <v>2</v>
      </c>
      <c r="CC25" s="14"/>
      <c r="CD25" s="19"/>
      <c r="CE25" s="19"/>
      <c r="CF25" s="19"/>
      <c r="CG25" s="39"/>
      <c r="CH25" s="19"/>
      <c r="CI25" s="19"/>
      <c r="CJ25" s="19"/>
      <c r="CK25" s="19"/>
      <c r="CL25" s="14"/>
      <c r="CM25" s="14"/>
      <c r="CN25" s="14"/>
      <c r="CO25" s="129"/>
      <c r="CP25" s="14"/>
      <c r="CQ25" s="47"/>
      <c r="CR25" s="14"/>
      <c r="CS25" s="34" t="s">
        <v>32</v>
      </c>
      <c r="CT25" s="37">
        <f>CT139</f>
        <v>2</v>
      </c>
      <c r="CU25" s="14"/>
      <c r="CV25" s="27"/>
      <c r="CW25" s="19"/>
      <c r="CX25" s="19"/>
      <c r="CY25" s="39"/>
      <c r="CZ25" s="19"/>
      <c r="DA25" s="19"/>
      <c r="DB25" s="19"/>
      <c r="DC25" s="19"/>
      <c r="DD25" s="14"/>
      <c r="DE25" s="14"/>
      <c r="DF25" s="14"/>
      <c r="DG25" s="129"/>
      <c r="DH25" s="14"/>
      <c r="DI25" s="47"/>
      <c r="DJ25" s="14"/>
      <c r="DK25" s="34" t="s">
        <v>32</v>
      </c>
      <c r="DL25" s="122" t="str">
        <f ca="1">IF(COUNTIF(DL139:DL141,"")=2,DL139,                                                                                                                                                                                                IF(COUNTIF(DL139:DL141,"")=1,                                                                                                                                                                                                                                     IFERROR(IF(ABS(MATCH(DL139,Responses_list1_frequency,0)-MATCH(DL140,Responses_list1_frequency,0))=1,DL139&amp;" / "&amp;DL140,"No consensus"),"No consensus"),   IF(COUNTIF(DL139:DL141,"")=0,                                                                                                                                                                                                                                                       IFERROR(IF(AND(ABS(MATCH(DL139,Responses_list1_frequency,0)-MATCH(DL140,Responses_list1_frequency,0))=1,ABS(MATCH(DL140,Responses_list1_frequency,0)-MATCH(DL141,Responses_list1_frequency,0))=1),DL139&amp;" / "&amp;DL140&amp;" / "&amp;DL141,"No consensus"),"No consensus"),DL139)     ))</f>
        <v>Sometimes</v>
      </c>
      <c r="DM25" s="33">
        <f>DM139</f>
        <v>2</v>
      </c>
      <c r="DN25" s="37">
        <f>DN139</f>
        <v>0</v>
      </c>
      <c r="DO25" s="14"/>
      <c r="DP25" s="14"/>
      <c r="DQ25" s="528"/>
      <c r="DR25" s="544"/>
      <c r="DS25" s="529"/>
      <c r="DT25" s="14"/>
      <c r="DU25" s="14"/>
      <c r="DV25" s="14"/>
      <c r="DW25" s="14"/>
      <c r="DX25" s="14"/>
      <c r="DY25" s="14"/>
      <c r="DZ25" s="14"/>
      <c r="EA25" s="14"/>
      <c r="EB25" s="14"/>
      <c r="EC25" s="14"/>
      <c r="ED25" s="14"/>
      <c r="EE25" s="14"/>
      <c r="EF25" s="14"/>
      <c r="EG25" s="14"/>
      <c r="EH25" s="14"/>
      <c r="EI25" s="14"/>
      <c r="EJ25" s="14"/>
      <c r="EK25" s="14"/>
      <c r="EL25" s="14"/>
    </row>
    <row r="26" spans="1:142" x14ac:dyDescent="0.25">
      <c r="A26" s="14"/>
      <c r="B26" s="57" t="s">
        <v>153</v>
      </c>
      <c r="C26" s="122" t="str">
        <f ca="1">IF(COUNTIF(C166:C168,"")=2,C166,                                                                                                                                                                                                IF(COUNTIF(C166:C168,"")=1,                                                                                                                                                                                                                                     IFERROR(IF(ABS(MATCH(C166,Responses_list1_frequency,0)-MATCH(C167,Responses_list1_frequency,0))=1,C166&amp;" / "&amp;C167,"No consensus"),"No consensus"),   IF(COUNTIF(C166:C168,"")=0,                                                                                                                                                                                                                                                       IFERROR(IF(AND(ABS(MATCH(C166,Responses_list1_frequency,0)-MATCH(C167,Responses_list1_frequency,0))=1,ABS(MATCH(C167,Responses_list1_frequency,0)-MATCH(C168,Responses_list1_frequency,0))=1),C166&amp;" / "&amp;C167&amp;" / "&amp;C168,"No consensus"),"No consensus"),C166)     ))</f>
        <v>Definitely not / Sometimes</v>
      </c>
      <c r="D26" s="58">
        <f>D166</f>
        <v>2</v>
      </c>
      <c r="E26" s="121">
        <f>E166</f>
        <v>0</v>
      </c>
      <c r="F26" s="14"/>
      <c r="G26" s="136"/>
      <c r="H26" s="138"/>
      <c r="I26" s="36"/>
      <c r="J26" s="33"/>
      <c r="K26" s="14"/>
      <c r="L26" s="14"/>
      <c r="M26" s="14"/>
      <c r="N26" s="14"/>
      <c r="O26" s="14"/>
      <c r="P26" s="14"/>
      <c r="Q26" s="47"/>
      <c r="R26" s="19"/>
      <c r="S26" s="34" t="s">
        <v>153</v>
      </c>
      <c r="T26" s="122" t="str">
        <f ca="1">IF(COUNTIF(T166:T168,"")=2,T166,                                                                                                                                                                                                IF(COUNTIF(T166:T168,"")=1,                                                                                                                                                                                                                                     IFERROR(IF(ABS(MATCH(T166,Responses_list1_frequency,0)-MATCH(T167,Responses_list1_frequency,0))=1,T166&amp;" / "&amp;T167,"No consensus"),"No consensus"),   IF(COUNTIF(T166:T168,"")=0,                                                                                                                                                                                                                                                       IFERROR(IF(AND(ABS(MATCH(T166,Responses_list1_frequency,0)-MATCH(T167,Responses_list1_frequency,0))=1,ABS(MATCH(T167,Responses_list1_frequency,0)-MATCH(T168,Responses_list1_frequency,0))=1),T166&amp;" / "&amp;T167&amp;" / "&amp;T168,"No consensus"),"No consensus"),T166)     ))</f>
        <v>na</v>
      </c>
      <c r="U26" s="33">
        <f>U166</f>
        <v>0</v>
      </c>
      <c r="V26" s="37">
        <f>V166</f>
        <v>0</v>
      </c>
      <c r="W26" s="14"/>
      <c r="X26" s="19"/>
      <c r="Y26" s="19"/>
      <c r="Z26" s="14"/>
      <c r="AA26" s="14"/>
      <c r="AB26" s="14"/>
      <c r="AC26" s="14"/>
      <c r="AD26" s="14"/>
      <c r="AE26" s="14"/>
      <c r="AF26" s="47"/>
      <c r="AG26" s="19"/>
      <c r="AH26" s="57" t="s">
        <v>153</v>
      </c>
      <c r="AI26" s="122" t="str">
        <f ca="1">IF(COUNTIF(AI166:AI168,"")=2,AI166,                                                                                                                                                                                                IF(COUNTIF(AI166:AI168,"")=1,                                                                                                                                                                                                                                     IFERROR(IF(ABS(MATCH(AI166,Responses_list1_frequency,0)-MATCH(AI167,Responses_list1_frequency,0))=1,AI166&amp;" / "&amp;AI167,"No consensus"),"No consensus"),   IF(COUNTIF(AI166:AI168,"")=0,                                                                                                                                                                                                                                                       IFERROR(IF(AND(ABS(MATCH(AI166,Responses_list1_frequency,0)-MATCH(AI167,Responses_list1_frequency,0))=1,ABS(MATCH(AI167,Responses_list1_frequency,0)-MATCH(AI168,Responses_list1_frequency,0))=1),AI166&amp;" / "&amp;AI167&amp;" / "&amp;AI168,"No consensus"),"No consensus"),AI166)     ))</f>
        <v>na</v>
      </c>
      <c r="AJ26" s="58">
        <f>AJ166</f>
        <v>0</v>
      </c>
      <c r="AK26" s="58">
        <f>AK166</f>
        <v>0</v>
      </c>
      <c r="AL26" s="14"/>
      <c r="AM26" s="19"/>
      <c r="AN26" s="14"/>
      <c r="AO26" s="14"/>
      <c r="AP26" s="14"/>
      <c r="AQ26" s="14"/>
      <c r="AR26" s="14"/>
      <c r="AS26" s="14"/>
      <c r="AT26" s="14"/>
      <c r="AU26" s="47"/>
      <c r="AV26" s="14"/>
      <c r="AW26" s="57" t="s">
        <v>153</v>
      </c>
      <c r="AX26" s="122" t="str">
        <f ca="1">IF(COUNTIF(AX166:AX168,"")=2,AX166,                                                                                                                                                                                                IF(COUNTIF(AX166:AX168,"")=1,                                                                                                                                                                                                                                     IFERROR(IF(ABS(MATCH(AX166,Responses_list1_frequency,0)-MATCH(AX167,Responses_list1_frequency,0))=1,AX166&amp;" / "&amp;AX167,"No consensus"),"No consensus"),   IF(COUNTIF(AX166:AX168,"")=0,                                                                                                                                                                                                                                                       IFERROR(IF(AND(ABS(MATCH(AX166,Responses_list1_frequency,0)-MATCH(AX167,Responses_list1_frequency,0))=1,ABS(MATCH(AX167,Responses_list1_frequency,0)-MATCH(AX168,Responses_list1_frequency,0))=1),AX166&amp;" / "&amp;AX167&amp;" / "&amp;AX168,"No consensus"),"No consensus"),AX166)     ))</f>
        <v>na</v>
      </c>
      <c r="AY26" s="58">
        <f>AY166</f>
        <v>0</v>
      </c>
      <c r="AZ26" s="121">
        <f>AZ166</f>
        <v>0</v>
      </c>
      <c r="BA26" s="14"/>
      <c r="BB26" s="19"/>
      <c r="BC26" s="19"/>
      <c r="BD26" s="14"/>
      <c r="BE26" s="14"/>
      <c r="BF26" s="14"/>
      <c r="BG26" s="14"/>
      <c r="BH26" s="14"/>
      <c r="BI26" s="14"/>
      <c r="BJ26" s="47"/>
      <c r="BK26" s="19"/>
      <c r="BL26" s="57" t="s">
        <v>153</v>
      </c>
      <c r="BM26" s="122" t="str">
        <f ca="1">IF(COUNTIF(BM166:BM168,"")=2,BM166,                                                                                                                                                                                                IF(COUNTIF(BM166:BM168,"")=1,                                                                                                                                                                                                                                     IFERROR(IF(ABS(MATCH(BM166,Responses_list1_frequency,0)-MATCH(BM167,Responses_list1_frequency,0))=1,BM166&amp;" / "&amp;BM167,"No consensus"),"No consensus"),   IF(COUNTIF(BM166:BM168,"")=0,                                                                                                                                                                                                                                                       IFERROR(IF(AND(ABS(MATCH(BM166,Responses_list1_frequency,0)-MATCH(BM167,Responses_list1_frequency,0))=1,ABS(MATCH(BM167,Responses_list1_frequency,0)-MATCH(BM168,Responses_list1_frequency,0))=1),BM166&amp;" / "&amp;BM167&amp;" / "&amp;BM168,"No consensus"),"No consensus"),BM166)     ))</f>
        <v>na</v>
      </c>
      <c r="BN26" s="58">
        <f>BN166</f>
        <v>0</v>
      </c>
      <c r="BO26" s="121">
        <f>BO166</f>
        <v>0</v>
      </c>
      <c r="BP26" s="14"/>
      <c r="BQ26" s="19"/>
      <c r="BR26" s="19"/>
      <c r="BS26" s="14"/>
      <c r="BT26" s="14"/>
      <c r="BU26" s="14"/>
      <c r="BV26" s="14"/>
      <c r="BW26" s="14"/>
      <c r="BX26" s="14"/>
      <c r="BY26" s="47"/>
      <c r="BZ26" s="14"/>
      <c r="CA26" s="34" t="s">
        <v>153</v>
      </c>
      <c r="CB26" s="37">
        <f>CB166</f>
        <v>1</v>
      </c>
      <c r="CC26" s="19"/>
      <c r="CD26" s="19"/>
      <c r="CE26" s="19"/>
      <c r="CF26" s="19"/>
      <c r="CG26" s="14"/>
      <c r="CH26" s="68"/>
      <c r="CI26" s="14"/>
      <c r="CJ26" s="14"/>
      <c r="CK26" s="14"/>
      <c r="CL26" s="14"/>
      <c r="CM26" s="14"/>
      <c r="CN26" s="14"/>
      <c r="CO26" s="129"/>
      <c r="CP26" s="14"/>
      <c r="CQ26" s="47"/>
      <c r="CR26" s="14"/>
      <c r="CS26" s="34" t="s">
        <v>153</v>
      </c>
      <c r="CT26" s="37">
        <f>CT166</f>
        <v>0</v>
      </c>
      <c r="CU26" s="19"/>
      <c r="CV26" s="27"/>
      <c r="CW26" s="19"/>
      <c r="CX26" s="19"/>
      <c r="CY26" s="14"/>
      <c r="CZ26" s="68"/>
      <c r="DA26" s="14"/>
      <c r="DB26" s="14"/>
      <c r="DC26" s="14"/>
      <c r="DD26" s="14"/>
      <c r="DE26" s="14"/>
      <c r="DF26" s="14"/>
      <c r="DG26" s="129"/>
      <c r="DH26" s="14"/>
      <c r="DI26" s="47"/>
      <c r="DJ26" s="14"/>
      <c r="DK26" s="34" t="s">
        <v>153</v>
      </c>
      <c r="DL26" s="122" t="str">
        <f ca="1">IF(COUNTIF(DL166:DL168,"")=2,DL166,                                                                                                                                                                                                IF(COUNTIF(DL166:DL168,"")=1,                                                                                                                                                                                                                                     IFERROR(IF(ABS(MATCH(DL166,Responses_list1_frequency,0)-MATCH(DL167,Responses_list1_frequency,0))=1,DL166&amp;" / "&amp;DL167,"No consensus"),"No consensus"),   IF(COUNTIF(DL166:DL168,"")=0,                                                                                                                                                                                                                                                       IFERROR(IF(AND(ABS(MATCH(DL166,Responses_list1_frequency,0)-MATCH(DL167,Responses_list1_frequency,0))=1,ABS(MATCH(DL167,Responses_list1_frequency,0)-MATCH(DL168,Responses_list1_frequency,0))=1),DL166&amp;" / "&amp;DL167&amp;" / "&amp;DL168,"No consensus"),"No consensus"),DL166)     ))</f>
        <v>Definitely not / Sometimes</v>
      </c>
      <c r="DM26" s="33">
        <f>DM166</f>
        <v>2</v>
      </c>
      <c r="DN26" s="37">
        <f>DN166</f>
        <v>0</v>
      </c>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row>
    <row r="27" spans="1:142" x14ac:dyDescent="0.25">
      <c r="A27" s="14"/>
      <c r="B27" s="57" t="s">
        <v>154</v>
      </c>
      <c r="C27" s="122" t="str">
        <f ca="1">IF(COUNTIF(C193:C195,"")=2,C193,                                                                                                                                                                                                IF(COUNTIF(C193:C195,"")=1,                                                                                                                                                                                                                                     IFERROR(IF(ABS(MATCH(C193,Responses_list1_frequency,0)-MATCH(C194,Responses_list1_frequency,0))=1,C193&amp;" / "&amp;C194,"No consensus"),"No consensus"),   IF(COUNTIF(C193:C195,"")=0,                                                                                                                                                                                                                                                       IFERROR(IF(AND(ABS(MATCH(C193,Responses_list1_frequency,0)-MATCH(C194,Responses_list1_frequency,0))=1,ABS(MATCH(C194,Responses_list1_frequency,0)-MATCH(C195,Responses_list1_frequency,0))=1),C193&amp;" / "&amp;C194&amp;" / "&amp;C195,"No consensus"),"No consensus"),C193)     ))</f>
        <v>na</v>
      </c>
      <c r="D27" s="58">
        <f>D193</f>
        <v>0</v>
      </c>
      <c r="E27" s="121">
        <f>E193</f>
        <v>0</v>
      </c>
      <c r="F27" s="14"/>
      <c r="G27" s="136"/>
      <c r="H27" s="138"/>
      <c r="I27" s="36"/>
      <c r="J27" s="33"/>
      <c r="K27" s="14"/>
      <c r="L27" s="14"/>
      <c r="M27" s="14"/>
      <c r="N27" s="14"/>
      <c r="O27" s="14"/>
      <c r="P27" s="14"/>
      <c r="Q27" s="47"/>
      <c r="R27" s="19"/>
      <c r="S27" s="57" t="s">
        <v>154</v>
      </c>
      <c r="T27" s="122" t="str">
        <f ca="1">IF(COUNTIF(T193:T195,"")=2,T193,                                                                                                                                                                                                IF(COUNTIF(T193:T195,"")=1,                                                                                                                                                                                                                                     IFERROR(IF(ABS(MATCH(T193,Responses_list1_frequency,0)-MATCH(T194,Responses_list1_frequency,0))=1,T193&amp;" / "&amp;T194,"No consensus"),"No consensus"),   IF(COUNTIF(T193:T195,"")=0,                                                                                                                                                                                                                                                       IFERROR(IF(AND(ABS(MATCH(T193,Responses_list1_frequency,0)-MATCH(T194,Responses_list1_frequency,0))=1,ABS(MATCH(T194,Responses_list1_frequency,0)-MATCH(T195,Responses_list1_frequency,0))=1),T193&amp;" / "&amp;T194&amp;" / "&amp;T195,"No consensus"),"No consensus"),T193)     ))</f>
        <v>na</v>
      </c>
      <c r="U27" s="58">
        <f>U193</f>
        <v>0</v>
      </c>
      <c r="V27" s="58">
        <f>V193</f>
        <v>0</v>
      </c>
      <c r="W27" s="14"/>
      <c r="X27" s="19"/>
      <c r="Y27" s="19"/>
      <c r="Z27" s="14"/>
      <c r="AA27" s="14"/>
      <c r="AB27" s="14"/>
      <c r="AC27" s="14"/>
      <c r="AD27" s="14"/>
      <c r="AE27" s="14"/>
      <c r="AF27" s="47"/>
      <c r="AG27" s="19"/>
      <c r="AH27" s="57" t="s">
        <v>154</v>
      </c>
      <c r="AI27" s="122" t="str">
        <f ca="1">IF(COUNTIF(AI193:AI195,"")=2,AI193,                                                                                                                                                                                                IF(COUNTIF(AI193:AI195,"")=1,                                                                                                                                                                                                                                     IFERROR(IF(ABS(MATCH(AI193,Responses_list1_frequency,0)-MATCH(AI194,Responses_list1_frequency,0))=1,AI193&amp;" / "&amp;AI194,"No consensus"),"No consensus"),   IF(COUNTIF(AI193:AI195,"")=0,                                                                                                                                                                                                                                                       IFERROR(IF(AND(ABS(MATCH(AI193,Responses_list1_frequency,0)-MATCH(AI194,Responses_list1_frequency,0))=1,ABS(MATCH(AI194,Responses_list1_frequency,0)-MATCH(AI195,Responses_list1_frequency,0))=1),AI193&amp;" / "&amp;AI194&amp;" / "&amp;AI195,"No consensus"),"No consensus"),AI193)     ))</f>
        <v>Moderately unlikely</v>
      </c>
      <c r="AJ27" s="58">
        <f>AJ193</f>
        <v>4</v>
      </c>
      <c r="AK27" s="58">
        <f>AK193</f>
        <v>0</v>
      </c>
      <c r="AL27" s="14"/>
      <c r="AM27" s="19"/>
      <c r="AN27" s="19"/>
      <c r="AO27" s="14"/>
      <c r="AP27" s="14"/>
      <c r="AQ27" s="14"/>
      <c r="AR27" s="14"/>
      <c r="AS27" s="14"/>
      <c r="AT27" s="14"/>
      <c r="AU27" s="47"/>
      <c r="AV27" s="14"/>
      <c r="AW27" s="57" t="s">
        <v>154</v>
      </c>
      <c r="AX27" s="122" t="str">
        <f ca="1">IF(COUNTIF(AX193:AX195,"")=2,AX193,                                                                                                                                                                                                IF(COUNTIF(AX193:AX195,"")=1,                                                                                                                                                                                                                                     IFERROR(IF(ABS(MATCH(AX193,Responses_list1_frequency,0)-MATCH(AX194,Responses_list1_frequency,0))=1,AX193&amp;" / "&amp;AX194,"No consensus"),"No consensus"),   IF(COUNTIF(AX193:AX195,"")=0,                                                                                                                                                                                                                                                       IFERROR(IF(AND(ABS(MATCH(AX193,Responses_list1_frequency,0)-MATCH(AX194,Responses_list1_frequency,0))=1,ABS(MATCH(AX194,Responses_list1_frequency,0)-MATCH(AX195,Responses_list1_frequency,0))=1),AX193&amp;" / "&amp;AX194&amp;" / "&amp;AX195,"No consensus"),"No consensus"),AX193)     ))</f>
        <v>Moderately likely</v>
      </c>
      <c r="AY27" s="58">
        <f>AY193</f>
        <v>4</v>
      </c>
      <c r="AZ27" s="121">
        <f>AZ193</f>
        <v>0</v>
      </c>
      <c r="BA27" s="14"/>
      <c r="BB27" s="19"/>
      <c r="BC27" s="19"/>
      <c r="BD27" s="14"/>
      <c r="BE27" s="14"/>
      <c r="BF27" s="14"/>
      <c r="BG27" s="14"/>
      <c r="BH27" s="14"/>
      <c r="BI27" s="14"/>
      <c r="BJ27" s="47"/>
      <c r="BK27" s="19"/>
      <c r="BL27" s="57" t="s">
        <v>154</v>
      </c>
      <c r="BM27" s="122" t="str">
        <f ca="1">IF(COUNTIF(BM193:BM195,"")=2,BM193,                                                                                                                                                                                                IF(COUNTIF(BM193:BM195,"")=1,                                                                                                                                                                                                                                     IFERROR(IF(ABS(MATCH(BM193,Responses_list1_frequency,0)-MATCH(BM194,Responses_list1_frequency,0))=1,BM193&amp;" / "&amp;BM194,"No consensus"),"No consensus"),   IF(COUNTIF(BM193:BM195,"")=0,                                                                                                                                                                                                                                                       IFERROR(IF(AND(ABS(MATCH(BM193,Responses_list1_frequency,0)-MATCH(BM194,Responses_list1_frequency,0))=1,ABS(MATCH(BM194,Responses_list1_frequency,0)-MATCH(BM195,Responses_list1_frequency,0))=1),BM193&amp;" / "&amp;BM194&amp;" / "&amp;BM195,"No consensus"),"No consensus"),BM193)     ))</f>
        <v>Moderately likely</v>
      </c>
      <c r="BN27" s="58">
        <f>BN193</f>
        <v>4</v>
      </c>
      <c r="BO27" s="121">
        <f>BO193</f>
        <v>0</v>
      </c>
      <c r="BP27" s="14"/>
      <c r="BQ27" s="19"/>
      <c r="BR27" s="19"/>
      <c r="BS27" s="14"/>
      <c r="BT27" s="14"/>
      <c r="BU27" s="14"/>
      <c r="BV27" s="14"/>
      <c r="BW27" s="14"/>
      <c r="BX27" s="14"/>
      <c r="BY27" s="47"/>
      <c r="BZ27" s="14"/>
      <c r="CA27" s="57" t="s">
        <v>154</v>
      </c>
      <c r="CB27" s="37">
        <f>CB193</f>
        <v>0</v>
      </c>
      <c r="CC27" s="19"/>
      <c r="CD27" s="19"/>
      <c r="CE27" s="19"/>
      <c r="CF27" s="19"/>
      <c r="CG27" s="14"/>
      <c r="CH27" s="14"/>
      <c r="CI27" s="14"/>
      <c r="CJ27" s="14"/>
      <c r="CK27" s="14"/>
      <c r="CL27" s="14"/>
      <c r="CM27" s="14"/>
      <c r="CN27" s="14"/>
      <c r="CO27" s="129"/>
      <c r="CP27" s="14"/>
      <c r="CQ27" s="47"/>
      <c r="CR27" s="14"/>
      <c r="CS27" s="57" t="s">
        <v>154</v>
      </c>
      <c r="CT27" s="37">
        <f>CT193</f>
        <v>0</v>
      </c>
      <c r="CU27" s="19"/>
      <c r="CV27" s="27"/>
      <c r="CW27" s="19"/>
      <c r="CX27" s="19"/>
      <c r="CY27" s="14"/>
      <c r="CZ27" s="14"/>
      <c r="DA27" s="14"/>
      <c r="DB27" s="14"/>
      <c r="DC27" s="14"/>
      <c r="DD27" s="14"/>
      <c r="DE27" s="14"/>
      <c r="DF27" s="14"/>
      <c r="DG27" s="129"/>
      <c r="DH27" s="14"/>
      <c r="DI27" s="47"/>
      <c r="DJ27" s="14"/>
      <c r="DK27" s="57" t="s">
        <v>154</v>
      </c>
      <c r="DL27" s="122" t="str">
        <f ca="1">IF(COUNTIF(DL193:DL195,"")=2,DL193,                                                                                                                                                                                                IF(COUNTIF(DL193:DL195,"")=1,                                                                                                                                                                                                                                     IFERROR(IF(ABS(MATCH(DL193,Responses_list1_frequency,0)-MATCH(DL194,Responses_list1_frequency,0))=1,DL193&amp;" / "&amp;DL194,"No consensus"),"No consensus"),   IF(COUNTIF(DL193:DL195,"")=0,                                                                                                                                                                                                                                                       IFERROR(IF(AND(ABS(MATCH(DL193,Responses_list1_frequency,0)-MATCH(DL194,Responses_list1_frequency,0))=1,ABS(MATCH(DL194,Responses_list1_frequency,0)-MATCH(DL195,Responses_list1_frequency,0))=1),DL193&amp;" / "&amp;DL194&amp;" / "&amp;DL195,"No consensus"),"No consensus"),DL193)     ))</f>
        <v>na</v>
      </c>
      <c r="DM27" s="58">
        <f>DM193</f>
        <v>0</v>
      </c>
      <c r="DN27" s="58">
        <f>DN193</f>
        <v>0</v>
      </c>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row>
    <row r="28" spans="1:142" s="132" customFormat="1" x14ac:dyDescent="0.25">
      <c r="A28" s="23"/>
      <c r="B28" s="112" t="s">
        <v>350</v>
      </c>
      <c r="C28" s="126"/>
      <c r="D28" s="113">
        <f>SUM(D22:D27)</f>
        <v>12</v>
      </c>
      <c r="E28" s="113">
        <f>SUM(E22:E27)</f>
        <v>0</v>
      </c>
      <c r="F28" s="23"/>
      <c r="G28" s="137"/>
      <c r="H28" s="137"/>
      <c r="I28" s="137"/>
      <c r="J28" s="53"/>
      <c r="K28" s="23"/>
      <c r="L28" s="23"/>
      <c r="M28" s="23"/>
      <c r="N28" s="23"/>
      <c r="O28" s="23"/>
      <c r="P28" s="23"/>
      <c r="Q28" s="73"/>
      <c r="R28" s="56"/>
      <c r="S28" s="112" t="s">
        <v>350</v>
      </c>
      <c r="T28" s="113"/>
      <c r="U28" s="113">
        <f>SUM(U22:U27)</f>
        <v>10</v>
      </c>
      <c r="V28" s="113">
        <f>SUM(V22:V27)</f>
        <v>0</v>
      </c>
      <c r="W28" s="23"/>
      <c r="X28" s="56"/>
      <c r="Y28" s="56"/>
      <c r="Z28" s="23"/>
      <c r="AA28" s="23"/>
      <c r="AB28" s="23"/>
      <c r="AC28" s="23"/>
      <c r="AD28" s="23"/>
      <c r="AE28" s="23"/>
      <c r="AF28" s="73"/>
      <c r="AG28" s="56"/>
      <c r="AH28" s="112" t="s">
        <v>350</v>
      </c>
      <c r="AI28" s="113"/>
      <c r="AJ28" s="113">
        <f>SUM(AJ22:AJ27)</f>
        <v>16</v>
      </c>
      <c r="AK28" s="113">
        <f>SUM(AK22:AK27)</f>
        <v>1</v>
      </c>
      <c r="AL28" s="23"/>
      <c r="AM28" s="56"/>
      <c r="AN28" s="56"/>
      <c r="AO28" s="23"/>
      <c r="AP28" s="23"/>
      <c r="AQ28" s="23"/>
      <c r="AR28" s="23"/>
      <c r="AS28" s="23"/>
      <c r="AT28" s="23"/>
      <c r="AU28" s="73"/>
      <c r="AV28" s="23"/>
      <c r="AW28" s="112" t="s">
        <v>350</v>
      </c>
      <c r="AX28" s="113"/>
      <c r="AY28" s="113">
        <f>SUM(AY22:AY27)</f>
        <v>16</v>
      </c>
      <c r="AZ28" s="113">
        <f>SUM(AZ22:AZ27)</f>
        <v>1</v>
      </c>
      <c r="BA28" s="23"/>
      <c r="BB28" s="56"/>
      <c r="BC28" s="56"/>
      <c r="BD28" s="23"/>
      <c r="BE28" s="23"/>
      <c r="BF28" s="23"/>
      <c r="BG28" s="23"/>
      <c r="BH28" s="23"/>
      <c r="BI28" s="23"/>
      <c r="BJ28" s="73"/>
      <c r="BK28" s="56"/>
      <c r="BL28" s="112" t="s">
        <v>350</v>
      </c>
      <c r="BM28" s="113"/>
      <c r="BN28" s="113">
        <f>SUM(BN22:BN27)</f>
        <v>16</v>
      </c>
      <c r="BO28" s="113">
        <f>SUM(BO22:BO27)</f>
        <v>1</v>
      </c>
      <c r="BP28" s="23"/>
      <c r="BQ28" s="56"/>
      <c r="BR28" s="56"/>
      <c r="BS28" s="23"/>
      <c r="BT28" s="23"/>
      <c r="BU28" s="23"/>
      <c r="BV28" s="23"/>
      <c r="BW28" s="23"/>
      <c r="BX28" s="23"/>
      <c r="BY28" s="73"/>
      <c r="BZ28" s="23"/>
      <c r="CA28" s="112" t="s">
        <v>350</v>
      </c>
      <c r="CB28" s="113">
        <f>SUM(CB22:CB27)</f>
        <v>7</v>
      </c>
      <c r="CC28" s="56"/>
      <c r="CD28" s="56"/>
      <c r="CE28" s="56"/>
      <c r="CF28" s="39"/>
      <c r="CG28" s="23"/>
      <c r="CH28" s="23"/>
      <c r="CI28" s="23"/>
      <c r="CJ28" s="23"/>
      <c r="CK28" s="23"/>
      <c r="CL28" s="23"/>
      <c r="CM28" s="23"/>
      <c r="CN28" s="23"/>
      <c r="CO28" s="90"/>
      <c r="CP28" s="23"/>
      <c r="CQ28" s="73"/>
      <c r="CR28" s="23"/>
      <c r="CS28" s="112" t="s">
        <v>350</v>
      </c>
      <c r="CT28" s="113">
        <f>SUM(CT22:CT27)</f>
        <v>9</v>
      </c>
      <c r="CU28" s="56"/>
      <c r="CV28" s="31"/>
      <c r="CW28" s="56"/>
      <c r="CX28" s="39"/>
      <c r="CY28" s="23"/>
      <c r="CZ28" s="23"/>
      <c r="DA28" s="23"/>
      <c r="DB28" s="23"/>
      <c r="DC28" s="23"/>
      <c r="DD28" s="23"/>
      <c r="DE28" s="23"/>
      <c r="DF28" s="23"/>
      <c r="DG28" s="90"/>
      <c r="DH28" s="23"/>
      <c r="DI28" s="73"/>
      <c r="DJ28" s="23"/>
      <c r="DK28" s="112" t="s">
        <v>350</v>
      </c>
      <c r="DL28" s="126"/>
      <c r="DM28" s="113">
        <f>SUM(DM22:DM27)</f>
        <v>12</v>
      </c>
      <c r="DN28" s="113">
        <f>SUM(DN22:DN27)</f>
        <v>0</v>
      </c>
      <c r="DO28" s="53"/>
      <c r="DP28" s="23"/>
      <c r="DQ28" s="23"/>
      <c r="DR28" s="23"/>
      <c r="DS28" s="23"/>
      <c r="DT28" s="23"/>
      <c r="DU28" s="23"/>
      <c r="DV28" s="23"/>
      <c r="DW28" s="23"/>
      <c r="DX28" s="23"/>
      <c r="DY28" s="23"/>
      <c r="DZ28" s="23"/>
      <c r="EA28" s="23"/>
      <c r="EB28" s="23"/>
      <c r="EC28" s="23"/>
      <c r="ED28" s="23"/>
      <c r="EE28" s="23"/>
      <c r="EF28" s="23"/>
      <c r="EG28" s="23"/>
      <c r="EH28" s="23"/>
      <c r="EI28" s="23"/>
      <c r="EJ28" s="23"/>
      <c r="EK28" s="23"/>
      <c r="EL28" s="23"/>
    </row>
    <row r="29" spans="1:142" x14ac:dyDescent="0.25">
      <c r="A29" s="14"/>
      <c r="B29" s="23"/>
      <c r="C29" s="14"/>
      <c r="D29" s="18"/>
      <c r="E29" s="14"/>
      <c r="F29" s="14"/>
      <c r="G29" s="14"/>
      <c r="H29" s="21"/>
      <c r="I29" s="21"/>
      <c r="J29" s="14"/>
      <c r="K29" s="14"/>
      <c r="L29" s="14"/>
      <c r="M29" s="14"/>
      <c r="N29" s="14"/>
      <c r="O29" s="14"/>
      <c r="P29" s="14"/>
      <c r="Q29" s="47"/>
      <c r="R29" s="19"/>
      <c r="S29" s="14"/>
      <c r="T29" s="14"/>
      <c r="U29" s="14"/>
      <c r="V29" s="14"/>
      <c r="W29" s="14"/>
      <c r="X29" s="19"/>
      <c r="Y29" s="19"/>
      <c r="Z29" s="14"/>
      <c r="AA29" s="14"/>
      <c r="AB29" s="14"/>
      <c r="AC29" s="14"/>
      <c r="AD29" s="14"/>
      <c r="AE29" s="14"/>
      <c r="AF29" s="47"/>
      <c r="AG29" s="19"/>
      <c r="AH29" s="14"/>
      <c r="AI29" s="14"/>
      <c r="AJ29" s="14"/>
      <c r="AK29" s="14"/>
      <c r="AL29" s="14"/>
      <c r="AM29" s="19"/>
      <c r="AN29" s="19"/>
      <c r="AO29" s="14"/>
      <c r="AP29" s="14"/>
      <c r="AQ29" s="14"/>
      <c r="AR29" s="14"/>
      <c r="AS29" s="14"/>
      <c r="AT29" s="14"/>
      <c r="AU29" s="47"/>
      <c r="AV29" s="14"/>
      <c r="AW29" s="14"/>
      <c r="AX29" s="14"/>
      <c r="AY29" s="14"/>
      <c r="AZ29" s="14"/>
      <c r="BA29" s="14"/>
      <c r="BB29" s="19"/>
      <c r="BC29" s="19"/>
      <c r="BD29" s="14"/>
      <c r="BE29" s="14"/>
      <c r="BF29" s="14"/>
      <c r="BG29" s="14"/>
      <c r="BH29" s="14"/>
      <c r="BI29" s="14"/>
      <c r="BJ29" s="47"/>
      <c r="BK29" s="19"/>
      <c r="BL29" s="14"/>
      <c r="BM29" s="14"/>
      <c r="BN29" s="14"/>
      <c r="BO29" s="14"/>
      <c r="BP29" s="14"/>
      <c r="BQ29" s="19"/>
      <c r="BR29" s="19"/>
      <c r="BS29" s="14"/>
      <c r="BT29" s="14"/>
      <c r="BU29" s="14"/>
      <c r="BV29" s="14"/>
      <c r="BW29" s="14"/>
      <c r="BX29" s="14"/>
      <c r="BY29" s="47"/>
      <c r="BZ29" s="14"/>
      <c r="CA29" s="19"/>
      <c r="CB29" s="27"/>
      <c r="CC29" s="27"/>
      <c r="CD29" s="27"/>
      <c r="CE29" s="27"/>
      <c r="CF29" s="59"/>
      <c r="CG29" s="15"/>
      <c r="CH29" s="14"/>
      <c r="CI29" s="14"/>
      <c r="CJ29" s="14"/>
      <c r="CK29" s="14"/>
      <c r="CL29" s="14"/>
      <c r="CM29" s="14"/>
      <c r="CN29" s="14"/>
      <c r="CO29" s="129"/>
      <c r="CP29" s="30"/>
      <c r="CQ29" s="47"/>
      <c r="CR29" s="14"/>
      <c r="CS29" s="14"/>
      <c r="CT29" s="19"/>
      <c r="CU29" s="19"/>
      <c r="CV29" s="27"/>
      <c r="CW29" s="19"/>
      <c r="CX29" s="59"/>
      <c r="CY29" s="14"/>
      <c r="CZ29" s="14"/>
      <c r="DA29" s="14"/>
      <c r="DB29" s="14"/>
      <c r="DC29" s="14"/>
      <c r="DD29" s="14"/>
      <c r="DE29" s="14"/>
      <c r="DF29" s="14"/>
      <c r="DG29" s="129"/>
      <c r="DH29" s="14"/>
      <c r="DI29" s="47"/>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row>
    <row r="30" spans="1:142" s="133" customFormat="1" x14ac:dyDescent="0.25">
      <c r="A30" s="21"/>
      <c r="B30" s="266"/>
      <c r="C30" s="27"/>
      <c r="D30" s="31"/>
      <c r="E30" s="27"/>
      <c r="F30" s="27"/>
      <c r="G30" s="21"/>
      <c r="H30" s="21"/>
      <c r="I30" s="21"/>
      <c r="J30" s="21"/>
      <c r="K30" s="21"/>
      <c r="L30" s="21"/>
      <c r="M30" s="21"/>
      <c r="N30" s="21"/>
      <c r="O30" s="21"/>
      <c r="P30" s="21"/>
      <c r="Q30" s="47"/>
      <c r="R30" s="21"/>
      <c r="S30" s="21"/>
      <c r="T30" s="21"/>
      <c r="U30" s="21"/>
      <c r="V30" s="21"/>
      <c r="W30" s="21"/>
      <c r="X30" s="19"/>
      <c r="Y30" s="19"/>
      <c r="Z30" s="21"/>
      <c r="AA30" s="21"/>
      <c r="AB30" s="21"/>
      <c r="AC30" s="21"/>
      <c r="AD30" s="21"/>
      <c r="AE30" s="21"/>
      <c r="AF30" s="46"/>
      <c r="AG30" s="21"/>
      <c r="AH30" s="21"/>
      <c r="AI30" s="21"/>
      <c r="AJ30" s="21"/>
      <c r="AK30" s="21"/>
      <c r="AL30" s="21"/>
      <c r="AM30" s="19"/>
      <c r="AN30" s="19"/>
      <c r="AO30" s="21"/>
      <c r="AP30" s="21"/>
      <c r="AQ30" s="21"/>
      <c r="AR30" s="21"/>
      <c r="AS30" s="21"/>
      <c r="AT30" s="21"/>
      <c r="AU30" s="46"/>
      <c r="AV30" s="21"/>
      <c r="AW30" s="21"/>
      <c r="AX30" s="21"/>
      <c r="AY30" s="21"/>
      <c r="AZ30" s="21"/>
      <c r="BA30" s="21"/>
      <c r="BB30" s="19"/>
      <c r="BC30" s="19"/>
      <c r="BD30" s="21"/>
      <c r="BE30" s="21"/>
      <c r="BF30" s="21"/>
      <c r="BG30" s="21"/>
      <c r="BH30" s="21"/>
      <c r="BI30" s="21"/>
      <c r="BJ30" s="46"/>
      <c r="BK30" s="21"/>
      <c r="BL30" s="21"/>
      <c r="BM30" s="21"/>
      <c r="BN30" s="21"/>
      <c r="BO30" s="21"/>
      <c r="BP30" s="21"/>
      <c r="BQ30" s="19"/>
      <c r="BR30" s="19"/>
      <c r="BS30" s="21"/>
      <c r="BT30" s="21"/>
      <c r="BU30" s="21"/>
      <c r="BV30" s="21"/>
      <c r="BW30" s="21"/>
      <c r="BX30" s="21"/>
      <c r="BY30" s="46"/>
      <c r="BZ30" s="21"/>
      <c r="CA30" s="27"/>
      <c r="CB30" s="27"/>
      <c r="CC30" s="27"/>
      <c r="CD30" s="51"/>
      <c r="CE30" s="96"/>
      <c r="CF30" s="32"/>
      <c r="CG30" s="32"/>
      <c r="CH30" s="21"/>
      <c r="CI30" s="14"/>
      <c r="CJ30" s="14"/>
      <c r="CK30" s="14"/>
      <c r="CL30" s="14"/>
      <c r="CM30" s="14"/>
      <c r="CN30" s="14"/>
      <c r="CO30" s="129"/>
      <c r="CP30" s="28"/>
      <c r="CQ30" s="46"/>
      <c r="CR30" s="21"/>
      <c r="CS30" s="21"/>
      <c r="CT30" s="21"/>
      <c r="CU30" s="21"/>
      <c r="CV30" s="21"/>
      <c r="CW30" s="21"/>
      <c r="CX30" s="21"/>
      <c r="CY30" s="21"/>
      <c r="CZ30" s="21"/>
      <c r="DA30" s="21"/>
      <c r="DB30" s="21"/>
      <c r="DC30" s="21"/>
      <c r="DD30" s="21"/>
      <c r="DE30" s="21"/>
      <c r="DF30" s="21"/>
      <c r="DG30" s="285"/>
      <c r="DH30" s="21"/>
      <c r="DI30" s="46"/>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row>
    <row r="31" spans="1:142" s="133" customFormat="1" x14ac:dyDescent="0.25">
      <c r="A31" s="21"/>
      <c r="B31" s="269"/>
      <c r="C31" s="267"/>
      <c r="D31" s="267"/>
      <c r="E31" s="267"/>
      <c r="F31" s="267"/>
      <c r="G31" s="21"/>
      <c r="H31" s="21"/>
      <c r="I31" s="21"/>
      <c r="J31" s="21"/>
      <c r="K31" s="21"/>
      <c r="L31" s="21"/>
      <c r="M31" s="21"/>
      <c r="N31" s="21"/>
      <c r="O31" s="21"/>
      <c r="P31" s="21"/>
      <c r="Q31" s="47"/>
      <c r="R31" s="27"/>
      <c r="S31" s="159" t="s">
        <v>692</v>
      </c>
      <c r="T31" s="160">
        <f>IF(U28=0,"",IF(U38&gt;=0.5,"No consensus",IF(AND(U39&gt;0,U40&gt;0),U39/U40,IF(U39&gt;U40,"Likely","Unlikely"))))</f>
        <v>9.0909090909090912E-2</v>
      </c>
      <c r="U31" s="161" t="str">
        <f>IFERROR(IF(T31/2&gt;=0,IF(T31&gt;2,"Likely",IF(T31&lt;0.5,"Unlikely","No clear consensus on the likelihood"))),"")</f>
        <v>Unlikely</v>
      </c>
      <c r="V31" s="21"/>
      <c r="W31" s="21"/>
      <c r="X31" s="19"/>
      <c r="Y31" s="19"/>
      <c r="Z31" s="21"/>
      <c r="AA31" s="21"/>
      <c r="AB31" s="21"/>
      <c r="AC31" s="21"/>
      <c r="AD31" s="21"/>
      <c r="AE31" s="21"/>
      <c r="AF31" s="46"/>
      <c r="AG31" s="27"/>
      <c r="AH31" s="159" t="s">
        <v>692</v>
      </c>
      <c r="AI31" s="160">
        <f>IF(AJ28=0,"",IF(AJ38&gt;=0.5,"No consensus",IF(AND(AJ39&gt;0,AJ40&gt;0),AJ39/AJ40,IF(AJ39&gt;AJ40,"Likely","Unlikely"))))</f>
        <v>5.8823529411764705E-2</v>
      </c>
      <c r="AJ31" s="161" t="str">
        <f>IFERROR(IF(AI31/2&gt;=0,IF(AI31&gt;2,"Likely",IF(AI31&lt;0.5,"Unlikely","No clear consensus on the likelihood"))),"")</f>
        <v>Unlikely</v>
      </c>
      <c r="AK31" s="21"/>
      <c r="AL31" s="21"/>
      <c r="AM31" s="19"/>
      <c r="AN31" s="19"/>
      <c r="AO31" s="21"/>
      <c r="AP31" s="21"/>
      <c r="AQ31" s="21"/>
      <c r="AR31" s="21"/>
      <c r="AS31" s="21"/>
      <c r="AT31" s="21"/>
      <c r="AU31" s="46"/>
      <c r="AV31" s="21"/>
      <c r="AW31" s="159" t="s">
        <v>692</v>
      </c>
      <c r="AX31" s="160">
        <f>IF(AY28=0,"",IF(AY38&gt;=0.5,"No consensus",IF(AND(AY39&gt;0,AY40&gt;0),AY39/AY40,IF(AY39&gt;AY40,"Likely","Unlikely"))))</f>
        <v>0.2857142857142857</v>
      </c>
      <c r="AY31" s="161" t="str">
        <f>IFERROR(IF(AX31/2&gt;=0,IF(AX31&gt;2,"Likely",IF(AX31&lt;0.5,"Unlikely","No clear consensus on the likelihood"))),"")</f>
        <v>Unlikely</v>
      </c>
      <c r="AZ31" s="21"/>
      <c r="BA31" s="21"/>
      <c r="BB31" s="19"/>
      <c r="BC31" s="19"/>
      <c r="BD31" s="21"/>
      <c r="BE31" s="21"/>
      <c r="BF31" s="21"/>
      <c r="BG31" s="21"/>
      <c r="BH31" s="21"/>
      <c r="BI31" s="21"/>
      <c r="BJ31" s="46"/>
      <c r="BK31" s="27"/>
      <c r="BL31" s="159" t="s">
        <v>692</v>
      </c>
      <c r="BM31" s="160">
        <f>IF(BN28=0,"",IF(BN38&gt;=0.5,"No consensus",IF(AND(BN39&gt;0,BN40&gt;0),BN39/BN40,IF(BN39&gt;BN40,"Likely","Unlikely"))))</f>
        <v>0.2857142857142857</v>
      </c>
      <c r="BN31" s="161" t="str">
        <f>IFERROR(IF(BM31/2&gt;=0,IF(BM31&gt;=2,"Likely",IF(BM31&lt;=0.5,"Unlikely","No clear consensus on the likelihood"))),"")</f>
        <v>Unlikely</v>
      </c>
      <c r="BO31" s="21"/>
      <c r="BP31" s="21"/>
      <c r="BQ31" s="19"/>
      <c r="BR31" s="19"/>
      <c r="BS31" s="21"/>
      <c r="BT31" s="21"/>
      <c r="BU31" s="21"/>
      <c r="BV31" s="21"/>
      <c r="BW31" s="21"/>
      <c r="BX31" s="21"/>
      <c r="BY31" s="46"/>
      <c r="BZ31" s="21"/>
      <c r="CA31" s="43"/>
      <c r="CB31" s="209"/>
      <c r="CC31" s="518"/>
      <c r="CD31" s="518"/>
      <c r="CE31" s="518"/>
      <c r="CF31" s="518"/>
      <c r="CG31" s="518"/>
      <c r="CH31" s="518"/>
      <c r="CI31" s="518"/>
      <c r="CJ31" s="518"/>
      <c r="CK31" s="518"/>
      <c r="CL31" s="518"/>
      <c r="CM31" s="518"/>
      <c r="CN31" s="518"/>
      <c r="CO31" s="518"/>
      <c r="CP31" s="27"/>
      <c r="CQ31" s="46"/>
      <c r="CR31" s="21"/>
      <c r="CS31" s="212"/>
      <c r="CT31" s="209"/>
      <c r="CU31" s="519"/>
      <c r="CV31" s="519"/>
      <c r="CW31" s="519"/>
      <c r="CX31" s="519"/>
      <c r="CY31" s="519"/>
      <c r="CZ31" s="519"/>
      <c r="DA31" s="519"/>
      <c r="DB31" s="519"/>
      <c r="DC31" s="519"/>
      <c r="DD31" s="519"/>
      <c r="DE31" s="519"/>
      <c r="DF31" s="519"/>
      <c r="DG31" s="519"/>
      <c r="DH31" s="21"/>
      <c r="DI31" s="46"/>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row>
    <row r="32" spans="1:142" s="133" customFormat="1" ht="15" customHeight="1" x14ac:dyDescent="0.25">
      <c r="A32" s="21"/>
      <c r="B32" s="211"/>
      <c r="C32" s="265"/>
      <c r="D32" s="270"/>
      <c r="E32" s="270"/>
      <c r="F32" s="270"/>
      <c r="G32" s="21"/>
      <c r="H32" s="21"/>
      <c r="I32" s="21"/>
      <c r="J32" s="21"/>
      <c r="K32" s="21"/>
      <c r="L32" s="21"/>
      <c r="M32" s="21"/>
      <c r="N32" s="21"/>
      <c r="O32" s="21"/>
      <c r="P32" s="21"/>
      <c r="Q32" s="47"/>
      <c r="R32" s="27"/>
      <c r="S32" s="21"/>
      <c r="T32" s="21"/>
      <c r="U32" s="21"/>
      <c r="V32" s="21"/>
      <c r="W32" s="21"/>
      <c r="X32" s="19"/>
      <c r="Y32" s="19"/>
      <c r="Z32" s="21"/>
      <c r="AA32" s="21"/>
      <c r="AB32" s="21"/>
      <c r="AC32" s="21"/>
      <c r="AD32" s="21"/>
      <c r="AE32" s="21"/>
      <c r="AF32" s="46"/>
      <c r="AG32" s="27"/>
      <c r="AH32" s="21"/>
      <c r="AI32" s="21"/>
      <c r="AJ32" s="21"/>
      <c r="AK32" s="21"/>
      <c r="AL32" s="21"/>
      <c r="AM32" s="19"/>
      <c r="AN32" s="19"/>
      <c r="AO32" s="21"/>
      <c r="AP32" s="21"/>
      <c r="AQ32" s="21"/>
      <c r="AR32" s="21"/>
      <c r="AS32" s="21"/>
      <c r="AT32" s="21"/>
      <c r="AU32" s="46"/>
      <c r="AV32" s="21"/>
      <c r="AW32" s="21"/>
      <c r="AX32" s="21"/>
      <c r="AY32" s="21"/>
      <c r="AZ32" s="21"/>
      <c r="BA32" s="21"/>
      <c r="BB32" s="19"/>
      <c r="BC32" s="19"/>
      <c r="BD32" s="21"/>
      <c r="BE32" s="21"/>
      <c r="BF32" s="21"/>
      <c r="BG32" s="21"/>
      <c r="BH32" s="21"/>
      <c r="BI32" s="21"/>
      <c r="BJ32" s="46"/>
      <c r="BK32" s="27"/>
      <c r="BL32" s="21"/>
      <c r="BM32" s="21"/>
      <c r="BN32" s="21"/>
      <c r="BO32" s="21"/>
      <c r="BP32" s="21"/>
      <c r="BQ32" s="19"/>
      <c r="BR32" s="19"/>
      <c r="BS32" s="21"/>
      <c r="BT32" s="21"/>
      <c r="BU32" s="21"/>
      <c r="BV32" s="21"/>
      <c r="BW32" s="21"/>
      <c r="BX32" s="21"/>
      <c r="BY32" s="46"/>
      <c r="BZ32" s="21"/>
      <c r="CA32" s="210"/>
      <c r="CB32" s="211"/>
      <c r="CC32" s="515"/>
      <c r="CD32" s="515"/>
      <c r="CE32" s="515"/>
      <c r="CF32" s="515"/>
      <c r="CG32" s="515"/>
      <c r="CH32" s="515"/>
      <c r="CI32" s="515"/>
      <c r="CJ32" s="515"/>
      <c r="CK32" s="515"/>
      <c r="CL32" s="515"/>
      <c r="CM32" s="515"/>
      <c r="CN32" s="515"/>
      <c r="CO32" s="515"/>
      <c r="CP32" s="27"/>
      <c r="CQ32" s="46"/>
      <c r="CR32" s="21"/>
      <c r="CS32" s="71"/>
      <c r="CT32" s="71"/>
      <c r="CU32" s="516"/>
      <c r="CV32" s="516"/>
      <c r="CW32" s="516"/>
      <c r="CX32" s="516"/>
      <c r="CY32" s="516"/>
      <c r="CZ32" s="516"/>
      <c r="DA32" s="516"/>
      <c r="DB32" s="516"/>
      <c r="DC32" s="516"/>
      <c r="DD32" s="516"/>
      <c r="DE32" s="516"/>
      <c r="DF32" s="516"/>
      <c r="DG32" s="516"/>
      <c r="DH32" s="21"/>
      <c r="DI32" s="46"/>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row>
    <row r="33" spans="1:142" ht="42.75" customHeight="1" x14ac:dyDescent="0.25">
      <c r="A33" s="14"/>
      <c r="B33" s="211"/>
      <c r="C33" s="265"/>
      <c r="D33" s="270"/>
      <c r="E33" s="270"/>
      <c r="F33" s="270"/>
      <c r="G33" s="14"/>
      <c r="H33" s="21"/>
      <c r="I33" s="21"/>
      <c r="J33" s="14"/>
      <c r="K33" s="14"/>
      <c r="L33" s="14"/>
      <c r="M33" s="14"/>
      <c r="N33" s="14"/>
      <c r="O33" s="14"/>
      <c r="P33" s="14"/>
      <c r="Q33" s="47"/>
      <c r="R33" s="19"/>
      <c r="S33" s="545" t="s">
        <v>757</v>
      </c>
      <c r="T33" s="546"/>
      <c r="U33" s="547"/>
      <c r="V33" s="14"/>
      <c r="W33" s="14"/>
      <c r="X33" s="19"/>
      <c r="Y33" s="19"/>
      <c r="Z33" s="14"/>
      <c r="AA33" s="14"/>
      <c r="AB33" s="14"/>
      <c r="AC33" s="14"/>
      <c r="AD33" s="14"/>
      <c r="AE33" s="14"/>
      <c r="AF33" s="47"/>
      <c r="AG33" s="19"/>
      <c r="AH33" s="545" t="s">
        <v>757</v>
      </c>
      <c r="AI33" s="546"/>
      <c r="AJ33" s="547"/>
      <c r="AK33" s="14"/>
      <c r="AL33" s="14"/>
      <c r="AM33" s="19"/>
      <c r="AN33" s="19"/>
      <c r="AO33" s="14"/>
      <c r="AP33" s="14"/>
      <c r="AQ33" s="14"/>
      <c r="AR33" s="14"/>
      <c r="AS33" s="14"/>
      <c r="AT33" s="14"/>
      <c r="AU33" s="47"/>
      <c r="AV33" s="14"/>
      <c r="AW33" s="545" t="s">
        <v>757</v>
      </c>
      <c r="AX33" s="546"/>
      <c r="AY33" s="547"/>
      <c r="AZ33" s="14"/>
      <c r="BA33" s="14"/>
      <c r="BB33" s="19"/>
      <c r="BC33" s="19"/>
      <c r="BD33" s="14"/>
      <c r="BE33" s="14"/>
      <c r="BF33" s="14"/>
      <c r="BG33" s="14"/>
      <c r="BH33" s="14"/>
      <c r="BI33" s="14"/>
      <c r="BJ33" s="47"/>
      <c r="BK33" s="19"/>
      <c r="BL33" s="545" t="s">
        <v>757</v>
      </c>
      <c r="BM33" s="546"/>
      <c r="BN33" s="547"/>
      <c r="BO33" s="14"/>
      <c r="BP33" s="14"/>
      <c r="BQ33" s="19"/>
      <c r="BR33" s="19"/>
      <c r="BS33" s="14"/>
      <c r="BT33" s="14"/>
      <c r="BU33" s="14"/>
      <c r="BV33" s="14"/>
      <c r="BW33" s="14"/>
      <c r="BX33" s="14"/>
      <c r="BY33" s="47"/>
      <c r="BZ33" s="14"/>
      <c r="CA33" s="210"/>
      <c r="CB33" s="211"/>
      <c r="CC33" s="515"/>
      <c r="CD33" s="515"/>
      <c r="CE33" s="515"/>
      <c r="CF33" s="515"/>
      <c r="CG33" s="515"/>
      <c r="CH33" s="515"/>
      <c r="CI33" s="515"/>
      <c r="CJ33" s="515"/>
      <c r="CK33" s="515"/>
      <c r="CL33" s="515"/>
      <c r="CM33" s="515"/>
      <c r="CN33" s="515"/>
      <c r="CO33" s="515"/>
      <c r="CP33" s="14"/>
      <c r="CQ33" s="47"/>
      <c r="CR33" s="14"/>
      <c r="CS33" s="71"/>
      <c r="CT33" s="71"/>
      <c r="CU33" s="516"/>
      <c r="CV33" s="516"/>
      <c r="CW33" s="516"/>
      <c r="CX33" s="516"/>
      <c r="CY33" s="516"/>
      <c r="CZ33" s="516"/>
      <c r="DA33" s="516"/>
      <c r="DB33" s="516"/>
      <c r="DC33" s="516"/>
      <c r="DD33" s="516"/>
      <c r="DE33" s="516"/>
      <c r="DF33" s="516"/>
      <c r="DG33" s="516"/>
      <c r="DH33" s="14"/>
      <c r="DI33" s="47"/>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row>
    <row r="34" spans="1:142" ht="28.5" customHeight="1" x14ac:dyDescent="0.25">
      <c r="A34" s="14"/>
      <c r="B34" s="211"/>
      <c r="C34" s="265"/>
      <c r="D34" s="270"/>
      <c r="E34" s="270"/>
      <c r="F34" s="270"/>
      <c r="G34" s="14"/>
      <c r="H34" s="21"/>
      <c r="I34" s="21"/>
      <c r="J34" s="14"/>
      <c r="K34" s="14"/>
      <c r="L34" s="14"/>
      <c r="M34" s="14"/>
      <c r="N34" s="14"/>
      <c r="O34" s="14"/>
      <c r="P34" s="14"/>
      <c r="Q34" s="47"/>
      <c r="R34" s="19"/>
      <c r="S34" s="548"/>
      <c r="T34" s="549"/>
      <c r="U34" s="550"/>
      <c r="V34" s="14"/>
      <c r="W34" s="14"/>
      <c r="X34" s="19"/>
      <c r="Y34" s="19"/>
      <c r="Z34" s="14"/>
      <c r="AA34" s="14"/>
      <c r="AB34" s="14"/>
      <c r="AC34" s="14"/>
      <c r="AD34" s="14"/>
      <c r="AE34" s="14"/>
      <c r="AF34" s="47"/>
      <c r="AG34" s="19"/>
      <c r="AH34" s="548"/>
      <c r="AI34" s="549"/>
      <c r="AJ34" s="550"/>
      <c r="AK34" s="14"/>
      <c r="AL34" s="14"/>
      <c r="AM34" s="19"/>
      <c r="AN34" s="19"/>
      <c r="AO34" s="14"/>
      <c r="AP34" s="14"/>
      <c r="AQ34" s="14"/>
      <c r="AR34" s="14"/>
      <c r="AS34" s="14"/>
      <c r="AT34" s="14"/>
      <c r="AU34" s="47"/>
      <c r="AV34" s="14"/>
      <c r="AW34" s="548"/>
      <c r="AX34" s="549"/>
      <c r="AY34" s="550"/>
      <c r="AZ34" s="14"/>
      <c r="BA34" s="14"/>
      <c r="BB34" s="19"/>
      <c r="BC34" s="19"/>
      <c r="BD34" s="14"/>
      <c r="BE34" s="14"/>
      <c r="BF34" s="14"/>
      <c r="BG34" s="14"/>
      <c r="BH34" s="14"/>
      <c r="BI34" s="14"/>
      <c r="BJ34" s="47"/>
      <c r="BK34" s="19"/>
      <c r="BL34" s="548"/>
      <c r="BM34" s="549"/>
      <c r="BN34" s="550"/>
      <c r="BO34" s="14"/>
      <c r="BP34" s="14"/>
      <c r="BQ34" s="19"/>
      <c r="BR34" s="19"/>
      <c r="BS34" s="14"/>
      <c r="BT34" s="14"/>
      <c r="BU34" s="14"/>
      <c r="BV34" s="14"/>
      <c r="BW34" s="14"/>
      <c r="BX34" s="14"/>
      <c r="BY34" s="47"/>
      <c r="BZ34" s="14"/>
      <c r="CA34" s="210"/>
      <c r="CB34" s="211"/>
      <c r="CC34" s="515"/>
      <c r="CD34" s="515"/>
      <c r="CE34" s="515"/>
      <c r="CF34" s="515"/>
      <c r="CG34" s="515"/>
      <c r="CH34" s="515"/>
      <c r="CI34" s="515"/>
      <c r="CJ34" s="515"/>
      <c r="CK34" s="515"/>
      <c r="CL34" s="515"/>
      <c r="CM34" s="515"/>
      <c r="CN34" s="515"/>
      <c r="CO34" s="515"/>
      <c r="CP34" s="14"/>
      <c r="CQ34" s="47"/>
      <c r="CR34" s="14"/>
      <c r="CS34" s="71"/>
      <c r="CT34" s="71"/>
      <c r="CU34" s="516"/>
      <c r="CV34" s="516"/>
      <c r="CW34" s="516"/>
      <c r="CX34" s="516"/>
      <c r="CY34" s="516"/>
      <c r="CZ34" s="516"/>
      <c r="DA34" s="516"/>
      <c r="DB34" s="516"/>
      <c r="DC34" s="516"/>
      <c r="DD34" s="516"/>
      <c r="DE34" s="516"/>
      <c r="DF34" s="516"/>
      <c r="DG34" s="516"/>
      <c r="DH34" s="14"/>
      <c r="DI34" s="47"/>
      <c r="DJ34" s="14"/>
      <c r="DK34" s="14"/>
      <c r="DL34" s="14"/>
      <c r="DM34" s="14"/>
      <c r="DN34" s="14"/>
      <c r="DO34" s="14"/>
      <c r="DP34" s="14"/>
      <c r="DQ34" s="14"/>
      <c r="DR34" s="103"/>
      <c r="DS34" s="104"/>
      <c r="DT34" s="104"/>
      <c r="DU34" s="104"/>
      <c r="DV34" s="104"/>
      <c r="DW34" s="104"/>
      <c r="DX34" s="104"/>
      <c r="DY34" s="104"/>
      <c r="DZ34" s="14"/>
      <c r="EA34" s="14"/>
      <c r="EB34" s="14"/>
      <c r="EC34" s="14"/>
      <c r="ED34" s="14"/>
      <c r="EE34" s="14"/>
      <c r="EF34" s="14"/>
      <c r="EG34" s="14"/>
      <c r="EH34" s="14"/>
      <c r="EI34" s="14"/>
      <c r="EJ34" s="14"/>
      <c r="EK34" s="14"/>
      <c r="EL34" s="14"/>
    </row>
    <row r="35" spans="1:142" ht="42.75" customHeight="1" x14ac:dyDescent="0.25">
      <c r="A35" s="14"/>
      <c r="B35" s="211"/>
      <c r="C35" s="265"/>
      <c r="D35" s="270"/>
      <c r="E35" s="270"/>
      <c r="F35" s="270"/>
      <c r="G35" s="14"/>
      <c r="H35" s="21"/>
      <c r="I35" s="21"/>
      <c r="J35" s="14"/>
      <c r="K35" s="14"/>
      <c r="L35" s="14"/>
      <c r="M35" s="14"/>
      <c r="N35" s="14"/>
      <c r="O35" s="14"/>
      <c r="P35" s="14"/>
      <c r="Q35" s="47"/>
      <c r="R35" s="19"/>
      <c r="S35" s="551"/>
      <c r="T35" s="552"/>
      <c r="U35" s="553"/>
      <c r="V35" s="14"/>
      <c r="W35" s="14"/>
      <c r="X35" s="19"/>
      <c r="Y35" s="19"/>
      <c r="Z35" s="14"/>
      <c r="AA35" s="14"/>
      <c r="AB35" s="14"/>
      <c r="AC35" s="14"/>
      <c r="AD35" s="14"/>
      <c r="AE35" s="14"/>
      <c r="AF35" s="47"/>
      <c r="AG35" s="19"/>
      <c r="AH35" s="551"/>
      <c r="AI35" s="552"/>
      <c r="AJ35" s="553"/>
      <c r="AK35" s="14"/>
      <c r="AL35" s="14"/>
      <c r="AM35" s="19"/>
      <c r="AN35" s="19"/>
      <c r="AO35" s="14"/>
      <c r="AP35" s="14"/>
      <c r="AQ35" s="14"/>
      <c r="AR35" s="14"/>
      <c r="AS35" s="14"/>
      <c r="AT35" s="14"/>
      <c r="AU35" s="47"/>
      <c r="AV35" s="14"/>
      <c r="AW35" s="551"/>
      <c r="AX35" s="552"/>
      <c r="AY35" s="553"/>
      <c r="AZ35" s="14"/>
      <c r="BA35" s="14"/>
      <c r="BB35" s="19"/>
      <c r="BC35" s="19"/>
      <c r="BD35" s="14"/>
      <c r="BE35" s="14"/>
      <c r="BF35" s="14"/>
      <c r="BG35" s="14"/>
      <c r="BH35" s="14"/>
      <c r="BI35" s="14"/>
      <c r="BJ35" s="47"/>
      <c r="BK35" s="19"/>
      <c r="BL35" s="551"/>
      <c r="BM35" s="552"/>
      <c r="BN35" s="553"/>
      <c r="BO35" s="14"/>
      <c r="BP35" s="14"/>
      <c r="BQ35" s="19"/>
      <c r="BR35" s="19"/>
      <c r="BS35" s="14"/>
      <c r="BT35" s="14"/>
      <c r="BU35" s="14"/>
      <c r="BV35" s="14"/>
      <c r="BW35" s="14"/>
      <c r="BX35" s="14"/>
      <c r="BY35" s="47"/>
      <c r="BZ35" s="14"/>
      <c r="CA35" s="210"/>
      <c r="CB35" s="211"/>
      <c r="CC35" s="515"/>
      <c r="CD35" s="515"/>
      <c r="CE35" s="515"/>
      <c r="CF35" s="515"/>
      <c r="CG35" s="515"/>
      <c r="CH35" s="515"/>
      <c r="CI35" s="515"/>
      <c r="CJ35" s="515"/>
      <c r="CK35" s="515"/>
      <c r="CL35" s="515"/>
      <c r="CM35" s="515"/>
      <c r="CN35" s="515"/>
      <c r="CO35" s="515"/>
      <c r="CP35" s="14"/>
      <c r="CQ35" s="47"/>
      <c r="CR35" s="14"/>
      <c r="CS35" s="71"/>
      <c r="CT35" s="71"/>
      <c r="CU35" s="516"/>
      <c r="CV35" s="516"/>
      <c r="CW35" s="516"/>
      <c r="CX35" s="516"/>
      <c r="CY35" s="516"/>
      <c r="CZ35" s="516"/>
      <c r="DA35" s="516"/>
      <c r="DB35" s="516"/>
      <c r="DC35" s="516"/>
      <c r="DD35" s="516"/>
      <c r="DE35" s="516"/>
      <c r="DF35" s="516"/>
      <c r="DG35" s="516"/>
      <c r="DH35" s="14"/>
      <c r="DI35" s="47"/>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row>
    <row r="36" spans="1:142" ht="15" customHeight="1" x14ac:dyDescent="0.25">
      <c r="A36" s="14"/>
      <c r="B36" s="211"/>
      <c r="C36" s="265"/>
      <c r="D36" s="270"/>
      <c r="E36" s="270"/>
      <c r="F36" s="270"/>
      <c r="G36" s="14"/>
      <c r="H36" s="21"/>
      <c r="I36" s="21"/>
      <c r="J36" s="14"/>
      <c r="K36" s="14"/>
      <c r="L36" s="14"/>
      <c r="M36" s="14"/>
      <c r="N36" s="14"/>
      <c r="O36" s="14"/>
      <c r="P36" s="14"/>
      <c r="Q36" s="47"/>
      <c r="R36" s="19"/>
      <c r="S36" s="353" t="s">
        <v>758</v>
      </c>
      <c r="T36" s="354"/>
      <c r="U36" s="355"/>
      <c r="V36" s="14"/>
      <c r="W36" s="14"/>
      <c r="X36" s="19"/>
      <c r="Y36" s="19"/>
      <c r="Z36" s="14"/>
      <c r="AA36" s="14"/>
      <c r="AB36" s="14"/>
      <c r="AC36" s="14"/>
      <c r="AD36" s="14"/>
      <c r="AE36" s="14"/>
      <c r="AF36" s="47"/>
      <c r="AG36" s="19"/>
      <c r="AH36" s="353" t="s">
        <v>758</v>
      </c>
      <c r="AI36" s="354"/>
      <c r="AJ36" s="355"/>
      <c r="AK36" s="14"/>
      <c r="AL36" s="14"/>
      <c r="AM36" s="19"/>
      <c r="AN36" s="19"/>
      <c r="AO36" s="14"/>
      <c r="AP36" s="14"/>
      <c r="AQ36" s="14"/>
      <c r="AR36" s="14"/>
      <c r="AS36" s="14"/>
      <c r="AT36" s="14"/>
      <c r="AU36" s="47"/>
      <c r="AV36" s="14"/>
      <c r="AW36" s="353" t="s">
        <v>758</v>
      </c>
      <c r="AX36" s="354"/>
      <c r="AY36" s="355"/>
      <c r="AZ36" s="14"/>
      <c r="BA36" s="14"/>
      <c r="BB36" s="19"/>
      <c r="BC36" s="19"/>
      <c r="BD36" s="14"/>
      <c r="BE36" s="14"/>
      <c r="BF36" s="14"/>
      <c r="BG36" s="14"/>
      <c r="BH36" s="14"/>
      <c r="BI36" s="14"/>
      <c r="BJ36" s="47"/>
      <c r="BK36" s="19"/>
      <c r="BL36" s="353" t="s">
        <v>758</v>
      </c>
      <c r="BM36" s="354"/>
      <c r="BN36" s="355"/>
      <c r="BO36" s="14"/>
      <c r="BP36" s="14"/>
      <c r="BQ36" s="19"/>
      <c r="BR36" s="19"/>
      <c r="BS36" s="14"/>
      <c r="BT36" s="14"/>
      <c r="BU36" s="14"/>
      <c r="BV36" s="14"/>
      <c r="BW36" s="14"/>
      <c r="BX36" s="14"/>
      <c r="BY36" s="47"/>
      <c r="BZ36" s="14"/>
      <c r="CA36" s="210"/>
      <c r="CB36" s="211"/>
      <c r="CC36" s="515"/>
      <c r="CD36" s="515"/>
      <c r="CE36" s="515"/>
      <c r="CF36" s="515"/>
      <c r="CG36" s="515"/>
      <c r="CH36" s="515"/>
      <c r="CI36" s="515"/>
      <c r="CJ36" s="515"/>
      <c r="CK36" s="515"/>
      <c r="CL36" s="515"/>
      <c r="CM36" s="515"/>
      <c r="CN36" s="515"/>
      <c r="CO36" s="515"/>
      <c r="CP36" s="14"/>
      <c r="CQ36" s="47"/>
      <c r="CR36" s="14"/>
      <c r="CS36" s="71"/>
      <c r="CT36" s="71"/>
      <c r="CU36" s="516"/>
      <c r="CV36" s="516"/>
      <c r="CW36" s="516"/>
      <c r="CX36" s="516"/>
      <c r="CY36" s="516"/>
      <c r="CZ36" s="516"/>
      <c r="DA36" s="516"/>
      <c r="DB36" s="516"/>
      <c r="DC36" s="516"/>
      <c r="DD36" s="516"/>
      <c r="DE36" s="516"/>
      <c r="DF36" s="516"/>
      <c r="DG36" s="516"/>
      <c r="DH36" s="14"/>
      <c r="DI36" s="47"/>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row>
    <row r="37" spans="1:142" ht="15" customHeight="1" x14ac:dyDescent="0.25">
      <c r="A37" s="14"/>
      <c r="B37" s="211"/>
      <c r="C37" s="265"/>
      <c r="D37" s="270"/>
      <c r="E37" s="270"/>
      <c r="F37" s="270"/>
      <c r="G37" s="14"/>
      <c r="H37" s="21"/>
      <c r="I37" s="21"/>
      <c r="J37" s="14"/>
      <c r="K37" s="14"/>
      <c r="L37" s="14"/>
      <c r="M37" s="14"/>
      <c r="N37" s="14"/>
      <c r="O37" s="14"/>
      <c r="P37" s="14"/>
      <c r="Q37" s="47"/>
      <c r="R37" s="19"/>
      <c r="S37" s="42" t="s">
        <v>759</v>
      </c>
      <c r="T37" s="19"/>
      <c r="U37" s="356">
        <f>COUNTIF(U22:U27,"&lt;&gt;0")</f>
        <v>4</v>
      </c>
      <c r="V37" s="14"/>
      <c r="W37" s="14"/>
      <c r="X37" s="19"/>
      <c r="Y37" s="19"/>
      <c r="Z37" s="14"/>
      <c r="AA37" s="14"/>
      <c r="AB37" s="14"/>
      <c r="AC37" s="14"/>
      <c r="AD37" s="14"/>
      <c r="AE37" s="14"/>
      <c r="AF37" s="47"/>
      <c r="AG37" s="19"/>
      <c r="AH37" s="42" t="s">
        <v>759</v>
      </c>
      <c r="AI37" s="19"/>
      <c r="AJ37" s="356">
        <f>COUNTIF(AJ22:AJ27,"&lt;&gt;0")</f>
        <v>5</v>
      </c>
      <c r="AK37" s="14"/>
      <c r="AL37" s="14"/>
      <c r="AM37" s="19"/>
      <c r="AN37" s="19"/>
      <c r="AO37" s="14"/>
      <c r="AP37" s="14"/>
      <c r="AQ37" s="14"/>
      <c r="AR37" s="14"/>
      <c r="AS37" s="14"/>
      <c r="AT37" s="14"/>
      <c r="AU37" s="47"/>
      <c r="AV37" s="14"/>
      <c r="AW37" s="42" t="s">
        <v>759</v>
      </c>
      <c r="AX37" s="19"/>
      <c r="AY37" s="356">
        <f>COUNTIF(AY22:AY27,"&lt;&gt;0")</f>
        <v>5</v>
      </c>
      <c r="AZ37" s="14"/>
      <c r="BA37" s="14"/>
      <c r="BB37" s="19"/>
      <c r="BC37" s="19"/>
      <c r="BD37" s="14"/>
      <c r="BE37" s="14"/>
      <c r="BF37" s="14"/>
      <c r="BG37" s="19"/>
      <c r="BH37" s="19"/>
      <c r="BI37" s="19"/>
      <c r="BJ37" s="47"/>
      <c r="BK37" s="19"/>
      <c r="BL37" s="42" t="s">
        <v>759</v>
      </c>
      <c r="BM37" s="19"/>
      <c r="BN37" s="356">
        <f>COUNTIF(BN22:BN27,"&lt;&gt;0")</f>
        <v>5</v>
      </c>
      <c r="BO37" s="14"/>
      <c r="BP37" s="14"/>
      <c r="BQ37" s="19"/>
      <c r="BR37" s="19"/>
      <c r="BS37" s="14"/>
      <c r="BT37" s="14"/>
      <c r="BU37" s="14"/>
      <c r="BV37" s="14"/>
      <c r="BW37" s="14"/>
      <c r="BX37" s="14"/>
      <c r="BY37" s="47"/>
      <c r="BZ37" s="14"/>
      <c r="CA37" s="210"/>
      <c r="CB37" s="211"/>
      <c r="CC37" s="515"/>
      <c r="CD37" s="515"/>
      <c r="CE37" s="515"/>
      <c r="CF37" s="515"/>
      <c r="CG37" s="515"/>
      <c r="CH37" s="515"/>
      <c r="CI37" s="515"/>
      <c r="CJ37" s="515"/>
      <c r="CK37" s="515"/>
      <c r="CL37" s="515"/>
      <c r="CM37" s="515"/>
      <c r="CN37" s="515"/>
      <c r="CO37" s="515"/>
      <c r="CP37" s="14"/>
      <c r="CQ37" s="47"/>
      <c r="CR37" s="14"/>
      <c r="CS37" s="71"/>
      <c r="CT37" s="71"/>
      <c r="CU37" s="516"/>
      <c r="CV37" s="516"/>
      <c r="CW37" s="516"/>
      <c r="CX37" s="516"/>
      <c r="CY37" s="516"/>
      <c r="CZ37" s="516"/>
      <c r="DA37" s="516"/>
      <c r="DB37" s="516"/>
      <c r="DC37" s="516"/>
      <c r="DD37" s="516"/>
      <c r="DE37" s="516"/>
      <c r="DF37" s="516"/>
      <c r="DG37" s="516"/>
      <c r="DH37" s="14"/>
      <c r="DI37" s="47"/>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row>
    <row r="38" spans="1:142" ht="15" customHeight="1" x14ac:dyDescent="0.25">
      <c r="A38" s="14"/>
      <c r="B38" s="211"/>
      <c r="C38" s="265"/>
      <c r="D38" s="270"/>
      <c r="E38" s="270"/>
      <c r="F38" s="270"/>
      <c r="G38" s="14"/>
      <c r="H38" s="21"/>
      <c r="I38" s="21"/>
      <c r="J38" s="14"/>
      <c r="K38" s="14"/>
      <c r="L38" s="14"/>
      <c r="M38" s="14"/>
      <c r="N38" s="14"/>
      <c r="O38" s="14"/>
      <c r="P38" s="14"/>
      <c r="Q38" s="47"/>
      <c r="R38" s="19"/>
      <c r="S38" s="42" t="s">
        <v>760</v>
      </c>
      <c r="T38" s="19"/>
      <c r="U38" s="357">
        <f>(IFERROR(V22/U22/U37,0)+IFERROR(V23/U23/U37,0)+IFERROR(V24/U24/U37,0)+IFERROR(V25/U25/U37,0)+IFERROR(V26/U26/U37,0)+IFERROR(V27/U27/U37,0))</f>
        <v>0</v>
      </c>
      <c r="V38" s="14"/>
      <c r="W38" s="14"/>
      <c r="X38" s="19"/>
      <c r="Y38" s="19"/>
      <c r="Z38" s="14"/>
      <c r="AA38" s="14"/>
      <c r="AB38" s="14"/>
      <c r="AC38" s="14"/>
      <c r="AD38" s="14"/>
      <c r="AE38" s="14"/>
      <c r="AF38" s="47"/>
      <c r="AG38" s="19"/>
      <c r="AH38" s="42" t="s">
        <v>760</v>
      </c>
      <c r="AI38" s="19"/>
      <c r="AJ38" s="357">
        <f>(IFERROR(AK22/AJ22/AJ37,0)+IFERROR(AK23/AJ23/AJ37,0)+IFERROR(AK24/AJ24/AJ37,0)+IFERROR(AK25/AJ25/AJ37,0)+IFERROR(AK26/AJ26/AJ37,0)+IFERROR(AK27/AJ27/AJ37,0))</f>
        <v>0.1</v>
      </c>
      <c r="AK38" s="14"/>
      <c r="AL38" s="14"/>
      <c r="AM38" s="19"/>
      <c r="AN38" s="19"/>
      <c r="AO38" s="14"/>
      <c r="AP38" s="14"/>
      <c r="AQ38" s="14"/>
      <c r="AR38" s="14"/>
      <c r="AS38" s="14"/>
      <c r="AT38" s="14"/>
      <c r="AU38" s="47"/>
      <c r="AV38" s="14"/>
      <c r="AW38" s="42" t="s">
        <v>760</v>
      </c>
      <c r="AX38" s="19"/>
      <c r="AY38" s="357">
        <f>(IFERROR(AZ22/AY22/AY37,0)+IFERROR(AZ23/AY23/AY37,0)+IFERROR(AZ24/AY24/AY37,0)+IFERROR(AZ25/AY25/AY37,0)+IFERROR(AZ26/AY26/AY37,0)+IFERROR(AZ27/AY27/AY37,0))</f>
        <v>0.1</v>
      </c>
      <c r="AZ38" s="14"/>
      <c r="BA38" s="14"/>
      <c r="BB38" s="19"/>
      <c r="BC38" s="19"/>
      <c r="BD38" s="14"/>
      <c r="BE38" s="14"/>
      <c r="BF38" s="14"/>
      <c r="BG38" s="40"/>
      <c r="BH38" s="40"/>
      <c r="BI38" s="40"/>
      <c r="BJ38" s="47"/>
      <c r="BK38" s="19"/>
      <c r="BL38" s="42" t="s">
        <v>760</v>
      </c>
      <c r="BM38" s="19"/>
      <c r="BN38" s="357">
        <f>(IFERROR(BO22/BN22/BN37,0)+IFERROR(BO23/BN23/BN37,0)+IFERROR(BO24/BN24/BN37,0)+IFERROR(BO25/BN25/BN37,0)+IFERROR(BO26/BN26/BN37,0)+IFERROR(BO27/BN27/BN37,0))</f>
        <v>0.1</v>
      </c>
      <c r="BO38" s="14"/>
      <c r="BP38" s="14"/>
      <c r="BQ38" s="19"/>
      <c r="BR38" s="19"/>
      <c r="BS38" s="14"/>
      <c r="BT38" s="14"/>
      <c r="BU38" s="14"/>
      <c r="BV38" s="14"/>
      <c r="BW38" s="14"/>
      <c r="BX38" s="14"/>
      <c r="BY38" s="47"/>
      <c r="BZ38" s="14"/>
      <c r="CA38" s="210"/>
      <c r="CB38" s="211"/>
      <c r="CC38" s="515"/>
      <c r="CD38" s="515"/>
      <c r="CE38" s="515"/>
      <c r="CF38" s="515"/>
      <c r="CG38" s="515"/>
      <c r="CH38" s="515"/>
      <c r="CI38" s="515"/>
      <c r="CJ38" s="515"/>
      <c r="CK38" s="515"/>
      <c r="CL38" s="515"/>
      <c r="CM38" s="515"/>
      <c r="CN38" s="515"/>
      <c r="CO38" s="515"/>
      <c r="CP38" s="14"/>
      <c r="CQ38" s="47"/>
      <c r="CR38" s="14"/>
      <c r="CS38" s="71"/>
      <c r="CT38" s="71"/>
      <c r="CU38" s="516"/>
      <c r="CV38" s="516"/>
      <c r="CW38" s="516"/>
      <c r="CX38" s="516"/>
      <c r="CY38" s="516"/>
      <c r="CZ38" s="516"/>
      <c r="DA38" s="516"/>
      <c r="DB38" s="516"/>
      <c r="DC38" s="516"/>
      <c r="DD38" s="516"/>
      <c r="DE38" s="516"/>
      <c r="DF38" s="516"/>
      <c r="DG38" s="516"/>
      <c r="DH38" s="14"/>
      <c r="DI38" s="47"/>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row>
    <row r="39" spans="1:142" ht="15.75" customHeight="1" x14ac:dyDescent="0.25">
      <c r="A39" s="14"/>
      <c r="B39" s="211"/>
      <c r="C39" s="265"/>
      <c r="D39" s="270"/>
      <c r="E39" s="270"/>
      <c r="F39" s="270"/>
      <c r="G39" s="66"/>
      <c r="H39" s="76"/>
      <c r="I39" s="76"/>
      <c r="J39" s="14"/>
      <c r="K39" s="14"/>
      <c r="L39" s="14"/>
      <c r="M39" s="14"/>
      <c r="N39" s="14"/>
      <c r="O39" s="14"/>
      <c r="P39" s="14"/>
      <c r="Q39" s="47"/>
      <c r="R39" s="19"/>
      <c r="S39" s="42" t="s">
        <v>761</v>
      </c>
      <c r="T39" s="19"/>
      <c r="U39" s="358">
        <f>IFERROR(SUM(Y75:Y77)/U22/U37,0)+IFERROR(SUM(Y102:Y104)/U23/U37,0)+IFERROR(SUM(Y129:Y131)/U24/U37,0)+IFERROR(SUM(Y156:Y158)/U25/U37,0)+IFERROR(SUM(Y183:Y185)/U26/U37,0)+IFERROR(SUM(Y210:Y212)/U27/U37,0)</f>
        <v>8.3333333333333329E-2</v>
      </c>
      <c r="V39" s="14"/>
      <c r="W39" s="14"/>
      <c r="X39" s="19"/>
      <c r="Y39" s="19"/>
      <c r="Z39" s="14"/>
      <c r="AA39" s="14"/>
      <c r="AB39" s="14"/>
      <c r="AC39" s="14"/>
      <c r="AD39" s="14"/>
      <c r="AE39" s="14"/>
      <c r="AF39" s="47"/>
      <c r="AG39" s="19"/>
      <c r="AH39" s="42" t="s">
        <v>761</v>
      </c>
      <c r="AI39" s="19"/>
      <c r="AJ39" s="358">
        <f>IFERROR(SUM(AN75:AN77)/AJ22/AJ37,0)+IFERROR(SUM(AN102:AN104)/AJ23/AJ37,0)+IFERROR(SUM(AN129:AN131)/AJ24/AJ37,0)+IFERROR(SUM(AN156:AN158)/AJ25/AJ37,0)+IFERROR(SUM(AN183:AN185)/AJ26/AJ37,0)+IFERROR(SUM(AN210:AN212)/AJ27/AJ37,0)</f>
        <v>0.05</v>
      </c>
      <c r="AK39" s="14"/>
      <c r="AL39" s="14"/>
      <c r="AM39" s="19"/>
      <c r="AN39" s="19"/>
      <c r="AO39" s="14"/>
      <c r="AP39" s="14"/>
      <c r="AQ39" s="14"/>
      <c r="AR39" s="14"/>
      <c r="AS39" s="14"/>
      <c r="AT39" s="14"/>
      <c r="AU39" s="47"/>
      <c r="AV39" s="14"/>
      <c r="AW39" s="42" t="s">
        <v>761</v>
      </c>
      <c r="AX39" s="19"/>
      <c r="AY39" s="358">
        <f>IFERROR(SUM(BC75:BC77)/AY22/AY37,0)+IFERROR(SUM(BC102:BC104)/AY23/AY37,0)+IFERROR(SUM(BC129:BC131)/AY24/AY37,0)+IFERROR(SUM(BC156:BC158)/AY25/AY37,0)+IFERROR(SUM(BC183:BC185)/AY26/AY37,0)+IFERROR(SUM(BC210:BC212)/AY27/AY37,0)</f>
        <v>0.2</v>
      </c>
      <c r="AZ39" s="14"/>
      <c r="BA39" s="14"/>
      <c r="BB39" s="19"/>
      <c r="BC39" s="19"/>
      <c r="BD39" s="14"/>
      <c r="BE39" s="14"/>
      <c r="BF39" s="14"/>
      <c r="BG39" s="40"/>
      <c r="BH39" s="40"/>
      <c r="BI39" s="40"/>
      <c r="BJ39" s="47"/>
      <c r="BK39" s="19"/>
      <c r="BL39" s="42" t="s">
        <v>761</v>
      </c>
      <c r="BM39" s="19"/>
      <c r="BN39" s="358">
        <f>IFERROR(SUM(BR75:BR77)/BN22/BN37,0)+IFERROR(SUM(BR102:BR104)/BN23/BN37,0)+IFERROR(SUM(BR129:BR131)/BN24/BN37,0)+IFERROR(SUM(BR156:BR158)/BN25/BN37,0)+IFERROR(SUM(BR183:BR185)/BN26/BN37,0)+IFERROR(SUM(BR210:BR212)/BN27/BN37,0)</f>
        <v>0.2</v>
      </c>
      <c r="BO39" s="14"/>
      <c r="BP39" s="14"/>
      <c r="BQ39" s="19"/>
      <c r="BR39" s="19"/>
      <c r="BS39" s="14"/>
      <c r="BT39" s="14"/>
      <c r="BU39" s="14"/>
      <c r="BV39" s="14"/>
      <c r="BW39" s="14"/>
      <c r="BX39" s="14"/>
      <c r="BY39" s="47"/>
      <c r="BZ39" s="14"/>
      <c r="CA39" s="210"/>
      <c r="CB39" s="211"/>
      <c r="CC39" s="515"/>
      <c r="CD39" s="515"/>
      <c r="CE39" s="515"/>
      <c r="CF39" s="515"/>
      <c r="CG39" s="515"/>
      <c r="CH39" s="515"/>
      <c r="CI39" s="515"/>
      <c r="CJ39" s="515"/>
      <c r="CK39" s="515"/>
      <c r="CL39" s="515"/>
      <c r="CM39" s="515"/>
      <c r="CN39" s="515"/>
      <c r="CO39" s="515"/>
      <c r="CP39" s="14"/>
      <c r="CQ39" s="47"/>
      <c r="CR39" s="14"/>
      <c r="CS39" s="71"/>
      <c r="CT39" s="71"/>
      <c r="CU39" s="516"/>
      <c r="CV39" s="516"/>
      <c r="CW39" s="516"/>
      <c r="CX39" s="516"/>
      <c r="CY39" s="516"/>
      <c r="CZ39" s="516"/>
      <c r="DA39" s="516"/>
      <c r="DB39" s="516"/>
      <c r="DC39" s="516"/>
      <c r="DD39" s="516"/>
      <c r="DE39" s="516"/>
      <c r="DF39" s="516"/>
      <c r="DG39" s="516"/>
      <c r="DH39" s="14"/>
      <c r="DI39" s="47"/>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row>
    <row r="40" spans="1:142" s="134" customFormat="1" ht="29.25" customHeight="1" x14ac:dyDescent="0.25">
      <c r="A40" s="8"/>
      <c r="B40" s="211"/>
      <c r="C40" s="265"/>
      <c r="D40" s="270"/>
      <c r="E40" s="270"/>
      <c r="F40" s="270"/>
      <c r="G40" s="8"/>
      <c r="H40" s="77"/>
      <c r="I40" s="77"/>
      <c r="J40" s="8"/>
      <c r="K40" s="8"/>
      <c r="L40" s="14"/>
      <c r="M40" s="14"/>
      <c r="N40" s="14"/>
      <c r="O40" s="14"/>
      <c r="P40" s="14"/>
      <c r="Q40" s="48"/>
      <c r="R40" s="44"/>
      <c r="S40" s="359" t="s">
        <v>762</v>
      </c>
      <c r="T40" s="360"/>
      <c r="U40" s="361">
        <f>IFERROR(SUM(Y72:Y74)/U22/U37,0)+IFERROR(SUM(Y99:Y101)/U23/U37,0)+IFERROR(SUM(Y126:Y128)/U24/U37,0)+IFERROR(SUM(Y153:Y155)/U25/U37,0)+IFERROR(SUM(Y180:Y182)/U26/U37,0)+IFERROR(SUM(Y207:Y209)/U27/U37,0)</f>
        <v>0.91666666666666663</v>
      </c>
      <c r="V40" s="58"/>
      <c r="W40" s="58"/>
      <c r="X40" s="8"/>
      <c r="Y40" s="8"/>
      <c r="Z40" s="8"/>
      <c r="AA40" s="8"/>
      <c r="AB40" s="8"/>
      <c r="AC40" s="8"/>
      <c r="AD40" s="8"/>
      <c r="AE40" s="8"/>
      <c r="AF40" s="48"/>
      <c r="AG40" s="44"/>
      <c r="AH40" s="359" t="s">
        <v>762</v>
      </c>
      <c r="AI40" s="360"/>
      <c r="AJ40" s="361">
        <f>IFERROR(SUM(AN72:AN74)/AJ22/AJ37,0)+IFERROR(SUM(AN99:AN101)/AJ23/AJ37,0)+IFERROR(SUM(AN126:AN128)/AJ24/AJ37,0)+IFERROR(SUM(AN153:AN155)/AJ25/AJ37,0)+IFERROR(SUM(AN180:AN182)/AJ26/AJ37,0)+IFERROR(SUM(AN207:AN209)/AJ27/AJ37,0)</f>
        <v>0.85000000000000009</v>
      </c>
      <c r="AK40" s="58"/>
      <c r="AL40" s="58"/>
      <c r="AM40" s="8"/>
      <c r="AN40" s="8"/>
      <c r="AO40" s="8"/>
      <c r="AP40" s="8"/>
      <c r="AQ40" s="8"/>
      <c r="AR40" s="8"/>
      <c r="AS40" s="8"/>
      <c r="AT40" s="8"/>
      <c r="AU40" s="48"/>
      <c r="AV40" s="8"/>
      <c r="AW40" s="359" t="s">
        <v>762</v>
      </c>
      <c r="AX40" s="360"/>
      <c r="AY40" s="361">
        <f>IFERROR(SUM(BC72:BC74)/AY22/AY37,0)+IFERROR(SUM(BC99:BC101)/AY23/AY37,0)+IFERROR(SUM(BC126:BC128)/AY24/AY37,0)+IFERROR(SUM(BC153:BC155)/AY25/AY37,0)+IFERROR(SUM(BC180:BC182)/AY26/AY37,0)+IFERROR(SUM(BC207:BC209)/AY27/AY37,0)</f>
        <v>0.70000000000000007</v>
      </c>
      <c r="AZ40" s="58"/>
      <c r="BA40" s="58"/>
      <c r="BB40" s="8"/>
      <c r="BC40" s="8"/>
      <c r="BD40" s="8"/>
      <c r="BE40" s="8"/>
      <c r="BF40" s="8"/>
      <c r="BG40" s="378"/>
      <c r="BH40" s="378"/>
      <c r="BI40" s="378"/>
      <c r="BJ40" s="48"/>
      <c r="BK40" s="44"/>
      <c r="BL40" s="359" t="s">
        <v>762</v>
      </c>
      <c r="BM40" s="360"/>
      <c r="BN40" s="361">
        <f>IFERROR(SUM(BR72:BR74)/BN22/BN37,0)+IFERROR(SUM(BR99:BR101)/BN23/BN37,0)+IFERROR(SUM(BR126:BR128)/BN24/BN37,0)+IFERROR(SUM(BR153:BR155)/BN25/BN37,0)+IFERROR(SUM(BR180:BR182)/BN26/BN37,0)+IFERROR(SUM(BR207:BR209)/BN27/BN37,0)</f>
        <v>0.70000000000000007</v>
      </c>
      <c r="BO40" s="58"/>
      <c r="BP40" s="58"/>
      <c r="BQ40" s="8"/>
      <c r="BR40" s="8"/>
      <c r="BS40" s="8"/>
      <c r="BT40" s="8"/>
      <c r="BU40" s="8"/>
      <c r="BV40" s="8"/>
      <c r="BW40" s="8"/>
      <c r="BX40" s="8"/>
      <c r="BY40" s="48"/>
      <c r="BZ40" s="8"/>
      <c r="CA40" s="210"/>
      <c r="CB40" s="211"/>
      <c r="CC40" s="515"/>
      <c r="CD40" s="515"/>
      <c r="CE40" s="515"/>
      <c r="CF40" s="515"/>
      <c r="CG40" s="515"/>
      <c r="CH40" s="515"/>
      <c r="CI40" s="515"/>
      <c r="CJ40" s="515"/>
      <c r="CK40" s="515"/>
      <c r="CL40" s="515"/>
      <c r="CM40" s="515"/>
      <c r="CN40" s="515"/>
      <c r="CO40" s="515"/>
      <c r="CP40" s="8"/>
      <c r="CQ40" s="48"/>
      <c r="CR40" s="8"/>
      <c r="CS40" s="71"/>
      <c r="CT40" s="71"/>
      <c r="CU40" s="516"/>
      <c r="CV40" s="516"/>
      <c r="CW40" s="516"/>
      <c r="CX40" s="516"/>
      <c r="CY40" s="516"/>
      <c r="CZ40" s="516"/>
      <c r="DA40" s="516"/>
      <c r="DB40" s="516"/>
      <c r="DC40" s="516"/>
      <c r="DD40" s="516"/>
      <c r="DE40" s="516"/>
      <c r="DF40" s="516"/>
      <c r="DG40" s="516"/>
      <c r="DH40" s="8"/>
      <c r="DI40" s="48"/>
      <c r="DJ40" s="8"/>
      <c r="DK40" s="8"/>
      <c r="DL40" s="8"/>
      <c r="DM40" s="8"/>
      <c r="DN40" s="8"/>
      <c r="DO40" s="8"/>
      <c r="DP40" s="8"/>
      <c r="DQ40" s="8"/>
      <c r="DR40" s="2"/>
      <c r="DS40" s="2"/>
      <c r="DT40" s="2"/>
      <c r="DU40" s="2"/>
      <c r="DV40" s="2"/>
      <c r="DW40" s="2"/>
      <c r="DX40" s="2"/>
      <c r="DY40" s="2"/>
      <c r="DZ40" s="8"/>
      <c r="EA40" s="8"/>
      <c r="EB40" s="8"/>
      <c r="EC40" s="8"/>
      <c r="ED40" s="8"/>
      <c r="EE40" s="8"/>
      <c r="EF40" s="8"/>
      <c r="EG40" s="8"/>
      <c r="EH40" s="8"/>
      <c r="EI40" s="8"/>
      <c r="EJ40" s="8"/>
      <c r="EK40" s="8"/>
      <c r="EL40" s="8"/>
    </row>
    <row r="41" spans="1:142" ht="28.5" customHeight="1" x14ac:dyDescent="0.25">
      <c r="A41" s="14"/>
      <c r="B41" s="211"/>
      <c r="C41" s="265"/>
      <c r="D41" s="270"/>
      <c r="E41" s="270"/>
      <c r="F41" s="270"/>
      <c r="G41" s="14"/>
      <c r="H41" s="21"/>
      <c r="I41" s="21"/>
      <c r="J41" s="14"/>
      <c r="K41" s="14"/>
      <c r="L41" s="8"/>
      <c r="M41" s="8"/>
      <c r="N41" s="8"/>
      <c r="O41" s="8"/>
      <c r="P41" s="8"/>
      <c r="Q41" s="48"/>
      <c r="R41" s="44"/>
      <c r="S41" s="19"/>
      <c r="T41" s="19"/>
      <c r="U41" s="50"/>
      <c r="V41" s="19"/>
      <c r="W41" s="50"/>
      <c r="X41" s="14"/>
      <c r="Y41" s="14"/>
      <c r="Z41" s="8"/>
      <c r="AA41" s="8"/>
      <c r="AB41" s="8"/>
      <c r="AC41" s="8"/>
      <c r="AD41" s="8"/>
      <c r="AE41" s="8"/>
      <c r="AF41" s="48"/>
      <c r="AG41" s="44"/>
      <c r="AH41" s="19"/>
      <c r="AI41" s="19"/>
      <c r="AJ41" s="50"/>
      <c r="AK41" s="19"/>
      <c r="AL41" s="50"/>
      <c r="AM41" s="14"/>
      <c r="AN41" s="14"/>
      <c r="AO41" s="8"/>
      <c r="AP41" s="8"/>
      <c r="AQ41" s="8"/>
      <c r="AR41" s="8"/>
      <c r="AS41" s="8"/>
      <c r="AT41" s="8"/>
      <c r="AU41" s="48"/>
      <c r="AV41" s="8"/>
      <c r="AW41" s="19"/>
      <c r="AX41" s="19"/>
      <c r="AY41" s="50"/>
      <c r="AZ41" s="19"/>
      <c r="BA41" s="50"/>
      <c r="BB41" s="14"/>
      <c r="BC41" s="14"/>
      <c r="BD41" s="8"/>
      <c r="BE41" s="8"/>
      <c r="BF41" s="8"/>
      <c r="BG41" s="8"/>
      <c r="BH41" s="8"/>
      <c r="BI41" s="8"/>
      <c r="BJ41" s="48"/>
      <c r="BK41" s="44"/>
      <c r="BL41" s="19"/>
      <c r="BM41" s="19"/>
      <c r="BN41" s="50"/>
      <c r="BO41" s="19"/>
      <c r="BP41" s="50"/>
      <c r="BQ41" s="14"/>
      <c r="BR41" s="14"/>
      <c r="BS41" s="8"/>
      <c r="BT41" s="8"/>
      <c r="BU41" s="8"/>
      <c r="BV41" s="8"/>
      <c r="BW41" s="8"/>
      <c r="BX41" s="8"/>
      <c r="BY41" s="48"/>
      <c r="BZ41" s="8"/>
      <c r="CA41" s="210"/>
      <c r="CB41" s="211"/>
      <c r="CC41" s="515"/>
      <c r="CD41" s="515"/>
      <c r="CE41" s="515"/>
      <c r="CF41" s="515"/>
      <c r="CG41" s="515"/>
      <c r="CH41" s="515"/>
      <c r="CI41" s="515"/>
      <c r="CJ41" s="515"/>
      <c r="CK41" s="515"/>
      <c r="CL41" s="515"/>
      <c r="CM41" s="515"/>
      <c r="CN41" s="515"/>
      <c r="CO41" s="515"/>
      <c r="CP41" s="14"/>
      <c r="CQ41" s="48"/>
      <c r="CR41" s="14"/>
      <c r="CS41" s="71"/>
      <c r="CT41" s="71"/>
      <c r="CU41" s="516"/>
      <c r="CV41" s="516"/>
      <c r="CW41" s="516"/>
      <c r="CX41" s="516"/>
      <c r="CY41" s="516"/>
      <c r="CZ41" s="516"/>
      <c r="DA41" s="516"/>
      <c r="DB41" s="516"/>
      <c r="DC41" s="516"/>
      <c r="DD41" s="516"/>
      <c r="DE41" s="516"/>
      <c r="DF41" s="516"/>
      <c r="DG41" s="516"/>
      <c r="DH41" s="14"/>
      <c r="DI41" s="48"/>
      <c r="DJ41" s="14"/>
      <c r="DK41" s="14"/>
      <c r="DL41" s="14"/>
      <c r="DM41" s="14"/>
      <c r="DN41" s="14"/>
      <c r="DO41" s="14"/>
      <c r="DP41" s="14"/>
      <c r="DQ41" s="14"/>
      <c r="DR41" s="2"/>
      <c r="DS41" s="2"/>
      <c r="DT41" s="2"/>
      <c r="DU41" s="2"/>
      <c r="DV41" s="2"/>
      <c r="DW41" s="2"/>
      <c r="DX41" s="2"/>
      <c r="DY41" s="2"/>
      <c r="DZ41" s="14"/>
      <c r="EA41" s="14"/>
      <c r="EB41" s="14"/>
      <c r="EC41" s="14"/>
      <c r="ED41" s="14"/>
      <c r="EE41" s="14"/>
      <c r="EF41" s="14"/>
      <c r="EG41" s="14"/>
      <c r="EH41" s="14"/>
      <c r="EI41" s="14"/>
      <c r="EJ41" s="14"/>
      <c r="EK41" s="14"/>
      <c r="EL41" s="14"/>
    </row>
    <row r="42" spans="1:142" ht="28.5" customHeight="1" x14ac:dyDescent="0.25">
      <c r="A42" s="14"/>
      <c r="B42" s="211"/>
      <c r="C42" s="265"/>
      <c r="D42" s="270"/>
      <c r="E42" s="270"/>
      <c r="F42" s="270"/>
      <c r="G42" s="14"/>
      <c r="H42" s="21"/>
      <c r="I42" s="21"/>
      <c r="J42" s="14"/>
      <c r="K42" s="14"/>
      <c r="L42" s="14"/>
      <c r="M42" s="14"/>
      <c r="N42" s="14"/>
      <c r="O42" s="14"/>
      <c r="P42" s="14"/>
      <c r="Q42" s="47"/>
      <c r="R42" s="19"/>
      <c r="S42" s="19"/>
      <c r="T42" s="19"/>
      <c r="U42" s="50"/>
      <c r="V42" s="19"/>
      <c r="W42" s="50"/>
      <c r="X42" s="14"/>
      <c r="Y42" s="14"/>
      <c r="Z42" s="14"/>
      <c r="AA42" s="14"/>
      <c r="AB42" s="14"/>
      <c r="AC42" s="14"/>
      <c r="AD42" s="14"/>
      <c r="AE42" s="14"/>
      <c r="AF42" s="47"/>
      <c r="AG42" s="19"/>
      <c r="AH42" s="19"/>
      <c r="AI42" s="19"/>
      <c r="AJ42" s="50"/>
      <c r="AK42" s="19"/>
      <c r="AL42" s="50"/>
      <c r="AM42" s="14"/>
      <c r="AN42" s="14"/>
      <c r="AO42" s="14"/>
      <c r="AP42" s="14"/>
      <c r="AQ42" s="14"/>
      <c r="AR42" s="14"/>
      <c r="AS42" s="14"/>
      <c r="AT42" s="14"/>
      <c r="AU42" s="47"/>
      <c r="AV42" s="14"/>
      <c r="AW42" s="19"/>
      <c r="AX42" s="19"/>
      <c r="AY42" s="50"/>
      <c r="AZ42" s="19"/>
      <c r="BA42" s="50"/>
      <c r="BB42" s="14"/>
      <c r="BC42" s="14"/>
      <c r="BD42" s="14"/>
      <c r="BE42" s="14"/>
      <c r="BF42" s="14"/>
      <c r="BG42" s="14"/>
      <c r="BH42" s="14"/>
      <c r="BI42" s="14"/>
      <c r="BJ42" s="47"/>
      <c r="BK42" s="19"/>
      <c r="BL42" s="19"/>
      <c r="BM42" s="19"/>
      <c r="BN42" s="50"/>
      <c r="BO42" s="19"/>
      <c r="BP42" s="50"/>
      <c r="BQ42" s="14"/>
      <c r="BR42" s="14"/>
      <c r="BS42" s="14"/>
      <c r="BT42" s="14"/>
      <c r="BU42" s="14"/>
      <c r="BV42" s="14"/>
      <c r="BW42" s="14"/>
      <c r="BX42" s="14"/>
      <c r="BY42" s="47"/>
      <c r="BZ42" s="14"/>
      <c r="CA42" s="210"/>
      <c r="CB42" s="211"/>
      <c r="CC42" s="515"/>
      <c r="CD42" s="515"/>
      <c r="CE42" s="515"/>
      <c r="CF42" s="515"/>
      <c r="CG42" s="515"/>
      <c r="CH42" s="515"/>
      <c r="CI42" s="515"/>
      <c r="CJ42" s="515"/>
      <c r="CK42" s="515"/>
      <c r="CL42" s="515"/>
      <c r="CM42" s="515"/>
      <c r="CN42" s="515"/>
      <c r="CO42" s="515"/>
      <c r="CP42" s="14"/>
      <c r="CQ42" s="47"/>
      <c r="CR42" s="14"/>
      <c r="CS42" s="71"/>
      <c r="CT42" s="71"/>
      <c r="CU42" s="516"/>
      <c r="CV42" s="516"/>
      <c r="CW42" s="516"/>
      <c r="CX42" s="516"/>
      <c r="CY42" s="516"/>
      <c r="CZ42" s="516"/>
      <c r="DA42" s="516"/>
      <c r="DB42" s="516"/>
      <c r="DC42" s="516"/>
      <c r="DD42" s="516"/>
      <c r="DE42" s="516"/>
      <c r="DF42" s="516"/>
      <c r="DG42" s="516"/>
      <c r="DH42" s="14"/>
      <c r="DI42" s="47"/>
      <c r="DJ42" s="14"/>
      <c r="DK42" s="14"/>
      <c r="DL42" s="14"/>
      <c r="DM42" s="14"/>
      <c r="DN42" s="14"/>
      <c r="DO42" s="14"/>
      <c r="DP42" s="14"/>
      <c r="DQ42" s="14"/>
      <c r="DR42" s="127"/>
      <c r="DS42" s="128"/>
      <c r="DT42" s="128"/>
      <c r="DU42" s="128"/>
      <c r="DV42" s="128"/>
      <c r="DW42" s="128"/>
      <c r="DX42" s="128"/>
      <c r="DY42" s="128"/>
      <c r="DZ42" s="14"/>
      <c r="EA42" s="14"/>
      <c r="EB42" s="14"/>
      <c r="EC42" s="14"/>
      <c r="ED42" s="14"/>
      <c r="EE42" s="14"/>
      <c r="EF42" s="14"/>
      <c r="EG42" s="14"/>
      <c r="EH42" s="14"/>
      <c r="EI42" s="14"/>
      <c r="EJ42" s="14"/>
      <c r="EK42" s="14"/>
      <c r="EL42" s="14"/>
    </row>
    <row r="43" spans="1:142" ht="28.5" customHeight="1" x14ac:dyDescent="0.25">
      <c r="A43" s="14"/>
      <c r="B43" s="211"/>
      <c r="C43" s="265"/>
      <c r="D43" s="270"/>
      <c r="E43" s="270"/>
      <c r="F43" s="270"/>
      <c r="G43" s="14"/>
      <c r="H43" s="21"/>
      <c r="I43" s="21"/>
      <c r="J43" s="14"/>
      <c r="K43" s="14"/>
      <c r="L43" s="14"/>
      <c r="M43" s="14"/>
      <c r="N43" s="14"/>
      <c r="O43" s="14"/>
      <c r="P43" s="14"/>
      <c r="Q43" s="47"/>
      <c r="R43" s="19"/>
      <c r="S43" s="19"/>
      <c r="T43" s="19"/>
      <c r="U43" s="50"/>
      <c r="V43" s="19"/>
      <c r="W43" s="50"/>
      <c r="X43" s="14"/>
      <c r="Y43" s="14"/>
      <c r="Z43" s="14"/>
      <c r="AA43" s="14"/>
      <c r="AB43" s="14"/>
      <c r="AC43" s="14"/>
      <c r="AD43" s="14"/>
      <c r="AE43" s="14"/>
      <c r="AF43" s="47"/>
      <c r="AG43" s="19"/>
      <c r="AH43" s="19"/>
      <c r="AI43" s="19"/>
      <c r="AJ43" s="50"/>
      <c r="AK43" s="19"/>
      <c r="AL43" s="50"/>
      <c r="AM43" s="14"/>
      <c r="AN43" s="14"/>
      <c r="AO43" s="14"/>
      <c r="AP43" s="14"/>
      <c r="AQ43" s="14"/>
      <c r="AR43" s="14"/>
      <c r="AS43" s="14"/>
      <c r="AT43" s="14"/>
      <c r="AU43" s="47"/>
      <c r="AV43" s="14"/>
      <c r="AW43" s="19"/>
      <c r="AX43" s="19"/>
      <c r="AY43" s="50"/>
      <c r="AZ43" s="19"/>
      <c r="BA43" s="50"/>
      <c r="BB43" s="14"/>
      <c r="BC43" s="14"/>
      <c r="BD43" s="14"/>
      <c r="BE43" s="14"/>
      <c r="BF43" s="14"/>
      <c r="BG43" s="14"/>
      <c r="BH43" s="14"/>
      <c r="BI43" s="14"/>
      <c r="BJ43" s="47"/>
      <c r="BK43" s="19"/>
      <c r="BL43" s="19"/>
      <c r="BM43" s="19"/>
      <c r="BN43" s="50"/>
      <c r="BO43" s="19"/>
      <c r="BP43" s="50"/>
      <c r="BQ43" s="14"/>
      <c r="BR43" s="14"/>
      <c r="BS43" s="14"/>
      <c r="BT43" s="14"/>
      <c r="BU43" s="14"/>
      <c r="BV43" s="14"/>
      <c r="BW43" s="14"/>
      <c r="BX43" s="14"/>
      <c r="BY43" s="47"/>
      <c r="BZ43" s="14"/>
      <c r="CA43" s="210"/>
      <c r="CB43" s="211"/>
      <c r="CC43" s="515"/>
      <c r="CD43" s="515"/>
      <c r="CE43" s="515"/>
      <c r="CF43" s="515"/>
      <c r="CG43" s="515"/>
      <c r="CH43" s="515"/>
      <c r="CI43" s="515"/>
      <c r="CJ43" s="515"/>
      <c r="CK43" s="515"/>
      <c r="CL43" s="515"/>
      <c r="CM43" s="515"/>
      <c r="CN43" s="515"/>
      <c r="CO43" s="515"/>
      <c r="CP43" s="14"/>
      <c r="CQ43" s="47"/>
      <c r="CR43" s="14"/>
      <c r="CS43" s="71"/>
      <c r="CT43" s="71"/>
      <c r="CU43" s="516"/>
      <c r="CV43" s="516"/>
      <c r="CW43" s="516"/>
      <c r="CX43" s="516"/>
      <c r="CY43" s="516"/>
      <c r="CZ43" s="516"/>
      <c r="DA43" s="516"/>
      <c r="DB43" s="516"/>
      <c r="DC43" s="516"/>
      <c r="DD43" s="516"/>
      <c r="DE43" s="516"/>
      <c r="DF43" s="516"/>
      <c r="DG43" s="516"/>
      <c r="DH43" s="14"/>
      <c r="DI43" s="47"/>
      <c r="DJ43" s="14"/>
      <c r="DK43" s="14"/>
      <c r="DL43" s="14"/>
      <c r="DM43" s="14"/>
      <c r="DN43" s="14"/>
      <c r="DO43" s="14"/>
      <c r="DP43" s="14"/>
      <c r="DQ43" s="14"/>
      <c r="DR43" s="127"/>
      <c r="DS43" s="128"/>
      <c r="DT43" s="128"/>
      <c r="DU43" s="128"/>
      <c r="DV43" s="128"/>
      <c r="DW43" s="128"/>
      <c r="DX43" s="128"/>
      <c r="DY43" s="128"/>
      <c r="DZ43" s="14"/>
      <c r="EA43" s="14"/>
      <c r="EB43" s="14"/>
      <c r="EC43" s="14"/>
      <c r="ED43" s="14"/>
      <c r="EE43" s="14"/>
      <c r="EF43" s="14"/>
      <c r="EG43" s="14"/>
      <c r="EH43" s="14"/>
      <c r="EI43" s="14"/>
      <c r="EJ43" s="14"/>
      <c r="EK43" s="14"/>
      <c r="EL43" s="14"/>
    </row>
    <row r="44" spans="1:142" ht="42.75" customHeight="1" x14ac:dyDescent="0.25">
      <c r="A44" s="14"/>
      <c r="B44" s="211"/>
      <c r="C44" s="265"/>
      <c r="D44" s="265"/>
      <c r="E44" s="265"/>
      <c r="F44" s="265"/>
      <c r="G44" s="524" t="s">
        <v>755</v>
      </c>
      <c r="H44" s="542"/>
      <c r="I44" s="542"/>
      <c r="J44" s="525"/>
      <c r="K44" s="14"/>
      <c r="L44" s="14"/>
      <c r="M44" s="14"/>
      <c r="N44" s="14"/>
      <c r="O44" s="14"/>
      <c r="P44" s="14"/>
      <c r="Q44" s="47"/>
      <c r="R44" s="19"/>
      <c r="S44" s="19"/>
      <c r="T44" s="19"/>
      <c r="U44" s="50"/>
      <c r="V44" s="19"/>
      <c r="W44" s="50"/>
      <c r="X44" s="524" t="s">
        <v>755</v>
      </c>
      <c r="Y44" s="542"/>
      <c r="Z44" s="542"/>
      <c r="AA44" s="525"/>
      <c r="AB44" s="14"/>
      <c r="AC44" s="14"/>
      <c r="AD44" s="14"/>
      <c r="AE44" s="14"/>
      <c r="AF44" s="47"/>
      <c r="AG44" s="19"/>
      <c r="AH44" s="19"/>
      <c r="AI44" s="19"/>
      <c r="AJ44" s="50"/>
      <c r="AK44" s="19"/>
      <c r="AL44" s="50"/>
      <c r="AM44" s="524" t="s">
        <v>755</v>
      </c>
      <c r="AN44" s="542"/>
      <c r="AO44" s="542"/>
      <c r="AP44" s="525"/>
      <c r="AQ44" s="14"/>
      <c r="AR44" s="14"/>
      <c r="AS44" s="14"/>
      <c r="AT44" s="14"/>
      <c r="AU44" s="47"/>
      <c r="AV44" s="14"/>
      <c r="AW44" s="19"/>
      <c r="AX44" s="19"/>
      <c r="AY44" s="50"/>
      <c r="AZ44" s="19"/>
      <c r="BA44" s="524" t="s">
        <v>755</v>
      </c>
      <c r="BB44" s="542"/>
      <c r="BC44" s="542"/>
      <c r="BD44" s="525"/>
      <c r="BE44" s="14"/>
      <c r="BF44" s="14"/>
      <c r="BG44" s="14"/>
      <c r="BH44" s="14"/>
      <c r="BI44" s="14"/>
      <c r="BJ44" s="47"/>
      <c r="BK44" s="19"/>
      <c r="BL44" s="19"/>
      <c r="BM44" s="19"/>
      <c r="BN44" s="50"/>
      <c r="BO44" s="19"/>
      <c r="BP44" s="50"/>
      <c r="BQ44" s="524" t="s">
        <v>755</v>
      </c>
      <c r="BR44" s="542"/>
      <c r="BS44" s="542"/>
      <c r="BT44" s="525"/>
      <c r="BU44" s="14"/>
      <c r="BV44" s="14"/>
      <c r="BW44" s="14"/>
      <c r="BX44" s="14"/>
      <c r="BY44" s="47"/>
      <c r="BZ44" s="14"/>
      <c r="CA44" s="210"/>
      <c r="CB44" s="211"/>
      <c r="CC44" s="515"/>
      <c r="CD44" s="515"/>
      <c r="CE44" s="515"/>
      <c r="CF44" s="515"/>
      <c r="CG44" s="515"/>
      <c r="CH44" s="515"/>
      <c r="CI44" s="515"/>
      <c r="CJ44" s="515"/>
      <c r="CK44" s="515"/>
      <c r="CL44" s="515"/>
      <c r="CM44" s="515"/>
      <c r="CN44" s="515"/>
      <c r="CO44" s="515"/>
      <c r="CP44" s="14"/>
      <c r="CQ44" s="47"/>
      <c r="CR44" s="14"/>
      <c r="CS44" s="71"/>
      <c r="CT44" s="71"/>
      <c r="CU44" s="516"/>
      <c r="CV44" s="516"/>
      <c r="CW44" s="516"/>
      <c r="CX44" s="516"/>
      <c r="CY44" s="516"/>
      <c r="CZ44" s="516"/>
      <c r="DA44" s="516"/>
      <c r="DB44" s="516"/>
      <c r="DC44" s="516"/>
      <c r="DD44" s="516"/>
      <c r="DE44" s="516"/>
      <c r="DF44" s="516"/>
      <c r="DG44" s="516"/>
      <c r="DH44" s="14"/>
      <c r="DI44" s="47"/>
      <c r="DJ44" s="14"/>
      <c r="DK44" s="14"/>
      <c r="DL44" s="14"/>
      <c r="DM44" s="14"/>
      <c r="DN44" s="14"/>
      <c r="DO44" s="14"/>
      <c r="DP44" s="524" t="s">
        <v>755</v>
      </c>
      <c r="DQ44" s="542"/>
      <c r="DR44" s="542"/>
      <c r="DS44" s="525"/>
      <c r="DT44" s="128"/>
      <c r="DU44" s="128"/>
      <c r="DV44" s="128"/>
      <c r="DW44" s="128"/>
      <c r="DX44" s="128"/>
      <c r="DY44" s="128"/>
      <c r="DZ44" s="14"/>
      <c r="EA44" s="14"/>
      <c r="EB44" s="14"/>
      <c r="EC44" s="14"/>
      <c r="ED44" s="14"/>
      <c r="EE44" s="14"/>
      <c r="EF44" s="14"/>
      <c r="EG44" s="14"/>
      <c r="EH44" s="14"/>
      <c r="EI44" s="14"/>
      <c r="EJ44" s="14"/>
      <c r="EK44" s="14"/>
      <c r="EL44" s="14"/>
    </row>
    <row r="45" spans="1:142" ht="28.5" customHeight="1" x14ac:dyDescent="0.25">
      <c r="A45" s="14"/>
      <c r="B45" s="211"/>
      <c r="C45" s="265"/>
      <c r="D45" s="265"/>
      <c r="E45" s="265"/>
      <c r="F45" s="265"/>
      <c r="G45" s="526"/>
      <c r="H45" s="543"/>
      <c r="I45" s="543"/>
      <c r="J45" s="527"/>
      <c r="K45" s="14"/>
      <c r="L45" s="14"/>
      <c r="M45" s="14"/>
      <c r="N45" s="14"/>
      <c r="O45" s="14"/>
      <c r="P45" s="14"/>
      <c r="Q45" s="47"/>
      <c r="R45" s="19"/>
      <c r="S45" s="19"/>
      <c r="T45" s="19"/>
      <c r="U45" s="50"/>
      <c r="V45" s="19"/>
      <c r="W45" s="50"/>
      <c r="X45" s="526"/>
      <c r="Y45" s="543"/>
      <c r="Z45" s="543"/>
      <c r="AA45" s="527"/>
      <c r="AB45" s="14"/>
      <c r="AC45" s="14"/>
      <c r="AD45" s="14"/>
      <c r="AE45" s="14"/>
      <c r="AF45" s="47"/>
      <c r="AG45" s="19"/>
      <c r="AH45" s="19"/>
      <c r="AI45" s="19"/>
      <c r="AJ45" s="50"/>
      <c r="AK45" s="19"/>
      <c r="AL45" s="50"/>
      <c r="AM45" s="526"/>
      <c r="AN45" s="543"/>
      <c r="AO45" s="543"/>
      <c r="AP45" s="527"/>
      <c r="AQ45" s="14"/>
      <c r="AR45" s="14"/>
      <c r="AS45" s="14"/>
      <c r="AT45" s="14"/>
      <c r="AU45" s="47"/>
      <c r="AV45" s="14"/>
      <c r="AW45" s="19"/>
      <c r="AX45" s="19"/>
      <c r="AY45" s="50"/>
      <c r="AZ45" s="19"/>
      <c r="BA45" s="526"/>
      <c r="BB45" s="543"/>
      <c r="BC45" s="543"/>
      <c r="BD45" s="527"/>
      <c r="BE45" s="14"/>
      <c r="BF45" s="14"/>
      <c r="BG45" s="14"/>
      <c r="BH45" s="14"/>
      <c r="BI45" s="14"/>
      <c r="BJ45" s="47"/>
      <c r="BK45" s="19"/>
      <c r="BL45" s="19"/>
      <c r="BM45" s="19"/>
      <c r="BN45" s="50"/>
      <c r="BO45" s="19"/>
      <c r="BP45" s="50"/>
      <c r="BQ45" s="526"/>
      <c r="BR45" s="543"/>
      <c r="BS45" s="543"/>
      <c r="BT45" s="527"/>
      <c r="BU45" s="14"/>
      <c r="BV45" s="14"/>
      <c r="BW45" s="14"/>
      <c r="BX45" s="14"/>
      <c r="BY45" s="47"/>
      <c r="BZ45" s="14"/>
      <c r="CA45" s="210"/>
      <c r="CB45" s="211"/>
      <c r="CC45" s="515"/>
      <c r="CD45" s="515"/>
      <c r="CE45" s="515"/>
      <c r="CF45" s="515"/>
      <c r="CG45" s="515"/>
      <c r="CH45" s="515"/>
      <c r="CI45" s="515"/>
      <c r="CJ45" s="515"/>
      <c r="CK45" s="515"/>
      <c r="CL45" s="515"/>
      <c r="CM45" s="515"/>
      <c r="CN45" s="515"/>
      <c r="CO45" s="515"/>
      <c r="CP45" s="14"/>
      <c r="CQ45" s="47"/>
      <c r="CR45" s="14"/>
      <c r="CS45" s="71"/>
      <c r="CT45" s="71"/>
      <c r="CU45" s="516"/>
      <c r="CV45" s="516"/>
      <c r="CW45" s="516"/>
      <c r="CX45" s="516"/>
      <c r="CY45" s="516"/>
      <c r="CZ45" s="516"/>
      <c r="DA45" s="516"/>
      <c r="DB45" s="516"/>
      <c r="DC45" s="516"/>
      <c r="DD45" s="516"/>
      <c r="DE45" s="516"/>
      <c r="DF45" s="516"/>
      <c r="DG45" s="516"/>
      <c r="DH45" s="14"/>
      <c r="DI45" s="47"/>
      <c r="DJ45" s="14"/>
      <c r="DK45" s="14"/>
      <c r="DL45" s="14"/>
      <c r="DM45" s="14"/>
      <c r="DN45" s="14"/>
      <c r="DO45" s="14"/>
      <c r="DP45" s="526"/>
      <c r="DQ45" s="543"/>
      <c r="DR45" s="543"/>
      <c r="DS45" s="527"/>
      <c r="DT45" s="128"/>
      <c r="DU45" s="128"/>
      <c r="DV45" s="128"/>
      <c r="DW45" s="128"/>
      <c r="DX45" s="128"/>
      <c r="DY45" s="128"/>
      <c r="DZ45" s="14"/>
      <c r="EA45" s="14"/>
      <c r="EB45" s="14"/>
      <c r="EC45" s="14"/>
      <c r="ED45" s="14"/>
      <c r="EE45" s="14"/>
      <c r="EF45" s="14"/>
      <c r="EG45" s="14"/>
      <c r="EH45" s="14"/>
      <c r="EI45" s="14"/>
      <c r="EJ45" s="14"/>
      <c r="EK45" s="14"/>
      <c r="EL45" s="14"/>
    </row>
    <row r="46" spans="1:142" ht="15.75" customHeight="1" x14ac:dyDescent="0.25">
      <c r="A46" s="14"/>
      <c r="B46" s="211"/>
      <c r="C46" s="265"/>
      <c r="D46" s="265"/>
      <c r="E46" s="265"/>
      <c r="F46" s="265"/>
      <c r="G46" s="526"/>
      <c r="H46" s="543"/>
      <c r="I46" s="543"/>
      <c r="J46" s="527"/>
      <c r="K46" s="14"/>
      <c r="L46" s="14"/>
      <c r="M46" s="14"/>
      <c r="N46" s="14"/>
      <c r="O46" s="14"/>
      <c r="P46" s="14"/>
      <c r="Q46" s="47"/>
      <c r="R46" s="19"/>
      <c r="S46" s="19"/>
      <c r="T46" s="19"/>
      <c r="U46" s="50"/>
      <c r="V46" s="19"/>
      <c r="W46" s="50"/>
      <c r="X46" s="526"/>
      <c r="Y46" s="543"/>
      <c r="Z46" s="543"/>
      <c r="AA46" s="527"/>
      <c r="AB46" s="14"/>
      <c r="AC46" s="14"/>
      <c r="AD46" s="14"/>
      <c r="AE46" s="14"/>
      <c r="AF46" s="47"/>
      <c r="AG46" s="19"/>
      <c r="AH46" s="19"/>
      <c r="AI46" s="19"/>
      <c r="AJ46" s="50"/>
      <c r="AK46" s="19"/>
      <c r="AL46" s="50"/>
      <c r="AM46" s="526"/>
      <c r="AN46" s="543"/>
      <c r="AO46" s="543"/>
      <c r="AP46" s="527"/>
      <c r="AQ46" s="14"/>
      <c r="AR46" s="14"/>
      <c r="AS46" s="14"/>
      <c r="AT46" s="14"/>
      <c r="AU46" s="47"/>
      <c r="AV46" s="14"/>
      <c r="AW46" s="19"/>
      <c r="AX46" s="19"/>
      <c r="AY46" s="50"/>
      <c r="AZ46" s="19"/>
      <c r="BA46" s="526"/>
      <c r="BB46" s="543"/>
      <c r="BC46" s="543"/>
      <c r="BD46" s="527"/>
      <c r="BE46" s="14"/>
      <c r="BF46" s="14"/>
      <c r="BG46" s="14"/>
      <c r="BH46" s="14"/>
      <c r="BI46" s="14"/>
      <c r="BJ46" s="47"/>
      <c r="BK46" s="19"/>
      <c r="BL46" s="19"/>
      <c r="BM46" s="19"/>
      <c r="BN46" s="50"/>
      <c r="BO46" s="19"/>
      <c r="BP46" s="50"/>
      <c r="BQ46" s="526"/>
      <c r="BR46" s="543"/>
      <c r="BS46" s="543"/>
      <c r="BT46" s="527"/>
      <c r="BU46" s="14"/>
      <c r="BV46" s="14"/>
      <c r="BW46" s="14"/>
      <c r="BX46" s="14"/>
      <c r="BY46" s="47"/>
      <c r="BZ46" s="14"/>
      <c r="CA46" s="210"/>
      <c r="CB46" s="211"/>
      <c r="CC46" s="515"/>
      <c r="CD46" s="515"/>
      <c r="CE46" s="515"/>
      <c r="CF46" s="515"/>
      <c r="CG46" s="515"/>
      <c r="CH46" s="515"/>
      <c r="CI46" s="515"/>
      <c r="CJ46" s="515"/>
      <c r="CK46" s="515"/>
      <c r="CL46" s="515"/>
      <c r="CM46" s="515"/>
      <c r="CN46" s="515"/>
      <c r="CO46" s="515"/>
      <c r="CP46" s="14"/>
      <c r="CQ46" s="47"/>
      <c r="CR46" s="14"/>
      <c r="CS46" s="71"/>
      <c r="CT46" s="71"/>
      <c r="CU46" s="516"/>
      <c r="CV46" s="516"/>
      <c r="CW46" s="516"/>
      <c r="CX46" s="516"/>
      <c r="CY46" s="516"/>
      <c r="CZ46" s="516"/>
      <c r="DA46" s="516"/>
      <c r="DB46" s="516"/>
      <c r="DC46" s="516"/>
      <c r="DD46" s="516"/>
      <c r="DE46" s="516"/>
      <c r="DF46" s="516"/>
      <c r="DG46" s="516"/>
      <c r="DH46" s="14"/>
      <c r="DI46" s="47"/>
      <c r="DJ46" s="14"/>
      <c r="DK46" s="14"/>
      <c r="DL46" s="14"/>
      <c r="DM46" s="14"/>
      <c r="DN46" s="14"/>
      <c r="DO46" s="14"/>
      <c r="DP46" s="526"/>
      <c r="DQ46" s="543"/>
      <c r="DR46" s="543"/>
      <c r="DS46" s="527"/>
      <c r="DT46" s="128"/>
      <c r="DU46" s="128"/>
      <c r="DV46" s="128"/>
      <c r="DW46" s="128"/>
      <c r="DX46" s="128"/>
      <c r="DY46" s="128"/>
      <c r="DZ46" s="14"/>
      <c r="EA46" s="14"/>
      <c r="EB46" s="14"/>
      <c r="EC46" s="14"/>
      <c r="ED46" s="14"/>
      <c r="EE46" s="14"/>
      <c r="EF46" s="14"/>
      <c r="EG46" s="14"/>
      <c r="EH46" s="14"/>
      <c r="EI46" s="14"/>
      <c r="EJ46" s="14"/>
      <c r="EK46" s="14"/>
      <c r="EL46" s="14"/>
    </row>
    <row r="47" spans="1:142" ht="15.75" customHeight="1" x14ac:dyDescent="0.25">
      <c r="A47" s="14"/>
      <c r="B47" s="211"/>
      <c r="C47" s="265"/>
      <c r="D47" s="265"/>
      <c r="E47" s="265"/>
      <c r="F47" s="265"/>
      <c r="G47" s="528"/>
      <c r="H47" s="544"/>
      <c r="I47" s="544"/>
      <c r="J47" s="529"/>
      <c r="K47" s="14"/>
      <c r="L47" s="14"/>
      <c r="M47" s="14"/>
      <c r="N47" s="14"/>
      <c r="O47" s="14"/>
      <c r="P47" s="14"/>
      <c r="Q47" s="47"/>
      <c r="R47" s="19"/>
      <c r="S47" s="34"/>
      <c r="T47" s="33"/>
      <c r="U47" s="517"/>
      <c r="V47" s="517"/>
      <c r="W47" s="53"/>
      <c r="X47" s="528"/>
      <c r="Y47" s="544"/>
      <c r="Z47" s="544"/>
      <c r="AA47" s="529"/>
      <c r="AB47" s="14"/>
      <c r="AC47" s="14"/>
      <c r="AD47" s="14"/>
      <c r="AE47" s="14"/>
      <c r="AF47" s="47"/>
      <c r="AG47" s="19"/>
      <c r="AH47" s="34"/>
      <c r="AI47" s="33"/>
      <c r="AJ47" s="517"/>
      <c r="AK47" s="517"/>
      <c r="AL47" s="53"/>
      <c r="AM47" s="528"/>
      <c r="AN47" s="544"/>
      <c r="AO47" s="544"/>
      <c r="AP47" s="529"/>
      <c r="AQ47" s="14"/>
      <c r="AR47" s="14"/>
      <c r="AS47" s="14"/>
      <c r="AT47" s="14"/>
      <c r="AU47" s="47"/>
      <c r="AV47" s="14"/>
      <c r="AW47" s="34"/>
      <c r="AX47" s="33"/>
      <c r="AY47" s="517"/>
      <c r="AZ47" s="517"/>
      <c r="BA47" s="528"/>
      <c r="BB47" s="544"/>
      <c r="BC47" s="544"/>
      <c r="BD47" s="529"/>
      <c r="BE47" s="14"/>
      <c r="BF47" s="14"/>
      <c r="BG47" s="14"/>
      <c r="BH47" s="14"/>
      <c r="BI47" s="14"/>
      <c r="BJ47" s="47"/>
      <c r="BK47" s="19"/>
      <c r="BL47" s="34"/>
      <c r="BM47" s="33"/>
      <c r="BN47" s="517"/>
      <c r="BO47" s="517"/>
      <c r="BP47" s="53"/>
      <c r="BQ47" s="528"/>
      <c r="BR47" s="544"/>
      <c r="BS47" s="544"/>
      <c r="BT47" s="529"/>
      <c r="BU47" s="14"/>
      <c r="BV47" s="14"/>
      <c r="BW47" s="14"/>
      <c r="BX47" s="14"/>
      <c r="BY47" s="47"/>
      <c r="BZ47" s="14"/>
      <c r="CA47" s="210"/>
      <c r="CB47" s="211"/>
      <c r="CC47" s="515"/>
      <c r="CD47" s="515"/>
      <c r="CE47" s="515"/>
      <c r="CF47" s="515"/>
      <c r="CG47" s="515"/>
      <c r="CH47" s="515"/>
      <c r="CI47" s="515"/>
      <c r="CJ47" s="515"/>
      <c r="CK47" s="515"/>
      <c r="CL47" s="515"/>
      <c r="CM47" s="515"/>
      <c r="CN47" s="515"/>
      <c r="CO47" s="515"/>
      <c r="CP47" s="14"/>
      <c r="CQ47" s="47"/>
      <c r="CR47" s="14"/>
      <c r="CS47" s="71"/>
      <c r="CT47" s="71"/>
      <c r="CU47" s="516"/>
      <c r="CV47" s="516"/>
      <c r="CW47" s="516"/>
      <c r="CX47" s="516"/>
      <c r="CY47" s="516"/>
      <c r="CZ47" s="516"/>
      <c r="DA47" s="516"/>
      <c r="DB47" s="516"/>
      <c r="DC47" s="516"/>
      <c r="DD47" s="516"/>
      <c r="DE47" s="516"/>
      <c r="DF47" s="516"/>
      <c r="DG47" s="516"/>
      <c r="DH47" s="14"/>
      <c r="DI47" s="47"/>
      <c r="DJ47" s="14"/>
      <c r="DK47" s="14"/>
      <c r="DL47" s="14"/>
      <c r="DM47" s="14"/>
      <c r="DN47" s="14"/>
      <c r="DO47" s="14"/>
      <c r="DP47" s="528"/>
      <c r="DQ47" s="544"/>
      <c r="DR47" s="544"/>
      <c r="DS47" s="529"/>
      <c r="DT47" s="2"/>
      <c r="DU47" s="14"/>
      <c r="DV47" s="14"/>
      <c r="DW47" s="14"/>
      <c r="DX47" s="14"/>
      <c r="DY47" s="14"/>
      <c r="DZ47" s="14"/>
      <c r="EA47" s="14"/>
      <c r="EB47" s="14"/>
      <c r="EC47" s="14"/>
      <c r="ED47" s="14"/>
      <c r="EE47" s="14"/>
      <c r="EF47" s="14"/>
      <c r="EG47" s="14"/>
      <c r="EH47" s="14"/>
      <c r="EI47" s="14"/>
      <c r="EJ47" s="14"/>
      <c r="EK47" s="14"/>
      <c r="EL47" s="14"/>
    </row>
    <row r="48" spans="1:142" ht="15" customHeight="1" x14ac:dyDescent="0.25">
      <c r="A48" s="14"/>
      <c r="B48" s="211"/>
      <c r="C48" s="265"/>
      <c r="D48" s="265"/>
      <c r="E48" s="265"/>
      <c r="F48" s="265"/>
      <c r="G48" s="23"/>
      <c r="H48" s="18"/>
      <c r="I48" s="27"/>
      <c r="J48" s="14"/>
      <c r="K48" s="14"/>
      <c r="L48" s="14"/>
      <c r="M48" s="14"/>
      <c r="N48" s="14"/>
      <c r="O48" s="14"/>
      <c r="P48" s="14"/>
      <c r="Q48" s="47"/>
      <c r="R48" s="19"/>
      <c r="S48" s="14"/>
      <c r="T48" s="14"/>
      <c r="U48" s="14"/>
      <c r="V48" s="14"/>
      <c r="W48" s="14"/>
      <c r="X48" s="14"/>
      <c r="Y48" s="14"/>
      <c r="Z48" s="14"/>
      <c r="AA48" s="14"/>
      <c r="AB48" s="14"/>
      <c r="AC48" s="14"/>
      <c r="AD48" s="14"/>
      <c r="AE48" s="14"/>
      <c r="AF48" s="47"/>
      <c r="AG48" s="19"/>
      <c r="AH48" s="14"/>
      <c r="AI48" s="14"/>
      <c r="AJ48" s="14"/>
      <c r="AK48" s="14"/>
      <c r="AL48" s="14"/>
      <c r="AM48" s="14"/>
      <c r="AN48" s="14"/>
      <c r="AO48" s="14"/>
      <c r="AP48" s="14"/>
      <c r="AQ48" s="14"/>
      <c r="AR48" s="14"/>
      <c r="AS48" s="14"/>
      <c r="AT48" s="14"/>
      <c r="AU48" s="47"/>
      <c r="AV48" s="14"/>
      <c r="AW48" s="14"/>
      <c r="AX48" s="14"/>
      <c r="AY48" s="14"/>
      <c r="AZ48" s="14"/>
      <c r="BA48" s="14"/>
      <c r="BB48" s="14"/>
      <c r="BC48" s="14"/>
      <c r="BD48" s="14"/>
      <c r="BE48" s="14"/>
      <c r="BF48" s="14"/>
      <c r="BG48" s="14"/>
      <c r="BH48" s="14"/>
      <c r="BI48" s="14"/>
      <c r="BJ48" s="47"/>
      <c r="BK48" s="19"/>
      <c r="BL48" s="14"/>
      <c r="BM48" s="14"/>
      <c r="BN48" s="14"/>
      <c r="BO48" s="14"/>
      <c r="BP48" s="14"/>
      <c r="BQ48" s="14"/>
      <c r="BR48" s="14"/>
      <c r="BS48" s="14"/>
      <c r="BT48" s="14"/>
      <c r="BU48" s="14"/>
      <c r="BV48" s="14"/>
      <c r="BW48" s="14"/>
      <c r="BX48" s="14"/>
      <c r="BY48" s="47"/>
      <c r="BZ48" s="14"/>
      <c r="CA48" s="210"/>
      <c r="CB48" s="211"/>
      <c r="CC48" s="515"/>
      <c r="CD48" s="515"/>
      <c r="CE48" s="515"/>
      <c r="CF48" s="515"/>
      <c r="CG48" s="515"/>
      <c r="CH48" s="515"/>
      <c r="CI48" s="515"/>
      <c r="CJ48" s="515"/>
      <c r="CK48" s="515"/>
      <c r="CL48" s="515"/>
      <c r="CM48" s="515"/>
      <c r="CN48" s="515"/>
      <c r="CO48" s="515"/>
      <c r="CP48" s="14"/>
      <c r="CQ48" s="47"/>
      <c r="CR48" s="14"/>
      <c r="CS48" s="71"/>
      <c r="CT48" s="71"/>
      <c r="CU48" s="516"/>
      <c r="CV48" s="516"/>
      <c r="CW48" s="516"/>
      <c r="CX48" s="516"/>
      <c r="CY48" s="516"/>
      <c r="CZ48" s="516"/>
      <c r="DA48" s="516"/>
      <c r="DB48" s="516"/>
      <c r="DC48" s="516"/>
      <c r="DD48" s="516"/>
      <c r="DE48" s="516"/>
      <c r="DF48" s="516"/>
      <c r="DG48" s="516"/>
      <c r="DH48" s="14"/>
      <c r="DI48" s="47"/>
      <c r="DJ48" s="14"/>
      <c r="DK48" s="14"/>
      <c r="DL48" s="14"/>
      <c r="DM48" s="14"/>
      <c r="DN48" s="14"/>
      <c r="DO48" s="14"/>
      <c r="DP48" s="14"/>
      <c r="DQ48" s="14"/>
      <c r="DR48" s="2"/>
      <c r="DS48" s="2"/>
      <c r="DT48" s="2"/>
      <c r="DU48" s="14"/>
      <c r="DV48" s="14"/>
      <c r="DW48" s="14"/>
      <c r="DX48" s="14"/>
      <c r="DY48" s="14"/>
      <c r="DZ48" s="14"/>
      <c r="EA48" s="14"/>
      <c r="EB48" s="14"/>
      <c r="EC48" s="14"/>
      <c r="ED48" s="14"/>
      <c r="EE48" s="14"/>
      <c r="EF48" s="14"/>
      <c r="EG48" s="14"/>
      <c r="EH48" s="14"/>
      <c r="EI48" s="14"/>
      <c r="EJ48" s="14"/>
      <c r="EK48" s="14"/>
      <c r="EL48" s="14"/>
    </row>
    <row r="49" spans="1:142" x14ac:dyDescent="0.25">
      <c r="A49" s="14"/>
      <c r="B49" s="211"/>
      <c r="C49" s="265"/>
      <c r="D49" s="265"/>
      <c r="E49" s="265"/>
      <c r="F49" s="265"/>
      <c r="G49" s="14"/>
      <c r="H49" s="21"/>
      <c r="I49" s="21"/>
      <c r="J49" s="14"/>
      <c r="K49" s="14"/>
      <c r="L49" s="14"/>
      <c r="M49" s="14"/>
      <c r="N49" s="14"/>
      <c r="O49" s="14"/>
      <c r="P49" s="14"/>
      <c r="Q49" s="47"/>
      <c r="R49" s="19"/>
      <c r="S49" s="14"/>
      <c r="T49" s="14"/>
      <c r="U49" s="14"/>
      <c r="V49" s="14"/>
      <c r="W49" s="14"/>
      <c r="X49" s="14"/>
      <c r="Y49" s="14"/>
      <c r="Z49" s="14"/>
      <c r="AA49" s="14"/>
      <c r="AB49" s="14"/>
      <c r="AC49" s="14"/>
      <c r="AD49" s="14"/>
      <c r="AE49" s="14"/>
      <c r="AF49" s="47"/>
      <c r="AG49" s="19"/>
      <c r="AH49" s="14"/>
      <c r="AI49" s="14"/>
      <c r="AJ49" s="14"/>
      <c r="AK49" s="14"/>
      <c r="AL49" s="14"/>
      <c r="AM49" s="14"/>
      <c r="AN49" s="14"/>
      <c r="AO49" s="14"/>
      <c r="AP49" s="14"/>
      <c r="AQ49" s="14"/>
      <c r="AR49" s="14"/>
      <c r="AS49" s="14"/>
      <c r="AT49" s="14"/>
      <c r="AU49" s="47"/>
      <c r="AV49" s="14"/>
      <c r="AW49" s="14"/>
      <c r="AX49" s="14"/>
      <c r="AY49" s="14"/>
      <c r="AZ49" s="14"/>
      <c r="BA49" s="14"/>
      <c r="BB49" s="14"/>
      <c r="BC49" s="14"/>
      <c r="BD49" s="14"/>
      <c r="BE49" s="14"/>
      <c r="BF49" s="14"/>
      <c r="BG49" s="14"/>
      <c r="BH49" s="14"/>
      <c r="BI49" s="14"/>
      <c r="BJ49" s="47"/>
      <c r="BK49" s="19"/>
      <c r="BL49" s="14"/>
      <c r="BM49" s="14"/>
      <c r="BN49" s="14"/>
      <c r="BO49" s="14"/>
      <c r="BP49" s="14"/>
      <c r="BQ49" s="14"/>
      <c r="BR49" s="14"/>
      <c r="BS49" s="14"/>
      <c r="BT49" s="14"/>
      <c r="BU49" s="14"/>
      <c r="BV49" s="14"/>
      <c r="BW49" s="14"/>
      <c r="BX49" s="14"/>
      <c r="BY49" s="47"/>
      <c r="BZ49" s="14"/>
      <c r="CA49" s="210"/>
      <c r="CB49" s="211"/>
      <c r="CC49" s="515"/>
      <c r="CD49" s="515"/>
      <c r="CE49" s="515"/>
      <c r="CF49" s="515"/>
      <c r="CG49" s="515"/>
      <c r="CH49" s="515"/>
      <c r="CI49" s="515"/>
      <c r="CJ49" s="515"/>
      <c r="CK49" s="515"/>
      <c r="CL49" s="515"/>
      <c r="CM49" s="515"/>
      <c r="CN49" s="515"/>
      <c r="CO49" s="515"/>
      <c r="CP49" s="14"/>
      <c r="CQ49" s="47"/>
      <c r="CR49" s="14"/>
      <c r="CS49" s="71"/>
      <c r="CT49" s="71"/>
      <c r="CU49" s="516"/>
      <c r="CV49" s="516"/>
      <c r="CW49" s="516"/>
      <c r="CX49" s="516"/>
      <c r="CY49" s="516"/>
      <c r="CZ49" s="516"/>
      <c r="DA49" s="516"/>
      <c r="DB49" s="516"/>
      <c r="DC49" s="516"/>
      <c r="DD49" s="516"/>
      <c r="DE49" s="516"/>
      <c r="DF49" s="516"/>
      <c r="DG49" s="516"/>
      <c r="DH49" s="14"/>
      <c r="DI49" s="47"/>
      <c r="DJ49" s="14"/>
      <c r="DK49" s="14"/>
      <c r="DL49" s="14"/>
      <c r="DM49" s="14"/>
      <c r="DN49" s="14"/>
      <c r="DO49" s="14"/>
      <c r="DP49" s="14"/>
      <c r="DQ49" s="14"/>
      <c r="DR49" s="2"/>
      <c r="DS49" s="2"/>
      <c r="DT49" s="2"/>
      <c r="DU49" s="14"/>
      <c r="DV49" s="14"/>
      <c r="DW49" s="14"/>
      <c r="DX49" s="14"/>
      <c r="DY49" s="14"/>
      <c r="DZ49" s="14"/>
      <c r="EA49" s="14"/>
      <c r="EB49" s="14"/>
      <c r="EC49" s="14"/>
      <c r="ED49" s="14"/>
      <c r="EE49" s="14"/>
      <c r="EF49" s="14"/>
      <c r="EG49" s="14"/>
      <c r="EH49" s="14"/>
      <c r="EI49" s="14"/>
      <c r="EJ49" s="14"/>
      <c r="EK49" s="14"/>
      <c r="EL49" s="14"/>
    </row>
    <row r="50" spans="1:142" x14ac:dyDescent="0.25">
      <c r="A50" s="14"/>
      <c r="B50" s="211"/>
      <c r="C50" s="265"/>
      <c r="D50" s="265"/>
      <c r="E50" s="265"/>
      <c r="F50" s="265"/>
      <c r="G50" s="19"/>
      <c r="H50" s="27"/>
      <c r="I50" s="21"/>
      <c r="J50" s="14"/>
      <c r="K50" s="14"/>
      <c r="L50" s="14"/>
      <c r="M50" s="14"/>
      <c r="N50" s="14"/>
      <c r="O50" s="14"/>
      <c r="P50" s="14"/>
      <c r="Q50" s="47"/>
      <c r="R50" s="19"/>
      <c r="S50" s="14"/>
      <c r="T50" s="14"/>
      <c r="U50" s="14"/>
      <c r="V50" s="14"/>
      <c r="W50" s="14"/>
      <c r="X50" s="14"/>
      <c r="Y50" s="14"/>
      <c r="Z50" s="14"/>
      <c r="AA50" s="14"/>
      <c r="AB50" s="14"/>
      <c r="AC50" s="14"/>
      <c r="AD50" s="14"/>
      <c r="AE50" s="14"/>
      <c r="AF50" s="47"/>
      <c r="AG50" s="19"/>
      <c r="AH50" s="14"/>
      <c r="AI50" s="14"/>
      <c r="AJ50" s="14"/>
      <c r="AK50" s="14"/>
      <c r="AL50" s="14"/>
      <c r="AM50" s="14"/>
      <c r="AN50" s="14"/>
      <c r="AO50" s="14"/>
      <c r="AP50" s="14"/>
      <c r="AQ50" s="14"/>
      <c r="AR50" s="14"/>
      <c r="AS50" s="14"/>
      <c r="AT50" s="14"/>
      <c r="AU50" s="47"/>
      <c r="AV50" s="14"/>
      <c r="AW50" s="14"/>
      <c r="AX50" s="14"/>
      <c r="AY50" s="14"/>
      <c r="AZ50" s="14"/>
      <c r="BA50" s="14"/>
      <c r="BB50" s="14"/>
      <c r="BC50" s="14"/>
      <c r="BD50" s="14"/>
      <c r="BE50" s="14"/>
      <c r="BF50" s="14"/>
      <c r="BG50" s="14"/>
      <c r="BH50" s="14"/>
      <c r="BI50" s="14"/>
      <c r="BJ50" s="47"/>
      <c r="BK50" s="19"/>
      <c r="BL50" s="14"/>
      <c r="BM50" s="14"/>
      <c r="BN50" s="14"/>
      <c r="BO50" s="14"/>
      <c r="BP50" s="14"/>
      <c r="BQ50" s="14"/>
      <c r="BR50" s="14"/>
      <c r="BS50" s="14"/>
      <c r="BT50" s="14"/>
      <c r="BU50" s="14"/>
      <c r="BV50" s="14"/>
      <c r="BW50" s="14"/>
      <c r="BX50" s="14"/>
      <c r="BY50" s="47"/>
      <c r="BZ50" s="14"/>
      <c r="CA50" s="210"/>
      <c r="CB50" s="211"/>
      <c r="CC50" s="515"/>
      <c r="CD50" s="515"/>
      <c r="CE50" s="515"/>
      <c r="CF50" s="515"/>
      <c r="CG50" s="515"/>
      <c r="CH50" s="515"/>
      <c r="CI50" s="515"/>
      <c r="CJ50" s="515"/>
      <c r="CK50" s="515"/>
      <c r="CL50" s="515"/>
      <c r="CM50" s="515"/>
      <c r="CN50" s="515"/>
      <c r="CO50" s="515"/>
      <c r="CP50" s="14"/>
      <c r="CQ50" s="47"/>
      <c r="CR50" s="14"/>
      <c r="CS50" s="71"/>
      <c r="CT50" s="71"/>
      <c r="CU50" s="516"/>
      <c r="CV50" s="516"/>
      <c r="CW50" s="516"/>
      <c r="CX50" s="516"/>
      <c r="CY50" s="516"/>
      <c r="CZ50" s="516"/>
      <c r="DA50" s="516"/>
      <c r="DB50" s="516"/>
      <c r="DC50" s="516"/>
      <c r="DD50" s="516"/>
      <c r="DE50" s="516"/>
      <c r="DF50" s="516"/>
      <c r="DG50" s="516"/>
      <c r="DH50" s="14"/>
      <c r="DI50" s="47"/>
      <c r="DJ50" s="14"/>
      <c r="DK50" s="14"/>
      <c r="DL50" s="14"/>
      <c r="DM50" s="14"/>
      <c r="DN50" s="14"/>
      <c r="DO50" s="14"/>
      <c r="DP50" s="14"/>
      <c r="DQ50" s="14"/>
      <c r="DR50" s="2"/>
      <c r="DS50" s="2"/>
      <c r="DT50" s="2"/>
      <c r="DU50" s="14"/>
      <c r="DV50" s="14"/>
      <c r="DW50" s="14"/>
      <c r="DX50" s="14"/>
      <c r="DY50" s="14"/>
      <c r="DZ50" s="14"/>
      <c r="EA50" s="14"/>
      <c r="EB50" s="14"/>
      <c r="EC50" s="14"/>
      <c r="ED50" s="14"/>
      <c r="EE50" s="14"/>
      <c r="EF50" s="14"/>
      <c r="EG50" s="14"/>
      <c r="EH50" s="14"/>
      <c r="EI50" s="14"/>
      <c r="EJ50" s="14"/>
      <c r="EK50" s="14"/>
      <c r="EL50" s="14"/>
    </row>
    <row r="51" spans="1:142" x14ac:dyDescent="0.25">
      <c r="A51" s="14"/>
      <c r="B51" s="14"/>
      <c r="C51" s="14"/>
      <c r="D51" s="21"/>
      <c r="E51" s="14"/>
      <c r="F51" s="19"/>
      <c r="G51" s="19"/>
      <c r="H51" s="27"/>
      <c r="I51" s="21"/>
      <c r="J51" s="14"/>
      <c r="K51" s="14"/>
      <c r="L51" s="14"/>
      <c r="M51" s="14"/>
      <c r="N51" s="14"/>
      <c r="O51" s="14"/>
      <c r="P51" s="14"/>
      <c r="Q51" s="47"/>
      <c r="R51" s="19"/>
      <c r="S51" s="14"/>
      <c r="T51" s="14"/>
      <c r="U51" s="14"/>
      <c r="V51" s="14"/>
      <c r="W51" s="14"/>
      <c r="X51" s="14"/>
      <c r="Y51" s="14"/>
      <c r="Z51" s="14"/>
      <c r="AA51" s="14"/>
      <c r="AB51" s="14"/>
      <c r="AC51" s="14"/>
      <c r="AD51" s="14"/>
      <c r="AE51" s="14"/>
      <c r="AF51" s="47"/>
      <c r="AG51" s="19"/>
      <c r="AH51" s="14"/>
      <c r="AI51" s="14"/>
      <c r="AJ51" s="14"/>
      <c r="AK51" s="14"/>
      <c r="AL51" s="14"/>
      <c r="AM51" s="14"/>
      <c r="AN51" s="14"/>
      <c r="AO51" s="14"/>
      <c r="AP51" s="14"/>
      <c r="AQ51" s="14"/>
      <c r="AR51" s="14"/>
      <c r="AS51" s="14"/>
      <c r="AT51" s="14"/>
      <c r="AU51" s="47"/>
      <c r="AV51" s="14"/>
      <c r="AW51" s="14"/>
      <c r="AX51" s="14"/>
      <c r="AY51" s="14"/>
      <c r="AZ51" s="14"/>
      <c r="BA51" s="14"/>
      <c r="BB51" s="14"/>
      <c r="BC51" s="14"/>
      <c r="BD51" s="14"/>
      <c r="BE51" s="14"/>
      <c r="BF51" s="14"/>
      <c r="BG51" s="14"/>
      <c r="BH51" s="14"/>
      <c r="BI51" s="14"/>
      <c r="BJ51" s="47"/>
      <c r="BK51" s="19"/>
      <c r="BL51" s="14"/>
      <c r="BM51" s="14"/>
      <c r="BN51" s="14"/>
      <c r="BO51" s="14"/>
      <c r="BP51" s="14"/>
      <c r="BQ51" s="14"/>
      <c r="BR51" s="14"/>
      <c r="BS51" s="14"/>
      <c r="BT51" s="14"/>
      <c r="BU51" s="14"/>
      <c r="BV51" s="14"/>
      <c r="BW51" s="14"/>
      <c r="BX51" s="14"/>
      <c r="BY51" s="47"/>
      <c r="BZ51" s="14"/>
      <c r="CA51" s="14"/>
      <c r="CB51" s="21"/>
      <c r="CC51" s="21"/>
      <c r="CD51" s="21"/>
      <c r="CE51" s="21"/>
      <c r="CF51" s="21"/>
      <c r="CG51" s="14"/>
      <c r="CH51" s="71"/>
      <c r="CI51" s="71"/>
      <c r="CJ51" s="71"/>
      <c r="CK51" s="14"/>
      <c r="CL51" s="14"/>
      <c r="CM51" s="14"/>
      <c r="CN51" s="14"/>
      <c r="CO51" s="129"/>
      <c r="CP51" s="14"/>
      <c r="CQ51" s="47"/>
      <c r="CR51" s="14"/>
      <c r="CS51" s="71"/>
      <c r="CT51" s="71"/>
      <c r="CU51" s="71"/>
      <c r="CV51" s="330"/>
      <c r="CW51" s="71"/>
      <c r="CX51" s="71"/>
      <c r="CY51" s="71"/>
      <c r="CZ51" s="71"/>
      <c r="DA51" s="71"/>
      <c r="DB51" s="71"/>
      <c r="DC51" s="71"/>
      <c r="DD51" s="71"/>
      <c r="DE51" s="71"/>
      <c r="DF51" s="71"/>
      <c r="DG51" s="260"/>
      <c r="DH51" s="14"/>
      <c r="DI51" s="47"/>
      <c r="DJ51" s="14"/>
      <c r="DK51" s="14"/>
      <c r="DL51" s="14"/>
      <c r="DM51" s="14"/>
      <c r="DN51" s="14"/>
      <c r="DO51" s="14"/>
      <c r="DP51" s="14"/>
      <c r="DQ51" s="14"/>
      <c r="DR51" s="2"/>
      <c r="DS51" s="2"/>
      <c r="DT51" s="2"/>
      <c r="DU51" s="14"/>
      <c r="DV51" s="14"/>
      <c r="DW51" s="14"/>
      <c r="DX51" s="14"/>
      <c r="DY51" s="14"/>
      <c r="DZ51" s="14"/>
      <c r="EA51" s="14"/>
      <c r="EB51" s="14"/>
      <c r="EC51" s="14"/>
      <c r="ED51" s="14"/>
      <c r="EE51" s="14"/>
      <c r="EF51" s="14"/>
      <c r="EG51" s="14"/>
      <c r="EH51" s="14"/>
      <c r="EI51" s="14"/>
      <c r="EJ51" s="14"/>
      <c r="EK51" s="14"/>
      <c r="EL51" s="14"/>
    </row>
    <row r="52" spans="1:142" s="130" customFormat="1" x14ac:dyDescent="0.25">
      <c r="A52" s="87"/>
      <c r="B52" s="87" t="s">
        <v>756</v>
      </c>
      <c r="C52" s="87"/>
      <c r="D52" s="88"/>
      <c r="E52" s="87"/>
      <c r="F52" s="87"/>
      <c r="G52" s="87"/>
      <c r="H52" s="88"/>
      <c r="I52" s="88"/>
      <c r="J52" s="87"/>
      <c r="K52" s="87"/>
      <c r="L52" s="87"/>
      <c r="M52" s="87"/>
      <c r="N52" s="87"/>
      <c r="O52" s="87"/>
      <c r="P52" s="87"/>
      <c r="Q52" s="93"/>
      <c r="R52" s="196"/>
      <c r="S52" s="87" t="str">
        <f>$B52</f>
        <v>Analysis by stakeholder group</v>
      </c>
      <c r="T52" s="87"/>
      <c r="U52" s="87"/>
      <c r="V52" s="87"/>
      <c r="W52" s="87"/>
      <c r="X52" s="87"/>
      <c r="Y52" s="87"/>
      <c r="Z52" s="87"/>
      <c r="AA52" s="87"/>
      <c r="AB52" s="87"/>
      <c r="AC52" s="87"/>
      <c r="AD52" s="87"/>
      <c r="AE52" s="87"/>
      <c r="AF52" s="93"/>
      <c r="AG52" s="196"/>
      <c r="AH52" s="87" t="str">
        <f>$B52</f>
        <v>Analysis by stakeholder group</v>
      </c>
      <c r="AI52" s="87"/>
      <c r="AJ52" s="87"/>
      <c r="AK52" s="87"/>
      <c r="AL52" s="87"/>
      <c r="AM52" s="87"/>
      <c r="AN52" s="87"/>
      <c r="AO52" s="87"/>
      <c r="AP52" s="87"/>
      <c r="AQ52" s="87"/>
      <c r="AR52" s="87"/>
      <c r="AS52" s="87"/>
      <c r="AT52" s="87"/>
      <c r="AU52" s="93"/>
      <c r="AV52" s="87"/>
      <c r="AW52" s="87" t="str">
        <f>$B52</f>
        <v>Analysis by stakeholder group</v>
      </c>
      <c r="AX52" s="87"/>
      <c r="AY52" s="87"/>
      <c r="AZ52" s="87"/>
      <c r="BA52" s="87"/>
      <c r="BB52" s="87"/>
      <c r="BC52" s="87"/>
      <c r="BD52" s="87"/>
      <c r="BE52" s="87"/>
      <c r="BF52" s="87"/>
      <c r="BG52" s="87"/>
      <c r="BH52" s="87"/>
      <c r="BI52" s="87"/>
      <c r="BJ52" s="93"/>
      <c r="BK52" s="196"/>
      <c r="BL52" s="87" t="str">
        <f>$B52</f>
        <v>Analysis by stakeholder group</v>
      </c>
      <c r="BM52" s="87"/>
      <c r="BN52" s="87"/>
      <c r="BO52" s="87"/>
      <c r="BP52" s="87"/>
      <c r="BQ52" s="87"/>
      <c r="BR52" s="87"/>
      <c r="BS52" s="87"/>
      <c r="BT52" s="87"/>
      <c r="BU52" s="87"/>
      <c r="BV52" s="87"/>
      <c r="BW52" s="87"/>
      <c r="BX52" s="87"/>
      <c r="BY52" s="93"/>
      <c r="BZ52" s="87"/>
      <c r="CA52" s="87" t="str">
        <f>$B52</f>
        <v>Analysis by stakeholder group</v>
      </c>
      <c r="CB52" s="88"/>
      <c r="CC52" s="88"/>
      <c r="CD52" s="88"/>
      <c r="CE52" s="88"/>
      <c r="CF52" s="88"/>
      <c r="CG52" s="87"/>
      <c r="CH52" s="87"/>
      <c r="CI52" s="87"/>
      <c r="CJ52" s="87"/>
      <c r="CK52" s="87"/>
      <c r="CL52" s="87"/>
      <c r="CM52" s="87"/>
      <c r="CN52" s="87"/>
      <c r="CO52" s="87"/>
      <c r="CP52" s="87"/>
      <c r="CQ52" s="93"/>
      <c r="CR52" s="87"/>
      <c r="CS52" s="87" t="str">
        <f>$B52</f>
        <v>Analysis by stakeholder group</v>
      </c>
      <c r="CT52" s="87"/>
      <c r="CU52" s="87"/>
      <c r="CV52" s="88"/>
      <c r="CW52" s="87"/>
      <c r="CX52" s="87"/>
      <c r="CY52" s="87"/>
      <c r="CZ52" s="87"/>
      <c r="DA52" s="87"/>
      <c r="DB52" s="87"/>
      <c r="DC52" s="87"/>
      <c r="DD52" s="87"/>
      <c r="DE52" s="87"/>
      <c r="DF52" s="87"/>
      <c r="DG52" s="87"/>
      <c r="DH52" s="87"/>
      <c r="DI52" s="93"/>
      <c r="DJ52" s="87"/>
      <c r="DK52" s="87" t="str">
        <f>$B52</f>
        <v>Analysis by stakeholder group</v>
      </c>
      <c r="DL52" s="87"/>
      <c r="DM52" s="87"/>
      <c r="DN52" s="87"/>
      <c r="DO52" s="87"/>
      <c r="DP52" s="87"/>
      <c r="DQ52" s="87"/>
      <c r="DR52" s="87"/>
      <c r="DS52" s="87"/>
      <c r="DT52" s="87"/>
      <c r="DU52" s="87"/>
      <c r="DV52" s="87"/>
      <c r="DW52" s="87"/>
      <c r="DX52" s="87"/>
      <c r="DY52" s="87"/>
      <c r="DZ52" s="87"/>
      <c r="EA52" s="87"/>
      <c r="EB52" s="87"/>
      <c r="EC52" s="87"/>
      <c r="ED52" s="87"/>
      <c r="EE52" s="87"/>
      <c r="EF52" s="87"/>
      <c r="EG52" s="87"/>
      <c r="EH52" s="87"/>
      <c r="EI52" s="87"/>
      <c r="EJ52" s="87"/>
      <c r="EK52" s="87"/>
      <c r="EL52" s="87"/>
    </row>
    <row r="53" spans="1:142" x14ac:dyDescent="0.25">
      <c r="A53" s="14"/>
      <c r="B53" s="211"/>
      <c r="C53" s="345"/>
      <c r="D53" s="345"/>
      <c r="E53" s="345"/>
      <c r="F53" s="345"/>
      <c r="G53" s="19"/>
      <c r="H53" s="27"/>
      <c r="I53" s="21"/>
      <c r="J53" s="14"/>
      <c r="K53" s="14"/>
      <c r="L53" s="14"/>
      <c r="M53" s="14"/>
      <c r="N53" s="14"/>
      <c r="O53" s="14"/>
      <c r="P53" s="14"/>
      <c r="Q53" s="47"/>
      <c r="R53" s="19"/>
      <c r="S53" s="14"/>
      <c r="T53" s="14"/>
      <c r="U53" s="14"/>
      <c r="V53" s="14"/>
      <c r="W53" s="14"/>
      <c r="X53" s="14"/>
      <c r="Y53" s="14"/>
      <c r="Z53" s="14"/>
      <c r="AA53" s="14"/>
      <c r="AB53" s="14"/>
      <c r="AC53" s="14"/>
      <c r="AD53" s="14"/>
      <c r="AE53" s="14"/>
      <c r="AF53" s="47"/>
      <c r="AG53" s="19"/>
      <c r="AH53" s="14"/>
      <c r="AI53" s="14"/>
      <c r="AJ53" s="14"/>
      <c r="AK53" s="14"/>
      <c r="AL53" s="14"/>
      <c r="AM53" s="14"/>
      <c r="AN53" s="14"/>
      <c r="AO53" s="14"/>
      <c r="AP53" s="14"/>
      <c r="AQ53" s="14"/>
      <c r="AR53" s="14"/>
      <c r="AS53" s="14"/>
      <c r="AT53" s="14"/>
      <c r="AU53" s="47"/>
      <c r="AV53" s="14"/>
      <c r="AW53" s="14"/>
      <c r="AX53" s="14"/>
      <c r="AY53" s="14"/>
      <c r="AZ53" s="14"/>
      <c r="BA53" s="14"/>
      <c r="BB53" s="14"/>
      <c r="BC53" s="14"/>
      <c r="BD53" s="14"/>
      <c r="BE53" s="14"/>
      <c r="BF53" s="14"/>
      <c r="BG53" s="14"/>
      <c r="BH53" s="14"/>
      <c r="BI53" s="14"/>
      <c r="BJ53" s="47"/>
      <c r="BK53" s="19"/>
      <c r="BL53" s="14"/>
      <c r="BM53" s="14"/>
      <c r="BN53" s="14"/>
      <c r="BO53" s="14"/>
      <c r="BP53" s="14"/>
      <c r="BQ53" s="14"/>
      <c r="BR53" s="14"/>
      <c r="BS53" s="14"/>
      <c r="BT53" s="14"/>
      <c r="BU53" s="14"/>
      <c r="BV53" s="14"/>
      <c r="BW53" s="14"/>
      <c r="BX53" s="14"/>
      <c r="BY53" s="47"/>
      <c r="BZ53" s="14"/>
      <c r="CA53" s="345"/>
      <c r="CB53" s="211"/>
      <c r="CC53" s="345"/>
      <c r="CD53" s="345"/>
      <c r="CE53" s="345"/>
      <c r="CF53" s="345"/>
      <c r="CG53" s="345"/>
      <c r="CH53" s="345"/>
      <c r="CI53" s="345"/>
      <c r="CJ53" s="345"/>
      <c r="CK53" s="345"/>
      <c r="CL53" s="345"/>
      <c r="CM53" s="345"/>
      <c r="CN53" s="345"/>
      <c r="CO53" s="345"/>
      <c r="CP53" s="14"/>
      <c r="CQ53" s="47"/>
      <c r="CR53" s="14"/>
      <c r="CS53" s="71"/>
      <c r="CT53" s="71"/>
      <c r="CU53" s="346"/>
      <c r="CV53" s="346"/>
      <c r="CW53" s="346"/>
      <c r="CX53" s="346"/>
      <c r="CY53" s="346"/>
      <c r="CZ53" s="346"/>
      <c r="DA53" s="346"/>
      <c r="DB53" s="346"/>
      <c r="DC53" s="346"/>
      <c r="DD53" s="346"/>
      <c r="DE53" s="346"/>
      <c r="DF53" s="346"/>
      <c r="DG53" s="346"/>
      <c r="DH53" s="14"/>
      <c r="DI53" s="47"/>
      <c r="DJ53" s="14"/>
      <c r="DK53" s="14"/>
      <c r="DL53" s="14"/>
      <c r="DM53" s="14"/>
      <c r="DN53" s="14"/>
      <c r="DO53" s="14"/>
      <c r="DP53" s="14"/>
      <c r="DQ53" s="14"/>
      <c r="DR53" s="2"/>
      <c r="DS53" s="2"/>
      <c r="DT53" s="2"/>
      <c r="DU53" s="14"/>
      <c r="DV53" s="14"/>
      <c r="DW53" s="14"/>
      <c r="DX53" s="14"/>
      <c r="DY53" s="14"/>
      <c r="DZ53" s="14"/>
      <c r="EA53" s="14"/>
      <c r="EB53" s="14"/>
      <c r="EC53" s="14"/>
      <c r="ED53" s="14"/>
      <c r="EE53" s="14"/>
      <c r="EF53" s="14"/>
      <c r="EG53" s="14"/>
      <c r="EH53" s="14"/>
      <c r="EI53" s="14"/>
      <c r="EJ53" s="14"/>
      <c r="EK53" s="14"/>
      <c r="EL53" s="14"/>
    </row>
    <row r="54" spans="1:142" s="131" customFormat="1" x14ac:dyDescent="0.25">
      <c r="A54" s="78"/>
      <c r="B54" s="78" t="s">
        <v>2</v>
      </c>
      <c r="C54" s="78" t="s">
        <v>123</v>
      </c>
      <c r="D54" s="79"/>
      <c r="E54" s="78"/>
      <c r="F54" s="78"/>
      <c r="G54" s="78"/>
      <c r="H54" s="79"/>
      <c r="I54" s="79"/>
      <c r="J54" s="78"/>
      <c r="K54" s="78"/>
      <c r="L54" s="78"/>
      <c r="M54" s="78"/>
      <c r="N54" s="78"/>
      <c r="O54" s="78"/>
      <c r="P54" s="78"/>
      <c r="Q54" s="82"/>
      <c r="R54" s="83"/>
      <c r="S54" s="78" t="str">
        <f>$B54</f>
        <v>Forest owners/managers</v>
      </c>
      <c r="T54" s="78"/>
      <c r="U54" s="78"/>
      <c r="V54" s="78"/>
      <c r="W54" s="78"/>
      <c r="X54" s="78"/>
      <c r="Y54" s="78"/>
      <c r="Z54" s="78"/>
      <c r="AA54" s="78"/>
      <c r="AB54" s="78"/>
      <c r="AC54" s="78"/>
      <c r="AD54" s="78"/>
      <c r="AE54" s="78"/>
      <c r="AF54" s="82"/>
      <c r="AG54" s="83"/>
      <c r="AH54" s="78" t="str">
        <f>$B54</f>
        <v>Forest owners/managers</v>
      </c>
      <c r="AI54" s="78"/>
      <c r="AJ54" s="78"/>
      <c r="AK54" s="78"/>
      <c r="AL54" s="78"/>
      <c r="AM54" s="78"/>
      <c r="AN54" s="78"/>
      <c r="AO54" s="78"/>
      <c r="AP54" s="78"/>
      <c r="AQ54" s="78"/>
      <c r="AR54" s="78"/>
      <c r="AS54" s="78"/>
      <c r="AT54" s="78"/>
      <c r="AU54" s="82"/>
      <c r="AV54" s="78"/>
      <c r="AW54" s="78" t="str">
        <f>$B54</f>
        <v>Forest owners/managers</v>
      </c>
      <c r="AX54" s="78"/>
      <c r="AY54" s="78"/>
      <c r="AZ54" s="78"/>
      <c r="BA54" s="78"/>
      <c r="BB54" s="78"/>
      <c r="BC54" s="78"/>
      <c r="BD54" s="78"/>
      <c r="BE54" s="78"/>
      <c r="BF54" s="78"/>
      <c r="BG54" s="78"/>
      <c r="BH54" s="78"/>
      <c r="BI54" s="78"/>
      <c r="BJ54" s="82"/>
      <c r="BK54" s="83"/>
      <c r="BL54" s="78" t="str">
        <f>$B54</f>
        <v>Forest owners/managers</v>
      </c>
      <c r="BM54" s="78"/>
      <c r="BN54" s="78"/>
      <c r="BO54" s="78"/>
      <c r="BP54" s="78"/>
      <c r="BQ54" s="78"/>
      <c r="BR54" s="78"/>
      <c r="BS54" s="78"/>
      <c r="BT54" s="78"/>
      <c r="BU54" s="78"/>
      <c r="BV54" s="78"/>
      <c r="BW54" s="78"/>
      <c r="BX54" s="78"/>
      <c r="BY54" s="82"/>
      <c r="BZ54" s="78"/>
      <c r="CA54" s="78" t="str">
        <f>$B54</f>
        <v>Forest owners/managers</v>
      </c>
      <c r="CB54" s="79"/>
      <c r="CC54" s="79"/>
      <c r="CD54" s="79"/>
      <c r="CE54" s="79"/>
      <c r="CF54" s="79"/>
      <c r="CG54" s="78"/>
      <c r="CH54" s="78"/>
      <c r="CI54" s="78"/>
      <c r="CJ54" s="78"/>
      <c r="CK54" s="78"/>
      <c r="CL54" s="78"/>
      <c r="CM54" s="78"/>
      <c r="CN54" s="78"/>
      <c r="CO54" s="78"/>
      <c r="CP54" s="78"/>
      <c r="CQ54" s="82"/>
      <c r="CR54" s="78"/>
      <c r="CS54" s="78" t="str">
        <f>$B54</f>
        <v>Forest owners/managers</v>
      </c>
      <c r="CT54" s="78"/>
      <c r="CU54" s="78"/>
      <c r="CV54" s="79"/>
      <c r="CW54" s="78"/>
      <c r="CX54" s="78"/>
      <c r="CY54" s="78"/>
      <c r="CZ54" s="78"/>
      <c r="DA54" s="78"/>
      <c r="DB54" s="78"/>
      <c r="DC54" s="78"/>
      <c r="DD54" s="78"/>
      <c r="DE54" s="78"/>
      <c r="DF54" s="78"/>
      <c r="DG54" s="78"/>
      <c r="DH54" s="78"/>
      <c r="DI54" s="82"/>
      <c r="DJ54" s="78"/>
      <c r="DK54" s="78" t="str">
        <f>$B54</f>
        <v>Forest owners/managers</v>
      </c>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row>
    <row r="55" spans="1:142" x14ac:dyDescent="0.25">
      <c r="A55" s="14"/>
      <c r="B55" s="84" t="s">
        <v>301</v>
      </c>
      <c r="C55" s="84"/>
      <c r="D55" s="85"/>
      <c r="E55" s="84"/>
      <c r="F55" s="14"/>
      <c r="G55" s="14"/>
      <c r="H55" s="21"/>
      <c r="I55" s="21"/>
      <c r="J55" s="14"/>
      <c r="K55" s="14"/>
      <c r="L55" s="14"/>
      <c r="M55" s="14"/>
      <c r="N55" s="14"/>
      <c r="O55" s="14"/>
      <c r="P55" s="14"/>
      <c r="Q55" s="47"/>
      <c r="R55" s="19"/>
      <c r="S55" s="84" t="s">
        <v>322</v>
      </c>
      <c r="T55" s="84"/>
      <c r="U55" s="85"/>
      <c r="V55" s="84"/>
      <c r="W55" s="14"/>
      <c r="X55" s="14"/>
      <c r="Y55" s="14"/>
      <c r="Z55" s="14"/>
      <c r="AA55" s="14"/>
      <c r="AB55" s="14"/>
      <c r="AC55" s="14"/>
      <c r="AD55" s="14"/>
      <c r="AE55" s="14"/>
      <c r="AF55" s="47"/>
      <c r="AG55" s="19"/>
      <c r="AH55" s="84" t="s">
        <v>328</v>
      </c>
      <c r="AI55" s="84"/>
      <c r="AJ55" s="85"/>
      <c r="AK55" s="84"/>
      <c r="AL55" s="84"/>
      <c r="AM55" s="14"/>
      <c r="AN55" s="14"/>
      <c r="AO55" s="14"/>
      <c r="AP55" s="14"/>
      <c r="AQ55" s="14"/>
      <c r="AR55" s="14"/>
      <c r="AS55" s="14"/>
      <c r="AT55" s="14"/>
      <c r="AU55" s="47"/>
      <c r="AV55" s="14"/>
      <c r="AW55" s="84" t="s">
        <v>347</v>
      </c>
      <c r="AX55" s="84"/>
      <c r="AY55" s="85"/>
      <c r="AZ55" s="84"/>
      <c r="BA55" s="84"/>
      <c r="BB55" s="14"/>
      <c r="BC55" s="14"/>
      <c r="BD55" s="14"/>
      <c r="BE55" s="14"/>
      <c r="BF55" s="14"/>
      <c r="BG55" s="14"/>
      <c r="BH55" s="14"/>
      <c r="BI55" s="14"/>
      <c r="BJ55" s="47"/>
      <c r="BK55" s="19"/>
      <c r="BL55" s="84" t="s">
        <v>348</v>
      </c>
      <c r="BM55" s="84"/>
      <c r="BN55" s="85"/>
      <c r="BO55" s="84"/>
      <c r="BP55" s="84"/>
      <c r="BQ55" s="14"/>
      <c r="BR55" s="14"/>
      <c r="BS55" s="14"/>
      <c r="BT55" s="14"/>
      <c r="BU55" s="14"/>
      <c r="BV55" s="14"/>
      <c r="BW55" s="14"/>
      <c r="BX55" s="14"/>
      <c r="BY55" s="47"/>
      <c r="BZ55" s="14"/>
      <c r="CA55" s="148" t="s">
        <v>303</v>
      </c>
      <c r="CB55" s="85"/>
      <c r="CC55" s="85"/>
      <c r="CD55" s="147"/>
      <c r="CE55" s="147"/>
      <c r="CF55" s="147"/>
      <c r="CG55" s="14"/>
      <c r="CH55" s="14"/>
      <c r="CI55" s="14"/>
      <c r="CJ55" s="14"/>
      <c r="CK55" s="14"/>
      <c r="CL55" s="14"/>
      <c r="CM55" s="14"/>
      <c r="CN55" s="14"/>
      <c r="CO55" s="129"/>
      <c r="CP55" s="14"/>
      <c r="CQ55" s="47"/>
      <c r="CR55" s="14"/>
      <c r="CS55" s="148" t="s">
        <v>304</v>
      </c>
      <c r="CT55" s="84"/>
      <c r="CU55" s="85"/>
      <c r="CV55" s="147"/>
      <c r="CW55" s="150"/>
      <c r="CX55" s="150"/>
      <c r="CY55" s="14"/>
      <c r="CZ55" s="14"/>
      <c r="DA55" s="14"/>
      <c r="DB55" s="14"/>
      <c r="DC55" s="14"/>
      <c r="DD55" s="14"/>
      <c r="DE55" s="14"/>
      <c r="DF55" s="14"/>
      <c r="DG55" s="129"/>
      <c r="DH55" s="14"/>
      <c r="DI55" s="47"/>
      <c r="DJ55" s="14"/>
      <c r="DK55" s="84" t="s">
        <v>305</v>
      </c>
      <c r="DL55" s="84"/>
      <c r="DM55" s="85"/>
      <c r="DN55" s="8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row>
    <row r="56" spans="1:142" x14ac:dyDescent="0.25">
      <c r="A56" s="14"/>
      <c r="B56" s="14"/>
      <c r="C56" s="14"/>
      <c r="D56" s="14"/>
      <c r="E56" s="14"/>
      <c r="F56" s="14"/>
      <c r="G56" s="14"/>
      <c r="H56" s="21"/>
      <c r="I56" s="21"/>
      <c r="J56" s="14"/>
      <c r="K56" s="14"/>
      <c r="L56" s="14"/>
      <c r="M56" s="14"/>
      <c r="N56" s="14"/>
      <c r="O56" s="14"/>
      <c r="P56" s="14"/>
      <c r="Q56" s="47"/>
      <c r="R56" s="19"/>
      <c r="S56" s="14"/>
      <c r="T56" s="14"/>
      <c r="U56" s="15"/>
      <c r="V56" s="14"/>
      <c r="W56" s="14"/>
      <c r="X56" s="14"/>
      <c r="Y56" s="14"/>
      <c r="Z56" s="14"/>
      <c r="AA56" s="14"/>
      <c r="AB56" s="14"/>
      <c r="AC56" s="14"/>
      <c r="AD56" s="14"/>
      <c r="AE56" s="14"/>
      <c r="AF56" s="47"/>
      <c r="AG56" s="19"/>
      <c r="AH56" s="14"/>
      <c r="AI56" s="14"/>
      <c r="AJ56" s="15"/>
      <c r="AK56" s="14"/>
      <c r="AL56" s="14"/>
      <c r="AM56" s="14"/>
      <c r="AN56" s="14"/>
      <c r="AO56" s="14"/>
      <c r="AP56" s="14"/>
      <c r="AQ56" s="14"/>
      <c r="AR56" s="14"/>
      <c r="AS56" s="14"/>
      <c r="AT56" s="14"/>
      <c r="AU56" s="47"/>
      <c r="AV56" s="14"/>
      <c r="AW56" s="14"/>
      <c r="AX56" s="14"/>
      <c r="AY56" s="15"/>
      <c r="AZ56" s="14"/>
      <c r="BA56" s="14"/>
      <c r="BB56" s="14"/>
      <c r="BC56" s="14"/>
      <c r="BD56" s="14"/>
      <c r="BE56" s="14"/>
      <c r="BF56" s="14"/>
      <c r="BG56" s="14"/>
      <c r="BH56" s="14"/>
      <c r="BI56" s="14"/>
      <c r="BJ56" s="47"/>
      <c r="BK56" s="19"/>
      <c r="BL56" s="14"/>
      <c r="BM56" s="14"/>
      <c r="BN56" s="15"/>
      <c r="BO56" s="14"/>
      <c r="BP56" s="14"/>
      <c r="BQ56" s="14"/>
      <c r="BR56" s="14"/>
      <c r="BS56" s="14"/>
      <c r="BT56" s="14"/>
      <c r="BU56" s="14"/>
      <c r="BV56" s="14"/>
      <c r="BW56" s="14"/>
      <c r="BX56" s="14"/>
      <c r="BY56" s="47"/>
      <c r="BZ56" s="14"/>
      <c r="CA56" s="14"/>
      <c r="CB56" s="21"/>
      <c r="CC56" s="21"/>
      <c r="CD56" s="21"/>
      <c r="CE56" s="21"/>
      <c r="CF56" s="21"/>
      <c r="CG56" s="17"/>
      <c r="CH56" s="14"/>
      <c r="CI56" s="14"/>
      <c r="CJ56" s="14"/>
      <c r="CK56" s="14"/>
      <c r="CL56" s="14"/>
      <c r="CM56" s="14"/>
      <c r="CN56" s="14"/>
      <c r="CO56" s="129"/>
      <c r="CP56" s="14"/>
      <c r="CQ56" s="47"/>
      <c r="CR56" s="14"/>
      <c r="CS56" s="14"/>
      <c r="CT56" s="14"/>
      <c r="CU56" s="14"/>
      <c r="CV56" s="21"/>
      <c r="CW56" s="14"/>
      <c r="CX56" s="14"/>
      <c r="CY56" s="14"/>
      <c r="CZ56" s="14"/>
      <c r="DA56" s="14"/>
      <c r="DB56" s="14"/>
      <c r="DC56" s="14"/>
      <c r="DD56" s="14"/>
      <c r="DE56" s="14"/>
      <c r="DF56" s="14"/>
      <c r="DG56" s="129"/>
      <c r="DH56" s="14"/>
      <c r="DI56" s="47"/>
      <c r="DJ56" s="14"/>
      <c r="DK56" s="14"/>
      <c r="DL56" s="14"/>
      <c r="DM56" s="15"/>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row>
    <row r="57" spans="1:142" ht="27.6" x14ac:dyDescent="0.25">
      <c r="A57" s="14"/>
      <c r="B57" s="112" t="s">
        <v>23</v>
      </c>
      <c r="C57" s="113" t="s">
        <v>24</v>
      </c>
      <c r="D57" s="113" t="s">
        <v>145</v>
      </c>
      <c r="E57" s="113" t="s">
        <v>300</v>
      </c>
      <c r="F57" s="14"/>
      <c r="G57" s="14"/>
      <c r="H57" s="27"/>
      <c r="I57" s="21"/>
      <c r="J57" s="14"/>
      <c r="K57" s="14"/>
      <c r="L57" s="51"/>
      <c r="M57" s="51"/>
      <c r="N57" s="51"/>
      <c r="O57" s="51"/>
      <c r="P57" s="51"/>
      <c r="Q57" s="47"/>
      <c r="R57" s="19"/>
      <c r="S57" s="112" t="s">
        <v>23</v>
      </c>
      <c r="T57" s="113" t="s">
        <v>24</v>
      </c>
      <c r="U57" s="113" t="s">
        <v>145</v>
      </c>
      <c r="V57" s="113" t="s">
        <v>300</v>
      </c>
      <c r="W57" s="14"/>
      <c r="X57" s="14"/>
      <c r="Y57" s="14"/>
      <c r="Z57" s="14"/>
      <c r="AA57" s="14"/>
      <c r="AB57" s="14"/>
      <c r="AC57" s="14"/>
      <c r="AD57" s="14"/>
      <c r="AE57" s="14"/>
      <c r="AF57" s="47"/>
      <c r="AG57" s="19"/>
      <c r="AH57" s="112" t="s">
        <v>23</v>
      </c>
      <c r="AI57" s="113" t="s">
        <v>24</v>
      </c>
      <c r="AJ57" s="113" t="s">
        <v>145</v>
      </c>
      <c r="AK57" s="113" t="s">
        <v>300</v>
      </c>
      <c r="AL57" s="14"/>
      <c r="AM57" s="14"/>
      <c r="AN57" s="14"/>
      <c r="AO57" s="14"/>
      <c r="AP57" s="14"/>
      <c r="AQ57" s="14"/>
      <c r="AR57" s="14"/>
      <c r="AS57" s="14"/>
      <c r="AT57" s="14"/>
      <c r="AU57" s="47"/>
      <c r="AV57" s="19"/>
      <c r="AW57" s="112" t="s">
        <v>23</v>
      </c>
      <c r="AX57" s="113" t="s">
        <v>24</v>
      </c>
      <c r="AY57" s="113" t="s">
        <v>145</v>
      </c>
      <c r="AZ57" s="113" t="s">
        <v>300</v>
      </c>
      <c r="BA57" s="14"/>
      <c r="BB57" s="14"/>
      <c r="BC57" s="14"/>
      <c r="BD57" s="14"/>
      <c r="BE57" s="14"/>
      <c r="BF57" s="14"/>
      <c r="BG57" s="14"/>
      <c r="BH57" s="14"/>
      <c r="BI57" s="14"/>
      <c r="BJ57" s="47"/>
      <c r="BK57" s="19"/>
      <c r="BL57" s="112" t="s">
        <v>23</v>
      </c>
      <c r="BM57" s="113" t="s">
        <v>24</v>
      </c>
      <c r="BN57" s="113" t="s">
        <v>145</v>
      </c>
      <c r="BO57" s="113" t="s">
        <v>300</v>
      </c>
      <c r="BP57" s="14"/>
      <c r="BQ57" s="14"/>
      <c r="BR57" s="14"/>
      <c r="BS57" s="14"/>
      <c r="BT57" s="14"/>
      <c r="BU57" s="14"/>
      <c r="BV57" s="14"/>
      <c r="BW57" s="14"/>
      <c r="BX57" s="14"/>
      <c r="BY57" s="47"/>
      <c r="BZ57" s="14"/>
      <c r="CA57" s="112" t="s">
        <v>23</v>
      </c>
      <c r="CB57" s="113" t="s">
        <v>145</v>
      </c>
      <c r="CC57" s="58"/>
      <c r="CD57" s="58"/>
      <c r="CE57" s="21"/>
      <c r="CF57" s="21"/>
      <c r="CG57" s="14"/>
      <c r="CH57" s="14"/>
      <c r="CI57" s="14"/>
      <c r="CJ57" s="14"/>
      <c r="CK57" s="14"/>
      <c r="CL57" s="14"/>
      <c r="CM57" s="14"/>
      <c r="CN57" s="14"/>
      <c r="CO57" s="129"/>
      <c r="CP57" s="20"/>
      <c r="CQ57" s="47"/>
      <c r="CR57" s="14"/>
      <c r="CS57" s="112" t="s">
        <v>23</v>
      </c>
      <c r="CT57" s="113" t="s">
        <v>145</v>
      </c>
      <c r="CU57" s="14"/>
      <c r="CV57" s="21"/>
      <c r="CW57" s="14"/>
      <c r="CX57" s="14"/>
      <c r="CY57" s="14"/>
      <c r="CZ57" s="14"/>
      <c r="DA57" s="14"/>
      <c r="DB57" s="14"/>
      <c r="DC57" s="14"/>
      <c r="DD57" s="14"/>
      <c r="DE57" s="14"/>
      <c r="DF57" s="14"/>
      <c r="DG57" s="129"/>
      <c r="DH57" s="17"/>
      <c r="DI57" s="47"/>
      <c r="DJ57" s="17"/>
      <c r="DK57" s="112" t="s">
        <v>23</v>
      </c>
      <c r="DL57" s="113" t="s">
        <v>24</v>
      </c>
      <c r="DM57" s="113" t="s">
        <v>145</v>
      </c>
      <c r="DN57" s="113" t="s">
        <v>300</v>
      </c>
      <c r="DO57" s="14"/>
      <c r="DP57" s="14"/>
      <c r="DQ57" s="14"/>
      <c r="DR57" s="14"/>
      <c r="DS57" s="14"/>
      <c r="DT57" s="14"/>
      <c r="DU57" s="51"/>
      <c r="DV57" s="14"/>
      <c r="DW57" s="14"/>
      <c r="DX57" s="14"/>
      <c r="DY57" s="14"/>
      <c r="DZ57" s="14"/>
      <c r="EA57" s="14"/>
      <c r="EB57" s="14"/>
      <c r="EC57" s="14"/>
      <c r="ED57" s="14"/>
      <c r="EE57" s="14"/>
      <c r="EF57" s="14"/>
      <c r="EG57" s="14"/>
      <c r="EH57" s="14"/>
      <c r="EI57" s="14"/>
      <c r="EJ57" s="14"/>
      <c r="EK57" s="14"/>
      <c r="EL57" s="14"/>
    </row>
    <row r="58" spans="1:142" x14ac:dyDescent="0.25">
      <c r="A58" s="14"/>
      <c r="B58" s="57" t="s">
        <v>2</v>
      </c>
      <c r="C58" s="121" t="str">
        <f>IF(H77=0,"na",IF(COUNTIF(H72:H76,MAX(H72:H76))&gt;COUNTIF(G72:G76,"&lt;&gt;""")/2,"No clear choice of the most common response",INDEX(G72:G76,MATCH(MAX(H72:H76),H72:H76,0),1)))</f>
        <v>Definitely not</v>
      </c>
      <c r="D58" s="58">
        <f>COUNTIFS(S26_stakeholder_category,"FO",Response_Q156_1,"&lt;&gt;0")</f>
        <v>3</v>
      </c>
      <c r="E58" s="121">
        <f>COUNTIFS(S26_stakeholder_category,"FO",Response_Q156_1,"I don’t know")</f>
        <v>0</v>
      </c>
      <c r="F58" s="14"/>
      <c r="G58" s="14"/>
      <c r="H58" s="27"/>
      <c r="I58" s="21"/>
      <c r="J58" s="14"/>
      <c r="K58" s="14"/>
      <c r="L58" s="19"/>
      <c r="M58" s="19"/>
      <c r="N58" s="19"/>
      <c r="O58" s="19"/>
      <c r="P58" s="19"/>
      <c r="Q58" s="47"/>
      <c r="R58" s="19"/>
      <c r="S58" s="34" t="s">
        <v>2</v>
      </c>
      <c r="T58" s="37" t="str">
        <f>IF(Y79=0,"na",IF(COUNTIF(Y72:Y78,MAX(Y72:Y78))&gt;COUNTIF(X72:X78,"&lt;&gt;""")/2,"No clear choice of the most common response",INDEX(X72:X78,MATCH(MAX(Y72:Y78),Y72:Y78,0),1)))</f>
        <v>Very unlikely</v>
      </c>
      <c r="U58" s="33">
        <f>COUNTIFS(S26_stakeholder_category,"FO",Response_Q160_1,"&lt;&gt;0")</f>
        <v>3</v>
      </c>
      <c r="V58" s="37">
        <f>COUNTIFS(S26_stakeholder_category,"FO",Response_Q160_1,"I don’t know")</f>
        <v>0</v>
      </c>
      <c r="W58" s="14"/>
      <c r="X58" s="14"/>
      <c r="Y58" s="14"/>
      <c r="Z58" s="14"/>
      <c r="AA58" s="14"/>
      <c r="AB58" s="14"/>
      <c r="AC58" s="14"/>
      <c r="AD58" s="14"/>
      <c r="AE58" s="14"/>
      <c r="AF58" s="47"/>
      <c r="AG58" s="19"/>
      <c r="AH58" s="57" t="s">
        <v>2</v>
      </c>
      <c r="AI58" s="121" t="str">
        <f>IF(AN79=0,"na",IF(COUNTIF(AN72:AN78,MAX(AN72:AN78))&gt;COUNTIF(AM72:AM78,"&lt;&gt;""")/2,"No clear choice of the most common response",INDEX(AM72:AM78,MATCH(MAX(AN72:AN78),AN72:AN78,0),1)))</f>
        <v>Very unlikely</v>
      </c>
      <c r="AJ58" s="58">
        <f>COUNTIFS(S26_stakeholder_category,"FO",Response_26_CaseA,"&lt;&gt;0")</f>
        <v>4</v>
      </c>
      <c r="AK58" s="121">
        <f>COUNTIFS(S26_stakeholder_category,"FO",Response_26_CaseA,"I don’t know")</f>
        <v>0</v>
      </c>
      <c r="AL58" s="14"/>
      <c r="AM58" s="14"/>
      <c r="AN58" s="14"/>
      <c r="AO58" s="14"/>
      <c r="AP58" s="14"/>
      <c r="AQ58" s="14"/>
      <c r="AR58" s="14"/>
      <c r="AS58" s="14"/>
      <c r="AT58" s="14"/>
      <c r="AU58" s="47"/>
      <c r="AV58" s="19"/>
      <c r="AW58" s="57" t="s">
        <v>2</v>
      </c>
      <c r="AX58" s="121" t="str">
        <f>IF(BC79=0,"na",IF(COUNTIF(BC72:BC78,MAX(BC72:BC78))&gt;COUNTIF(BB72:BB78,"&lt;&gt;""")/2,"No clear choice of the most common response",INDEX(BB72:BB78,MATCH(MAX(BC72:BC78),BC72:BC78,0),1)))</f>
        <v>Very unlikely</v>
      </c>
      <c r="AY58" s="58">
        <f>COUNTIFS(S26_stakeholder_category,"FO",Response_26_CaseB,"&lt;&gt;0")</f>
        <v>4</v>
      </c>
      <c r="AZ58" s="121">
        <f>COUNTIFS(S26_stakeholder_category,"FO",Response_26_CaseB,"I don’t know")</f>
        <v>0</v>
      </c>
      <c r="BA58" s="14"/>
      <c r="BB58" s="14"/>
      <c r="BC58" s="14"/>
      <c r="BD58" s="14"/>
      <c r="BE58" s="14"/>
      <c r="BF58" s="14"/>
      <c r="BG58" s="14"/>
      <c r="BH58" s="14"/>
      <c r="BI58" s="14"/>
      <c r="BJ58" s="47"/>
      <c r="BK58" s="19"/>
      <c r="BL58" s="57" t="s">
        <v>2</v>
      </c>
      <c r="BM58" s="121" t="str">
        <f>IF(BR79=0,"na",IF(COUNTIF(BR72:BR78,MAX(BR72:BR78))&gt;COUNTIF(BQ72:BQ78,"&lt;&gt;""")/2,"No clear choice of the most common response",INDEX(BQ72:BQ78,MATCH(MAX(BR72:BR78),BR72:BR78,0),1)))</f>
        <v>Very unlikely</v>
      </c>
      <c r="BN58" s="58">
        <f>COUNTIFS(S26_stakeholder_category,"FO",Response_26_CaseC,"&lt;&gt;0")</f>
        <v>4</v>
      </c>
      <c r="BO58" s="121">
        <f>COUNTIFS(S26_stakeholder_category,"FO",Response_26_CaseC,"I don’t know")</f>
        <v>0</v>
      </c>
      <c r="BP58" s="14"/>
      <c r="BQ58" s="14"/>
      <c r="BR58" s="14"/>
      <c r="BS58" s="14"/>
      <c r="BT58" s="14"/>
      <c r="BU58" s="14"/>
      <c r="BV58" s="14"/>
      <c r="BW58" s="14"/>
      <c r="BX58" s="14"/>
      <c r="BY58" s="47"/>
      <c r="BZ58" s="14"/>
      <c r="CA58" s="34" t="s">
        <v>2</v>
      </c>
      <c r="CB58" s="37">
        <f>MAX(SUM(CC64:CC70),SUM(CD64:CD70),SUM(CE64:CE70))</f>
        <v>3</v>
      </c>
      <c r="CC58" s="21"/>
      <c r="CD58" s="21"/>
      <c r="CE58" s="21"/>
      <c r="CF58" s="21"/>
      <c r="CG58" s="14"/>
      <c r="CH58" s="14"/>
      <c r="CI58" s="14"/>
      <c r="CJ58" s="14"/>
      <c r="CK58" s="14"/>
      <c r="CL58" s="14"/>
      <c r="CM58" s="14"/>
      <c r="CN58" s="14"/>
      <c r="CO58" s="129"/>
      <c r="CP58" s="38"/>
      <c r="CQ58" s="47"/>
      <c r="CR58" s="14"/>
      <c r="CS58" s="34" t="s">
        <v>2</v>
      </c>
      <c r="CT58" s="37">
        <f>MAX(SUM(CU64:CU70),SUM(CV64:CV70),SUM(CW64:CW70))</f>
        <v>3</v>
      </c>
      <c r="CU58" s="14"/>
      <c r="CV58" s="21"/>
      <c r="CW58" s="14"/>
      <c r="CX58" s="14"/>
      <c r="CY58" s="14"/>
      <c r="CZ58" s="14"/>
      <c r="DA58" s="14"/>
      <c r="DB58" s="14"/>
      <c r="DC58" s="14"/>
      <c r="DD58" s="14"/>
      <c r="DE58" s="14"/>
      <c r="DF58" s="14"/>
      <c r="DG58" s="129"/>
      <c r="DH58" s="29"/>
      <c r="DI58" s="47"/>
      <c r="DJ58" s="29"/>
      <c r="DK58" s="34" t="s">
        <v>2</v>
      </c>
      <c r="DL58" s="37" t="str">
        <f>IF(DQ77=0,"na",IF(COUNTIF(DQ72:DQ76,MAX(DQ72:DQ76))&gt;COUNTIF(DP72:DP76,"&lt;&gt;""")/2,"No clear choice of the most common response",INDEX(DP72:DP76,MATCH(MAX(DQ72:DQ76),DQ72:DQ76,0),1)))</f>
        <v>Definitely not</v>
      </c>
      <c r="DM58" s="33">
        <f>COUNTIFS(S26_stakeholder_category,"FO",Response_Q156_1,"&lt;&gt;0",Response_Q156_1,"&lt;&gt;0")</f>
        <v>3</v>
      </c>
      <c r="DN58" s="37">
        <f>DQ76</f>
        <v>0</v>
      </c>
      <c r="DO58" s="14"/>
      <c r="DP58" s="14"/>
      <c r="DQ58" s="14"/>
      <c r="DR58" s="14"/>
      <c r="DS58" s="14"/>
      <c r="DT58" s="14"/>
      <c r="DU58" s="40"/>
      <c r="DV58" s="14"/>
      <c r="DW58" s="14"/>
      <c r="DX58" s="14"/>
      <c r="DY58" s="14"/>
      <c r="DZ58" s="14"/>
      <c r="EA58" s="14"/>
      <c r="EB58" s="14"/>
      <c r="EC58" s="14"/>
      <c r="ED58" s="14"/>
      <c r="EE58" s="14"/>
      <c r="EF58" s="14"/>
      <c r="EG58" s="14"/>
      <c r="EH58" s="14"/>
      <c r="EI58" s="14"/>
      <c r="EJ58" s="14"/>
      <c r="EK58" s="14"/>
      <c r="EL58" s="14"/>
    </row>
    <row r="59" spans="1:142" x14ac:dyDescent="0.25">
      <c r="A59" s="14"/>
      <c r="B59" s="57"/>
      <c r="C59" s="121" t="str">
        <f ca="1">IF(H77=0,"",IF(COUNTIF(H72:H76,MAX(H72:H76))=1,"",IF(COUNTIF(H72:H76,MAX(H72:H76))&gt;COUNTIF(G72:G76,"&lt;&gt;""")/2,"",INDEX(OFFSET(G72,MATCH(C58,G72:G77,0),0):G76,MATCH(MAX(H72:H76),OFFSET(H72,MATCH(C58,G72:G77,0),0):H76,0),1))))</f>
        <v/>
      </c>
      <c r="D59" s="58"/>
      <c r="E59" s="121"/>
      <c r="F59" s="14"/>
      <c r="G59" s="14"/>
      <c r="H59" s="27"/>
      <c r="I59" s="21"/>
      <c r="J59" s="14"/>
      <c r="K59" s="14"/>
      <c r="L59" s="19"/>
      <c r="M59" s="19"/>
      <c r="N59" s="19"/>
      <c r="O59" s="19"/>
      <c r="P59" s="19"/>
      <c r="Q59" s="47"/>
      <c r="R59" s="19"/>
      <c r="S59" s="34"/>
      <c r="T59" s="37" t="str">
        <f ca="1">IF(Y79=0,"",IF(COUNTIF(Y72:Y78,MAX(Y72:Y78))=1,"",IF(COUNTIF(Y72:Y78,MAX(Y72:Y78))&gt;COUNTIF(X72:X78,"&lt;&gt;""")/2,"",INDEX(OFFSET(X72,MATCH(T58,X72:X78,0),0):X78,MATCH(MAX(Y72:Y78),OFFSET(Y72,MATCH(T58,X72:X78,0),0):Y78,0),1))))</f>
        <v>Unlikely</v>
      </c>
      <c r="U59" s="33"/>
      <c r="V59" s="37"/>
      <c r="W59" s="14"/>
      <c r="X59" s="14"/>
      <c r="Y59" s="14"/>
      <c r="Z59" s="14"/>
      <c r="AA59" s="14"/>
      <c r="AB59" s="14"/>
      <c r="AC59" s="14"/>
      <c r="AD59" s="14"/>
      <c r="AE59" s="14"/>
      <c r="AF59" s="47"/>
      <c r="AG59" s="19"/>
      <c r="AH59" s="57"/>
      <c r="AI59" s="121" t="str">
        <f ca="1">IF(AN79=0,"",IF(COUNTIF(AN72:AN78,MAX(AN72:AN78))=1,"",IF(COUNTIF(AN72:AN78,MAX(AN72:AN78))&gt;COUNTIF(AM72:AM78,"&lt;&gt;""")/2,"",INDEX(OFFSET(AM72,MATCH(AI58,AM72:AM78,0),0):AM78,MATCH(MAX(AN72:AN78),OFFSET(AN72,MATCH(AI58,AM72:AM78,0),0):AN78,0),1))))</f>
        <v/>
      </c>
      <c r="AJ59" s="58"/>
      <c r="AK59" s="121"/>
      <c r="AL59" s="14"/>
      <c r="AM59" s="14"/>
      <c r="AN59" s="14"/>
      <c r="AO59" s="14"/>
      <c r="AP59" s="14"/>
      <c r="AQ59" s="14"/>
      <c r="AR59" s="14"/>
      <c r="AS59" s="14"/>
      <c r="AT59" s="14"/>
      <c r="AU59" s="47"/>
      <c r="AV59" s="19"/>
      <c r="AW59" s="57"/>
      <c r="AX59" s="121" t="str">
        <f ca="1">IF(BC79=0,"",IF(COUNTIF(BC72:BC78,MAX(BC72:BC78))=1,"",IF(COUNTIF(BC72:BC78,MAX(BC72:BC78))&gt;COUNTIF(BB72:BB78,"&lt;&gt;""")/2,"",INDEX(OFFSET(BB72,MATCH(AX58,BB72:BB78,0),0):BB78,MATCH(MAX(BC72:BC78),OFFSET(BC72,MATCH(AX58,BB72:BB78,0),0):BC78,0),1))))</f>
        <v/>
      </c>
      <c r="AY59" s="58"/>
      <c r="AZ59" s="121"/>
      <c r="BA59" s="14"/>
      <c r="BB59" s="14"/>
      <c r="BC59" s="14"/>
      <c r="BD59" s="14"/>
      <c r="BE59" s="14"/>
      <c r="BF59" s="14"/>
      <c r="BG59" s="14"/>
      <c r="BH59" s="14"/>
      <c r="BI59" s="14"/>
      <c r="BJ59" s="47"/>
      <c r="BK59" s="19"/>
      <c r="BL59" s="57"/>
      <c r="BM59" s="121" t="str">
        <f ca="1">IF(BR79=0,"",IF(COUNTIF(BR72:BR78,MAX(BR72:BR78))=1,"",IF(COUNTIF(BR72:BR78,MAX(BR72:BR78))&gt;COUNTIF(BQ72:BQ78,"&lt;&gt;""")/2,"",INDEX(OFFSET(BQ72,MATCH(BM58,BQ72:BQ78,0),0):BQ78,MATCH(MAX(BR72:BR78),OFFSET(BR72,MATCH(BM58,BQ72:BQ78,0),0):BR78,0),1))))</f>
        <v/>
      </c>
      <c r="BN59" s="58"/>
      <c r="BO59" s="121"/>
      <c r="BP59" s="14"/>
      <c r="BQ59" s="14"/>
      <c r="BR59" s="14"/>
      <c r="BS59" s="14"/>
      <c r="BT59" s="14"/>
      <c r="BU59" s="14"/>
      <c r="BV59" s="14"/>
      <c r="BW59" s="14"/>
      <c r="BX59" s="14"/>
      <c r="BY59" s="47"/>
      <c r="BZ59" s="14"/>
      <c r="CA59" s="14"/>
      <c r="CB59" s="21"/>
      <c r="CC59" s="21"/>
      <c r="CD59" s="21"/>
      <c r="CE59" s="21"/>
      <c r="CF59" s="21"/>
      <c r="CG59" s="14"/>
      <c r="CH59" s="14"/>
      <c r="CI59" s="14"/>
      <c r="CJ59" s="14"/>
      <c r="CK59" s="14"/>
      <c r="CL59" s="14"/>
      <c r="CM59" s="14"/>
      <c r="CN59" s="14"/>
      <c r="CO59" s="129"/>
      <c r="CP59" s="38"/>
      <c r="CQ59" s="47"/>
      <c r="CR59" s="14"/>
      <c r="CS59" s="14"/>
      <c r="CT59" s="14"/>
      <c r="CU59" s="14"/>
      <c r="CV59" s="21"/>
      <c r="CW59" s="14"/>
      <c r="CX59" s="14"/>
      <c r="CY59" s="14"/>
      <c r="CZ59" s="14"/>
      <c r="DA59" s="14"/>
      <c r="DB59" s="14"/>
      <c r="DC59" s="14"/>
      <c r="DD59" s="14"/>
      <c r="DE59" s="14"/>
      <c r="DF59" s="14"/>
      <c r="DG59" s="129"/>
      <c r="DH59" s="29"/>
      <c r="DI59" s="47"/>
      <c r="DJ59" s="29"/>
      <c r="DK59" s="34"/>
      <c r="DL59" s="121" t="str">
        <f ca="1">IF(DQ77=0,"",IF(COUNTIF(DQ72:DQ76,MAX(DQ72:DQ76))=1,"",IF(COUNTIF(DQ72:DQ76,MAX(DQ72:DQ76))&gt;COUNTIF(DP72:DP76,"&lt;&gt;""")/2,"",INDEX(OFFSET(DP72,MATCH(DL58,DP72:DP77,0),0):DP76,MATCH(MAX(DQ72:DQ76),OFFSET(DQ72,MATCH(DL58,DP72:DP77,0),0):DQ76,0),1))))</f>
        <v/>
      </c>
      <c r="DM59" s="33"/>
      <c r="DN59" s="37"/>
      <c r="DO59" s="14"/>
      <c r="DP59" s="14"/>
      <c r="DQ59" s="14"/>
      <c r="DR59" s="14"/>
      <c r="DS59" s="14"/>
      <c r="DT59" s="14"/>
      <c r="DU59" s="40"/>
      <c r="DV59" s="14"/>
      <c r="DW59" s="14"/>
      <c r="DX59" s="14"/>
      <c r="DY59" s="14"/>
      <c r="DZ59" s="14"/>
      <c r="EA59" s="14"/>
      <c r="EB59" s="14"/>
      <c r="EC59" s="14"/>
      <c r="ED59" s="14"/>
      <c r="EE59" s="14"/>
      <c r="EF59" s="14"/>
      <c r="EG59" s="14"/>
      <c r="EH59" s="14"/>
      <c r="EI59" s="14"/>
      <c r="EJ59" s="14"/>
      <c r="EK59" s="14"/>
      <c r="EL59" s="14"/>
    </row>
    <row r="60" spans="1:142" x14ac:dyDescent="0.25">
      <c r="A60" s="14"/>
      <c r="B60" s="57"/>
      <c r="C60" s="121" t="str">
        <f ca="1" xml:space="preserve"> IF(H77=0,"",IF(H77=0,"", IF(COUNTIF(H72:H76,MAX(H72:H76))&lt;=2,"",IF(COUNTIF(H72:H76,MAX(H72:H76))&gt;COUNTIF(G72:G76,"&lt;&gt;""")/2,"", INDEX(OFFSET(G72,MATCH(C59,G72:G77,0),0):G76,         MATCH(MAX(H72:H76),        OFFSET(H72,MATCH(C59,G72:G77,0),0):H76,0),1)))))</f>
        <v/>
      </c>
      <c r="D60" s="58"/>
      <c r="E60" s="121"/>
      <c r="F60" s="14"/>
      <c r="G60" s="14"/>
      <c r="H60" s="27"/>
      <c r="I60" s="21"/>
      <c r="J60" s="14"/>
      <c r="K60" s="14"/>
      <c r="L60" s="19"/>
      <c r="M60" s="19"/>
      <c r="N60" s="19"/>
      <c r="O60" s="19"/>
      <c r="P60" s="19"/>
      <c r="Q60" s="47"/>
      <c r="R60" s="19"/>
      <c r="S60" s="34"/>
      <c r="T60" s="121" t="str">
        <f ca="1" xml:space="preserve"> IF(Y79=0,"",IF(Y79=0,"", IF(COUNTIF(Y72:Y78,MAX(Y72:Y78))&lt;=2,"",IF(COUNTIF(Y72:Y78,MAX(Y72:Y78))&gt;COUNTIF(X72:X78,"&lt;&gt;""")/2,"", INDEX(OFFSET(X72,MATCH(T59,X72:X78,0),0):X78,         MATCH(MAX(Y72:Y78),        OFFSET(Y72,MATCH(T59,X72:X78,0),0):Y78,0),1)))))</f>
        <v>Moderately likely</v>
      </c>
      <c r="U60" s="33"/>
      <c r="V60" s="37"/>
      <c r="W60" s="14"/>
      <c r="X60" s="14"/>
      <c r="Y60" s="14"/>
      <c r="Z60" s="14"/>
      <c r="AA60" s="14"/>
      <c r="AB60" s="14"/>
      <c r="AC60" s="14"/>
      <c r="AD60" s="14"/>
      <c r="AE60" s="14"/>
      <c r="AF60" s="47"/>
      <c r="AG60" s="19"/>
      <c r="AH60" s="57"/>
      <c r="AI60" s="121" t="str">
        <f ca="1" xml:space="preserve"> IF(AN79=0,"",IF(AN79=0,"", IF(COUNTIF(AN72:AN78,MAX(AN72:AN78))&lt;=2,"",IF(COUNTIF(AN72:AN78,MAX(AN72:AN78))&gt;COUNTIF(AM72:AM78,"&lt;&gt;""")/2,"", INDEX(OFFSET(AM72,MATCH(AI59,AM72:AM78,0),0):AM78,         MATCH(MAX(AN72:AN78),        OFFSET(AN72,MATCH(AI59,AM72:AM78,0),0):AN78,0),1)))))</f>
        <v/>
      </c>
      <c r="AJ60" s="58"/>
      <c r="AK60" s="121"/>
      <c r="AL60" s="14"/>
      <c r="AM60" s="14"/>
      <c r="AN60" s="14"/>
      <c r="AO60" s="14"/>
      <c r="AP60" s="14"/>
      <c r="AQ60" s="14"/>
      <c r="AR60" s="14"/>
      <c r="AS60" s="14"/>
      <c r="AT60" s="14"/>
      <c r="AU60" s="47"/>
      <c r="AV60" s="19"/>
      <c r="AW60" s="57"/>
      <c r="AX60" s="121" t="str">
        <f ca="1" xml:space="preserve"> IF(BC79=0,"",IF(BC79=0,"", IF(COUNTIF(BC72:BC78,MAX(BC72:BC78))&lt;=2,"",IF(COUNTIF(BC72:BC78,MAX(BC72:BC78))&gt;COUNTIF(BB72:BB78,"&lt;&gt;""")/2,"", INDEX(OFFSET(BB72,MATCH(AX59,BB72:BB78,0),0):BB78,         MATCH(MAX(BC72:BC78),        OFFSET(BC72,MATCH(AX59,BB72:BB78,0),0):BC78,0),1)))))</f>
        <v/>
      </c>
      <c r="AY60" s="58"/>
      <c r="AZ60" s="121"/>
      <c r="BA60" s="14"/>
      <c r="BB60" s="14"/>
      <c r="BC60" s="14"/>
      <c r="BD60" s="14"/>
      <c r="BE60" s="14"/>
      <c r="BF60" s="14"/>
      <c r="BG60" s="14"/>
      <c r="BH60" s="14"/>
      <c r="BI60" s="14"/>
      <c r="BJ60" s="47"/>
      <c r="BK60" s="19"/>
      <c r="BL60" s="57"/>
      <c r="BM60" s="121" t="str">
        <f ca="1" xml:space="preserve"> IF(BR79=0,"",IF(BR79=0,"", IF(COUNTIF(BR72:BR78,MAX(BR72:BR78))&lt;=2,"",IF(COUNTIF(BR72:BR78,MAX(BR72:BR78))&gt;COUNTIF(BQ72:BQ78,"&lt;&gt;""")/2,"", INDEX(OFFSET(BQ72,MATCH(BM59,BQ72:BQ78,0),0):BQ78,         MATCH(MAX(BR72:BR78),        OFFSET(BR72,MATCH(BM59,BQ72:BQ78,0),0):BR78,0),1)))))</f>
        <v/>
      </c>
      <c r="BN60" s="58"/>
      <c r="BO60" s="121"/>
      <c r="BP60" s="14"/>
      <c r="BQ60" s="14"/>
      <c r="BR60" s="14"/>
      <c r="BS60" s="14"/>
      <c r="BT60" s="14"/>
      <c r="BU60" s="14"/>
      <c r="BV60" s="14"/>
      <c r="BW60" s="14"/>
      <c r="BX60" s="14"/>
      <c r="BY60" s="47"/>
      <c r="BZ60" s="14"/>
      <c r="CA60" s="14"/>
      <c r="CB60" s="21"/>
      <c r="CC60" s="21"/>
      <c r="CD60" s="21"/>
      <c r="CE60" s="21"/>
      <c r="CF60" s="21"/>
      <c r="CG60" s="14"/>
      <c r="CH60" s="14"/>
      <c r="CI60" s="14"/>
      <c r="CJ60" s="14"/>
      <c r="CK60" s="14"/>
      <c r="CL60" s="14"/>
      <c r="CM60" s="14"/>
      <c r="CN60" s="14"/>
      <c r="CO60" s="129"/>
      <c r="CP60" s="38"/>
      <c r="CQ60" s="47"/>
      <c r="CR60" s="14"/>
      <c r="CS60" s="14"/>
      <c r="CT60" s="14"/>
      <c r="CU60" s="14"/>
      <c r="CV60" s="21"/>
      <c r="CW60" s="14"/>
      <c r="CX60" s="14"/>
      <c r="CY60" s="14"/>
      <c r="CZ60" s="14"/>
      <c r="DA60" s="14"/>
      <c r="DB60" s="14"/>
      <c r="DC60" s="14"/>
      <c r="DD60" s="14"/>
      <c r="DE60" s="14"/>
      <c r="DF60" s="14"/>
      <c r="DG60" s="129"/>
      <c r="DH60" s="29"/>
      <c r="DI60" s="47"/>
      <c r="DJ60" s="29"/>
      <c r="DK60" s="34"/>
      <c r="DL60" s="121" t="str">
        <f ca="1" xml:space="preserve"> IF(DQ77=0,"",IF(DQ77=0,"", IF(COUNTIF(DQ72:DQ76,MAX(DQ72:DQ76))&lt;=2,"",IF(COUNTIF(DQ72:DQ76,MAX(DQ72:DQ76))&gt;COUNTIF(DP72:DP76,"&lt;&gt;""")/2,"", INDEX(OFFSET(DP72,MATCH(DL59,DP72:DP77,0),0):DP76,         MATCH(MAX(DQ72:DQ76),        OFFSET(DQ72,MATCH(DL59,DP72:DP77,0),0):DQ76,0),1)))))</f>
        <v/>
      </c>
      <c r="DM60" s="33"/>
      <c r="DN60" s="37"/>
      <c r="DO60" s="14"/>
      <c r="DP60" s="14"/>
      <c r="DQ60" s="14"/>
      <c r="DR60" s="14"/>
      <c r="DS60" s="14"/>
      <c r="DT60" s="14"/>
      <c r="DU60" s="40"/>
      <c r="DV60" s="14"/>
      <c r="DW60" s="14"/>
      <c r="DX60" s="14"/>
      <c r="DY60" s="14"/>
      <c r="DZ60" s="14"/>
      <c r="EA60" s="14"/>
      <c r="EB60" s="14"/>
      <c r="EC60" s="14"/>
      <c r="ED60" s="14"/>
      <c r="EE60" s="14"/>
      <c r="EF60" s="14"/>
      <c r="EG60" s="14"/>
      <c r="EH60" s="14"/>
      <c r="EI60" s="14"/>
      <c r="EJ60" s="14"/>
      <c r="EK60" s="14"/>
      <c r="EL60" s="14"/>
    </row>
    <row r="61" spans="1:142" x14ac:dyDescent="0.25">
      <c r="A61" s="14"/>
      <c r="B61" s="19"/>
      <c r="C61" s="19"/>
      <c r="D61" s="27"/>
      <c r="E61" s="70"/>
      <c r="F61" s="14"/>
      <c r="G61" s="14"/>
      <c r="H61" s="27"/>
      <c r="I61" s="21"/>
      <c r="J61" s="14"/>
      <c r="K61" s="14"/>
      <c r="L61" s="19"/>
      <c r="M61" s="19"/>
      <c r="N61" s="19"/>
      <c r="O61" s="19"/>
      <c r="P61" s="19"/>
      <c r="Q61" s="47"/>
      <c r="R61" s="19"/>
      <c r="S61" s="19"/>
      <c r="T61" s="14"/>
      <c r="U61" s="27"/>
      <c r="V61" s="14"/>
      <c r="W61" s="14"/>
      <c r="X61" s="14"/>
      <c r="Y61" s="14"/>
      <c r="Z61" s="14"/>
      <c r="AA61" s="14"/>
      <c r="AB61" s="14"/>
      <c r="AC61" s="14"/>
      <c r="AD61" s="14"/>
      <c r="AE61" s="14"/>
      <c r="AF61" s="47"/>
      <c r="AG61" s="19"/>
      <c r="AH61" s="19"/>
      <c r="AI61" s="14"/>
      <c r="AJ61" s="27"/>
      <c r="AK61" s="14"/>
      <c r="AL61" s="14"/>
      <c r="AM61" s="14"/>
      <c r="AN61" s="14"/>
      <c r="AO61" s="14"/>
      <c r="AP61" s="14"/>
      <c r="AQ61" s="14"/>
      <c r="AR61" s="14"/>
      <c r="AS61" s="14"/>
      <c r="AT61" s="14"/>
      <c r="AU61" s="47"/>
      <c r="AV61" s="19"/>
      <c r="AW61" s="19"/>
      <c r="AX61" s="14"/>
      <c r="AY61" s="27"/>
      <c r="AZ61" s="14"/>
      <c r="BA61" s="14"/>
      <c r="BB61" s="14"/>
      <c r="BC61" s="14"/>
      <c r="BD61" s="14"/>
      <c r="BE61" s="14"/>
      <c r="BF61" s="14"/>
      <c r="BG61" s="14"/>
      <c r="BH61" s="14"/>
      <c r="BI61" s="14"/>
      <c r="BJ61" s="47"/>
      <c r="BK61" s="19"/>
      <c r="BL61" s="124"/>
      <c r="BM61" s="7"/>
      <c r="BN61" s="125"/>
      <c r="BO61" s="7"/>
      <c r="BP61" s="14"/>
      <c r="BQ61" s="14"/>
      <c r="BR61" s="14"/>
      <c r="BS61" s="14"/>
      <c r="BT61" s="14"/>
      <c r="BU61" s="14"/>
      <c r="BV61" s="14"/>
      <c r="BW61" s="14"/>
      <c r="BX61" s="14"/>
      <c r="BY61" s="47"/>
      <c r="BZ61" s="14"/>
      <c r="CA61" s="14"/>
      <c r="CB61" s="21"/>
      <c r="CC61" s="21"/>
      <c r="CD61" s="21"/>
      <c r="CE61" s="21"/>
      <c r="CF61" s="21"/>
      <c r="CG61" s="14"/>
      <c r="CH61" s="14"/>
      <c r="CI61" s="14"/>
      <c r="CJ61" s="14"/>
      <c r="CK61" s="14"/>
      <c r="CL61" s="14"/>
      <c r="CM61" s="14"/>
      <c r="CN61" s="14"/>
      <c r="CO61" s="129"/>
      <c r="CP61" s="38"/>
      <c r="CQ61" s="47"/>
      <c r="CR61" s="14"/>
      <c r="CS61" s="14"/>
      <c r="CT61" s="14"/>
      <c r="CU61" s="14"/>
      <c r="CV61" s="21"/>
      <c r="CW61" s="14"/>
      <c r="CX61" s="14"/>
      <c r="CY61" s="14"/>
      <c r="CZ61" s="14"/>
      <c r="DA61" s="14"/>
      <c r="DB61" s="14"/>
      <c r="DC61" s="14"/>
      <c r="DD61" s="14"/>
      <c r="DE61" s="14"/>
      <c r="DF61" s="14"/>
      <c r="DG61" s="129"/>
      <c r="DH61" s="29"/>
      <c r="DI61" s="47"/>
      <c r="DJ61" s="29"/>
      <c r="DK61" s="14"/>
      <c r="DL61" s="14"/>
      <c r="DM61" s="27"/>
      <c r="DN61" s="14"/>
      <c r="DO61" s="14"/>
      <c r="DP61" s="14"/>
      <c r="DQ61" s="14"/>
      <c r="DR61" s="14"/>
      <c r="DS61" s="14"/>
      <c r="DT61" s="14"/>
      <c r="DU61" s="40"/>
      <c r="DV61" s="14"/>
      <c r="DW61" s="14"/>
      <c r="DX61" s="14"/>
      <c r="DY61" s="14"/>
      <c r="DZ61" s="14"/>
      <c r="EA61" s="14"/>
      <c r="EB61" s="14"/>
      <c r="EC61" s="14"/>
      <c r="ED61" s="14"/>
      <c r="EE61" s="14"/>
      <c r="EF61" s="14"/>
      <c r="EG61" s="14"/>
      <c r="EH61" s="14"/>
      <c r="EI61" s="14"/>
      <c r="EJ61" s="14"/>
      <c r="EK61" s="14"/>
      <c r="EL61" s="14"/>
    </row>
    <row r="62" spans="1:142" x14ac:dyDescent="0.25">
      <c r="A62" s="14"/>
      <c r="B62" s="19"/>
      <c r="C62" s="19"/>
      <c r="D62" s="27"/>
      <c r="E62" s="19"/>
      <c r="F62" s="14"/>
      <c r="G62" s="14"/>
      <c r="H62" s="27"/>
      <c r="I62" s="21"/>
      <c r="J62" s="14"/>
      <c r="K62" s="14"/>
      <c r="L62" s="19"/>
      <c r="M62" s="19"/>
      <c r="N62" s="19"/>
      <c r="O62" s="19"/>
      <c r="P62" s="19"/>
      <c r="Q62" s="47"/>
      <c r="R62" s="19"/>
      <c r="S62" s="19"/>
      <c r="T62" s="14"/>
      <c r="U62" s="27"/>
      <c r="V62" s="14"/>
      <c r="W62" s="14"/>
      <c r="X62" s="14"/>
      <c r="Y62" s="14"/>
      <c r="Z62" s="14"/>
      <c r="AA62" s="14"/>
      <c r="AB62" s="14"/>
      <c r="AC62" s="14"/>
      <c r="AD62" s="14"/>
      <c r="AE62" s="14"/>
      <c r="AF62" s="47"/>
      <c r="AG62" s="19"/>
      <c r="AH62" s="19"/>
      <c r="AI62" s="14"/>
      <c r="AJ62" s="27"/>
      <c r="AK62" s="14"/>
      <c r="AL62" s="14"/>
      <c r="AM62" s="14"/>
      <c r="AN62" s="14"/>
      <c r="AO62" s="14"/>
      <c r="AP62" s="14"/>
      <c r="AQ62" s="14"/>
      <c r="AR62" s="14"/>
      <c r="AS62" s="14"/>
      <c r="AT62" s="14"/>
      <c r="AU62" s="47"/>
      <c r="AV62" s="19"/>
      <c r="AW62" s="19"/>
      <c r="AX62" s="14"/>
      <c r="AY62" s="27"/>
      <c r="AZ62" s="14"/>
      <c r="BA62" s="14"/>
      <c r="BB62" s="14"/>
      <c r="BC62" s="14"/>
      <c r="BD62" s="14"/>
      <c r="BE62" s="14"/>
      <c r="BF62" s="14"/>
      <c r="BG62" s="14"/>
      <c r="BH62" s="14"/>
      <c r="BI62" s="14"/>
      <c r="BJ62" s="47"/>
      <c r="BK62" s="19"/>
      <c r="BL62" s="19"/>
      <c r="BM62" s="14"/>
      <c r="BN62" s="27"/>
      <c r="BO62" s="14"/>
      <c r="BP62" s="14"/>
      <c r="BQ62" s="14"/>
      <c r="BR62" s="14"/>
      <c r="BS62" s="14"/>
      <c r="BT62" s="14"/>
      <c r="BU62" s="14"/>
      <c r="BV62" s="14"/>
      <c r="BW62" s="14"/>
      <c r="BX62" s="14"/>
      <c r="BY62" s="47"/>
      <c r="BZ62" s="14"/>
      <c r="CA62" s="14"/>
      <c r="CB62" s="21"/>
      <c r="CC62" s="21"/>
      <c r="CD62" s="21"/>
      <c r="CE62" s="21"/>
      <c r="CF62" s="21"/>
      <c r="CG62" s="14"/>
      <c r="CH62" s="14"/>
      <c r="CI62" s="14"/>
      <c r="CJ62" s="14"/>
      <c r="CK62" s="14"/>
      <c r="CL62" s="14"/>
      <c r="CM62" s="14"/>
      <c r="CN62" s="14"/>
      <c r="CO62" s="129"/>
      <c r="CP62" s="38"/>
      <c r="CQ62" s="47"/>
      <c r="CR62" s="14"/>
      <c r="CS62" s="14"/>
      <c r="CT62" s="14"/>
      <c r="CU62" s="14"/>
      <c r="CV62" s="21"/>
      <c r="CW62" s="14"/>
      <c r="CX62" s="14"/>
      <c r="CY62" s="14"/>
      <c r="CZ62" s="14"/>
      <c r="DA62" s="14"/>
      <c r="DB62" s="14"/>
      <c r="DC62" s="14"/>
      <c r="DD62" s="14"/>
      <c r="DE62" s="14"/>
      <c r="DF62" s="14"/>
      <c r="DG62" s="129"/>
      <c r="DH62" s="29"/>
      <c r="DI62" s="47"/>
      <c r="DJ62" s="29"/>
      <c r="DK62" s="19"/>
      <c r="DL62" s="19"/>
      <c r="DM62" s="27"/>
      <c r="DN62" s="14"/>
      <c r="DO62" s="14"/>
      <c r="DP62" s="14"/>
      <c r="DQ62" s="14"/>
      <c r="DR62" s="14"/>
      <c r="DS62" s="14"/>
      <c r="DT62" s="14"/>
      <c r="DU62" s="40"/>
      <c r="DV62" s="14"/>
      <c r="DW62" s="14"/>
      <c r="DX62" s="14"/>
      <c r="DY62" s="14"/>
      <c r="DZ62" s="14"/>
      <c r="EA62" s="14"/>
      <c r="EB62" s="14"/>
      <c r="EC62" s="14"/>
      <c r="ED62" s="14"/>
      <c r="EE62" s="14"/>
      <c r="EF62" s="14"/>
      <c r="EG62" s="14"/>
      <c r="EH62" s="14"/>
      <c r="EI62" s="14"/>
      <c r="EJ62" s="14"/>
      <c r="EK62" s="14"/>
      <c r="EL62" s="14"/>
    </row>
    <row r="63" spans="1:142" ht="27.6" x14ac:dyDescent="0.25">
      <c r="A63" s="14"/>
      <c r="B63" s="14"/>
      <c r="C63" s="19"/>
      <c r="D63" s="27"/>
      <c r="E63" s="14"/>
      <c r="F63" s="14"/>
      <c r="G63" s="14"/>
      <c r="H63" s="27"/>
      <c r="I63" s="21"/>
      <c r="J63" s="14"/>
      <c r="K63" s="14"/>
      <c r="L63" s="19"/>
      <c r="M63" s="19"/>
      <c r="N63" s="19"/>
      <c r="O63" s="19"/>
      <c r="P63" s="19"/>
      <c r="Q63" s="47"/>
      <c r="R63" s="19"/>
      <c r="S63" s="19"/>
      <c r="T63" s="14"/>
      <c r="U63" s="27"/>
      <c r="V63" s="14"/>
      <c r="W63" s="14"/>
      <c r="X63" s="14"/>
      <c r="Y63" s="14"/>
      <c r="Z63" s="14"/>
      <c r="AA63" s="14"/>
      <c r="AB63" s="14"/>
      <c r="AC63" s="14"/>
      <c r="AD63" s="14"/>
      <c r="AE63" s="14"/>
      <c r="AF63" s="47"/>
      <c r="AG63" s="19"/>
      <c r="AH63" s="19"/>
      <c r="AI63" s="14"/>
      <c r="AJ63" s="27"/>
      <c r="AK63" s="14"/>
      <c r="AL63" s="14"/>
      <c r="AM63" s="14"/>
      <c r="AN63" s="14"/>
      <c r="AO63" s="14"/>
      <c r="AP63" s="14"/>
      <c r="AQ63" s="14"/>
      <c r="AR63" s="14"/>
      <c r="AS63" s="14"/>
      <c r="AT63" s="14"/>
      <c r="AU63" s="47"/>
      <c r="AV63" s="19"/>
      <c r="AW63" s="19"/>
      <c r="AX63" s="14"/>
      <c r="AY63" s="27"/>
      <c r="AZ63" s="14"/>
      <c r="BA63" s="14"/>
      <c r="BB63" s="14"/>
      <c r="BC63" s="14"/>
      <c r="BD63" s="14"/>
      <c r="BE63" s="14"/>
      <c r="BF63" s="14"/>
      <c r="BG63" s="14"/>
      <c r="BH63" s="14"/>
      <c r="BI63" s="14"/>
      <c r="BJ63" s="47"/>
      <c r="BK63" s="19"/>
      <c r="BL63" s="19"/>
      <c r="BM63" s="14"/>
      <c r="BN63" s="27"/>
      <c r="BO63" s="14"/>
      <c r="BP63" s="14"/>
      <c r="BQ63" s="14"/>
      <c r="BR63" s="14"/>
      <c r="BS63" s="14"/>
      <c r="BT63" s="14"/>
      <c r="BU63" s="14"/>
      <c r="BV63" s="14"/>
      <c r="BW63" s="14"/>
      <c r="BX63" s="14"/>
      <c r="BY63" s="47"/>
      <c r="BZ63" s="14"/>
      <c r="CA63" s="109"/>
      <c r="CB63" s="110" t="s">
        <v>164</v>
      </c>
      <c r="CC63" s="110" t="s">
        <v>149</v>
      </c>
      <c r="CD63" s="110" t="s">
        <v>150</v>
      </c>
      <c r="CE63" s="110" t="s">
        <v>151</v>
      </c>
      <c r="CF63" s="110" t="s">
        <v>152</v>
      </c>
      <c r="CG63" s="14"/>
      <c r="CH63" s="109"/>
      <c r="CI63" s="110" t="s">
        <v>5</v>
      </c>
      <c r="CJ63" s="110" t="s">
        <v>4</v>
      </c>
      <c r="CK63" s="110" t="s">
        <v>33</v>
      </c>
      <c r="CL63" s="110" t="s">
        <v>29</v>
      </c>
      <c r="CM63" s="110" t="s">
        <v>3</v>
      </c>
      <c r="CN63" s="110" t="s">
        <v>54</v>
      </c>
      <c r="CO63" s="328" t="s">
        <v>160</v>
      </c>
      <c r="CP63" s="38"/>
      <c r="CQ63" s="47"/>
      <c r="CR63" s="14"/>
      <c r="CS63" s="109" t="s">
        <v>14</v>
      </c>
      <c r="CT63" s="110" t="s">
        <v>164</v>
      </c>
      <c r="CU63" s="110" t="s">
        <v>149</v>
      </c>
      <c r="CV63" s="110" t="s">
        <v>150</v>
      </c>
      <c r="CW63" s="110" t="s">
        <v>151</v>
      </c>
      <c r="CX63" s="109" t="s">
        <v>152</v>
      </c>
      <c r="CY63" s="14"/>
      <c r="CZ63" s="109" t="s">
        <v>14</v>
      </c>
      <c r="DA63" s="110" t="s">
        <v>5</v>
      </c>
      <c r="DB63" s="110" t="s">
        <v>4</v>
      </c>
      <c r="DC63" s="110" t="s">
        <v>33</v>
      </c>
      <c r="DD63" s="110" t="s">
        <v>29</v>
      </c>
      <c r="DE63" s="110" t="s">
        <v>3</v>
      </c>
      <c r="DF63" s="110" t="s">
        <v>54</v>
      </c>
      <c r="DG63" s="328" t="s">
        <v>160</v>
      </c>
      <c r="DH63" s="29"/>
      <c r="DI63" s="47"/>
      <c r="DJ63" s="29"/>
      <c r="DK63" s="19"/>
      <c r="DL63" s="19"/>
      <c r="DM63" s="27"/>
      <c r="DN63" s="14"/>
      <c r="DO63" s="14"/>
      <c r="DP63" s="14"/>
      <c r="DQ63" s="14"/>
      <c r="DR63" s="14"/>
      <c r="DS63" s="14"/>
      <c r="DT63" s="14"/>
      <c r="DU63" s="40"/>
      <c r="DV63" s="14"/>
      <c r="DW63" s="14"/>
      <c r="DX63" s="14"/>
      <c r="DY63" s="14"/>
      <c r="DZ63" s="14"/>
      <c r="EA63" s="14"/>
      <c r="EB63" s="14"/>
      <c r="EC63" s="14"/>
      <c r="ED63" s="14"/>
      <c r="EE63" s="14"/>
      <c r="EF63" s="14"/>
      <c r="EG63" s="14"/>
      <c r="EH63" s="14"/>
      <c r="EI63" s="14"/>
      <c r="EJ63" s="14"/>
      <c r="EK63" s="14"/>
      <c r="EL63" s="14"/>
    </row>
    <row r="64" spans="1:142" x14ac:dyDescent="0.25">
      <c r="A64" s="14"/>
      <c r="B64" s="14"/>
      <c r="C64" s="14"/>
      <c r="D64" s="21"/>
      <c r="E64" s="14"/>
      <c r="F64" s="14"/>
      <c r="G64" s="14"/>
      <c r="H64" s="27"/>
      <c r="I64" s="15"/>
      <c r="J64" s="13"/>
      <c r="K64" s="14"/>
      <c r="L64" s="14"/>
      <c r="M64" s="14"/>
      <c r="N64" s="14"/>
      <c r="O64" s="14"/>
      <c r="P64" s="14"/>
      <c r="Q64" s="47"/>
      <c r="R64" s="19"/>
      <c r="S64" s="14"/>
      <c r="T64" s="14"/>
      <c r="U64" s="14"/>
      <c r="V64" s="14"/>
      <c r="W64" s="14"/>
      <c r="X64" s="14"/>
      <c r="Y64" s="14"/>
      <c r="Z64" s="14"/>
      <c r="AA64" s="14"/>
      <c r="AB64" s="14"/>
      <c r="AC64" s="14"/>
      <c r="AD64" s="14"/>
      <c r="AE64" s="14"/>
      <c r="AF64" s="47"/>
      <c r="AG64" s="19"/>
      <c r="AH64" s="14"/>
      <c r="AI64" s="14"/>
      <c r="AJ64" s="14"/>
      <c r="AK64" s="14"/>
      <c r="AL64" s="14"/>
      <c r="AM64" s="14"/>
      <c r="AN64" s="14"/>
      <c r="AO64" s="14"/>
      <c r="AP64" s="14"/>
      <c r="AQ64" s="14"/>
      <c r="AR64" s="14"/>
      <c r="AS64" s="14"/>
      <c r="AT64" s="14"/>
      <c r="AU64" s="47"/>
      <c r="AV64" s="19"/>
      <c r="AW64" s="14"/>
      <c r="AX64" s="14"/>
      <c r="AY64" s="14"/>
      <c r="AZ64" s="14"/>
      <c r="BA64" s="14"/>
      <c r="BB64" s="14"/>
      <c r="BC64" s="14"/>
      <c r="BD64" s="14"/>
      <c r="BE64" s="14"/>
      <c r="BF64" s="14"/>
      <c r="BG64" s="14"/>
      <c r="BH64" s="14"/>
      <c r="BI64" s="14"/>
      <c r="BJ64" s="47"/>
      <c r="BK64" s="19"/>
      <c r="BL64" s="14"/>
      <c r="BM64" s="14"/>
      <c r="BN64" s="14"/>
      <c r="BO64" s="14"/>
      <c r="BP64" s="14"/>
      <c r="BQ64" s="14"/>
      <c r="BR64" s="14"/>
      <c r="BS64" s="14"/>
      <c r="BT64" s="14"/>
      <c r="BU64" s="14"/>
      <c r="BV64" s="14"/>
      <c r="BW64" s="14"/>
      <c r="BX64" s="14"/>
      <c r="BY64" s="47"/>
      <c r="BZ64" s="14"/>
      <c r="CA64" s="140" t="s">
        <v>461</v>
      </c>
      <c r="CB64" s="27">
        <f>COUNTIFS(S26_stakeholder_category,"FO",Response_Q161_1,"&lt;&gt;0",Response_Q156_1,"&lt;&gt;0")</f>
        <v>1</v>
      </c>
      <c r="CC64" s="37">
        <f>COUNTIFS(S26_stakeholder_category,"FO",Response_Q161_1,1,Response_Q156_1,"&lt;&gt;0")</f>
        <v>1</v>
      </c>
      <c r="CD64" s="37">
        <f>COUNTIFS(S26_stakeholder_category,"FO",Response_Q161_1,2,Response_Q156_1,"&lt;&gt;0")</f>
        <v>0</v>
      </c>
      <c r="CE64" s="37">
        <f>COUNTIFS(S26_stakeholder_category,"FO",Response_Q161_1,3,Response_Q156_1,"&lt;&gt;0")</f>
        <v>0</v>
      </c>
      <c r="CF64" s="97">
        <f>IF(CB58=0,0,SUMPRODUCT(CC64:CE64,Rank_score)/$CB58)</f>
        <v>1</v>
      </c>
      <c r="CG64" s="14"/>
      <c r="CH64" s="140" t="s">
        <v>461</v>
      </c>
      <c r="CI64" s="27">
        <f t="shared" ref="CI64:CN64" si="18">COUNTIFS(S26_stakeholder_category,"FO",Response_Q161_1,"&lt;&gt;0",Response_Q161_2,CI$63,Response_Q156_1,"&lt;&gt;0")</f>
        <v>0</v>
      </c>
      <c r="CJ64" s="27">
        <f t="shared" si="18"/>
        <v>0</v>
      </c>
      <c r="CK64" s="27">
        <f t="shared" si="18"/>
        <v>0</v>
      </c>
      <c r="CL64" s="27">
        <f t="shared" si="18"/>
        <v>1</v>
      </c>
      <c r="CM64" s="27">
        <f t="shared" si="18"/>
        <v>0</v>
      </c>
      <c r="CN64" s="27">
        <f t="shared" si="18"/>
        <v>0</v>
      </c>
      <c r="CO64" s="141">
        <f>IF(ISBLANK(CH64),"",IF(CF64=0,not_ranked,IF(SUM(CI64:CN64)=0,not_estimated,IFERROR(SUMPRODUCT(CI64:CN64,Likekihood_score)/SUM(CI64:CN64),0))))</f>
        <v>4</v>
      </c>
      <c r="CP64" s="38"/>
      <c r="CQ64" s="47"/>
      <c r="CR64" s="14"/>
      <c r="CS64" s="140" t="s">
        <v>373</v>
      </c>
      <c r="CT64" s="27">
        <f>COUNTIFS(S26_stakeholder_category,"FO",Response_Q162_1,"&lt;&gt;0",Response_Q157_1,"&lt;&gt;0")</f>
        <v>1</v>
      </c>
      <c r="CU64" s="37">
        <f>COUNTIFS(S26_stakeholder_category,"FO",Response_Q162_1,1,Response_Q157_1,"&lt;&gt;0")</f>
        <v>1</v>
      </c>
      <c r="CV64" s="37">
        <f>COUNTIFS(S26_stakeholder_category,"FO",Response_Q162_1,2,Response_Q157_1,"&lt;&gt;0")</f>
        <v>0</v>
      </c>
      <c r="CW64" s="37">
        <f>COUNTIFS(S26_stakeholder_category,"FO",Response_Q162_1,3,Response_Q157_1,"&lt;&gt;0")</f>
        <v>0</v>
      </c>
      <c r="CX64" s="37">
        <f>IF(CT58=0,0,SUMPRODUCT(CU64:CW64,Rank_score)/CT$58)</f>
        <v>1</v>
      </c>
      <c r="CY64" s="14"/>
      <c r="CZ64" s="140" t="s">
        <v>373</v>
      </c>
      <c r="DA64" s="27">
        <f t="shared" ref="DA64:DF64" si="19">COUNTIFS(S26_stakeholder_category,"FO",Response_Q162_1,"&lt;&gt;0",Response_Q162_2,DA$63,Response_Q157_1,"&lt;&gt;0")</f>
        <v>0</v>
      </c>
      <c r="DB64" s="27">
        <f t="shared" si="19"/>
        <v>0</v>
      </c>
      <c r="DC64" s="27">
        <f t="shared" si="19"/>
        <v>0</v>
      </c>
      <c r="DD64" s="27">
        <f t="shared" si="19"/>
        <v>0</v>
      </c>
      <c r="DE64" s="27">
        <f t="shared" si="19"/>
        <v>0</v>
      </c>
      <c r="DF64" s="27">
        <f t="shared" si="19"/>
        <v>0</v>
      </c>
      <c r="DG64" s="141" t="str">
        <f t="shared" ref="DG64:DG71" si="20">IF(ISBLANK(CZ64),"",IF(CX64=0,not_ranked,IF(SUM(DA64:DF64)=0,not_estimated,IFERROR(SUMPRODUCT(DA64:DF64,Likekihood_score)/SUM(DA64:DF64),0))))</f>
        <v>Ranked, but likelihood not estimated</v>
      </c>
      <c r="DH64" s="29"/>
      <c r="DI64" s="47"/>
      <c r="DJ64" s="29"/>
      <c r="DK64" s="56"/>
      <c r="DL64" s="29"/>
      <c r="DM64" s="14"/>
      <c r="DN64" s="14"/>
      <c r="DO64" s="14"/>
      <c r="DP64" s="107"/>
      <c r="DQ64" s="27"/>
      <c r="DR64" s="41"/>
      <c r="DS64" s="14"/>
      <c r="DT64" s="14"/>
      <c r="DU64" s="14"/>
      <c r="DV64" s="14"/>
      <c r="DW64" s="14"/>
      <c r="DX64" s="14"/>
      <c r="DY64" s="14"/>
      <c r="DZ64" s="14"/>
      <c r="EA64" s="14"/>
      <c r="EB64" s="14"/>
      <c r="EC64" s="14"/>
      <c r="ED64" s="14"/>
      <c r="EE64" s="14"/>
      <c r="EF64" s="14"/>
      <c r="EG64" s="14"/>
      <c r="EH64" s="14"/>
      <c r="EI64" s="14"/>
      <c r="EJ64" s="14"/>
      <c r="EK64" s="14"/>
      <c r="EL64" s="14"/>
    </row>
    <row r="65" spans="1:142" x14ac:dyDescent="0.25">
      <c r="A65" s="14"/>
      <c r="B65" s="56"/>
      <c r="C65" s="19"/>
      <c r="D65" s="59"/>
      <c r="E65" s="14"/>
      <c r="F65" s="14"/>
      <c r="G65" s="14"/>
      <c r="H65" s="21"/>
      <c r="I65" s="21"/>
      <c r="J65" s="14"/>
      <c r="K65" s="14"/>
      <c r="L65" s="14"/>
      <c r="M65" s="14"/>
      <c r="N65" s="14"/>
      <c r="O65" s="14"/>
      <c r="P65" s="14"/>
      <c r="Q65" s="47"/>
      <c r="R65" s="19"/>
      <c r="S65" s="19"/>
      <c r="T65" s="19"/>
      <c r="U65" s="59"/>
      <c r="V65" s="14"/>
      <c r="W65" s="14"/>
      <c r="X65" s="14"/>
      <c r="Y65" s="14"/>
      <c r="Z65" s="14"/>
      <c r="AA65" s="14"/>
      <c r="AB65" s="14"/>
      <c r="AC65" s="14"/>
      <c r="AD65" s="14"/>
      <c r="AE65" s="14"/>
      <c r="AF65" s="47"/>
      <c r="AG65" s="19"/>
      <c r="AH65" s="19"/>
      <c r="AI65" s="19"/>
      <c r="AJ65" s="59"/>
      <c r="AK65" s="14"/>
      <c r="AL65" s="14"/>
      <c r="AM65" s="14"/>
      <c r="AN65" s="14"/>
      <c r="AO65" s="14"/>
      <c r="AP65" s="14"/>
      <c r="AQ65" s="14"/>
      <c r="AR65" s="14"/>
      <c r="AS65" s="14"/>
      <c r="AT65" s="14"/>
      <c r="AU65" s="47"/>
      <c r="AV65" s="19"/>
      <c r="AW65" s="19"/>
      <c r="AX65" s="19"/>
      <c r="AY65" s="59"/>
      <c r="AZ65" s="14"/>
      <c r="BA65" s="14"/>
      <c r="BB65" s="14"/>
      <c r="BC65" s="14"/>
      <c r="BD65" s="14"/>
      <c r="BE65" s="14"/>
      <c r="BF65" s="14"/>
      <c r="BG65" s="14"/>
      <c r="BH65" s="14"/>
      <c r="BI65" s="14"/>
      <c r="BJ65" s="47"/>
      <c r="BK65" s="19"/>
      <c r="BL65" s="19"/>
      <c r="BM65" s="19"/>
      <c r="BN65" s="59"/>
      <c r="BO65" s="14"/>
      <c r="BP65" s="14"/>
      <c r="BQ65" s="14"/>
      <c r="BR65" s="14"/>
      <c r="BS65" s="14"/>
      <c r="BT65" s="14"/>
      <c r="BU65" s="14"/>
      <c r="BV65" s="14"/>
      <c r="BW65" s="14"/>
      <c r="BX65" s="14"/>
      <c r="BY65" s="47"/>
      <c r="BZ65" s="14"/>
      <c r="CA65" s="140" t="s">
        <v>338</v>
      </c>
      <c r="CB65" s="27">
        <f>COUNTIFS(S26_stakeholder_category,"FO",Response_Q161_3,"&lt;&gt;0",Response_Q156_1,"&lt;&gt;0")</f>
        <v>1</v>
      </c>
      <c r="CC65" s="37">
        <f>COUNTIFS(S26_stakeholder_category,"FO",Response_Q161_3,1,Response_Q156_1,"&lt;&gt;0")</f>
        <v>0</v>
      </c>
      <c r="CD65" s="37">
        <f>COUNTIFS(S26_stakeholder_category,"FO",Response_Q161_3,2,Response_Q156_1,"&lt;&gt;0")</f>
        <v>0</v>
      </c>
      <c r="CE65" s="37">
        <f>COUNTIFS(S26_stakeholder_category,"FO",Response_Q161_3,3,Response_Q156_1,"&lt;&gt;0")</f>
        <v>1</v>
      </c>
      <c r="CF65" s="97">
        <f>IF(CB58=0,0,SUMPRODUCT(CC65:CE65,Rank_score)/$CB58)</f>
        <v>0.33333333333333331</v>
      </c>
      <c r="CG65" s="14"/>
      <c r="CH65" s="140" t="s">
        <v>338</v>
      </c>
      <c r="CI65" s="27">
        <f t="shared" ref="CI65:CN65" si="21">COUNTIFS(S26_stakeholder_category,"FO",Response_Q161_3,"&lt;&gt;0",Response_Q161_4,CI$63,Response_Q156_1,"&lt;&gt;0")</f>
        <v>0</v>
      </c>
      <c r="CJ65" s="27">
        <f t="shared" si="21"/>
        <v>0</v>
      </c>
      <c r="CK65" s="27">
        <f t="shared" si="21"/>
        <v>1</v>
      </c>
      <c r="CL65" s="27">
        <f t="shared" si="21"/>
        <v>0</v>
      </c>
      <c r="CM65" s="27">
        <f t="shared" si="21"/>
        <v>0</v>
      </c>
      <c r="CN65" s="27">
        <f t="shared" si="21"/>
        <v>0</v>
      </c>
      <c r="CO65" s="141">
        <f t="shared" ref="CO65:CO70" si="22">IF(ISBLANK(CH65),"",IF(CF65=0,not_ranked,IF(SUM(CI65:CN65)=0,not_estimated,IFERROR(SUMPRODUCT(CI65:CN65,Likekihood_score)/SUM(CI65:CN65),0))))</f>
        <v>3</v>
      </c>
      <c r="CP65" s="14"/>
      <c r="CQ65" s="47"/>
      <c r="CR65" s="14"/>
      <c r="CS65" s="140" t="s">
        <v>338</v>
      </c>
      <c r="CT65" s="27">
        <f>COUNTIFS(S26_stakeholder_category,"FO",Response_Q162_3,"&lt;&gt;0",Response_Q157_1,"&lt;&gt;0")</f>
        <v>1</v>
      </c>
      <c r="CU65" s="37">
        <f>COUNTIFS(S26_stakeholder_category,"FO",Response_Q162_3,1,Response_Q157_1,"&lt;&gt;0")</f>
        <v>0</v>
      </c>
      <c r="CV65" s="37">
        <f>COUNTIFS(S26_stakeholder_category,"FO",Response_Q162_3,2,Response_Q157_1,"&lt;&gt;0")</f>
        <v>1</v>
      </c>
      <c r="CW65" s="37">
        <f>COUNTIFS(S26_stakeholder_category,"FO",Response_Q162_3,3,Response_Q157_1,"&lt;&gt;0")</f>
        <v>0</v>
      </c>
      <c r="CX65" s="37">
        <f>IF(CT58=0,0,SUMPRODUCT(CU65:CW65,Rank_score)/CT$58)</f>
        <v>0.66666666666666663</v>
      </c>
      <c r="CY65" s="14"/>
      <c r="CZ65" s="140" t="s">
        <v>338</v>
      </c>
      <c r="DA65" s="27">
        <f t="shared" ref="DA65:DF65" si="23">COUNTIFS(S26_stakeholder_category,"FO",Response_Q162_3,"&lt;&gt;0",Response_Q162_4,DA$63,Response_Q157_1,"&lt;&gt;0")</f>
        <v>0</v>
      </c>
      <c r="DB65" s="27">
        <f t="shared" si="23"/>
        <v>0</v>
      </c>
      <c r="DC65" s="27">
        <f t="shared" si="23"/>
        <v>0</v>
      </c>
      <c r="DD65" s="27">
        <f t="shared" si="23"/>
        <v>0</v>
      </c>
      <c r="DE65" s="27">
        <f t="shared" si="23"/>
        <v>0</v>
      </c>
      <c r="DF65" s="27">
        <f t="shared" si="23"/>
        <v>0</v>
      </c>
      <c r="DG65" s="141" t="str">
        <f t="shared" si="20"/>
        <v>Ranked, but likelihood not estimated</v>
      </c>
      <c r="DH65" s="14"/>
      <c r="DI65" s="47"/>
      <c r="DJ65" s="14"/>
      <c r="DK65" s="56"/>
      <c r="DL65" s="19"/>
      <c r="DM65" s="59"/>
      <c r="DN65" s="14"/>
      <c r="DO65" s="14"/>
      <c r="DP65" s="103"/>
      <c r="DQ65" s="114"/>
      <c r="DR65" s="120"/>
      <c r="DS65" s="14"/>
      <c r="DT65" s="14"/>
      <c r="DU65" s="14"/>
      <c r="DV65" s="14"/>
      <c r="DW65" s="14"/>
      <c r="DX65" s="14"/>
      <c r="DY65" s="14"/>
      <c r="DZ65" s="14"/>
      <c r="EA65" s="14"/>
      <c r="EB65" s="14"/>
      <c r="EC65" s="14"/>
      <c r="ED65" s="14"/>
      <c r="EE65" s="14"/>
      <c r="EF65" s="14"/>
      <c r="EG65" s="14"/>
      <c r="EH65" s="14"/>
      <c r="EI65" s="14"/>
      <c r="EJ65" s="14"/>
      <c r="EK65" s="14"/>
      <c r="EL65" s="14"/>
    </row>
    <row r="66" spans="1:142" x14ac:dyDescent="0.25">
      <c r="A66" s="14"/>
      <c r="B66" s="62"/>
      <c r="C66" s="19"/>
      <c r="D66" s="59"/>
      <c r="E66" s="14"/>
      <c r="F66" s="14"/>
      <c r="G66" s="14"/>
      <c r="H66" s="21"/>
      <c r="I66" s="21"/>
      <c r="J66" s="14"/>
      <c r="K66" s="14"/>
      <c r="L66" s="14"/>
      <c r="M66" s="14"/>
      <c r="N66" s="14"/>
      <c r="O66" s="14"/>
      <c r="P66" s="14"/>
      <c r="Q66" s="47"/>
      <c r="R66" s="19"/>
      <c r="S66" s="19"/>
      <c r="T66" s="19"/>
      <c r="U66" s="59"/>
      <c r="V66" s="14"/>
      <c r="W66" s="14"/>
      <c r="X66" s="14"/>
      <c r="Y66" s="14"/>
      <c r="Z66" s="14"/>
      <c r="AA66" s="14"/>
      <c r="AB66" s="14"/>
      <c r="AC66" s="14"/>
      <c r="AD66" s="14"/>
      <c r="AE66" s="14"/>
      <c r="AF66" s="47"/>
      <c r="AG66" s="19"/>
      <c r="AH66" s="19"/>
      <c r="AI66" s="19"/>
      <c r="AJ66" s="59"/>
      <c r="AK66" s="14"/>
      <c r="AL66" s="14"/>
      <c r="AM66" s="14"/>
      <c r="AN66" s="14"/>
      <c r="AO66" s="14"/>
      <c r="AP66" s="14"/>
      <c r="AQ66" s="14"/>
      <c r="AR66" s="14"/>
      <c r="AS66" s="14"/>
      <c r="AT66" s="14"/>
      <c r="AU66" s="47"/>
      <c r="AV66" s="19"/>
      <c r="AW66" s="19"/>
      <c r="AX66" s="19"/>
      <c r="AY66" s="59"/>
      <c r="AZ66" s="14"/>
      <c r="BA66" s="14"/>
      <c r="BB66" s="14"/>
      <c r="BC66" s="14"/>
      <c r="BD66" s="14"/>
      <c r="BE66" s="14"/>
      <c r="BF66" s="14"/>
      <c r="BG66" s="14"/>
      <c r="BH66" s="14"/>
      <c r="BI66" s="14"/>
      <c r="BJ66" s="47"/>
      <c r="BK66" s="19"/>
      <c r="BL66" s="19"/>
      <c r="BM66" s="19"/>
      <c r="BN66" s="59"/>
      <c r="BO66" s="14"/>
      <c r="BP66" s="14"/>
      <c r="BQ66" s="14"/>
      <c r="BR66" s="14"/>
      <c r="BS66" s="14"/>
      <c r="BT66" s="14"/>
      <c r="BU66" s="14"/>
      <c r="BV66" s="14"/>
      <c r="BW66" s="14"/>
      <c r="BX66" s="14"/>
      <c r="BY66" s="47"/>
      <c r="BZ66" s="14"/>
      <c r="CA66" s="140" t="s">
        <v>340</v>
      </c>
      <c r="CB66" s="27">
        <f>COUNTIFS(S26_stakeholder_category,"FO",Response_Q161_5,"&lt;&gt;0",Response_Q156_1,"&lt;&gt;0")</f>
        <v>1</v>
      </c>
      <c r="CC66" s="37">
        <f>COUNTIFS(S26_stakeholder_category,"FO",Response_Q161_5,1,Response_Q156_1,"&lt;&gt;0")</f>
        <v>0</v>
      </c>
      <c r="CD66" s="37">
        <f>COUNTIFS(S26_stakeholder_category,"FO",Response_Q161_5,2,Response_Q156_1,"&lt;&gt;0")</f>
        <v>1</v>
      </c>
      <c r="CE66" s="37">
        <f>COUNTIFS(S26_stakeholder_category,"FO",Response_Q161_5,3,Response_Q156_1,"&lt;&gt;0")</f>
        <v>0</v>
      </c>
      <c r="CF66" s="97">
        <f>IF(CB58=0,0,SUMPRODUCT(CC66:CE66,Rank_score)/$CB58)</f>
        <v>0.66666666666666663</v>
      </c>
      <c r="CG66" s="14"/>
      <c r="CH66" s="140" t="s">
        <v>340</v>
      </c>
      <c r="CI66" s="27">
        <f t="shared" ref="CI66:CN66" si="24">COUNTIFS(S26_stakeholder_category,"FO",Response_Q161_5,"&lt;&gt;0",Response_Q161_6,CI$63,Response_Q156_1,"&lt;&gt;0")</f>
        <v>0</v>
      </c>
      <c r="CJ66" s="27">
        <f t="shared" si="24"/>
        <v>0</v>
      </c>
      <c r="CK66" s="27">
        <f t="shared" si="24"/>
        <v>0</v>
      </c>
      <c r="CL66" s="27">
        <f t="shared" si="24"/>
        <v>0</v>
      </c>
      <c r="CM66" s="27">
        <f t="shared" si="24"/>
        <v>0</v>
      </c>
      <c r="CN66" s="27">
        <f t="shared" si="24"/>
        <v>0</v>
      </c>
      <c r="CO66" s="141" t="str">
        <f t="shared" si="22"/>
        <v>Ranked, but likelihood not estimated</v>
      </c>
      <c r="CP66" s="14"/>
      <c r="CQ66" s="47"/>
      <c r="CR66" s="14"/>
      <c r="CS66" s="140" t="s">
        <v>159</v>
      </c>
      <c r="CT66" s="27">
        <f>COUNTIFS(S26_stakeholder_category,"FO",Response_Q162_5,"&lt;&gt;0",Response_Q157_1,"&lt;&gt;0")</f>
        <v>0</v>
      </c>
      <c r="CU66" s="37">
        <f>COUNTIFS(S26_stakeholder_category,"FO",Response_Q162_5,1,Response_Q157_1,"&lt;&gt;0")</f>
        <v>0</v>
      </c>
      <c r="CV66" s="37">
        <f>COUNTIFS(S26_stakeholder_category,"FO",Response_Q162_5,2,Response_Q157_1,"&lt;&gt;0")</f>
        <v>0</v>
      </c>
      <c r="CW66" s="37">
        <f>COUNTIFS(S26_stakeholder_category,"FO",Response_Q162_5,3,Response_Q157_1,"&lt;&gt;0")</f>
        <v>0</v>
      </c>
      <c r="CX66" s="37">
        <f>IF(CT58=0,0,SUMPRODUCT(CU66:CW66,Rank_score)/CT$58)</f>
        <v>0</v>
      </c>
      <c r="CY66" s="14"/>
      <c r="CZ66" s="140" t="s">
        <v>159</v>
      </c>
      <c r="DA66" s="27">
        <f t="shared" ref="DA66:DF66" si="25">COUNTIFS(S26_stakeholder_category,"FO",Response_Q162_5,"&lt;&gt;0",Response_Q162_6,DA$63,Response_Q157_1,"&lt;&gt;0")</f>
        <v>0</v>
      </c>
      <c r="DB66" s="27">
        <f t="shared" si="25"/>
        <v>0</v>
      </c>
      <c r="DC66" s="27">
        <f t="shared" si="25"/>
        <v>0</v>
      </c>
      <c r="DD66" s="27">
        <f t="shared" si="25"/>
        <v>0</v>
      </c>
      <c r="DE66" s="27">
        <f t="shared" si="25"/>
        <v>0</v>
      </c>
      <c r="DF66" s="27">
        <f t="shared" si="25"/>
        <v>0</v>
      </c>
      <c r="DG66" s="141" t="str">
        <f t="shared" si="20"/>
        <v>Factor not ranked</v>
      </c>
      <c r="DH66" s="14"/>
      <c r="DI66" s="47"/>
      <c r="DJ66" s="14"/>
      <c r="DK66" s="14"/>
      <c r="DL66" s="19"/>
      <c r="DM66" s="59"/>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row>
    <row r="67" spans="1:142" x14ac:dyDescent="0.25">
      <c r="A67" s="14"/>
      <c r="B67" s="62"/>
      <c r="C67" s="19"/>
      <c r="D67" s="59"/>
      <c r="E67" s="14"/>
      <c r="F67" s="14"/>
      <c r="G67" s="14"/>
      <c r="H67" s="21"/>
      <c r="I67" s="21"/>
      <c r="J67" s="14"/>
      <c r="K67" s="14"/>
      <c r="L67" s="14"/>
      <c r="M67" s="14"/>
      <c r="N67" s="14"/>
      <c r="O67" s="14"/>
      <c r="P67" s="14"/>
      <c r="Q67" s="47"/>
      <c r="R67" s="19"/>
      <c r="S67" s="56"/>
      <c r="T67" s="29"/>
      <c r="U67" s="59"/>
      <c r="V67" s="14"/>
      <c r="W67" s="14"/>
      <c r="X67" s="14"/>
      <c r="Y67" s="14"/>
      <c r="Z67" s="14"/>
      <c r="AA67" s="14"/>
      <c r="AB67" s="14"/>
      <c r="AC67" s="14"/>
      <c r="AD67" s="14"/>
      <c r="AE67" s="14"/>
      <c r="AF67" s="47"/>
      <c r="AG67" s="19"/>
      <c r="AH67" s="56"/>
      <c r="AI67" s="29"/>
      <c r="AJ67" s="59"/>
      <c r="AK67" s="14"/>
      <c r="AL67" s="14"/>
      <c r="AM67" s="14"/>
      <c r="AN67" s="14"/>
      <c r="AO67" s="14"/>
      <c r="AP67" s="14"/>
      <c r="AQ67" s="14"/>
      <c r="AR67" s="14"/>
      <c r="AS67" s="14"/>
      <c r="AT67" s="14"/>
      <c r="AU67" s="47"/>
      <c r="AV67" s="19"/>
      <c r="AW67" s="56"/>
      <c r="AX67" s="29"/>
      <c r="AY67" s="59"/>
      <c r="AZ67" s="14"/>
      <c r="BA67" s="14"/>
      <c r="BB67" s="14"/>
      <c r="BC67" s="14"/>
      <c r="BD67" s="14"/>
      <c r="BE67" s="14"/>
      <c r="BF67" s="14"/>
      <c r="BG67" s="14"/>
      <c r="BH67" s="14"/>
      <c r="BI67" s="14"/>
      <c r="BJ67" s="47"/>
      <c r="BK67" s="19"/>
      <c r="BL67" s="56"/>
      <c r="BM67" s="29"/>
      <c r="BN67" s="59"/>
      <c r="BO67" s="14"/>
      <c r="BP67" s="14"/>
      <c r="BQ67" s="14"/>
      <c r="BR67" s="14"/>
      <c r="BS67" s="14"/>
      <c r="BT67" s="14"/>
      <c r="BU67" s="14"/>
      <c r="BV67" s="14"/>
      <c r="BW67" s="14"/>
      <c r="BX67" s="14"/>
      <c r="BY67" s="47"/>
      <c r="BZ67" s="14"/>
      <c r="CA67" s="140" t="s">
        <v>341</v>
      </c>
      <c r="CB67" s="27">
        <f>COUNTIFS(S26_stakeholder_category,"FO",Response_Q161_7,"&lt;&gt;0",Response_Q156_1,"&lt;&gt;0")</f>
        <v>0</v>
      </c>
      <c r="CC67" s="37">
        <f>COUNTIFS(S26_stakeholder_category,"FO",Response_Q161_7,1,Response_Q156_1,"&lt;&gt;0")</f>
        <v>0</v>
      </c>
      <c r="CD67" s="37">
        <f>COUNTIFS(S26_stakeholder_category,"FO",Response_Q161_7,2,Response_Q156_1,"&lt;&gt;0")</f>
        <v>0</v>
      </c>
      <c r="CE67" s="37">
        <f>COUNTIFS(S26_stakeholder_category,"FO",Response_Q161_7,3,Response_Q156_1,"&lt;&gt;0")</f>
        <v>0</v>
      </c>
      <c r="CF67" s="97">
        <f>IF(CB58=0,0,SUMPRODUCT(CC67:CE67,Rank_score)/$CB58)</f>
        <v>0</v>
      </c>
      <c r="CG67" s="14"/>
      <c r="CH67" s="140" t="s">
        <v>341</v>
      </c>
      <c r="CI67" s="27">
        <f t="shared" ref="CI67:CN67" si="26">COUNTIFS(S26_stakeholder_category,"FO",Response_Q161_7,"&lt;&gt;0",Response_Q161_8,CI$63,Response_Q156_1,"&lt;&gt;0")</f>
        <v>0</v>
      </c>
      <c r="CJ67" s="27">
        <f t="shared" si="26"/>
        <v>0</v>
      </c>
      <c r="CK67" s="27">
        <f t="shared" si="26"/>
        <v>0</v>
      </c>
      <c r="CL67" s="27">
        <f t="shared" si="26"/>
        <v>0</v>
      </c>
      <c r="CM67" s="27">
        <f t="shared" si="26"/>
        <v>0</v>
      </c>
      <c r="CN67" s="27">
        <f t="shared" si="26"/>
        <v>0</v>
      </c>
      <c r="CO67" s="141" t="str">
        <f t="shared" si="22"/>
        <v>Factor not ranked</v>
      </c>
      <c r="CP67" s="14"/>
      <c r="CQ67" s="47"/>
      <c r="CR67" s="14"/>
      <c r="CS67" s="140" t="s">
        <v>345</v>
      </c>
      <c r="CT67" s="27">
        <f>COUNTIFS(S26_stakeholder_category,"FO",Response_Q162_7,"&lt;&gt;0",Response_Q157_1,"&lt;&gt;0")</f>
        <v>1</v>
      </c>
      <c r="CU67" s="37">
        <f>COUNTIFS(S26_stakeholder_category,"FO",Response_Q162_7,1,Response_Q157_1,"&lt;&gt;0")</f>
        <v>1</v>
      </c>
      <c r="CV67" s="37">
        <f>COUNTIFS(S26_stakeholder_category,"FO",Response_Q162_7,2,Response_Q157_1,"&lt;&gt;0")</f>
        <v>0</v>
      </c>
      <c r="CW67" s="37">
        <f>COUNTIFS(S26_stakeholder_category,"FO",Response_Q162_7,3,Response_Q157_1,"&lt;&gt;0")</f>
        <v>0</v>
      </c>
      <c r="CX67" s="37">
        <f>IF(CT58=0,0,SUMPRODUCT(CU67:CW67,Rank_score)/CT$58)</f>
        <v>1</v>
      </c>
      <c r="CY67" s="14"/>
      <c r="CZ67" s="140" t="s">
        <v>345</v>
      </c>
      <c r="DA67" s="27">
        <f t="shared" ref="DA67:DF67" si="27">COUNTIFS(S26_stakeholder_category,"FO",Response_Q162_7,"&lt;&gt;0",Response_Q162_8,DA$63,Response_Q157_1,"&lt;&gt;0")</f>
        <v>0</v>
      </c>
      <c r="DB67" s="27">
        <f t="shared" si="27"/>
        <v>0</v>
      </c>
      <c r="DC67" s="27">
        <f t="shared" si="27"/>
        <v>0</v>
      </c>
      <c r="DD67" s="27">
        <f t="shared" si="27"/>
        <v>1</v>
      </c>
      <c r="DE67" s="27">
        <f t="shared" si="27"/>
        <v>0</v>
      </c>
      <c r="DF67" s="27">
        <f t="shared" si="27"/>
        <v>0</v>
      </c>
      <c r="DG67" s="141">
        <f t="shared" si="20"/>
        <v>4</v>
      </c>
      <c r="DH67" s="14"/>
      <c r="DI67" s="47"/>
      <c r="DJ67" s="14"/>
      <c r="DK67" s="14"/>
      <c r="DL67" s="19"/>
      <c r="DM67" s="59"/>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row>
    <row r="68" spans="1:142" x14ac:dyDescent="0.25">
      <c r="A68" s="14"/>
      <c r="B68" s="62"/>
      <c r="C68" s="19"/>
      <c r="D68" s="19"/>
      <c r="E68" s="14"/>
      <c r="F68" s="14"/>
      <c r="G68" s="14"/>
      <c r="H68" s="21"/>
      <c r="I68" s="21"/>
      <c r="J68" s="14"/>
      <c r="K68" s="14"/>
      <c r="L68" s="14"/>
      <c r="M68" s="14"/>
      <c r="N68" s="14"/>
      <c r="O68" s="14"/>
      <c r="P68" s="14"/>
      <c r="Q68" s="47"/>
      <c r="R68" s="19"/>
      <c r="S68" s="56"/>
      <c r="T68" s="19"/>
      <c r="U68" s="59"/>
      <c r="V68" s="14"/>
      <c r="W68" s="14"/>
      <c r="X68" s="14"/>
      <c r="Y68" s="14"/>
      <c r="Z68" s="14"/>
      <c r="AA68" s="14"/>
      <c r="AB68" s="14"/>
      <c r="AC68" s="14"/>
      <c r="AD68" s="14"/>
      <c r="AE68" s="14"/>
      <c r="AF68" s="47"/>
      <c r="AG68" s="19"/>
      <c r="AH68" s="56"/>
      <c r="AI68" s="19"/>
      <c r="AJ68" s="59"/>
      <c r="AK68" s="14"/>
      <c r="AL68" s="14"/>
      <c r="AM68" s="14"/>
      <c r="AN68" s="14"/>
      <c r="AO68" s="14"/>
      <c r="AP68" s="14"/>
      <c r="AQ68" s="14"/>
      <c r="AR68" s="14"/>
      <c r="AS68" s="14"/>
      <c r="AT68" s="14"/>
      <c r="AU68" s="47"/>
      <c r="AV68" s="14"/>
      <c r="AW68" s="56"/>
      <c r="AX68" s="19"/>
      <c r="AY68" s="59"/>
      <c r="AZ68" s="14"/>
      <c r="BA68" s="14"/>
      <c r="BB68" s="14"/>
      <c r="BC68" s="14"/>
      <c r="BD68" s="14"/>
      <c r="BE68" s="14"/>
      <c r="BF68" s="14"/>
      <c r="BG68" s="14"/>
      <c r="BH68" s="14"/>
      <c r="BI68" s="14"/>
      <c r="BJ68" s="47"/>
      <c r="BK68" s="19"/>
      <c r="BL68" s="56"/>
      <c r="BM68" s="19"/>
      <c r="BN68" s="59"/>
      <c r="BO68" s="14"/>
      <c r="BP68" s="14"/>
      <c r="BQ68" s="14"/>
      <c r="BR68" s="14"/>
      <c r="BS68" s="14"/>
      <c r="BT68" s="14"/>
      <c r="BU68" s="14"/>
      <c r="BV68" s="14"/>
      <c r="BW68" s="14"/>
      <c r="BX68" s="14"/>
      <c r="BY68" s="47"/>
      <c r="BZ68" s="14"/>
      <c r="CA68" s="140" t="s">
        <v>462</v>
      </c>
      <c r="CB68" s="27">
        <f>COUNTIFS(S26_stakeholder_category,"FO",Response_Q161_9,"&lt;&gt;0",Response_Q156_1,"&lt;&gt;0")</f>
        <v>0</v>
      </c>
      <c r="CC68" s="37">
        <f>COUNTIFS(S26_stakeholder_category,"FO",Response_Q161_9,1,Response_Q156_1,"&lt;&gt;0")</f>
        <v>0</v>
      </c>
      <c r="CD68" s="37">
        <f>COUNTIFS(S26_stakeholder_category,"FO",Response_Q161_9,2,Response_Q156_1,"&lt;&gt;0")</f>
        <v>0</v>
      </c>
      <c r="CE68" s="37">
        <f>COUNTIFS(S26_stakeholder_category,"FO",Response_Q161_9,3,Response_Q156_1,"&lt;&gt;0")</f>
        <v>0</v>
      </c>
      <c r="CF68" s="97">
        <f>IF(CB58=0,0,SUMPRODUCT(CC68:CE68,Rank_score)/$CB58)</f>
        <v>0</v>
      </c>
      <c r="CG68" s="14"/>
      <c r="CH68" s="140" t="s">
        <v>462</v>
      </c>
      <c r="CI68" s="27">
        <f t="shared" ref="CI68:CN68" si="28">COUNTIFS(S26_stakeholder_category,"FO",Response_Q161_9,"&lt;&gt;0",Response_Q161_10,CI$63,Response_Q156_1,"&lt;&gt;0")</f>
        <v>0</v>
      </c>
      <c r="CJ68" s="27">
        <f t="shared" si="28"/>
        <v>0</v>
      </c>
      <c r="CK68" s="27">
        <f t="shared" si="28"/>
        <v>0</v>
      </c>
      <c r="CL68" s="27">
        <f t="shared" si="28"/>
        <v>0</v>
      </c>
      <c r="CM68" s="27">
        <f t="shared" si="28"/>
        <v>0</v>
      </c>
      <c r="CN68" s="27">
        <f t="shared" si="28"/>
        <v>0</v>
      </c>
      <c r="CO68" s="141" t="str">
        <f t="shared" si="22"/>
        <v>Factor not ranked</v>
      </c>
      <c r="CP68" s="14"/>
      <c r="CQ68" s="47"/>
      <c r="CR68" s="14"/>
      <c r="CS68" s="140" t="s">
        <v>342</v>
      </c>
      <c r="CT68" s="27">
        <f>COUNTIFS(S26_stakeholder_category,"FO",Response_Q162_9,"&lt;&gt;0",Response_Q157_1,"&lt;&gt;0")</f>
        <v>1</v>
      </c>
      <c r="CU68" s="37">
        <f>COUNTIFS(S26_stakeholder_category,"FO",Response_Q162_9,1,Response_Q157_1,"&lt;&gt;0")</f>
        <v>0</v>
      </c>
      <c r="CV68" s="37">
        <f>COUNTIFS(S26_stakeholder_category,"FO",Response_Q162_9,2,Response_Q157_1,"&lt;&gt;0")</f>
        <v>1</v>
      </c>
      <c r="CW68" s="37">
        <f>COUNTIFS(S26_stakeholder_category,"FO",Response_Q162_9,3,Response_Q157_1,"&lt;&gt;0")</f>
        <v>0</v>
      </c>
      <c r="CX68" s="37">
        <f>IF(CT58=0,0,SUMPRODUCT(CU68:CW68,Rank_score)/CT$58)</f>
        <v>0.66666666666666663</v>
      </c>
      <c r="CY68" s="14"/>
      <c r="CZ68" s="140" t="s">
        <v>342</v>
      </c>
      <c r="DA68" s="27">
        <f t="shared" ref="DA68:DF68" si="29">COUNTIFS(S26_stakeholder_category,"FO",Response_Q162_9,"&lt;&gt;0",Response_Q162_10,DA$63,Response_Q157_1,"&lt;&gt;0")</f>
        <v>0</v>
      </c>
      <c r="DB68" s="27">
        <f t="shared" si="29"/>
        <v>0</v>
      </c>
      <c r="DC68" s="27">
        <f t="shared" si="29"/>
        <v>0</v>
      </c>
      <c r="DD68" s="27">
        <f t="shared" si="29"/>
        <v>1</v>
      </c>
      <c r="DE68" s="27">
        <f t="shared" si="29"/>
        <v>0</v>
      </c>
      <c r="DF68" s="27">
        <f t="shared" si="29"/>
        <v>0</v>
      </c>
      <c r="DG68" s="141">
        <f t="shared" si="20"/>
        <v>4</v>
      </c>
      <c r="DH68" s="14"/>
      <c r="DI68" s="47"/>
      <c r="DJ68" s="14"/>
      <c r="DK68" s="14"/>
      <c r="DL68" s="19"/>
      <c r="DM68" s="59"/>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row>
    <row r="69" spans="1:142" x14ac:dyDescent="0.25">
      <c r="A69" s="14"/>
      <c r="B69" s="62"/>
      <c r="C69" s="19"/>
      <c r="D69" s="19"/>
      <c r="E69" s="14"/>
      <c r="F69" s="14"/>
      <c r="G69" s="14"/>
      <c r="H69" s="21"/>
      <c r="I69" s="21"/>
      <c r="J69" s="14"/>
      <c r="K69" s="14"/>
      <c r="L69" s="14"/>
      <c r="M69" s="14"/>
      <c r="N69" s="14"/>
      <c r="O69" s="14"/>
      <c r="P69" s="14"/>
      <c r="Q69" s="47"/>
      <c r="R69" s="19"/>
      <c r="S69" s="14"/>
      <c r="T69" s="19"/>
      <c r="U69" s="59"/>
      <c r="V69" s="14"/>
      <c r="W69" s="14"/>
      <c r="X69" s="14"/>
      <c r="Y69" s="19"/>
      <c r="Z69" s="19"/>
      <c r="AA69" s="19"/>
      <c r="AB69" s="19"/>
      <c r="AC69" s="19"/>
      <c r="AD69" s="19"/>
      <c r="AE69" s="19"/>
      <c r="AF69" s="47"/>
      <c r="AG69" s="19"/>
      <c r="AH69" s="14"/>
      <c r="AI69" s="19"/>
      <c r="AJ69" s="59"/>
      <c r="AK69" s="14"/>
      <c r="AL69" s="14"/>
      <c r="AM69" s="14"/>
      <c r="AN69" s="19"/>
      <c r="AO69" s="19"/>
      <c r="AP69" s="19"/>
      <c r="AQ69" s="19"/>
      <c r="AR69" s="19"/>
      <c r="AS69" s="19"/>
      <c r="AT69" s="19"/>
      <c r="AU69" s="47"/>
      <c r="AV69" s="14"/>
      <c r="AW69" s="14"/>
      <c r="AX69" s="19"/>
      <c r="AY69" s="59"/>
      <c r="AZ69" s="14"/>
      <c r="BA69" s="14"/>
      <c r="BB69" s="14"/>
      <c r="BC69" s="19"/>
      <c r="BD69" s="19"/>
      <c r="BE69" s="19"/>
      <c r="BF69" s="19"/>
      <c r="BG69" s="19"/>
      <c r="BH69" s="19"/>
      <c r="BI69" s="19"/>
      <c r="BJ69" s="47"/>
      <c r="BK69" s="19"/>
      <c r="BL69" s="14"/>
      <c r="BM69" s="19"/>
      <c r="BN69" s="59"/>
      <c r="BO69" s="14"/>
      <c r="BP69" s="14"/>
      <c r="BQ69" s="14"/>
      <c r="BR69" s="19"/>
      <c r="BS69" s="19"/>
      <c r="BT69" s="19"/>
      <c r="BU69" s="19"/>
      <c r="BV69" s="19"/>
      <c r="BW69" s="19"/>
      <c r="BX69" s="19"/>
      <c r="BY69" s="47"/>
      <c r="BZ69" s="14"/>
      <c r="CA69" s="106" t="s">
        <v>49</v>
      </c>
      <c r="CB69" s="27">
        <f>COUNTIFS(S26_stakeholder_category,"FO",Response_Q161_11,"&lt;&gt;0",Response_Q156_1,"&lt;&gt;0")</f>
        <v>2</v>
      </c>
      <c r="CC69" s="37">
        <f>COUNTIFS(S26_stakeholder_category,"FO",Response_Q161_11,1,Response_Q156_1,"&lt;&gt;0")</f>
        <v>2</v>
      </c>
      <c r="CD69" s="37">
        <f>COUNTIFS(S26_stakeholder_category,"FO",Response_Q161_11,2,Response_Q156_1,"&lt;&gt;0")</f>
        <v>0</v>
      </c>
      <c r="CE69" s="37">
        <f>COUNTIFS(S26_stakeholder_category,"FO",Response_Q161_11,3,Response_Q156_1,"&lt;&gt;0")</f>
        <v>0</v>
      </c>
      <c r="CF69" s="97">
        <f>IF(CB58=0,0,SUMPRODUCT(CC69:CE69,Rank_score)/$CB58)</f>
        <v>2</v>
      </c>
      <c r="CG69" s="43"/>
      <c r="CH69" s="106" t="s">
        <v>49</v>
      </c>
      <c r="CI69" s="27">
        <f t="shared" ref="CI69:CN69" si="30">COUNTIFS(S26_stakeholder_category,"FO",Response_Q161_11,"&lt;&gt;0",Response_Q161_12,CI$63,Response_Q156_1,"&lt;&gt;0")</f>
        <v>1</v>
      </c>
      <c r="CJ69" s="27">
        <f t="shared" si="30"/>
        <v>0</v>
      </c>
      <c r="CK69" s="27">
        <f t="shared" si="30"/>
        <v>1</v>
      </c>
      <c r="CL69" s="27">
        <f t="shared" si="30"/>
        <v>0</v>
      </c>
      <c r="CM69" s="27">
        <f t="shared" si="30"/>
        <v>0</v>
      </c>
      <c r="CN69" s="27">
        <f t="shared" si="30"/>
        <v>0</v>
      </c>
      <c r="CO69" s="141">
        <f t="shared" si="22"/>
        <v>2</v>
      </c>
      <c r="CP69" s="14"/>
      <c r="CQ69" s="47"/>
      <c r="CR69" s="14"/>
      <c r="CS69" s="106" t="s">
        <v>49</v>
      </c>
      <c r="CT69" s="27">
        <f>COUNTIFS(S26_stakeholder_category,"FO",Response_Q162_11,"&lt;&gt;0",Response_Q157_1,"&lt;&gt;0")</f>
        <v>1</v>
      </c>
      <c r="CU69" s="37">
        <f>COUNTIFS(S26_stakeholder_category,"FO",Response_Q162_11,1,Response_Q157_1,"&lt;&gt;0")</f>
        <v>1</v>
      </c>
      <c r="CV69" s="37">
        <f>COUNTIFS(S26_stakeholder_category,"FO",Response_Q162_11,2,Response_Q157_1,"&lt;&gt;0")</f>
        <v>0</v>
      </c>
      <c r="CW69" s="37">
        <f>COUNTIFS(S26_stakeholder_category,"FO",Response_Q162_11,3,Response_Q157_1,"&lt;&gt;0")</f>
        <v>0</v>
      </c>
      <c r="CX69" s="37">
        <f>IF(CT58=0,0,SUMPRODUCT(CU69:CW69,Rank_score)/CT$58)</f>
        <v>1</v>
      </c>
      <c r="CY69" s="43"/>
      <c r="CZ69" s="106" t="s">
        <v>49</v>
      </c>
      <c r="DA69" s="27">
        <f t="shared" ref="DA69:DF69" si="31">COUNTIFS(S26_stakeholder_category,"FO",Response_Q162_11,"&lt;&gt;0",Response_Q162_12,DA$63,Response_Q157_1,"&lt;&gt;0")</f>
        <v>0</v>
      </c>
      <c r="DB69" s="27">
        <f t="shared" si="31"/>
        <v>0</v>
      </c>
      <c r="DC69" s="27">
        <f t="shared" si="31"/>
        <v>0</v>
      </c>
      <c r="DD69" s="27">
        <f t="shared" si="31"/>
        <v>0</v>
      </c>
      <c r="DE69" s="27">
        <f t="shared" si="31"/>
        <v>0</v>
      </c>
      <c r="DF69" s="27">
        <f t="shared" si="31"/>
        <v>1</v>
      </c>
      <c r="DG69" s="141">
        <f t="shared" si="20"/>
        <v>6</v>
      </c>
      <c r="DH69" s="14"/>
      <c r="DI69" s="47"/>
      <c r="DJ69" s="14"/>
      <c r="DK69" s="62"/>
      <c r="DL69" s="19"/>
      <c r="DM69" s="59"/>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row>
    <row r="70" spans="1:142" x14ac:dyDescent="0.25">
      <c r="A70" s="14"/>
      <c r="B70" s="62"/>
      <c r="C70" s="19"/>
      <c r="D70" s="59"/>
      <c r="E70" s="14"/>
      <c r="F70" s="14"/>
      <c r="G70" s="14"/>
      <c r="H70" s="21"/>
      <c r="I70" s="21"/>
      <c r="J70" s="14"/>
      <c r="K70" s="14"/>
      <c r="L70" s="14"/>
      <c r="M70" s="14"/>
      <c r="N70" s="14"/>
      <c r="O70" s="14"/>
      <c r="P70" s="14"/>
      <c r="Q70" s="47"/>
      <c r="R70" s="19"/>
      <c r="S70" s="14"/>
      <c r="T70" s="19"/>
      <c r="U70" s="59"/>
      <c r="V70" s="14"/>
      <c r="W70" s="14"/>
      <c r="X70" s="14"/>
      <c r="Y70" s="19"/>
      <c r="Z70" s="14"/>
      <c r="AA70" s="14"/>
      <c r="AB70" s="14"/>
      <c r="AC70" s="14"/>
      <c r="AD70" s="14"/>
      <c r="AE70" s="14"/>
      <c r="AF70" s="47"/>
      <c r="AG70" s="19"/>
      <c r="AH70" s="14"/>
      <c r="AI70" s="19"/>
      <c r="AJ70" s="59"/>
      <c r="AK70" s="14"/>
      <c r="AL70" s="14"/>
      <c r="AM70" s="14"/>
      <c r="AN70" s="19"/>
      <c r="AO70" s="14"/>
      <c r="AP70" s="14"/>
      <c r="AQ70" s="14"/>
      <c r="AR70" s="14"/>
      <c r="AS70" s="14"/>
      <c r="AT70" s="14"/>
      <c r="AU70" s="47"/>
      <c r="AV70" s="14"/>
      <c r="AW70" s="14"/>
      <c r="AX70" s="19"/>
      <c r="AY70" s="59"/>
      <c r="AZ70" s="14"/>
      <c r="BA70" s="14"/>
      <c r="BB70" s="14"/>
      <c r="BC70" s="19"/>
      <c r="BD70" s="14"/>
      <c r="BE70" s="14"/>
      <c r="BF70" s="14"/>
      <c r="BG70" s="14"/>
      <c r="BH70" s="14"/>
      <c r="BI70" s="14"/>
      <c r="BJ70" s="47"/>
      <c r="BK70" s="19"/>
      <c r="BL70" s="14"/>
      <c r="BM70" s="19"/>
      <c r="BN70" s="59"/>
      <c r="BO70" s="14"/>
      <c r="BP70" s="14"/>
      <c r="BQ70" s="14"/>
      <c r="BR70" s="19"/>
      <c r="BS70" s="14"/>
      <c r="BT70" s="14"/>
      <c r="BU70" s="14"/>
      <c r="BV70" s="14"/>
      <c r="BW70" s="14"/>
      <c r="BX70" s="14"/>
      <c r="BY70" s="47"/>
      <c r="BZ70" s="14"/>
      <c r="CA70" s="107"/>
      <c r="CB70" s="27"/>
      <c r="CC70" s="37"/>
      <c r="CD70" s="37"/>
      <c r="CE70" s="37"/>
      <c r="CF70" s="97"/>
      <c r="CG70" s="29"/>
      <c r="CH70" s="107"/>
      <c r="CI70" s="27"/>
      <c r="CJ70" s="27"/>
      <c r="CK70" s="27"/>
      <c r="CL70" s="27"/>
      <c r="CM70" s="27"/>
      <c r="CN70" s="27"/>
      <c r="CO70" s="141" t="str">
        <f t="shared" si="22"/>
        <v/>
      </c>
      <c r="CP70" s="14"/>
      <c r="CQ70" s="47"/>
      <c r="CR70" s="14"/>
      <c r="CS70" s="107"/>
      <c r="CT70" s="27"/>
      <c r="CU70" s="37"/>
      <c r="CV70" s="37"/>
      <c r="CW70" s="37"/>
      <c r="CX70" s="37"/>
      <c r="CY70" s="29"/>
      <c r="CZ70" s="106"/>
      <c r="DA70" s="27"/>
      <c r="DB70" s="27"/>
      <c r="DC70" s="27"/>
      <c r="DD70" s="27"/>
      <c r="DE70" s="27"/>
      <c r="DF70" s="27"/>
      <c r="DG70" s="141" t="str">
        <f t="shared" si="20"/>
        <v/>
      </c>
      <c r="DH70" s="14"/>
      <c r="DI70" s="47"/>
      <c r="DJ70" s="14"/>
      <c r="DK70" s="62"/>
      <c r="DL70" s="19"/>
      <c r="DM70" s="59"/>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row>
    <row r="71" spans="1:142" x14ac:dyDescent="0.25">
      <c r="A71" s="14"/>
      <c r="B71" s="62"/>
      <c r="C71" s="19"/>
      <c r="D71" s="59"/>
      <c r="E71" s="14"/>
      <c r="F71" s="14"/>
      <c r="G71" s="109" t="s">
        <v>14</v>
      </c>
      <c r="H71" s="110" t="s">
        <v>6</v>
      </c>
      <c r="I71" s="110" t="s">
        <v>7</v>
      </c>
      <c r="J71" s="14"/>
      <c r="K71" s="14"/>
      <c r="L71" s="14"/>
      <c r="M71" s="14"/>
      <c r="N71" s="14"/>
      <c r="O71" s="14"/>
      <c r="P71" s="14"/>
      <c r="Q71" s="47"/>
      <c r="R71" s="19"/>
      <c r="S71" s="14"/>
      <c r="T71" s="19"/>
      <c r="U71" s="59"/>
      <c r="V71" s="14"/>
      <c r="W71" s="14"/>
      <c r="X71" s="109" t="s">
        <v>14</v>
      </c>
      <c r="Y71" s="110" t="s">
        <v>6</v>
      </c>
      <c r="Z71" s="110" t="s">
        <v>7</v>
      </c>
      <c r="AA71" s="56"/>
      <c r="AB71" s="14"/>
      <c r="AC71" s="14"/>
      <c r="AD71" s="14"/>
      <c r="AE71" s="14"/>
      <c r="AF71" s="47"/>
      <c r="AG71" s="19"/>
      <c r="AH71" s="14"/>
      <c r="AI71" s="19"/>
      <c r="AJ71" s="59"/>
      <c r="AK71" s="14"/>
      <c r="AL71" s="14"/>
      <c r="AM71" s="109" t="s">
        <v>14</v>
      </c>
      <c r="AN71" s="110" t="s">
        <v>6</v>
      </c>
      <c r="AO71" s="110" t="s">
        <v>7</v>
      </c>
      <c r="AP71" s="56"/>
      <c r="AQ71" s="14"/>
      <c r="AR71" s="14"/>
      <c r="AS71" s="14"/>
      <c r="AT71" s="14"/>
      <c r="AU71" s="47"/>
      <c r="AV71" s="14"/>
      <c r="AW71" s="14"/>
      <c r="AX71" s="19"/>
      <c r="AY71" s="59"/>
      <c r="AZ71" s="14"/>
      <c r="BA71" s="14"/>
      <c r="BB71" s="109" t="s">
        <v>14</v>
      </c>
      <c r="BC71" s="110" t="s">
        <v>6</v>
      </c>
      <c r="BD71" s="110" t="s">
        <v>7</v>
      </c>
      <c r="BE71" s="56"/>
      <c r="BF71" s="14"/>
      <c r="BG71" s="14"/>
      <c r="BH71" s="14"/>
      <c r="BI71" s="14"/>
      <c r="BJ71" s="47"/>
      <c r="BK71" s="19"/>
      <c r="BL71" s="14"/>
      <c r="BM71" s="19"/>
      <c r="BN71" s="59"/>
      <c r="BO71" s="14"/>
      <c r="BP71" s="14"/>
      <c r="BQ71" s="109" t="s">
        <v>14</v>
      </c>
      <c r="BR71" s="110" t="s">
        <v>6</v>
      </c>
      <c r="BS71" s="110" t="s">
        <v>7</v>
      </c>
      <c r="BT71" s="56"/>
      <c r="BU71" s="14"/>
      <c r="BV71" s="14"/>
      <c r="BW71" s="14"/>
      <c r="BX71" s="14"/>
      <c r="BY71" s="47"/>
      <c r="BZ71" s="14"/>
      <c r="CA71" s="86"/>
      <c r="CB71" s="111"/>
      <c r="CC71" s="111"/>
      <c r="CD71" s="179"/>
      <c r="CE71" s="179"/>
      <c r="CF71" s="108"/>
      <c r="CG71" s="29"/>
      <c r="CH71" s="109"/>
      <c r="CI71" s="109"/>
      <c r="CJ71" s="109"/>
      <c r="CK71" s="109"/>
      <c r="CL71" s="109"/>
      <c r="CM71" s="109"/>
      <c r="CN71" s="109"/>
      <c r="CO71" s="329"/>
      <c r="CP71" s="14"/>
      <c r="CQ71" s="47"/>
      <c r="CR71" s="14"/>
      <c r="CS71" s="107"/>
      <c r="CT71" s="27"/>
      <c r="CU71" s="37"/>
      <c r="CV71" s="37"/>
      <c r="CW71" s="37"/>
      <c r="CX71" s="37"/>
      <c r="CY71" s="29"/>
      <c r="CZ71" s="106"/>
      <c r="DA71" s="27"/>
      <c r="DB71" s="27"/>
      <c r="DC71" s="27"/>
      <c r="DD71" s="27"/>
      <c r="DE71" s="27"/>
      <c r="DF71" s="27"/>
      <c r="DG71" s="141" t="str">
        <f t="shared" si="20"/>
        <v/>
      </c>
      <c r="DH71" s="14"/>
      <c r="DI71" s="47"/>
      <c r="DJ71" s="14"/>
      <c r="DK71" s="62"/>
      <c r="DL71" s="19"/>
      <c r="DM71" s="59"/>
      <c r="DN71" s="14"/>
      <c r="DO71" s="14"/>
      <c r="DP71" s="109" t="s">
        <v>14</v>
      </c>
      <c r="DQ71" s="110" t="s">
        <v>6</v>
      </c>
      <c r="DR71" s="110" t="s">
        <v>7</v>
      </c>
      <c r="DS71" s="14"/>
      <c r="DT71" s="14"/>
      <c r="DU71" s="14"/>
      <c r="DV71" s="14"/>
      <c r="DW71" s="14"/>
      <c r="DX71" s="14"/>
      <c r="DY71" s="14"/>
      <c r="DZ71" s="14"/>
      <c r="EA71" s="14"/>
      <c r="EB71" s="14"/>
      <c r="EC71" s="14"/>
      <c r="ED71" s="14"/>
      <c r="EE71" s="14"/>
      <c r="EF71" s="14"/>
      <c r="EG71" s="14"/>
      <c r="EH71" s="14"/>
      <c r="EI71" s="14"/>
      <c r="EJ71" s="14"/>
      <c r="EK71" s="14"/>
      <c r="EL71" s="14"/>
    </row>
    <row r="72" spans="1:142" x14ac:dyDescent="0.25">
      <c r="A72" s="14"/>
      <c r="B72" s="62"/>
      <c r="C72" s="19"/>
      <c r="D72" s="59"/>
      <c r="E72" s="14"/>
      <c r="F72" s="14"/>
      <c r="G72" s="107" t="s">
        <v>34</v>
      </c>
      <c r="H72" s="27">
        <f>COUNTIFS(S26_stakeholder_category,"FO",Response_Q156_1,G72)</f>
        <v>3</v>
      </c>
      <c r="I72" s="41">
        <f>IFERROR(H72/H$77,"")</f>
        <v>1</v>
      </c>
      <c r="J72" s="14"/>
      <c r="K72" s="14"/>
      <c r="L72" s="14"/>
      <c r="M72" s="14"/>
      <c r="N72" s="14"/>
      <c r="O72" s="14"/>
      <c r="P72" s="14"/>
      <c r="Q72" s="47"/>
      <c r="R72" s="19"/>
      <c r="S72" s="62"/>
      <c r="T72" s="19"/>
      <c r="U72" s="59"/>
      <c r="V72" s="14"/>
      <c r="W72" s="14"/>
      <c r="X72" s="107" t="s">
        <v>5</v>
      </c>
      <c r="Y72" s="27">
        <f t="shared" ref="Y72:Y78" si="32">COUNTIFS(S26_stakeholder_category,"FO",Response_Q160_1,X72)</f>
        <v>1</v>
      </c>
      <c r="Z72" s="41">
        <f t="shared" ref="Z72:Z79" si="33">IFERROR(Y72/Y$79,0)</f>
        <v>0.33333333333333331</v>
      </c>
      <c r="AA72" s="19"/>
      <c r="AB72" s="14"/>
      <c r="AC72" s="14"/>
      <c r="AD72" s="14"/>
      <c r="AE72" s="14"/>
      <c r="AF72" s="47"/>
      <c r="AG72" s="19"/>
      <c r="AH72" s="62"/>
      <c r="AI72" s="19"/>
      <c r="AJ72" s="59"/>
      <c r="AK72" s="14"/>
      <c r="AL72" s="14"/>
      <c r="AM72" s="107" t="s">
        <v>5</v>
      </c>
      <c r="AN72" s="27">
        <f t="shared" ref="AN72:AN78" si="34">COUNTIFS(S26_stakeholder_category,"FO",Response_26_CaseA,AM72)</f>
        <v>3</v>
      </c>
      <c r="AO72" s="41">
        <f>IFERROR(AN72/AN$79,0)</f>
        <v>0.75</v>
      </c>
      <c r="AP72" s="19"/>
      <c r="AQ72" s="14"/>
      <c r="AR72" s="14"/>
      <c r="AS72" s="14"/>
      <c r="AT72" s="14"/>
      <c r="AU72" s="47"/>
      <c r="AV72" s="14"/>
      <c r="AW72" s="62"/>
      <c r="AX72" s="19"/>
      <c r="AY72" s="59"/>
      <c r="AZ72" s="14"/>
      <c r="BA72" s="14"/>
      <c r="BB72" s="107" t="s">
        <v>5</v>
      </c>
      <c r="BC72" s="27">
        <f t="shared" ref="BC72:BC78" si="35">COUNTIFS(S26_stakeholder_category,"FO",Response_26_CaseB,BB72)</f>
        <v>3</v>
      </c>
      <c r="BD72" s="41">
        <f>IFERROR(BC72/BC$79,0)</f>
        <v>0.75</v>
      </c>
      <c r="BE72" s="19"/>
      <c r="BF72" s="14"/>
      <c r="BG72" s="14"/>
      <c r="BH72" s="14"/>
      <c r="BI72" s="14"/>
      <c r="BJ72" s="47"/>
      <c r="BK72" s="19"/>
      <c r="BL72" s="62"/>
      <c r="BM72" s="19"/>
      <c r="BN72" s="59"/>
      <c r="BO72" s="14"/>
      <c r="BP72" s="14"/>
      <c r="BQ72" s="107" t="s">
        <v>5</v>
      </c>
      <c r="BR72" s="27">
        <f t="shared" ref="BR72:BR78" si="36">COUNTIFS(S26_stakeholder_category,"FO",Response_26_CaseC,BQ72)</f>
        <v>3</v>
      </c>
      <c r="BS72" s="41">
        <f>IFERROR(BR72/BR$79,0)</f>
        <v>0.75</v>
      </c>
      <c r="BT72" s="19"/>
      <c r="BU72" s="14"/>
      <c r="BV72" s="14"/>
      <c r="BW72" s="14"/>
      <c r="BX72" s="14"/>
      <c r="BY72" s="47"/>
      <c r="BZ72" s="14"/>
      <c r="CA72" s="14"/>
      <c r="CB72" s="21"/>
      <c r="CC72" s="21"/>
      <c r="CD72" s="180"/>
      <c r="CE72" s="181"/>
      <c r="CF72" s="31"/>
      <c r="CG72" s="52"/>
      <c r="CH72" s="52"/>
      <c r="CI72" s="99"/>
      <c r="CJ72" s="14"/>
      <c r="CK72" s="14"/>
      <c r="CL72" s="14"/>
      <c r="CM72" s="14"/>
      <c r="CN72" s="14"/>
      <c r="CO72" s="129"/>
      <c r="CP72" s="14"/>
      <c r="CQ72" s="47"/>
      <c r="CR72" s="14"/>
      <c r="CS72" s="86"/>
      <c r="CT72" s="111"/>
      <c r="CU72" s="86"/>
      <c r="CV72" s="179"/>
      <c r="CW72" s="188"/>
      <c r="CX72" s="179"/>
      <c r="CY72" s="29"/>
      <c r="CZ72" s="109"/>
      <c r="DA72" s="109"/>
      <c r="DB72" s="109"/>
      <c r="DC72" s="109"/>
      <c r="DD72" s="109"/>
      <c r="DE72" s="109"/>
      <c r="DF72" s="109"/>
      <c r="DG72" s="329"/>
      <c r="DH72" s="14"/>
      <c r="DI72" s="47"/>
      <c r="DJ72" s="14"/>
      <c r="DK72" s="62"/>
      <c r="DL72" s="19"/>
      <c r="DM72" s="59"/>
      <c r="DN72" s="14"/>
      <c r="DO72" s="14"/>
      <c r="DP72" s="107" t="s">
        <v>34</v>
      </c>
      <c r="DQ72" s="27">
        <f>COUNTIFS(S26_stakeholder_category,"FO",Response_Q156_1,DP72,Response_Q156_1,"&lt;&gt;0")</f>
        <v>3</v>
      </c>
      <c r="DR72" s="41">
        <f>IF(DQ77=0,"",DQ72/DQ77)</f>
        <v>1</v>
      </c>
      <c r="DS72" s="14"/>
      <c r="DT72" s="14"/>
      <c r="DU72" s="14"/>
      <c r="DV72" s="14"/>
      <c r="DW72" s="14"/>
      <c r="DX72" s="14"/>
      <c r="DY72" s="14"/>
      <c r="DZ72" s="14"/>
      <c r="EA72" s="14"/>
      <c r="EB72" s="14"/>
      <c r="EC72" s="14"/>
      <c r="ED72" s="14"/>
      <c r="EE72" s="14"/>
      <c r="EF72" s="14"/>
      <c r="EG72" s="14"/>
      <c r="EH72" s="14"/>
      <c r="EI72" s="14"/>
      <c r="EJ72" s="14"/>
      <c r="EK72" s="14"/>
      <c r="EL72" s="14"/>
    </row>
    <row r="73" spans="1:142" x14ac:dyDescent="0.25">
      <c r="A73" s="14"/>
      <c r="B73" s="62"/>
      <c r="C73" s="19"/>
      <c r="D73" s="59"/>
      <c r="E73" s="14"/>
      <c r="F73" s="14"/>
      <c r="G73" s="107" t="s">
        <v>35</v>
      </c>
      <c r="H73" s="27">
        <f>COUNTIFS(S26_stakeholder_category,"FO",Response_Q156_1,G73)</f>
        <v>0</v>
      </c>
      <c r="I73" s="41">
        <f t="shared" ref="I73:I77" si="37">IFERROR(H73/H$77,"")</f>
        <v>0</v>
      </c>
      <c r="J73" s="14"/>
      <c r="K73" s="14"/>
      <c r="L73" s="14"/>
      <c r="M73" s="14"/>
      <c r="N73" s="14"/>
      <c r="O73" s="14"/>
      <c r="P73" s="14"/>
      <c r="Q73" s="47"/>
      <c r="R73" s="19"/>
      <c r="S73" s="62"/>
      <c r="T73" s="19"/>
      <c r="U73" s="59"/>
      <c r="V73" s="14"/>
      <c r="W73" s="14"/>
      <c r="X73" s="107" t="s">
        <v>4</v>
      </c>
      <c r="Y73" s="27">
        <f t="shared" si="32"/>
        <v>1</v>
      </c>
      <c r="Z73" s="41">
        <f t="shared" si="33"/>
        <v>0.33333333333333331</v>
      </c>
      <c r="AA73" s="19"/>
      <c r="AB73" s="14"/>
      <c r="AC73" s="14"/>
      <c r="AD73" s="14"/>
      <c r="AE73" s="14"/>
      <c r="AF73" s="47"/>
      <c r="AG73" s="19"/>
      <c r="AH73" s="62"/>
      <c r="AI73" s="19"/>
      <c r="AJ73" s="59"/>
      <c r="AK73" s="14"/>
      <c r="AL73" s="14"/>
      <c r="AM73" s="107" t="s">
        <v>4</v>
      </c>
      <c r="AN73" s="27">
        <f t="shared" si="34"/>
        <v>1</v>
      </c>
      <c r="AO73" s="41">
        <f t="shared" ref="AO73:AO79" si="38">IFERROR(AN73/AN$79,0)</f>
        <v>0.25</v>
      </c>
      <c r="AP73" s="19"/>
      <c r="AQ73" s="14"/>
      <c r="AR73" s="14"/>
      <c r="AS73" s="14"/>
      <c r="AT73" s="14"/>
      <c r="AU73" s="47"/>
      <c r="AV73" s="14"/>
      <c r="AW73" s="62"/>
      <c r="AX73" s="19"/>
      <c r="AY73" s="59"/>
      <c r="AZ73" s="14"/>
      <c r="BA73" s="14"/>
      <c r="BB73" s="107" t="s">
        <v>4</v>
      </c>
      <c r="BC73" s="27">
        <f t="shared" si="35"/>
        <v>1</v>
      </c>
      <c r="BD73" s="41">
        <f t="shared" ref="BD73:BD79" si="39">IFERROR(BC73/BC$79,0)</f>
        <v>0.25</v>
      </c>
      <c r="BE73" s="19"/>
      <c r="BF73" s="14"/>
      <c r="BG73" s="14"/>
      <c r="BH73" s="14"/>
      <c r="BI73" s="14"/>
      <c r="BJ73" s="47"/>
      <c r="BK73" s="19"/>
      <c r="BL73" s="62"/>
      <c r="BM73" s="19"/>
      <c r="BN73" s="59"/>
      <c r="BO73" s="14"/>
      <c r="BP73" s="14"/>
      <c r="BQ73" s="107" t="s">
        <v>4</v>
      </c>
      <c r="BR73" s="27">
        <f t="shared" si="36"/>
        <v>1</v>
      </c>
      <c r="BS73" s="41">
        <f t="shared" ref="BS73:BS79" si="40">IFERROR(BR73/BR$79,0)</f>
        <v>0.25</v>
      </c>
      <c r="BT73" s="19"/>
      <c r="BU73" s="14"/>
      <c r="BV73" s="14"/>
      <c r="BW73" s="14"/>
      <c r="BX73" s="14"/>
      <c r="BY73" s="47"/>
      <c r="BZ73" s="14"/>
      <c r="CA73" s="14"/>
      <c r="CB73" s="21"/>
      <c r="CC73" s="21"/>
      <c r="CD73" s="180"/>
      <c r="CE73" s="181"/>
      <c r="CF73" s="31"/>
      <c r="CG73" s="52"/>
      <c r="CH73" s="52"/>
      <c r="CI73" s="99"/>
      <c r="CJ73" s="14"/>
      <c r="CK73" s="14"/>
      <c r="CL73" s="14"/>
      <c r="CM73" s="14"/>
      <c r="CN73" s="14"/>
      <c r="CO73" s="129"/>
      <c r="CP73" s="14"/>
      <c r="CQ73" s="47"/>
      <c r="CR73" s="14"/>
      <c r="CS73" s="14"/>
      <c r="CT73" s="14"/>
      <c r="CU73" s="14"/>
      <c r="CV73" s="180"/>
      <c r="CW73" s="190"/>
      <c r="CX73" s="191"/>
      <c r="CY73" s="52"/>
      <c r="CZ73" s="52"/>
      <c r="DA73" s="54"/>
      <c r="DB73" s="19"/>
      <c r="DC73" s="19"/>
      <c r="DD73" s="19"/>
      <c r="DE73" s="19"/>
      <c r="DF73" s="19"/>
      <c r="DG73" s="260"/>
      <c r="DH73" s="14"/>
      <c r="DI73" s="47"/>
      <c r="DJ73" s="14"/>
      <c r="DK73" s="62"/>
      <c r="DL73" s="19"/>
      <c r="DM73" s="59"/>
      <c r="DN73" s="14"/>
      <c r="DO73" s="14"/>
      <c r="DP73" s="107" t="s">
        <v>35</v>
      </c>
      <c r="DQ73" s="27">
        <f>COUNTIFS(S26_stakeholder_category,"FO",Response_Q156_1,DP73,Response_Q156_1,"&lt;&gt;0")</f>
        <v>0</v>
      </c>
      <c r="DR73" s="41">
        <f>IF(DQ77=0,"",DQ73/DQ77)</f>
        <v>0</v>
      </c>
      <c r="DS73" s="14"/>
      <c r="DT73" s="14"/>
      <c r="DU73" s="14"/>
      <c r="DV73" s="14"/>
      <c r="DW73" s="14"/>
      <c r="DX73" s="14"/>
      <c r="DY73" s="14"/>
      <c r="DZ73" s="14"/>
      <c r="EA73" s="14"/>
      <c r="EB73" s="14"/>
      <c r="EC73" s="14"/>
      <c r="ED73" s="14"/>
      <c r="EE73" s="14"/>
      <c r="EF73" s="14"/>
      <c r="EG73" s="14"/>
      <c r="EH73" s="14"/>
      <c r="EI73" s="14"/>
      <c r="EJ73" s="14"/>
      <c r="EK73" s="14"/>
      <c r="EL73" s="14"/>
    </row>
    <row r="74" spans="1:142" x14ac:dyDescent="0.25">
      <c r="A74" s="14"/>
      <c r="B74" s="62"/>
      <c r="C74" s="19"/>
      <c r="D74" s="59"/>
      <c r="E74" s="14"/>
      <c r="F74" s="14"/>
      <c r="G74" s="107" t="s">
        <v>36</v>
      </c>
      <c r="H74" s="27">
        <f>COUNTIFS(S26_stakeholder_category,"FO",Response_Q156_1,G74)</f>
        <v>0</v>
      </c>
      <c r="I74" s="41">
        <f t="shared" si="37"/>
        <v>0</v>
      </c>
      <c r="J74" s="14"/>
      <c r="K74" s="14"/>
      <c r="L74" s="14"/>
      <c r="M74" s="14"/>
      <c r="N74" s="14"/>
      <c r="O74" s="14"/>
      <c r="P74" s="14"/>
      <c r="Q74" s="47"/>
      <c r="R74" s="19"/>
      <c r="S74" s="62"/>
      <c r="T74" s="19"/>
      <c r="U74" s="59"/>
      <c r="V74" s="14"/>
      <c r="W74" s="14"/>
      <c r="X74" s="107" t="s">
        <v>33</v>
      </c>
      <c r="Y74" s="27">
        <f t="shared" si="32"/>
        <v>0</v>
      </c>
      <c r="Z74" s="41">
        <f t="shared" si="33"/>
        <v>0</v>
      </c>
      <c r="AA74" s="19"/>
      <c r="AB74" s="14"/>
      <c r="AC74" s="14"/>
      <c r="AD74" s="14"/>
      <c r="AE74" s="14"/>
      <c r="AF74" s="47"/>
      <c r="AG74" s="19"/>
      <c r="AH74" s="62"/>
      <c r="AI74" s="19"/>
      <c r="AJ74" s="59"/>
      <c r="AK74" s="14"/>
      <c r="AL74" s="14"/>
      <c r="AM74" s="107" t="s">
        <v>33</v>
      </c>
      <c r="AN74" s="27">
        <f t="shared" si="34"/>
        <v>0</v>
      </c>
      <c r="AO74" s="41">
        <f t="shared" si="38"/>
        <v>0</v>
      </c>
      <c r="AP74" s="19"/>
      <c r="AQ74" s="14"/>
      <c r="AR74" s="14"/>
      <c r="AS74" s="14"/>
      <c r="AT74" s="14"/>
      <c r="AU74" s="47"/>
      <c r="AV74" s="14"/>
      <c r="AW74" s="62"/>
      <c r="AX74" s="19"/>
      <c r="AY74" s="59"/>
      <c r="AZ74" s="14"/>
      <c r="BA74" s="14"/>
      <c r="BB74" s="107" t="s">
        <v>33</v>
      </c>
      <c r="BC74" s="27">
        <f t="shared" si="35"/>
        <v>0</v>
      </c>
      <c r="BD74" s="41">
        <f t="shared" si="39"/>
        <v>0</v>
      </c>
      <c r="BE74" s="19"/>
      <c r="BF74" s="14"/>
      <c r="BG74" s="14"/>
      <c r="BH74" s="14"/>
      <c r="BI74" s="14"/>
      <c r="BJ74" s="47"/>
      <c r="BK74" s="19"/>
      <c r="BL74" s="62"/>
      <c r="BM74" s="19"/>
      <c r="BN74" s="59"/>
      <c r="BO74" s="14"/>
      <c r="BP74" s="14"/>
      <c r="BQ74" s="107" t="s">
        <v>33</v>
      </c>
      <c r="BR74" s="27">
        <f t="shared" si="36"/>
        <v>0</v>
      </c>
      <c r="BS74" s="41">
        <f t="shared" si="40"/>
        <v>0</v>
      </c>
      <c r="BT74" s="19"/>
      <c r="BU74" s="14"/>
      <c r="BV74" s="14"/>
      <c r="BW74" s="14"/>
      <c r="BX74" s="14"/>
      <c r="BY74" s="47"/>
      <c r="BZ74" s="14"/>
      <c r="CA74" s="14"/>
      <c r="CB74" s="21"/>
      <c r="CC74" s="21"/>
      <c r="CD74" s="180"/>
      <c r="CE74" s="181"/>
      <c r="CF74" s="31"/>
      <c r="CG74" s="52"/>
      <c r="CH74" s="52"/>
      <c r="CI74" s="99"/>
      <c r="CJ74" s="14"/>
      <c r="CK74" s="14"/>
      <c r="CL74" s="14"/>
      <c r="CM74" s="14"/>
      <c r="CN74" s="14"/>
      <c r="CO74" s="129"/>
      <c r="CP74" s="14"/>
      <c r="CQ74" s="47"/>
      <c r="CR74" s="14"/>
      <c r="CS74" s="14"/>
      <c r="CT74" s="14"/>
      <c r="CU74" s="14"/>
      <c r="CV74" s="180"/>
      <c r="CW74" s="190"/>
      <c r="CX74" s="191"/>
      <c r="CY74" s="52"/>
      <c r="CZ74" s="52"/>
      <c r="DA74" s="54"/>
      <c r="DB74" s="19"/>
      <c r="DC74" s="19"/>
      <c r="DD74" s="19"/>
      <c r="DE74" s="19"/>
      <c r="DF74" s="19"/>
      <c r="DG74" s="260"/>
      <c r="DH74" s="14"/>
      <c r="DI74" s="47"/>
      <c r="DJ74" s="14"/>
      <c r="DK74" s="62"/>
      <c r="DL74" s="19"/>
      <c r="DM74" s="59"/>
      <c r="DN74" s="14"/>
      <c r="DO74" s="14"/>
      <c r="DP74" s="107" t="s">
        <v>36</v>
      </c>
      <c r="DQ74" s="27">
        <f>COUNTIFS(S26_stakeholder_category,"FO",Response_Q156_1,DP74,Response_Q156_1,"&lt;&gt;0")</f>
        <v>0</v>
      </c>
      <c r="DR74" s="41">
        <f>IF(DQ77=0,"",DQ74/DQ77)</f>
        <v>0</v>
      </c>
      <c r="DS74" s="14"/>
      <c r="DT74" s="14"/>
      <c r="DU74" s="14"/>
      <c r="DV74" s="14"/>
      <c r="DW74" s="14"/>
      <c r="DX74" s="14"/>
      <c r="DY74" s="14"/>
      <c r="DZ74" s="14"/>
      <c r="EA74" s="14"/>
      <c r="EB74" s="14"/>
      <c r="EC74" s="14"/>
      <c r="ED74" s="14"/>
      <c r="EE74" s="14"/>
      <c r="EF74" s="14"/>
      <c r="EG74" s="14"/>
      <c r="EH74" s="14"/>
      <c r="EI74" s="14"/>
      <c r="EJ74" s="14"/>
      <c r="EK74" s="14"/>
      <c r="EL74" s="14"/>
    </row>
    <row r="75" spans="1:142" x14ac:dyDescent="0.25">
      <c r="A75" s="14"/>
      <c r="B75" s="62"/>
      <c r="C75" s="19"/>
      <c r="D75" s="59"/>
      <c r="E75" s="14"/>
      <c r="F75" s="14"/>
      <c r="G75" s="107" t="s">
        <v>38</v>
      </c>
      <c r="H75" s="27">
        <f>COUNTIFS(S26_stakeholder_category,"FO",Response_Q156_1,G75)</f>
        <v>0</v>
      </c>
      <c r="I75" s="41">
        <f t="shared" si="37"/>
        <v>0</v>
      </c>
      <c r="J75" s="14"/>
      <c r="K75" s="14"/>
      <c r="L75" s="14"/>
      <c r="M75" s="14"/>
      <c r="N75" s="14"/>
      <c r="O75" s="14"/>
      <c r="P75" s="14"/>
      <c r="Q75" s="47"/>
      <c r="R75" s="19"/>
      <c r="S75" s="62"/>
      <c r="T75" s="19"/>
      <c r="U75" s="59"/>
      <c r="V75" s="14"/>
      <c r="W75" s="14"/>
      <c r="X75" s="107" t="s">
        <v>29</v>
      </c>
      <c r="Y75" s="27">
        <f t="shared" si="32"/>
        <v>1</v>
      </c>
      <c r="Z75" s="41">
        <f t="shared" si="33"/>
        <v>0.33333333333333331</v>
      </c>
      <c r="AA75" s="19"/>
      <c r="AB75" s="14"/>
      <c r="AC75" s="14"/>
      <c r="AD75" s="14"/>
      <c r="AE75" s="14"/>
      <c r="AF75" s="47"/>
      <c r="AG75" s="19"/>
      <c r="AH75" s="62"/>
      <c r="AI75" s="19"/>
      <c r="AJ75" s="59"/>
      <c r="AK75" s="14"/>
      <c r="AL75" s="14"/>
      <c r="AM75" s="107" t="s">
        <v>29</v>
      </c>
      <c r="AN75" s="27">
        <f t="shared" si="34"/>
        <v>0</v>
      </c>
      <c r="AO75" s="41">
        <f t="shared" si="38"/>
        <v>0</v>
      </c>
      <c r="AP75" s="19"/>
      <c r="AQ75" s="14"/>
      <c r="AR75" s="14"/>
      <c r="AS75" s="14"/>
      <c r="AT75" s="14"/>
      <c r="AU75" s="47"/>
      <c r="AV75" s="14"/>
      <c r="AW75" s="62"/>
      <c r="AX75" s="19"/>
      <c r="AY75" s="59"/>
      <c r="AZ75" s="14"/>
      <c r="BA75" s="14"/>
      <c r="BB75" s="107" t="s">
        <v>29</v>
      </c>
      <c r="BC75" s="27">
        <f t="shared" si="35"/>
        <v>0</v>
      </c>
      <c r="BD75" s="41">
        <f t="shared" si="39"/>
        <v>0</v>
      </c>
      <c r="BE75" s="19"/>
      <c r="BF75" s="14"/>
      <c r="BG75" s="14"/>
      <c r="BH75" s="14"/>
      <c r="BI75" s="14"/>
      <c r="BJ75" s="47"/>
      <c r="BK75" s="19"/>
      <c r="BL75" s="62"/>
      <c r="BM75" s="19"/>
      <c r="BN75" s="59"/>
      <c r="BO75" s="14"/>
      <c r="BP75" s="14"/>
      <c r="BQ75" s="107" t="s">
        <v>29</v>
      </c>
      <c r="BR75" s="27">
        <f t="shared" si="36"/>
        <v>0</v>
      </c>
      <c r="BS75" s="41">
        <f t="shared" si="40"/>
        <v>0</v>
      </c>
      <c r="BT75" s="19"/>
      <c r="BU75" s="14"/>
      <c r="BV75" s="14"/>
      <c r="BW75" s="14"/>
      <c r="BX75" s="14"/>
      <c r="BY75" s="47"/>
      <c r="BZ75" s="14"/>
      <c r="CA75" s="14"/>
      <c r="CB75" s="21"/>
      <c r="CC75" s="21"/>
      <c r="CD75" s="180"/>
      <c r="CE75" s="181"/>
      <c r="CF75" s="31"/>
      <c r="CG75" s="52"/>
      <c r="CH75" s="52"/>
      <c r="CI75" s="99"/>
      <c r="CJ75" s="14"/>
      <c r="CK75" s="14"/>
      <c r="CL75" s="14"/>
      <c r="CM75" s="14"/>
      <c r="CN75" s="14"/>
      <c r="CO75" s="129"/>
      <c r="CP75" s="14"/>
      <c r="CQ75" s="47"/>
      <c r="CR75" s="14"/>
      <c r="CS75" s="14"/>
      <c r="CT75" s="14"/>
      <c r="CU75" s="14"/>
      <c r="CV75" s="180"/>
      <c r="CW75" s="190"/>
      <c r="CX75" s="191"/>
      <c r="CY75" s="52"/>
      <c r="CZ75" s="52"/>
      <c r="DA75" s="54"/>
      <c r="DB75" s="19"/>
      <c r="DC75" s="19"/>
      <c r="DD75" s="19"/>
      <c r="DE75" s="19"/>
      <c r="DF75" s="19"/>
      <c r="DG75" s="260"/>
      <c r="DH75" s="14"/>
      <c r="DI75" s="47"/>
      <c r="DJ75" s="14"/>
      <c r="DK75" s="62"/>
      <c r="DL75" s="19"/>
      <c r="DM75" s="59"/>
      <c r="DN75" s="14"/>
      <c r="DO75" s="14"/>
      <c r="DP75" s="107" t="s">
        <v>38</v>
      </c>
      <c r="DQ75" s="27">
        <f>COUNTIFS(S26_stakeholder_category,"FO",Response_Q156_1,DP75,Response_Q156_1,"&lt;&gt;0")</f>
        <v>0</v>
      </c>
      <c r="DR75" s="41">
        <f>IF(DQ77=0,"",DQ75/DQ77)</f>
        <v>0</v>
      </c>
      <c r="DS75" s="14"/>
      <c r="DT75" s="14"/>
      <c r="DU75" s="14"/>
      <c r="DV75" s="14"/>
      <c r="DW75" s="14"/>
      <c r="DX75" s="14"/>
      <c r="DY75" s="14"/>
      <c r="DZ75" s="14"/>
      <c r="EA75" s="14"/>
      <c r="EB75" s="14"/>
      <c r="EC75" s="14"/>
      <c r="ED75" s="14"/>
      <c r="EE75" s="14"/>
      <c r="EF75" s="14"/>
      <c r="EG75" s="14"/>
      <c r="EH75" s="14"/>
      <c r="EI75" s="14"/>
      <c r="EJ75" s="14"/>
      <c r="EK75" s="14"/>
      <c r="EL75" s="14"/>
    </row>
    <row r="76" spans="1:142" x14ac:dyDescent="0.25">
      <c r="A76" s="14"/>
      <c r="B76" s="62"/>
      <c r="C76" s="19"/>
      <c r="D76" s="59"/>
      <c r="E76" s="14"/>
      <c r="F76" s="14"/>
      <c r="G76" s="107" t="s">
        <v>39</v>
      </c>
      <c r="H76" s="27">
        <f>COUNTIFS(S26_stakeholder_category,"FO",Response_Q156_1,G76)</f>
        <v>0</v>
      </c>
      <c r="I76" s="41">
        <f t="shared" si="37"/>
        <v>0</v>
      </c>
      <c r="J76" s="14"/>
      <c r="K76" s="14"/>
      <c r="L76" s="14"/>
      <c r="M76" s="14"/>
      <c r="N76" s="14"/>
      <c r="O76" s="14"/>
      <c r="P76" s="14"/>
      <c r="Q76" s="47"/>
      <c r="R76" s="19"/>
      <c r="S76" s="62"/>
      <c r="T76" s="19"/>
      <c r="U76" s="59"/>
      <c r="V76" s="14"/>
      <c r="W76" s="14"/>
      <c r="X76" s="107" t="s">
        <v>3</v>
      </c>
      <c r="Y76" s="27">
        <f t="shared" si="32"/>
        <v>0</v>
      </c>
      <c r="Z76" s="41">
        <f t="shared" si="33"/>
        <v>0</v>
      </c>
      <c r="AA76" s="19"/>
      <c r="AB76" s="14"/>
      <c r="AC76" s="14"/>
      <c r="AD76" s="14"/>
      <c r="AE76" s="14"/>
      <c r="AF76" s="47"/>
      <c r="AG76" s="19"/>
      <c r="AH76" s="62"/>
      <c r="AI76" s="19"/>
      <c r="AJ76" s="59"/>
      <c r="AK76" s="14"/>
      <c r="AL76" s="14"/>
      <c r="AM76" s="107" t="s">
        <v>3</v>
      </c>
      <c r="AN76" s="27">
        <f t="shared" si="34"/>
        <v>0</v>
      </c>
      <c r="AO76" s="41">
        <f t="shared" si="38"/>
        <v>0</v>
      </c>
      <c r="AP76" s="19"/>
      <c r="AQ76" s="14"/>
      <c r="AR76" s="14"/>
      <c r="AS76" s="14"/>
      <c r="AT76" s="14"/>
      <c r="AU76" s="47"/>
      <c r="AV76" s="14"/>
      <c r="AW76" s="62"/>
      <c r="AX76" s="19"/>
      <c r="AY76" s="59"/>
      <c r="AZ76" s="14"/>
      <c r="BA76" s="14"/>
      <c r="BB76" s="107" t="s">
        <v>3</v>
      </c>
      <c r="BC76" s="27">
        <f t="shared" si="35"/>
        <v>0</v>
      </c>
      <c r="BD76" s="41">
        <f t="shared" si="39"/>
        <v>0</v>
      </c>
      <c r="BE76" s="19"/>
      <c r="BF76" s="14"/>
      <c r="BG76" s="14"/>
      <c r="BH76" s="14"/>
      <c r="BI76" s="14"/>
      <c r="BJ76" s="47"/>
      <c r="BK76" s="19"/>
      <c r="BL76" s="62"/>
      <c r="BM76" s="19"/>
      <c r="BN76" s="59"/>
      <c r="BO76" s="14"/>
      <c r="BP76" s="14"/>
      <c r="BQ76" s="107" t="s">
        <v>3</v>
      </c>
      <c r="BR76" s="27">
        <f t="shared" si="36"/>
        <v>0</v>
      </c>
      <c r="BS76" s="41">
        <f t="shared" si="40"/>
        <v>0</v>
      </c>
      <c r="BT76" s="19"/>
      <c r="BU76" s="14"/>
      <c r="BV76" s="14"/>
      <c r="BW76" s="14"/>
      <c r="BX76" s="14"/>
      <c r="BY76" s="47"/>
      <c r="BZ76" s="14"/>
      <c r="CA76" s="14"/>
      <c r="CB76" s="21"/>
      <c r="CC76" s="21"/>
      <c r="CD76" s="180"/>
      <c r="CE76" s="181"/>
      <c r="CF76" s="31"/>
      <c r="CG76" s="52"/>
      <c r="CH76" s="52"/>
      <c r="CI76" s="99"/>
      <c r="CJ76" s="14"/>
      <c r="CK76" s="14"/>
      <c r="CL76" s="14"/>
      <c r="CM76" s="14"/>
      <c r="CN76" s="14"/>
      <c r="CO76" s="129"/>
      <c r="CP76" s="14"/>
      <c r="CQ76" s="47"/>
      <c r="CR76" s="14"/>
      <c r="CS76" s="14"/>
      <c r="CT76" s="14"/>
      <c r="CU76" s="14"/>
      <c r="CV76" s="180"/>
      <c r="CW76" s="190"/>
      <c r="CX76" s="191"/>
      <c r="CY76" s="52"/>
      <c r="CZ76" s="52"/>
      <c r="DA76" s="54"/>
      <c r="DB76" s="19"/>
      <c r="DC76" s="19"/>
      <c r="DD76" s="19"/>
      <c r="DE76" s="19"/>
      <c r="DF76" s="19"/>
      <c r="DG76" s="260"/>
      <c r="DH76" s="14"/>
      <c r="DI76" s="47"/>
      <c r="DJ76" s="14"/>
      <c r="DK76" s="62"/>
      <c r="DL76" s="19"/>
      <c r="DM76" s="59"/>
      <c r="DN76" s="14"/>
      <c r="DO76" s="14"/>
      <c r="DP76" s="107" t="s">
        <v>39</v>
      </c>
      <c r="DQ76" s="27">
        <f>COUNTIFS(S26_stakeholder_category,"FO",Response_Q156_1,DP76,Response_Q156_1,"&lt;&gt;0")</f>
        <v>0</v>
      </c>
      <c r="DR76" s="41">
        <f>IF(DQ77=0,"",DQ76/DQ77)</f>
        <v>0</v>
      </c>
      <c r="DS76" s="14"/>
      <c r="DT76" s="14"/>
      <c r="DU76" s="14"/>
      <c r="DV76" s="14"/>
      <c r="DW76" s="14"/>
      <c r="DX76" s="14"/>
      <c r="DY76" s="14"/>
      <c r="DZ76" s="14"/>
      <c r="EA76" s="14"/>
      <c r="EB76" s="14"/>
      <c r="EC76" s="14"/>
      <c r="ED76" s="14"/>
      <c r="EE76" s="14"/>
      <c r="EF76" s="14"/>
      <c r="EG76" s="14"/>
      <c r="EH76" s="14"/>
      <c r="EI76" s="14"/>
      <c r="EJ76" s="14"/>
      <c r="EK76" s="14"/>
      <c r="EL76" s="14"/>
    </row>
    <row r="77" spans="1:142" x14ac:dyDescent="0.25">
      <c r="A77" s="14"/>
      <c r="B77" s="62"/>
      <c r="C77" s="19"/>
      <c r="D77" s="59"/>
      <c r="E77" s="14"/>
      <c r="F77" s="14"/>
      <c r="G77" s="86" t="s">
        <v>145</v>
      </c>
      <c r="H77" s="111">
        <f>COUNTIFS(S26_stakeholder_category,"FO",Response_Q156_1,"&lt;&gt;0")</f>
        <v>3</v>
      </c>
      <c r="I77" s="119">
        <f t="shared" si="37"/>
        <v>1</v>
      </c>
      <c r="J77" s="14"/>
      <c r="K77" s="14"/>
      <c r="L77" s="14"/>
      <c r="M77" s="14"/>
      <c r="N77" s="14"/>
      <c r="O77" s="14"/>
      <c r="P77" s="14"/>
      <c r="Q77" s="47"/>
      <c r="R77" s="19"/>
      <c r="S77" s="62"/>
      <c r="T77" s="19"/>
      <c r="U77" s="59"/>
      <c r="V77" s="14"/>
      <c r="W77" s="14"/>
      <c r="X77" s="107" t="s">
        <v>54</v>
      </c>
      <c r="Y77" s="27">
        <f t="shared" si="32"/>
        <v>0</v>
      </c>
      <c r="Z77" s="41">
        <f t="shared" si="33"/>
        <v>0</v>
      </c>
      <c r="AA77" s="19"/>
      <c r="AB77" s="14"/>
      <c r="AC77" s="14"/>
      <c r="AD77" s="14"/>
      <c r="AE77" s="14"/>
      <c r="AF77" s="47"/>
      <c r="AG77" s="19"/>
      <c r="AH77" s="62"/>
      <c r="AI77" s="19"/>
      <c r="AJ77" s="59"/>
      <c r="AK77" s="14"/>
      <c r="AL77" s="14"/>
      <c r="AM77" s="107" t="s">
        <v>54</v>
      </c>
      <c r="AN77" s="27">
        <f t="shared" si="34"/>
        <v>0</v>
      </c>
      <c r="AO77" s="41">
        <f t="shared" si="38"/>
        <v>0</v>
      </c>
      <c r="AP77" s="19"/>
      <c r="AQ77" s="14"/>
      <c r="AR77" s="14"/>
      <c r="AS77" s="14"/>
      <c r="AT77" s="14"/>
      <c r="AU77" s="47"/>
      <c r="AV77" s="14"/>
      <c r="AW77" s="62"/>
      <c r="AX77" s="19"/>
      <c r="AY77" s="59"/>
      <c r="AZ77" s="14"/>
      <c r="BA77" s="14"/>
      <c r="BB77" s="107" t="s">
        <v>54</v>
      </c>
      <c r="BC77" s="27">
        <f t="shared" si="35"/>
        <v>0</v>
      </c>
      <c r="BD77" s="41">
        <f t="shared" si="39"/>
        <v>0</v>
      </c>
      <c r="BE77" s="19"/>
      <c r="BF77" s="14"/>
      <c r="BG77" s="14"/>
      <c r="BH77" s="14"/>
      <c r="BI77" s="14"/>
      <c r="BJ77" s="47"/>
      <c r="BK77" s="19"/>
      <c r="BL77" s="62"/>
      <c r="BM77" s="19"/>
      <c r="BN77" s="59"/>
      <c r="BO77" s="14"/>
      <c r="BP77" s="14"/>
      <c r="BQ77" s="107" t="s">
        <v>54</v>
      </c>
      <c r="BR77" s="27">
        <f t="shared" si="36"/>
        <v>0</v>
      </c>
      <c r="BS77" s="41">
        <f t="shared" si="40"/>
        <v>0</v>
      </c>
      <c r="BT77" s="19"/>
      <c r="BU77" s="14"/>
      <c r="BV77" s="14"/>
      <c r="BW77" s="14"/>
      <c r="BX77" s="14"/>
      <c r="BY77" s="47"/>
      <c r="BZ77" s="14"/>
      <c r="CA77" s="14"/>
      <c r="CB77" s="21"/>
      <c r="CC77" s="21"/>
      <c r="CD77" s="180"/>
      <c r="CE77" s="181"/>
      <c r="CF77" s="31"/>
      <c r="CG77" s="52"/>
      <c r="CH77" s="52"/>
      <c r="CI77" s="99"/>
      <c r="CJ77" s="14"/>
      <c r="CK77" s="14"/>
      <c r="CL77" s="14"/>
      <c r="CM77" s="14"/>
      <c r="CN77" s="14"/>
      <c r="CO77" s="129"/>
      <c r="CP77" s="14"/>
      <c r="CQ77" s="47"/>
      <c r="CR77" s="14"/>
      <c r="CS77" s="14"/>
      <c r="CT77" s="14"/>
      <c r="CU77" s="14"/>
      <c r="CV77" s="180"/>
      <c r="CW77" s="190"/>
      <c r="CX77" s="191"/>
      <c r="CY77" s="52"/>
      <c r="CZ77" s="52"/>
      <c r="DA77" s="54"/>
      <c r="DB77" s="19"/>
      <c r="DC77" s="19"/>
      <c r="DD77" s="19"/>
      <c r="DE77" s="19"/>
      <c r="DF77" s="19"/>
      <c r="DG77" s="260"/>
      <c r="DH77" s="14"/>
      <c r="DI77" s="47"/>
      <c r="DJ77" s="14"/>
      <c r="DK77" s="62"/>
      <c r="DL77" s="19"/>
      <c r="DM77" s="59"/>
      <c r="DN77" s="14"/>
      <c r="DO77" s="14"/>
      <c r="DP77" s="86" t="s">
        <v>145</v>
      </c>
      <c r="DQ77" s="111">
        <f>COUNTIFS(S26_stakeholder_category,"FO",Response_Q156_1,"&lt;&gt;0",Response_Q156_1,"&lt;&gt;0")</f>
        <v>3</v>
      </c>
      <c r="DR77" s="119">
        <f>IF(DQ77=0,"",DQ77/DQ77)</f>
        <v>1</v>
      </c>
      <c r="DS77" s="14"/>
      <c r="DT77" s="14"/>
      <c r="DU77" s="14"/>
      <c r="DV77" s="14"/>
      <c r="DW77" s="14"/>
      <c r="DX77" s="14"/>
      <c r="DY77" s="14"/>
      <c r="DZ77" s="14"/>
      <c r="EA77" s="14"/>
      <c r="EB77" s="14"/>
      <c r="EC77" s="14"/>
      <c r="ED77" s="14"/>
      <c r="EE77" s="14"/>
      <c r="EF77" s="14"/>
      <c r="EG77" s="14"/>
      <c r="EH77" s="14"/>
      <c r="EI77" s="14"/>
      <c r="EJ77" s="14"/>
      <c r="EK77" s="14"/>
      <c r="EL77" s="14"/>
    </row>
    <row r="78" spans="1:142" x14ac:dyDescent="0.25">
      <c r="A78" s="14"/>
      <c r="B78" s="62"/>
      <c r="C78" s="19"/>
      <c r="D78" s="59"/>
      <c r="E78" s="14"/>
      <c r="F78" s="14"/>
      <c r="G78" s="14"/>
      <c r="H78" s="21"/>
      <c r="I78" s="21"/>
      <c r="J78" s="14"/>
      <c r="K78" s="14"/>
      <c r="L78" s="14"/>
      <c r="M78" s="14"/>
      <c r="N78" s="14"/>
      <c r="O78" s="14"/>
      <c r="P78" s="14"/>
      <c r="Q78" s="47"/>
      <c r="R78" s="19"/>
      <c r="S78" s="62"/>
      <c r="T78" s="19"/>
      <c r="U78" s="59"/>
      <c r="V78" s="14"/>
      <c r="W78" s="14"/>
      <c r="X78" s="107" t="s">
        <v>39</v>
      </c>
      <c r="Y78" s="27">
        <f t="shared" si="32"/>
        <v>0</v>
      </c>
      <c r="Z78" s="41">
        <f t="shared" si="33"/>
        <v>0</v>
      </c>
      <c r="AA78" s="19"/>
      <c r="AB78" s="14"/>
      <c r="AC78" s="14"/>
      <c r="AD78" s="14"/>
      <c r="AE78" s="14"/>
      <c r="AF78" s="47"/>
      <c r="AG78" s="19"/>
      <c r="AH78" s="62"/>
      <c r="AI78" s="19"/>
      <c r="AJ78" s="59"/>
      <c r="AK78" s="14"/>
      <c r="AL78" s="14"/>
      <c r="AM78" s="107" t="s">
        <v>39</v>
      </c>
      <c r="AN78" s="27">
        <f t="shared" si="34"/>
        <v>0</v>
      </c>
      <c r="AO78" s="41">
        <f t="shared" si="38"/>
        <v>0</v>
      </c>
      <c r="AP78" s="19"/>
      <c r="AQ78" s="14"/>
      <c r="AR78" s="14"/>
      <c r="AS78" s="14"/>
      <c r="AT78" s="14"/>
      <c r="AU78" s="47"/>
      <c r="AV78" s="14"/>
      <c r="AW78" s="62"/>
      <c r="AX78" s="19"/>
      <c r="AY78" s="59"/>
      <c r="AZ78" s="14"/>
      <c r="BA78" s="14"/>
      <c r="BB78" s="107" t="s">
        <v>39</v>
      </c>
      <c r="BC78" s="27">
        <f t="shared" si="35"/>
        <v>0</v>
      </c>
      <c r="BD78" s="41">
        <f t="shared" si="39"/>
        <v>0</v>
      </c>
      <c r="BE78" s="19"/>
      <c r="BF78" s="14"/>
      <c r="BG78" s="14"/>
      <c r="BH78" s="14"/>
      <c r="BI78" s="14"/>
      <c r="BJ78" s="47"/>
      <c r="BK78" s="19"/>
      <c r="BL78" s="62"/>
      <c r="BM78" s="19"/>
      <c r="BN78" s="59"/>
      <c r="BO78" s="14"/>
      <c r="BP78" s="14"/>
      <c r="BQ78" s="107" t="s">
        <v>39</v>
      </c>
      <c r="BR78" s="27">
        <f t="shared" si="36"/>
        <v>0</v>
      </c>
      <c r="BS78" s="41">
        <f t="shared" si="40"/>
        <v>0</v>
      </c>
      <c r="BT78" s="19"/>
      <c r="BU78" s="14"/>
      <c r="BV78" s="14"/>
      <c r="BW78" s="14"/>
      <c r="BX78" s="14"/>
      <c r="BY78" s="47"/>
      <c r="BZ78" s="14"/>
      <c r="CA78" s="14"/>
      <c r="CB78" s="21"/>
      <c r="CC78" s="21"/>
      <c r="CD78" s="180"/>
      <c r="CE78" s="181"/>
      <c r="CF78" s="31"/>
      <c r="CG78" s="52"/>
      <c r="CH78" s="52"/>
      <c r="CI78" s="99"/>
      <c r="CJ78" s="14"/>
      <c r="CK78" s="14"/>
      <c r="CL78" s="14"/>
      <c r="CM78" s="14"/>
      <c r="CN78" s="14"/>
      <c r="CO78" s="129"/>
      <c r="CP78" s="14"/>
      <c r="CQ78" s="47"/>
      <c r="CR78" s="14"/>
      <c r="CS78" s="14"/>
      <c r="CT78" s="14"/>
      <c r="CU78" s="14"/>
      <c r="CV78" s="180"/>
      <c r="CW78" s="190"/>
      <c r="CX78" s="191"/>
      <c r="CY78" s="52"/>
      <c r="CZ78" s="52"/>
      <c r="DA78" s="54"/>
      <c r="DB78" s="19"/>
      <c r="DC78" s="19"/>
      <c r="DD78" s="19"/>
      <c r="DE78" s="19"/>
      <c r="DF78" s="19"/>
      <c r="DG78" s="260"/>
      <c r="DH78" s="14"/>
      <c r="DI78" s="47"/>
      <c r="DJ78" s="14"/>
      <c r="DK78" s="62"/>
      <c r="DL78" s="19"/>
      <c r="DM78" s="59"/>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row>
    <row r="79" spans="1:142" x14ac:dyDescent="0.25">
      <c r="A79" s="14"/>
      <c r="B79" s="62"/>
      <c r="C79" s="19"/>
      <c r="D79" s="59"/>
      <c r="E79" s="14"/>
      <c r="F79" s="14"/>
      <c r="G79" s="14"/>
      <c r="H79" s="21"/>
      <c r="I79" s="21"/>
      <c r="J79" s="14"/>
      <c r="K79" s="14"/>
      <c r="L79" s="14"/>
      <c r="M79" s="14"/>
      <c r="N79" s="14"/>
      <c r="O79" s="14"/>
      <c r="P79" s="14"/>
      <c r="Q79" s="47"/>
      <c r="R79" s="19"/>
      <c r="S79" s="62"/>
      <c r="T79" s="19"/>
      <c r="U79" s="59"/>
      <c r="V79" s="14"/>
      <c r="W79" s="14"/>
      <c r="X79" s="86" t="s">
        <v>145</v>
      </c>
      <c r="Y79" s="111">
        <f>COUNTIFS(S26_stakeholder_category,"FO",Response_Q160_1,"&lt;&gt;0")</f>
        <v>3</v>
      </c>
      <c r="Z79" s="119">
        <f t="shared" si="33"/>
        <v>1</v>
      </c>
      <c r="AA79" s="19"/>
      <c r="AB79" s="14"/>
      <c r="AC79" s="14"/>
      <c r="AD79" s="14"/>
      <c r="AE79" s="14"/>
      <c r="AF79" s="47"/>
      <c r="AG79" s="19"/>
      <c r="AH79" s="62"/>
      <c r="AI79" s="19"/>
      <c r="AJ79" s="59"/>
      <c r="AK79" s="14"/>
      <c r="AL79" s="14"/>
      <c r="AM79" s="86" t="s">
        <v>145</v>
      </c>
      <c r="AN79" s="111">
        <f>COUNTIFS(S26_stakeholder_category,"FO",Response_26_CaseA,"&lt;&gt;0")</f>
        <v>4</v>
      </c>
      <c r="AO79" s="119">
        <f t="shared" si="38"/>
        <v>1</v>
      </c>
      <c r="AP79" s="19"/>
      <c r="AQ79" s="14"/>
      <c r="AR79" s="14"/>
      <c r="AS79" s="14"/>
      <c r="AT79" s="14"/>
      <c r="AU79" s="47"/>
      <c r="AV79" s="14"/>
      <c r="AW79" s="62"/>
      <c r="AX79" s="19"/>
      <c r="AY79" s="59"/>
      <c r="AZ79" s="14"/>
      <c r="BA79" s="14"/>
      <c r="BB79" s="86" t="s">
        <v>145</v>
      </c>
      <c r="BC79" s="111">
        <f>COUNTIFS(S26_stakeholder_category,"FO",Response_26_CaseB,"&lt;&gt;0")</f>
        <v>4</v>
      </c>
      <c r="BD79" s="119">
        <f t="shared" si="39"/>
        <v>1</v>
      </c>
      <c r="BE79" s="19"/>
      <c r="BF79" s="14"/>
      <c r="BG79" s="14"/>
      <c r="BH79" s="14"/>
      <c r="BI79" s="14"/>
      <c r="BJ79" s="47"/>
      <c r="BK79" s="19"/>
      <c r="BL79" s="62"/>
      <c r="BM79" s="19"/>
      <c r="BN79" s="59"/>
      <c r="BO79" s="14"/>
      <c r="BP79" s="14"/>
      <c r="BQ79" s="86" t="s">
        <v>145</v>
      </c>
      <c r="BR79" s="111">
        <f>COUNTIFS(S26_stakeholder_category,"FO",Response_26_CaseC,"&lt;&gt;0")</f>
        <v>4</v>
      </c>
      <c r="BS79" s="119">
        <f t="shared" si="40"/>
        <v>1</v>
      </c>
      <c r="BT79" s="19"/>
      <c r="BU79" s="14"/>
      <c r="BV79" s="14"/>
      <c r="BW79" s="14"/>
      <c r="BX79" s="14"/>
      <c r="BY79" s="47"/>
      <c r="BZ79" s="14"/>
      <c r="CA79" s="14"/>
      <c r="CB79" s="21"/>
      <c r="CC79" s="21"/>
      <c r="CD79" s="180"/>
      <c r="CE79" s="181"/>
      <c r="CF79" s="31"/>
      <c r="CG79" s="52"/>
      <c r="CH79" s="52"/>
      <c r="CI79" s="99"/>
      <c r="CJ79" s="14"/>
      <c r="CK79" s="14"/>
      <c r="CL79" s="14"/>
      <c r="CM79" s="14"/>
      <c r="CN79" s="14"/>
      <c r="CO79" s="129"/>
      <c r="CP79" s="14"/>
      <c r="CQ79" s="47"/>
      <c r="CR79" s="14"/>
      <c r="CS79" s="14"/>
      <c r="CT79" s="14"/>
      <c r="CU79" s="14"/>
      <c r="CV79" s="180"/>
      <c r="CW79" s="190"/>
      <c r="CX79" s="191"/>
      <c r="CY79" s="52"/>
      <c r="CZ79" s="52"/>
      <c r="DA79" s="54"/>
      <c r="DB79" s="19"/>
      <c r="DC79" s="19"/>
      <c r="DD79" s="19"/>
      <c r="DE79" s="19"/>
      <c r="DF79" s="19"/>
      <c r="DG79" s="260"/>
      <c r="DH79" s="14"/>
      <c r="DI79" s="47"/>
      <c r="DJ79" s="14"/>
      <c r="DK79" s="62"/>
      <c r="DL79" s="19"/>
      <c r="DM79" s="59"/>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row>
    <row r="80" spans="1:142" s="135" customFormat="1" ht="16.5" customHeight="1" x14ac:dyDescent="0.25">
      <c r="A80" s="14"/>
      <c r="B80" s="13"/>
      <c r="C80" s="13"/>
      <c r="D80" s="21"/>
      <c r="E80" s="14"/>
      <c r="F80" s="14"/>
      <c r="G80" s="14"/>
      <c r="H80" s="21"/>
      <c r="I80" s="21"/>
      <c r="J80" s="14"/>
      <c r="K80" s="14"/>
      <c r="L80" s="14"/>
      <c r="M80" s="14"/>
      <c r="N80" s="14"/>
      <c r="O80" s="14"/>
      <c r="P80" s="14"/>
      <c r="Q80" s="47"/>
      <c r="R80" s="19"/>
      <c r="S80" s="13"/>
      <c r="T80" s="13"/>
      <c r="U80" s="21"/>
      <c r="V80" s="14"/>
      <c r="W80" s="14"/>
      <c r="X80" s="14"/>
      <c r="Y80" s="55"/>
      <c r="Z80" s="55"/>
      <c r="AA80" s="55"/>
      <c r="AB80" s="55"/>
      <c r="AC80" s="55"/>
      <c r="AD80" s="55"/>
      <c r="AE80" s="55"/>
      <c r="AF80" s="47"/>
      <c r="AG80" s="19"/>
      <c r="AH80" s="13"/>
      <c r="AI80" s="13"/>
      <c r="AJ80" s="21"/>
      <c r="AK80" s="14"/>
      <c r="AL80" s="14"/>
      <c r="AM80" s="14"/>
      <c r="AN80" s="55"/>
      <c r="AO80" s="55"/>
      <c r="AP80" s="55"/>
      <c r="AQ80" s="55"/>
      <c r="AR80" s="55"/>
      <c r="AS80" s="55"/>
      <c r="AT80" s="55"/>
      <c r="AU80" s="47"/>
      <c r="AV80" s="14"/>
      <c r="AW80" s="13"/>
      <c r="AX80" s="13"/>
      <c r="AY80" s="21"/>
      <c r="AZ80" s="14"/>
      <c r="BA80" s="14"/>
      <c r="BB80" s="14"/>
      <c r="BC80" s="55"/>
      <c r="BD80" s="55"/>
      <c r="BE80" s="55"/>
      <c r="BF80" s="55"/>
      <c r="BG80" s="55"/>
      <c r="BH80" s="55"/>
      <c r="BI80" s="55"/>
      <c r="BJ80" s="47"/>
      <c r="BK80" s="19"/>
      <c r="BL80" s="13"/>
      <c r="BM80" s="13"/>
      <c r="BN80" s="21"/>
      <c r="BO80" s="14"/>
      <c r="BP80" s="14"/>
      <c r="BQ80" s="14"/>
      <c r="BR80" s="55"/>
      <c r="BS80" s="55"/>
      <c r="BT80" s="55"/>
      <c r="BU80" s="55"/>
      <c r="BV80" s="55"/>
      <c r="BW80" s="55"/>
      <c r="BX80" s="55"/>
      <c r="BY80" s="47"/>
      <c r="BZ80" s="14"/>
      <c r="CA80" s="14"/>
      <c r="CB80" s="21"/>
      <c r="CC80" s="21"/>
      <c r="CD80" s="180"/>
      <c r="CE80" s="181"/>
      <c r="CF80" s="31"/>
      <c r="CG80" s="31"/>
      <c r="CH80" s="31"/>
      <c r="CI80" s="14"/>
      <c r="CJ80" s="14"/>
      <c r="CK80" s="14"/>
      <c r="CL80" s="14"/>
      <c r="CM80" s="14"/>
      <c r="CN80" s="14"/>
      <c r="CO80" s="129"/>
      <c r="CP80" s="14"/>
      <c r="CQ80" s="47"/>
      <c r="CR80" s="14"/>
      <c r="CS80" s="14"/>
      <c r="CT80" s="14"/>
      <c r="CU80" s="14"/>
      <c r="CV80" s="180"/>
      <c r="CW80" s="190"/>
      <c r="CX80" s="191"/>
      <c r="CY80" s="31"/>
      <c r="CZ80" s="31"/>
      <c r="DA80" s="14"/>
      <c r="DB80" s="14"/>
      <c r="DC80" s="14"/>
      <c r="DD80" s="14"/>
      <c r="DE80" s="14"/>
      <c r="DF80" s="14"/>
      <c r="DG80" s="129"/>
      <c r="DH80" s="14"/>
      <c r="DI80" s="47"/>
      <c r="DJ80" s="14"/>
      <c r="DK80" s="13"/>
      <c r="DL80" s="13"/>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row>
    <row r="81" spans="1:142" s="131" customFormat="1" x14ac:dyDescent="0.25">
      <c r="A81" s="78"/>
      <c r="B81" s="78" t="s">
        <v>31</v>
      </c>
      <c r="C81" s="78" t="s">
        <v>135</v>
      </c>
      <c r="D81" s="79"/>
      <c r="E81" s="78"/>
      <c r="F81" s="78"/>
      <c r="G81" s="78"/>
      <c r="H81" s="79"/>
      <c r="I81" s="79"/>
      <c r="J81" s="78"/>
      <c r="K81" s="78"/>
      <c r="L81" s="78"/>
      <c r="M81" s="78"/>
      <c r="N81" s="78"/>
      <c r="O81" s="78"/>
      <c r="P81" s="78"/>
      <c r="Q81" s="82"/>
      <c r="R81" s="83"/>
      <c r="S81" s="78" t="str">
        <f>$B81</f>
        <v>Pellet producers</v>
      </c>
      <c r="T81" s="78"/>
      <c r="U81" s="78"/>
      <c r="V81" s="78"/>
      <c r="W81" s="78"/>
      <c r="X81" s="78"/>
      <c r="Y81" s="78"/>
      <c r="Z81" s="78"/>
      <c r="AA81" s="78"/>
      <c r="AB81" s="78"/>
      <c r="AC81" s="78"/>
      <c r="AD81" s="78"/>
      <c r="AE81" s="78"/>
      <c r="AF81" s="82"/>
      <c r="AG81" s="83"/>
      <c r="AH81" s="78" t="str">
        <f>$B81</f>
        <v>Pellet producers</v>
      </c>
      <c r="AI81" s="78"/>
      <c r="AJ81" s="78"/>
      <c r="AK81" s="78"/>
      <c r="AL81" s="78"/>
      <c r="AM81" s="78"/>
      <c r="AN81" s="78"/>
      <c r="AO81" s="78"/>
      <c r="AP81" s="78"/>
      <c r="AQ81" s="78"/>
      <c r="AR81" s="78"/>
      <c r="AS81" s="78"/>
      <c r="AT81" s="78"/>
      <c r="AU81" s="82"/>
      <c r="AV81" s="78"/>
      <c r="AW81" s="78" t="str">
        <f>$B81</f>
        <v>Pellet producers</v>
      </c>
      <c r="AX81" s="78"/>
      <c r="AY81" s="78"/>
      <c r="AZ81" s="78"/>
      <c r="BA81" s="78"/>
      <c r="BB81" s="78"/>
      <c r="BC81" s="78"/>
      <c r="BD81" s="78"/>
      <c r="BE81" s="78"/>
      <c r="BF81" s="78"/>
      <c r="BG81" s="78"/>
      <c r="BH81" s="78"/>
      <c r="BI81" s="78"/>
      <c r="BJ81" s="82"/>
      <c r="BK81" s="83"/>
      <c r="BL81" s="78" t="str">
        <f>$B81</f>
        <v>Pellet producers</v>
      </c>
      <c r="BM81" s="78"/>
      <c r="BN81" s="78"/>
      <c r="BO81" s="78"/>
      <c r="BP81" s="78"/>
      <c r="BQ81" s="78"/>
      <c r="BR81" s="78"/>
      <c r="BS81" s="78"/>
      <c r="BT81" s="78"/>
      <c r="BU81" s="78"/>
      <c r="BV81" s="78"/>
      <c r="BW81" s="78"/>
      <c r="BX81" s="78"/>
      <c r="BY81" s="82"/>
      <c r="BZ81" s="78"/>
      <c r="CA81" s="78" t="str">
        <f>$B81</f>
        <v>Pellet producers</v>
      </c>
      <c r="CB81" s="79"/>
      <c r="CC81" s="79"/>
      <c r="CD81" s="182"/>
      <c r="CE81" s="182"/>
      <c r="CF81" s="79"/>
      <c r="CG81" s="78"/>
      <c r="CH81" s="78"/>
      <c r="CI81" s="78"/>
      <c r="CJ81" s="78"/>
      <c r="CK81" s="78"/>
      <c r="CL81" s="78"/>
      <c r="CM81" s="78"/>
      <c r="CN81" s="78"/>
      <c r="CO81" s="78"/>
      <c r="CP81" s="78"/>
      <c r="CQ81" s="82"/>
      <c r="CR81" s="78"/>
      <c r="CS81" s="78" t="str">
        <f>$B81</f>
        <v>Pellet producers</v>
      </c>
      <c r="CT81" s="78"/>
      <c r="CU81" s="78"/>
      <c r="CV81" s="182"/>
      <c r="CW81" s="192"/>
      <c r="CX81" s="192"/>
      <c r="CY81" s="78"/>
      <c r="CZ81" s="78"/>
      <c r="DA81" s="78"/>
      <c r="DB81" s="78"/>
      <c r="DC81" s="78"/>
      <c r="DD81" s="78"/>
      <c r="DE81" s="78"/>
      <c r="DF81" s="78"/>
      <c r="DG81" s="78"/>
      <c r="DH81" s="78"/>
      <c r="DI81" s="82"/>
      <c r="DJ81" s="78"/>
      <c r="DK81" s="78" t="str">
        <f>$B81</f>
        <v>Pellet producers</v>
      </c>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row>
    <row r="82" spans="1:142" x14ac:dyDescent="0.25">
      <c r="A82" s="14"/>
      <c r="B82" s="84" t="s">
        <v>301</v>
      </c>
      <c r="C82" s="84"/>
      <c r="D82" s="85"/>
      <c r="E82" s="84"/>
      <c r="F82" s="14"/>
      <c r="G82" s="14"/>
      <c r="H82" s="21"/>
      <c r="I82" s="21"/>
      <c r="J82" s="14"/>
      <c r="K82" s="14"/>
      <c r="L82" s="14"/>
      <c r="M82" s="14"/>
      <c r="N82" s="14"/>
      <c r="O82" s="14"/>
      <c r="P82" s="14"/>
      <c r="Q82" s="47"/>
      <c r="R82" s="19"/>
      <c r="S82" s="84" t="s">
        <v>322</v>
      </c>
      <c r="T82" s="84"/>
      <c r="U82" s="85"/>
      <c r="V82" s="84"/>
      <c r="W82" s="14"/>
      <c r="X82" s="14"/>
      <c r="Y82" s="14"/>
      <c r="Z82" s="14"/>
      <c r="AA82" s="14"/>
      <c r="AB82" s="14"/>
      <c r="AC82" s="14"/>
      <c r="AD82" s="14"/>
      <c r="AE82" s="14"/>
      <c r="AF82" s="47"/>
      <c r="AG82" s="19"/>
      <c r="AH82" s="84" t="s">
        <v>328</v>
      </c>
      <c r="AI82" s="84"/>
      <c r="AJ82" s="85"/>
      <c r="AK82" s="84"/>
      <c r="AL82" s="84"/>
      <c r="AM82" s="14"/>
      <c r="AN82" s="14"/>
      <c r="AO82" s="14"/>
      <c r="AP82" s="14"/>
      <c r="AQ82" s="14"/>
      <c r="AR82" s="14"/>
      <c r="AS82" s="14"/>
      <c r="AT82" s="14"/>
      <c r="AU82" s="47"/>
      <c r="AV82" s="14"/>
      <c r="AW82" s="84" t="s">
        <v>347</v>
      </c>
      <c r="AX82" s="84"/>
      <c r="AY82" s="85"/>
      <c r="AZ82" s="84"/>
      <c r="BA82" s="84"/>
      <c r="BB82" s="14"/>
      <c r="BC82" s="14"/>
      <c r="BD82" s="14"/>
      <c r="BE82" s="14"/>
      <c r="BF82" s="14"/>
      <c r="BG82" s="14"/>
      <c r="BH82" s="14"/>
      <c r="BI82" s="14"/>
      <c r="BJ82" s="47"/>
      <c r="BK82" s="19"/>
      <c r="BL82" s="84" t="s">
        <v>348</v>
      </c>
      <c r="BM82" s="84"/>
      <c r="BN82" s="85"/>
      <c r="BO82" s="84"/>
      <c r="BP82" s="84"/>
      <c r="BQ82" s="14"/>
      <c r="BR82" s="14"/>
      <c r="BS82" s="14"/>
      <c r="BT82" s="14"/>
      <c r="BU82" s="14"/>
      <c r="BV82" s="14"/>
      <c r="BW82" s="14"/>
      <c r="BX82" s="14"/>
      <c r="BY82" s="47"/>
      <c r="BZ82" s="19"/>
      <c r="CA82" s="84" t="s">
        <v>348</v>
      </c>
      <c r="CB82" s="84"/>
      <c r="CC82" s="85"/>
      <c r="CD82" s="183"/>
      <c r="CE82" s="183"/>
      <c r="CF82" s="14"/>
      <c r="CG82" s="14"/>
      <c r="CH82" s="14"/>
      <c r="CI82" s="14"/>
      <c r="CJ82" s="14"/>
      <c r="CK82" s="14"/>
      <c r="CL82" s="14"/>
      <c r="CM82" s="14"/>
      <c r="CN82" s="14"/>
      <c r="CO82" s="129"/>
      <c r="CP82" s="14"/>
      <c r="CQ82" s="47"/>
      <c r="CR82" s="14"/>
      <c r="CS82" s="148" t="s">
        <v>304</v>
      </c>
      <c r="CT82" s="84"/>
      <c r="CU82" s="85"/>
      <c r="CV82" s="186"/>
      <c r="CW82" s="193"/>
      <c r="CX82" s="193"/>
      <c r="CY82" s="14"/>
      <c r="CZ82" s="14"/>
      <c r="DA82" s="14"/>
      <c r="DB82" s="14"/>
      <c r="DC82" s="14"/>
      <c r="DD82" s="14"/>
      <c r="DE82" s="14"/>
      <c r="DF82" s="14"/>
      <c r="DG82" s="129"/>
      <c r="DH82" s="14"/>
      <c r="DI82" s="47"/>
      <c r="DJ82" s="14"/>
      <c r="DK82" s="84" t="s">
        <v>305</v>
      </c>
      <c r="DL82" s="84"/>
      <c r="DM82" s="85"/>
      <c r="DN82" s="8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row>
    <row r="83" spans="1:142" x14ac:dyDescent="0.25">
      <c r="A83" s="14"/>
      <c r="B83" s="14"/>
      <c r="C83" s="14"/>
      <c r="D83" s="15"/>
      <c r="E83" s="14"/>
      <c r="F83" s="14"/>
      <c r="G83" s="14"/>
      <c r="H83" s="21"/>
      <c r="I83" s="21"/>
      <c r="J83" s="14"/>
      <c r="K83" s="14"/>
      <c r="L83" s="14"/>
      <c r="M83" s="14"/>
      <c r="N83" s="14"/>
      <c r="O83" s="14"/>
      <c r="P83" s="14"/>
      <c r="Q83" s="47"/>
      <c r="R83" s="19"/>
      <c r="S83" s="14"/>
      <c r="T83" s="14"/>
      <c r="U83" s="15"/>
      <c r="V83" s="14"/>
      <c r="W83" s="14"/>
      <c r="X83" s="14"/>
      <c r="Y83" s="14"/>
      <c r="Z83" s="14"/>
      <c r="AA83" s="14"/>
      <c r="AB83" s="14"/>
      <c r="AC83" s="14"/>
      <c r="AD83" s="14"/>
      <c r="AE83" s="14"/>
      <c r="AF83" s="47"/>
      <c r="AG83" s="19"/>
      <c r="AH83" s="14"/>
      <c r="AI83" s="14"/>
      <c r="AJ83" s="15"/>
      <c r="AK83" s="14"/>
      <c r="AL83" s="14"/>
      <c r="AM83" s="14"/>
      <c r="AN83" s="14"/>
      <c r="AO83" s="14"/>
      <c r="AP83" s="14"/>
      <c r="AQ83" s="14"/>
      <c r="AR83" s="14"/>
      <c r="AS83" s="14"/>
      <c r="AT83" s="14"/>
      <c r="AU83" s="47"/>
      <c r="AV83" s="14"/>
      <c r="AW83" s="14"/>
      <c r="AX83" s="14"/>
      <c r="AY83" s="15"/>
      <c r="AZ83" s="14"/>
      <c r="BA83" s="14"/>
      <c r="BB83" s="14"/>
      <c r="BC83" s="14"/>
      <c r="BD83" s="14"/>
      <c r="BE83" s="14"/>
      <c r="BF83" s="14"/>
      <c r="BG83" s="14"/>
      <c r="BH83" s="14"/>
      <c r="BI83" s="14"/>
      <c r="BJ83" s="47"/>
      <c r="BK83" s="19"/>
      <c r="BL83" s="14"/>
      <c r="BM83" s="14"/>
      <c r="BN83" s="15"/>
      <c r="BO83" s="14"/>
      <c r="BP83" s="14"/>
      <c r="BQ83" s="14"/>
      <c r="BR83" s="14"/>
      <c r="BS83" s="14"/>
      <c r="BT83" s="14"/>
      <c r="BU83" s="14"/>
      <c r="BV83" s="14"/>
      <c r="BW83" s="14"/>
      <c r="BX83" s="14"/>
      <c r="BY83" s="47"/>
      <c r="BZ83" s="14"/>
      <c r="CA83" s="14"/>
      <c r="CB83" s="21"/>
      <c r="CC83" s="21"/>
      <c r="CD83" s="180"/>
      <c r="CE83" s="180"/>
      <c r="CF83" s="21"/>
      <c r="CG83" s="14"/>
      <c r="CH83" s="14"/>
      <c r="CI83" s="14"/>
      <c r="CJ83" s="14"/>
      <c r="CK83" s="14"/>
      <c r="CL83" s="14"/>
      <c r="CM83" s="14"/>
      <c r="CN83" s="14"/>
      <c r="CO83" s="129"/>
      <c r="CP83" s="14"/>
      <c r="CQ83" s="47"/>
      <c r="CR83" s="14"/>
      <c r="CS83" s="14"/>
      <c r="CT83" s="14"/>
      <c r="CU83" s="14"/>
      <c r="CV83" s="180"/>
      <c r="CW83" s="189"/>
      <c r="CX83" s="189"/>
      <c r="CY83" s="14"/>
      <c r="CZ83" s="14"/>
      <c r="DA83" s="14"/>
      <c r="DB83" s="14"/>
      <c r="DC83" s="14"/>
      <c r="DD83" s="14"/>
      <c r="DE83" s="14"/>
      <c r="DF83" s="14"/>
      <c r="DG83" s="129"/>
      <c r="DH83" s="14"/>
      <c r="DI83" s="47"/>
      <c r="DJ83" s="14"/>
      <c r="DK83" s="14"/>
      <c r="DL83" s="14"/>
      <c r="DM83" s="15"/>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row>
    <row r="84" spans="1:142" ht="27.6" x14ac:dyDescent="0.25">
      <c r="A84" s="14"/>
      <c r="B84" s="112" t="s">
        <v>23</v>
      </c>
      <c r="C84" s="113" t="s">
        <v>24</v>
      </c>
      <c r="D84" s="113" t="s">
        <v>145</v>
      </c>
      <c r="E84" s="113" t="s">
        <v>300</v>
      </c>
      <c r="F84" s="14"/>
      <c r="G84" s="14"/>
      <c r="H84" s="21"/>
      <c r="I84" s="21"/>
      <c r="J84" s="14"/>
      <c r="K84" s="14"/>
      <c r="L84" s="51"/>
      <c r="M84" s="51"/>
      <c r="N84" s="51"/>
      <c r="O84" s="51"/>
      <c r="P84" s="51"/>
      <c r="Q84" s="47"/>
      <c r="R84" s="19"/>
      <c r="S84" s="112" t="s">
        <v>23</v>
      </c>
      <c r="T84" s="113" t="s">
        <v>24</v>
      </c>
      <c r="U84" s="113" t="s">
        <v>145</v>
      </c>
      <c r="V84" s="113" t="s">
        <v>300</v>
      </c>
      <c r="W84" s="14"/>
      <c r="X84" s="14"/>
      <c r="Y84" s="14"/>
      <c r="Z84" s="14"/>
      <c r="AA84" s="56"/>
      <c r="AB84" s="56"/>
      <c r="AC84" s="56"/>
      <c r="AD84" s="56"/>
      <c r="AE84" s="56"/>
      <c r="AF84" s="47"/>
      <c r="AG84" s="19"/>
      <c r="AH84" s="112" t="s">
        <v>23</v>
      </c>
      <c r="AI84" s="113" t="s">
        <v>24</v>
      </c>
      <c r="AJ84" s="113" t="s">
        <v>145</v>
      </c>
      <c r="AK84" s="113" t="s">
        <v>300</v>
      </c>
      <c r="AL84" s="14"/>
      <c r="AM84" s="14"/>
      <c r="AN84" s="14"/>
      <c r="AO84" s="14"/>
      <c r="AP84" s="56"/>
      <c r="AQ84" s="56"/>
      <c r="AR84" s="56"/>
      <c r="AS84" s="56"/>
      <c r="AT84" s="56"/>
      <c r="AU84" s="47"/>
      <c r="AV84" s="14"/>
      <c r="AW84" s="112" t="s">
        <v>23</v>
      </c>
      <c r="AX84" s="113" t="s">
        <v>24</v>
      </c>
      <c r="AY84" s="113" t="s">
        <v>145</v>
      </c>
      <c r="AZ84" s="113" t="s">
        <v>300</v>
      </c>
      <c r="BA84" s="14"/>
      <c r="BB84" s="14"/>
      <c r="BC84" s="14"/>
      <c r="BD84" s="14"/>
      <c r="BE84" s="56"/>
      <c r="BF84" s="56"/>
      <c r="BG84" s="56"/>
      <c r="BH84" s="56"/>
      <c r="BI84" s="56"/>
      <c r="BJ84" s="47"/>
      <c r="BK84" s="19"/>
      <c r="BL84" s="112" t="s">
        <v>23</v>
      </c>
      <c r="BM84" s="113" t="s">
        <v>24</v>
      </c>
      <c r="BN84" s="113" t="s">
        <v>145</v>
      </c>
      <c r="BO84" s="113" t="s">
        <v>300</v>
      </c>
      <c r="BP84" s="14"/>
      <c r="BQ84" s="14"/>
      <c r="BR84" s="14"/>
      <c r="BS84" s="14"/>
      <c r="BT84" s="56"/>
      <c r="BU84" s="56"/>
      <c r="BV84" s="56"/>
      <c r="BW84" s="56"/>
      <c r="BX84" s="56"/>
      <c r="BY84" s="47"/>
      <c r="BZ84" s="14"/>
      <c r="CA84" s="112" t="s">
        <v>23</v>
      </c>
      <c r="CB84" s="113" t="s">
        <v>145</v>
      </c>
      <c r="CC84" s="21"/>
      <c r="CD84" s="180"/>
      <c r="CE84" s="180"/>
      <c r="CF84" s="21"/>
      <c r="CG84" s="14"/>
      <c r="CH84" s="14"/>
      <c r="CI84" s="14"/>
      <c r="CJ84" s="14"/>
      <c r="CK84" s="14"/>
      <c r="CL84" s="14"/>
      <c r="CM84" s="14"/>
      <c r="CN84" s="14"/>
      <c r="CO84" s="129"/>
      <c r="CP84" s="17"/>
      <c r="CQ84" s="47"/>
      <c r="CR84" s="14"/>
      <c r="CS84" s="112" t="s">
        <v>23</v>
      </c>
      <c r="CT84" s="113" t="s">
        <v>145</v>
      </c>
      <c r="CU84" s="14"/>
      <c r="CV84" s="180"/>
      <c r="CW84" s="189"/>
      <c r="CX84" s="189"/>
      <c r="CY84" s="14"/>
      <c r="CZ84" s="14"/>
      <c r="DA84" s="14"/>
      <c r="DB84" s="14"/>
      <c r="DC84" s="14"/>
      <c r="DD84" s="14"/>
      <c r="DE84" s="14"/>
      <c r="DF84" s="14"/>
      <c r="DG84" s="129"/>
      <c r="DH84" s="17"/>
      <c r="DI84" s="47"/>
      <c r="DJ84" s="17"/>
      <c r="DK84" s="112" t="s">
        <v>23</v>
      </c>
      <c r="DL84" s="113" t="s">
        <v>24</v>
      </c>
      <c r="DM84" s="113" t="s">
        <v>145</v>
      </c>
      <c r="DN84" s="113" t="s">
        <v>300</v>
      </c>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row>
    <row r="85" spans="1:142" x14ac:dyDescent="0.25">
      <c r="A85" s="14"/>
      <c r="B85" s="57" t="s">
        <v>31</v>
      </c>
      <c r="C85" s="121" t="str">
        <f>IF(H104=0,"na",IF(COUNTIF(H99:H103,MAX(H99:H103))&gt;COUNTIF(G99:G103,"&lt;&gt;""")/2,"No clear choice of the most common response",INDEX(G99:G103,MATCH(MAX(H99:H103),H99:H103,0),1)))</f>
        <v>Definitely not</v>
      </c>
      <c r="D85" s="58">
        <f>COUNTIFS(S26_stakeholder_category,"PP",Response_Q156_1,"&lt;&gt;0")</f>
        <v>3</v>
      </c>
      <c r="E85" s="121">
        <f>COUNTIFS(S26_stakeholder_category,"PP",Response_Q156_1,"I don’t know")</f>
        <v>0</v>
      </c>
      <c r="F85" s="14"/>
      <c r="G85" s="14"/>
      <c r="H85" s="27"/>
      <c r="I85" s="21"/>
      <c r="J85" s="14"/>
      <c r="K85" s="14"/>
      <c r="L85" s="40"/>
      <c r="M85" s="40"/>
      <c r="N85" s="40"/>
      <c r="O85" s="40"/>
      <c r="P85" s="40"/>
      <c r="Q85" s="47"/>
      <c r="R85" s="19"/>
      <c r="S85" s="34" t="s">
        <v>31</v>
      </c>
      <c r="T85" s="37" t="str">
        <f>IF(Y106=0,"na",IF(COUNTIF(Y99:Y105,MAX(Y99:Y105))&gt;COUNTIF(X99:X105,"&lt;&gt;""")/2,"No clear choice of the most common response",INDEX(X99:X105,MATCH(MAX(Y99:Y105),Y99:Y105,0),1)))</f>
        <v>Very unlikely</v>
      </c>
      <c r="U85" s="33">
        <f>COUNTIFS(S26_stakeholder_category,"PP",Response_Q160_1,"&lt;&gt;0")</f>
        <v>3</v>
      </c>
      <c r="V85" s="37">
        <f>COUNTIFS(S26_stakeholder_category,"PP",Response_Q160_1,"I don’t know")</f>
        <v>0</v>
      </c>
      <c r="W85" s="14"/>
      <c r="X85" s="14"/>
      <c r="Y85" s="14"/>
      <c r="Z85" s="14"/>
      <c r="AA85" s="19"/>
      <c r="AB85" s="19"/>
      <c r="AC85" s="19"/>
      <c r="AD85" s="19"/>
      <c r="AE85" s="19"/>
      <c r="AF85" s="47"/>
      <c r="AG85" s="19"/>
      <c r="AH85" s="57" t="s">
        <v>31</v>
      </c>
      <c r="AI85" s="121" t="str">
        <f>IF(AN106=0,"na",IF(COUNTIF(AN99:AN105,MAX(AN99:AN105))&gt;COUNTIF(AM99:AM105,"&lt;&gt;""")/2,"No clear choice of the most common response",INDEX(AM99:AM105,MATCH(MAX(AN99:AN105),AN99:AN105,0),1)))</f>
        <v>Very unlikely</v>
      </c>
      <c r="AJ85" s="58">
        <f>COUNTIFS(S26_stakeholder_category,"PP",Response_26_CaseA,"&lt;&gt;0")</f>
        <v>4</v>
      </c>
      <c r="AK85" s="121">
        <f>COUNTIFS(S26_stakeholder_category,"PP",Response_26_CaseA,"I don’t know")</f>
        <v>0</v>
      </c>
      <c r="AL85" s="14"/>
      <c r="AM85" s="14"/>
      <c r="AN85" s="14"/>
      <c r="AO85" s="14"/>
      <c r="AP85" s="19"/>
      <c r="AQ85" s="19"/>
      <c r="AR85" s="19"/>
      <c r="AS85" s="19"/>
      <c r="AT85" s="19"/>
      <c r="AU85" s="47"/>
      <c r="AV85" s="14"/>
      <c r="AW85" s="57" t="s">
        <v>31</v>
      </c>
      <c r="AX85" s="121" t="str">
        <f>IF(BC106=0,"na",IF(COUNTIF(BC99:BC105,MAX(BC99:BC105))&gt;COUNTIF(BB99:BB105,"&lt;&gt;""")/2,"No clear choice of the most common response",INDEX(BB99:BB105,MATCH(MAX(BC99:BC105),BC99:BC105,0),1)))</f>
        <v>Very unlikely</v>
      </c>
      <c r="AY85" s="58">
        <f>COUNTIFS(S26_stakeholder_category,"PP",Response_26_CaseB,"&lt;&gt;0")</f>
        <v>4</v>
      </c>
      <c r="AZ85" s="121">
        <f>COUNTIFS(S26_stakeholder_category,"PP",Response_26_CaseB,"I don’t know")</f>
        <v>0</v>
      </c>
      <c r="BA85" s="14"/>
      <c r="BB85" s="14"/>
      <c r="BC85" s="14"/>
      <c r="BD85" s="14"/>
      <c r="BE85" s="19"/>
      <c r="BF85" s="19"/>
      <c r="BG85" s="19"/>
      <c r="BH85" s="19"/>
      <c r="BI85" s="19"/>
      <c r="BJ85" s="47"/>
      <c r="BK85" s="19"/>
      <c r="BL85" s="57" t="s">
        <v>31</v>
      </c>
      <c r="BM85" s="121" t="str">
        <f>IF(BR106=0,"na",IF(COUNTIF(BR99:BR105,MAX(BR99:BR105))&gt;COUNTIF(BQ99:BQ105,"&lt;&gt;""")/2,"No clear choice of the most common response",INDEX(BQ99:BQ105,MATCH(MAX(BR99:BR105),BR99:BR105,0),1)))</f>
        <v>Very unlikely</v>
      </c>
      <c r="BN85" s="58">
        <f>COUNTIFS(S26_stakeholder_category,"PP",Response_26_CaseC,"&lt;&gt;0")</f>
        <v>4</v>
      </c>
      <c r="BO85" s="121">
        <f>COUNTIFS(S26_stakeholder_category,"PP",Response_26_CaseC,"I don’t know")</f>
        <v>0</v>
      </c>
      <c r="BP85" s="14"/>
      <c r="BQ85" s="14"/>
      <c r="BR85" s="14"/>
      <c r="BS85" s="14"/>
      <c r="BT85" s="19"/>
      <c r="BU85" s="19"/>
      <c r="BV85" s="19"/>
      <c r="BW85" s="19"/>
      <c r="BX85" s="19"/>
      <c r="BY85" s="47"/>
      <c r="BZ85" s="14"/>
      <c r="CA85" s="34" t="s">
        <v>31</v>
      </c>
      <c r="CB85" s="37">
        <f>MAX(SUM(CC91:CC97),SUM(CD91:CD97),SUM(CE91:CE97))</f>
        <v>0</v>
      </c>
      <c r="CC85" s="21"/>
      <c r="CD85" s="180"/>
      <c r="CE85" s="180"/>
      <c r="CF85" s="21"/>
      <c r="CG85" s="14"/>
      <c r="CH85" s="14"/>
      <c r="CI85" s="14"/>
      <c r="CJ85" s="14"/>
      <c r="CK85" s="14"/>
      <c r="CL85" s="14"/>
      <c r="CM85" s="14"/>
      <c r="CN85" s="14"/>
      <c r="CO85" s="129"/>
      <c r="CP85" s="29"/>
      <c r="CQ85" s="47"/>
      <c r="CR85" s="14"/>
      <c r="CS85" s="34" t="s">
        <v>31</v>
      </c>
      <c r="CT85" s="37">
        <f>MAX(SUM(CU91:CU97),SUM(CV91:CV97),SUM(CW91:CW97))</f>
        <v>3</v>
      </c>
      <c r="CU85" s="14"/>
      <c r="CV85" s="180"/>
      <c r="CW85" s="189"/>
      <c r="CX85" s="189"/>
      <c r="CY85" s="14"/>
      <c r="CZ85" s="14"/>
      <c r="DA85" s="14"/>
      <c r="DB85" s="14"/>
      <c r="DC85" s="14"/>
      <c r="DD85" s="14"/>
      <c r="DE85" s="14"/>
      <c r="DF85" s="14"/>
      <c r="DG85" s="129"/>
      <c r="DH85" s="29"/>
      <c r="DI85" s="47"/>
      <c r="DJ85" s="29"/>
      <c r="DK85" s="34" t="s">
        <v>31</v>
      </c>
      <c r="DL85" s="37" t="str">
        <f>IF(DQ104=0,"na",IF(COUNTIF(DQ99:DQ103,MAX(DQ99:DQ103))&gt;COUNTIF(DP99:DP103,"&lt;&gt;""")/2,"No clear choice of the most common response",INDEX(DP99:DP103,MATCH(MAX(DQ99:DQ103),DQ99:DQ103,0),1)))</f>
        <v>Definitely not</v>
      </c>
      <c r="DM85" s="33">
        <f>COUNTIFS(S26_stakeholder_category,"PP",Response_Q156_1,"&lt;&gt;0",Response_Q156_1,"&lt;&gt;0")</f>
        <v>3</v>
      </c>
      <c r="DN85" s="37">
        <f>DQ103</f>
        <v>0</v>
      </c>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row>
    <row r="86" spans="1:142" x14ac:dyDescent="0.25">
      <c r="A86" s="14"/>
      <c r="B86" s="57"/>
      <c r="C86" s="121" t="str">
        <f ca="1">IF(H104=0,"",IF(COUNTIF(H99:H103,MAX(H99:H103))=1,"",IF(COUNTIF(H99:H103,MAX(H99:H103))&gt;COUNTIF(G99:G103,"&lt;&gt;""")/2,"",INDEX(OFFSET(G99,MATCH(C85,G99:G104,0),0):G103,MATCH(MAX(H99:H103),OFFSET(H99,MATCH(C85,G99:G104,0),0):H103,0),1))))</f>
        <v/>
      </c>
      <c r="D86" s="58"/>
      <c r="E86" s="121"/>
      <c r="F86" s="14"/>
      <c r="G86" s="14"/>
      <c r="H86" s="27"/>
      <c r="I86" s="21"/>
      <c r="J86" s="14"/>
      <c r="K86" s="14"/>
      <c r="L86" s="40"/>
      <c r="M86" s="40"/>
      <c r="N86" s="40"/>
      <c r="O86" s="40"/>
      <c r="P86" s="40"/>
      <c r="Q86" s="47"/>
      <c r="R86" s="19"/>
      <c r="S86" s="34"/>
      <c r="T86" s="37" t="str">
        <f ca="1">IF(Y106=0,"",IF(COUNTIF(Y99:Y105,MAX(Y99:Y105))=1,"",IF(COUNTIF(Y99:Y105,MAX(Y99:Y105))&gt;COUNTIF(X99:X105,"&lt;&gt;""")/2,"",INDEX(OFFSET(X99,MATCH(T85,X99:X105,0),0):X105,MATCH(MAX(Y99:Y105),OFFSET(Y99,MATCH(T85,X99:X105,0),0):Y105,0),1))))</f>
        <v/>
      </c>
      <c r="U86" s="33"/>
      <c r="V86" s="37"/>
      <c r="W86" s="14"/>
      <c r="X86" s="14"/>
      <c r="Y86" s="14"/>
      <c r="Z86" s="14"/>
      <c r="AA86" s="19"/>
      <c r="AB86" s="19"/>
      <c r="AC86" s="19"/>
      <c r="AD86" s="19"/>
      <c r="AE86" s="19"/>
      <c r="AF86" s="47"/>
      <c r="AG86" s="19"/>
      <c r="AH86" s="57"/>
      <c r="AI86" s="121" t="str">
        <f ca="1">IF(AN106=0,"",IF(COUNTIF(AN99:AN105,MAX(AN99:AN105))=1,"",IF(COUNTIF(AN99:AN105,MAX(AN99:AN105))&gt;COUNTIF(AM99:AM105,"&lt;&gt;""")/2,"",INDEX(OFFSET(AM99,MATCH(AI85,AM99:AM105,0),0):AM105,MATCH(MAX(AN99:AN105),OFFSET(AN99,MATCH(AI85,AM99:AM105,0),0):AN105,0),1))))</f>
        <v/>
      </c>
      <c r="AJ86" s="58"/>
      <c r="AK86" s="121"/>
      <c r="AL86" s="14"/>
      <c r="AM86" s="14"/>
      <c r="AN86" s="14"/>
      <c r="AO86" s="14"/>
      <c r="AP86" s="19"/>
      <c r="AQ86" s="19"/>
      <c r="AR86" s="19"/>
      <c r="AS86" s="19"/>
      <c r="AT86" s="19"/>
      <c r="AU86" s="47"/>
      <c r="AV86" s="14"/>
      <c r="AW86" s="57"/>
      <c r="AX86" s="121" t="str">
        <f ca="1">IF(BC106=0,"",IF(COUNTIF(BC99:BC105,MAX(BC99:BC105))=1,"",IF(COUNTIF(BC99:BC105,MAX(BC99:BC105))&gt;COUNTIF(BB99:BB105,"&lt;&gt;""")/2,"",INDEX(OFFSET(BB99,MATCH(AX85,BB99:BB105,0),0):BB105,MATCH(MAX(BC99:BC105),OFFSET(BC99,MATCH(AX85,BB99:BB105,0),0):BC105,0),1))))</f>
        <v/>
      </c>
      <c r="AY86" s="58"/>
      <c r="AZ86" s="121"/>
      <c r="BA86" s="14"/>
      <c r="BB86" s="14"/>
      <c r="BC86" s="14"/>
      <c r="BD86" s="14"/>
      <c r="BE86" s="19"/>
      <c r="BF86" s="19"/>
      <c r="BG86" s="19"/>
      <c r="BH86" s="19"/>
      <c r="BI86" s="19"/>
      <c r="BJ86" s="47"/>
      <c r="BK86" s="19"/>
      <c r="BL86" s="57"/>
      <c r="BM86" s="121" t="str">
        <f ca="1">IF(BR106=0,"",IF(COUNTIF(BR99:BR105,MAX(BR99:BR105))=1,"",IF(COUNTIF(BR99:BR105,MAX(BR99:BR105))&gt;COUNTIF(BQ99:BQ105,"&lt;&gt;""")/2,"",INDEX(OFFSET(BQ99,MATCH(BM85,BQ99:BQ105,0),0):BQ105,MATCH(MAX(BR99:BR105),OFFSET(BR99,MATCH(BM85,BQ99:BQ105,0),0):BR105,0),1))))</f>
        <v/>
      </c>
      <c r="BN86" s="58"/>
      <c r="BO86" s="121"/>
      <c r="BP86" s="14"/>
      <c r="BQ86" s="14"/>
      <c r="BR86" s="14"/>
      <c r="BS86" s="14"/>
      <c r="BT86" s="19"/>
      <c r="BU86" s="19"/>
      <c r="BV86" s="19"/>
      <c r="BW86" s="19"/>
      <c r="BX86" s="19"/>
      <c r="BY86" s="47"/>
      <c r="BZ86" s="14"/>
      <c r="CA86" s="14"/>
      <c r="CB86" s="21"/>
      <c r="CC86" s="21"/>
      <c r="CD86" s="180"/>
      <c r="CE86" s="180"/>
      <c r="CF86" s="21"/>
      <c r="CG86" s="14"/>
      <c r="CH86" s="14"/>
      <c r="CI86" s="14"/>
      <c r="CJ86" s="14"/>
      <c r="CK86" s="14"/>
      <c r="CL86" s="14"/>
      <c r="CM86" s="14"/>
      <c r="CN86" s="14"/>
      <c r="CO86" s="129"/>
      <c r="CP86" s="29"/>
      <c r="CQ86" s="47"/>
      <c r="CR86" s="14"/>
      <c r="CS86" s="14"/>
      <c r="CT86" s="14"/>
      <c r="CU86" s="14"/>
      <c r="CV86" s="180"/>
      <c r="CW86" s="189"/>
      <c r="CX86" s="189"/>
      <c r="CY86" s="14"/>
      <c r="CZ86" s="14"/>
      <c r="DA86" s="14"/>
      <c r="DB86" s="14"/>
      <c r="DC86" s="14"/>
      <c r="DD86" s="14"/>
      <c r="DE86" s="14"/>
      <c r="DF86" s="14"/>
      <c r="DG86" s="129"/>
      <c r="DH86" s="29"/>
      <c r="DI86" s="47"/>
      <c r="DJ86" s="29"/>
      <c r="DK86" s="34"/>
      <c r="DL86" s="121" t="str">
        <f ca="1">IF(DQ104=0,"",IF(COUNTIF(DQ99:DQ103,MAX(DQ99:DQ103))=1,"",IF(COUNTIF(DQ99:DQ103,MAX(DQ99:DQ103))&gt;COUNTIF(DP99:DP103,"&lt;&gt;""")/2,"",INDEX(OFFSET(DP99,MATCH(DL85,DP99:DP104,0),0):DP103,MATCH(MAX(DQ99:DQ103),OFFSET(DQ99,MATCH(DL85,DP99:DP104,0),0):DQ103,0),1))))</f>
        <v/>
      </c>
      <c r="DM86" s="33"/>
      <c r="DN86" s="37"/>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row>
    <row r="87" spans="1:142" x14ac:dyDescent="0.25">
      <c r="A87" s="14"/>
      <c r="B87" s="57"/>
      <c r="C87" s="121" t="str">
        <f ca="1" xml:space="preserve"> IF(H104=0,"", IF(COUNTIF(H99:H103,MAX(H99:H103))&lt;=2,"",IF(COUNTIF(H99:H103,MAX(H99:H103))&gt;COUNTIF(G99:G103,"&lt;&gt;""")/2,"", INDEX(OFFSET(G99,MATCH(C86,G99:G104,0),0):G103,         MATCH(MAX(H99:H103),        OFFSET(H99,MATCH(C86,G99:G104,0),0):H103,0),1))))</f>
        <v/>
      </c>
      <c r="D87" s="58"/>
      <c r="E87" s="121"/>
      <c r="F87" s="14"/>
      <c r="G87" s="14"/>
      <c r="H87" s="27"/>
      <c r="I87" s="21"/>
      <c r="J87" s="14"/>
      <c r="K87" s="14"/>
      <c r="L87" s="40"/>
      <c r="M87" s="40"/>
      <c r="N87" s="40"/>
      <c r="O87" s="40"/>
      <c r="P87" s="40"/>
      <c r="Q87" s="47"/>
      <c r="R87" s="19"/>
      <c r="S87" s="34"/>
      <c r="T87" s="121" t="str">
        <f ca="1" xml:space="preserve"> IF(Y106=0,"",IF(Y106=0,"", IF(COUNTIF(Y99:Y105,MAX(Y99:Y105))&lt;=2,"",IF(COUNTIF(Y99:Y105,MAX(Y99:Y105))&gt;COUNTIF(X99:X105,"&lt;&gt;""")/2,"", INDEX(OFFSET(X99,MATCH(T86,X99:X105,0),0):X105,         MATCH(MAX(Y99:Y105),        OFFSET(Y99,MATCH(T86,X99:X105,0),0):Y105,0),1)))))</f>
        <v/>
      </c>
      <c r="U87" s="33"/>
      <c r="V87" s="37"/>
      <c r="W87" s="14"/>
      <c r="X87" s="14"/>
      <c r="Y87" s="14"/>
      <c r="Z87" s="14"/>
      <c r="AA87" s="19"/>
      <c r="AB87" s="19"/>
      <c r="AC87" s="19"/>
      <c r="AD87" s="19"/>
      <c r="AE87" s="19"/>
      <c r="AF87" s="47"/>
      <c r="AG87" s="19"/>
      <c r="AH87" s="57"/>
      <c r="AI87" s="121" t="str">
        <f ca="1" xml:space="preserve"> IF(AN106=0,"",IF(AN106=0,"", IF(COUNTIF(AN99:AN105,MAX(AN99:AN105))&lt;=2,"",IF(COUNTIF(AN99:AN105,MAX(AN99:AN105))&gt;COUNTIF(AM99:AM105,"&lt;&gt;""")/2,"", INDEX(OFFSET(AM99,MATCH(AI86,AM99:AM105,0),0):AM105,         MATCH(MAX(AN99:AN105),        OFFSET(AN99,MATCH(AI86,AM99:AM105,0),0):AN105,0),1)))))</f>
        <v/>
      </c>
      <c r="AJ87" s="58"/>
      <c r="AK87" s="121"/>
      <c r="AL87" s="14"/>
      <c r="AM87" s="14"/>
      <c r="AN87" s="14"/>
      <c r="AO87" s="14"/>
      <c r="AP87" s="19"/>
      <c r="AQ87" s="19"/>
      <c r="AR87" s="19"/>
      <c r="AS87" s="19"/>
      <c r="AT87" s="19"/>
      <c r="AU87" s="47"/>
      <c r="AV87" s="14"/>
      <c r="AW87" s="57"/>
      <c r="AX87" s="121" t="str">
        <f ca="1" xml:space="preserve"> IF(BC106=0,"",IF(BC106=0,"", IF(COUNTIF(BC99:BC105,MAX(BC99:BC105))&lt;=2,"",IF(COUNTIF(BC99:BC105,MAX(BC99:BC105))&gt;COUNTIF(BB99:BB105,"&lt;&gt;""")/2,"", INDEX(OFFSET(BB99,MATCH(AX86,BB99:BB105,0),0):BB105,         MATCH(MAX(BC99:BC105),        OFFSET(BC99,MATCH(AX86,BB99:BB105,0),0):BC105,0),1)))))</f>
        <v/>
      </c>
      <c r="AY87" s="58"/>
      <c r="AZ87" s="121"/>
      <c r="BA87" s="14"/>
      <c r="BB87" s="14"/>
      <c r="BC87" s="14"/>
      <c r="BD87" s="14"/>
      <c r="BE87" s="19"/>
      <c r="BF87" s="19"/>
      <c r="BG87" s="19"/>
      <c r="BH87" s="19"/>
      <c r="BI87" s="19"/>
      <c r="BJ87" s="47"/>
      <c r="BK87" s="19"/>
      <c r="BL87" s="57"/>
      <c r="BM87" s="121" t="str">
        <f ca="1" xml:space="preserve"> IF(BR106=0,"",IF(BR106=0,"", IF(COUNTIF(BR99:BR105,MAX(BR99:BR105))&lt;=2,"",IF(COUNTIF(BR99:BR105,MAX(BR99:BR105))&gt;COUNTIF(BQ99:BQ105,"&lt;&gt;""")/2,"", INDEX(OFFSET(BQ99,MATCH(BM86,BQ99:BQ105,0),0):BQ105,         MATCH(MAX(BR99:BR105),        OFFSET(BR99,MATCH(BM86,BQ99:BQ105,0),0):BR105,0),1)))))</f>
        <v/>
      </c>
      <c r="BN87" s="58"/>
      <c r="BO87" s="121"/>
      <c r="BP87" s="14"/>
      <c r="BQ87" s="14"/>
      <c r="BR87" s="14"/>
      <c r="BS87" s="14"/>
      <c r="BT87" s="19"/>
      <c r="BU87" s="19"/>
      <c r="BV87" s="19"/>
      <c r="BW87" s="19"/>
      <c r="BX87" s="19"/>
      <c r="BY87" s="47"/>
      <c r="BZ87" s="14"/>
      <c r="CA87" s="14"/>
      <c r="CB87" s="21"/>
      <c r="CC87" s="21"/>
      <c r="CD87" s="180"/>
      <c r="CE87" s="180"/>
      <c r="CF87" s="21"/>
      <c r="CG87" s="14"/>
      <c r="CH87" s="14"/>
      <c r="CI87" s="14"/>
      <c r="CJ87" s="14"/>
      <c r="CK87" s="14"/>
      <c r="CL87" s="14"/>
      <c r="CM87" s="14"/>
      <c r="CN87" s="14"/>
      <c r="CO87" s="129"/>
      <c r="CP87" s="29"/>
      <c r="CQ87" s="47"/>
      <c r="CR87" s="14"/>
      <c r="CS87" s="14"/>
      <c r="CT87" s="14"/>
      <c r="CU87" s="14"/>
      <c r="CV87" s="180"/>
      <c r="CW87" s="189"/>
      <c r="CX87" s="189"/>
      <c r="CY87" s="14"/>
      <c r="CZ87" s="14"/>
      <c r="DA87" s="14"/>
      <c r="DB87" s="14"/>
      <c r="DC87" s="14"/>
      <c r="DD87" s="14"/>
      <c r="DE87" s="14"/>
      <c r="DF87" s="14"/>
      <c r="DG87" s="129"/>
      <c r="DH87" s="29"/>
      <c r="DI87" s="47"/>
      <c r="DJ87" s="29"/>
      <c r="DK87" s="34"/>
      <c r="DL87" s="121" t="str">
        <f ca="1" xml:space="preserve"> IF(DQ104=0,"",IF(DQ104=0,"", IF(COUNTIF(DQ99:DQ103,MAX(DQ99:DQ103))&lt;=2,"",IF(COUNTIF(DQ99:DQ103,MAX(DQ99:DQ103))&gt;COUNTIF(DP99:DP103,"&lt;&gt;""")/2,"", INDEX(OFFSET(DP99,MATCH(DL86,DP99:DP104,0),0):DP103,         MATCH(MAX(DQ99:DQ103),        OFFSET(DQ99,MATCH(DL86,DP99:DP104,0),0):DQ103,0),1)))))</f>
        <v/>
      </c>
      <c r="DM87" s="33"/>
      <c r="DN87" s="37"/>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row>
    <row r="88" spans="1:142" x14ac:dyDescent="0.25">
      <c r="A88" s="14"/>
      <c r="B88" s="14"/>
      <c r="C88" s="14"/>
      <c r="D88" s="27"/>
      <c r="E88" s="14"/>
      <c r="F88" s="14"/>
      <c r="G88" s="14"/>
      <c r="H88" s="27"/>
      <c r="I88" s="21"/>
      <c r="J88" s="14"/>
      <c r="K88" s="14"/>
      <c r="L88" s="40"/>
      <c r="M88" s="40"/>
      <c r="N88" s="40"/>
      <c r="O88" s="40"/>
      <c r="P88" s="40"/>
      <c r="Q88" s="47"/>
      <c r="R88" s="19"/>
      <c r="S88" s="19"/>
      <c r="T88" s="14"/>
      <c r="U88" s="27"/>
      <c r="V88" s="14"/>
      <c r="W88" s="14"/>
      <c r="X88" s="14"/>
      <c r="Y88" s="14"/>
      <c r="Z88" s="14"/>
      <c r="AA88" s="19"/>
      <c r="AB88" s="19"/>
      <c r="AC88" s="19"/>
      <c r="AD88" s="19"/>
      <c r="AE88" s="19"/>
      <c r="AF88" s="47"/>
      <c r="AG88" s="19"/>
      <c r="AH88" s="19"/>
      <c r="AI88" s="14"/>
      <c r="AJ88" s="27"/>
      <c r="AK88" s="14"/>
      <c r="AL88" s="14"/>
      <c r="AM88" s="14"/>
      <c r="AN88" s="14"/>
      <c r="AO88" s="14"/>
      <c r="AP88" s="19"/>
      <c r="AQ88" s="19"/>
      <c r="AR88" s="19"/>
      <c r="AS88" s="19"/>
      <c r="AT88" s="19"/>
      <c r="AU88" s="47"/>
      <c r="AV88" s="14"/>
      <c r="AW88" s="19"/>
      <c r="AX88" s="14"/>
      <c r="AY88" s="27"/>
      <c r="AZ88" s="14"/>
      <c r="BA88" s="14"/>
      <c r="BB88" s="14"/>
      <c r="BC88" s="14"/>
      <c r="BD88" s="14"/>
      <c r="BE88" s="19"/>
      <c r="BF88" s="19"/>
      <c r="BG88" s="19"/>
      <c r="BH88" s="19"/>
      <c r="BI88" s="19"/>
      <c r="BJ88" s="47"/>
      <c r="BK88" s="19"/>
      <c r="BL88" s="44"/>
      <c r="BM88" s="8"/>
      <c r="BN88" s="123"/>
      <c r="BO88" s="8"/>
      <c r="BP88" s="14"/>
      <c r="BQ88" s="14"/>
      <c r="BR88" s="14"/>
      <c r="BS88" s="14"/>
      <c r="BT88" s="19"/>
      <c r="BU88" s="19"/>
      <c r="BV88" s="19"/>
      <c r="BW88" s="19"/>
      <c r="BX88" s="19"/>
      <c r="BY88" s="47"/>
      <c r="BZ88" s="14"/>
      <c r="CA88" s="14"/>
      <c r="CB88" s="21"/>
      <c r="CC88" s="21"/>
      <c r="CD88" s="180"/>
      <c r="CE88" s="180"/>
      <c r="CF88" s="21"/>
      <c r="CG88" s="14"/>
      <c r="CH88" s="14"/>
      <c r="CI88" s="14"/>
      <c r="CJ88" s="14"/>
      <c r="CK88" s="14"/>
      <c r="CL88" s="14"/>
      <c r="CM88" s="14"/>
      <c r="CN88" s="14"/>
      <c r="CO88" s="129"/>
      <c r="CP88" s="29"/>
      <c r="CQ88" s="47"/>
      <c r="CR88" s="14"/>
      <c r="CS88" s="14"/>
      <c r="CT88" s="14"/>
      <c r="CU88" s="14"/>
      <c r="CV88" s="180"/>
      <c r="CW88" s="189"/>
      <c r="CX88" s="189"/>
      <c r="CY88" s="14"/>
      <c r="CZ88" s="14"/>
      <c r="DA88" s="14"/>
      <c r="DB88" s="14"/>
      <c r="DC88" s="14"/>
      <c r="DD88" s="14"/>
      <c r="DE88" s="14"/>
      <c r="DF88" s="14"/>
      <c r="DG88" s="129"/>
      <c r="DH88" s="29"/>
      <c r="DI88" s="47"/>
      <c r="DJ88" s="29"/>
      <c r="DK88" s="14"/>
      <c r="DL88" s="14"/>
      <c r="DM88" s="27"/>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row>
    <row r="89" spans="1:142" x14ac:dyDescent="0.25">
      <c r="A89" s="14"/>
      <c r="B89" s="14"/>
      <c r="C89" s="14"/>
      <c r="D89" s="27"/>
      <c r="E89" s="14"/>
      <c r="F89" s="14"/>
      <c r="G89" s="14"/>
      <c r="H89" s="27"/>
      <c r="I89" s="21"/>
      <c r="J89" s="14"/>
      <c r="K89" s="14"/>
      <c r="L89" s="40"/>
      <c r="M89" s="40"/>
      <c r="N89" s="40"/>
      <c r="O89" s="40"/>
      <c r="P89" s="40"/>
      <c r="Q89" s="47"/>
      <c r="R89" s="19"/>
      <c r="S89" s="19"/>
      <c r="T89" s="14"/>
      <c r="U89" s="27"/>
      <c r="V89" s="14"/>
      <c r="W89" s="14"/>
      <c r="X89" s="14"/>
      <c r="Y89" s="14"/>
      <c r="Z89" s="14"/>
      <c r="AA89" s="19"/>
      <c r="AB89" s="19"/>
      <c r="AC89" s="19"/>
      <c r="AD89" s="19"/>
      <c r="AE89" s="19"/>
      <c r="AF89" s="47"/>
      <c r="AG89" s="19"/>
      <c r="AH89" s="19"/>
      <c r="AI89" s="14"/>
      <c r="AJ89" s="27"/>
      <c r="AK89" s="14"/>
      <c r="AL89" s="14"/>
      <c r="AM89" s="14"/>
      <c r="AN89" s="14"/>
      <c r="AO89" s="14"/>
      <c r="AP89" s="19"/>
      <c r="AQ89" s="19"/>
      <c r="AR89" s="19"/>
      <c r="AS89" s="19"/>
      <c r="AT89" s="19"/>
      <c r="AU89" s="47"/>
      <c r="AV89" s="14"/>
      <c r="AW89" s="19"/>
      <c r="AX89" s="14"/>
      <c r="AY89" s="27"/>
      <c r="AZ89" s="14"/>
      <c r="BA89" s="14"/>
      <c r="BB89" s="14"/>
      <c r="BC89" s="14"/>
      <c r="BD89" s="14"/>
      <c r="BE89" s="19"/>
      <c r="BF89" s="19"/>
      <c r="BG89" s="19"/>
      <c r="BH89" s="19"/>
      <c r="BI89" s="19"/>
      <c r="BJ89" s="47"/>
      <c r="BK89" s="19"/>
      <c r="BL89" s="19"/>
      <c r="BM89" s="14"/>
      <c r="BN89" s="27"/>
      <c r="BO89" s="14"/>
      <c r="BP89" s="14"/>
      <c r="BQ89" s="14"/>
      <c r="BR89" s="14"/>
      <c r="BS89" s="14"/>
      <c r="BT89" s="19"/>
      <c r="BU89" s="19"/>
      <c r="BV89" s="19"/>
      <c r="BW89" s="19"/>
      <c r="BX89" s="19"/>
      <c r="BY89" s="47"/>
      <c r="BZ89" s="14"/>
      <c r="CA89" s="14"/>
      <c r="CB89" s="21"/>
      <c r="CC89" s="21"/>
      <c r="CD89" s="180"/>
      <c r="CE89" s="180"/>
      <c r="CF89" s="21"/>
      <c r="CG89" s="14"/>
      <c r="CH89" s="14"/>
      <c r="CI89" s="14"/>
      <c r="CJ89" s="14"/>
      <c r="CK89" s="14"/>
      <c r="CL89" s="14"/>
      <c r="CM89" s="14"/>
      <c r="CN89" s="14"/>
      <c r="CO89" s="129"/>
      <c r="CP89" s="29"/>
      <c r="CQ89" s="47"/>
      <c r="CR89" s="14"/>
      <c r="CS89" s="14"/>
      <c r="CT89" s="14"/>
      <c r="CU89" s="14"/>
      <c r="CV89" s="180"/>
      <c r="CW89" s="189"/>
      <c r="CX89" s="189"/>
      <c r="CY89" s="14"/>
      <c r="CZ89" s="14"/>
      <c r="DA89" s="14"/>
      <c r="DB89" s="14"/>
      <c r="DC89" s="14"/>
      <c r="DD89" s="14"/>
      <c r="DE89" s="14"/>
      <c r="DF89" s="14"/>
      <c r="DG89" s="129"/>
      <c r="DH89" s="29"/>
      <c r="DI89" s="47"/>
      <c r="DJ89" s="29"/>
      <c r="DK89" s="14"/>
      <c r="DL89" s="14"/>
      <c r="DM89" s="27"/>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row>
    <row r="90" spans="1:142" ht="27.6" x14ac:dyDescent="0.25">
      <c r="A90" s="14"/>
      <c r="B90" s="14"/>
      <c r="C90" s="14"/>
      <c r="D90" s="27"/>
      <c r="E90" s="14"/>
      <c r="F90" s="14"/>
      <c r="G90" s="14"/>
      <c r="H90" s="27"/>
      <c r="I90" s="21"/>
      <c r="J90" s="14"/>
      <c r="K90" s="14"/>
      <c r="L90" s="40"/>
      <c r="M90" s="40"/>
      <c r="N90" s="40"/>
      <c r="O90" s="40"/>
      <c r="P90" s="40"/>
      <c r="Q90" s="47"/>
      <c r="R90" s="19"/>
      <c r="S90" s="19"/>
      <c r="T90" s="14"/>
      <c r="U90" s="27"/>
      <c r="V90" s="14"/>
      <c r="W90" s="14"/>
      <c r="X90" s="14"/>
      <c r="Y90" s="14"/>
      <c r="Z90" s="14"/>
      <c r="AA90" s="19"/>
      <c r="AB90" s="19"/>
      <c r="AC90" s="19"/>
      <c r="AD90" s="19"/>
      <c r="AE90" s="19"/>
      <c r="AF90" s="47"/>
      <c r="AG90" s="19"/>
      <c r="AH90" s="19"/>
      <c r="AI90" s="14"/>
      <c r="AJ90" s="27"/>
      <c r="AK90" s="14"/>
      <c r="AL90" s="14"/>
      <c r="AM90" s="14"/>
      <c r="AN90" s="14"/>
      <c r="AO90" s="14"/>
      <c r="AP90" s="19"/>
      <c r="AQ90" s="19"/>
      <c r="AR90" s="19"/>
      <c r="AS90" s="19"/>
      <c r="AT90" s="19"/>
      <c r="AU90" s="47"/>
      <c r="AV90" s="14"/>
      <c r="AW90" s="19"/>
      <c r="AX90" s="14"/>
      <c r="AY90" s="27"/>
      <c r="AZ90" s="14"/>
      <c r="BA90" s="14"/>
      <c r="BB90" s="14"/>
      <c r="BC90" s="14"/>
      <c r="BD90" s="14"/>
      <c r="BE90" s="19"/>
      <c r="BF90" s="19"/>
      <c r="BG90" s="19"/>
      <c r="BH90" s="19"/>
      <c r="BI90" s="19"/>
      <c r="BJ90" s="47"/>
      <c r="BK90" s="19"/>
      <c r="BL90" s="19"/>
      <c r="BM90" s="14"/>
      <c r="BN90" s="27"/>
      <c r="BO90" s="14"/>
      <c r="BP90" s="14"/>
      <c r="BQ90" s="14"/>
      <c r="BR90" s="14"/>
      <c r="BS90" s="14"/>
      <c r="BT90" s="19"/>
      <c r="BU90" s="19"/>
      <c r="BV90" s="19"/>
      <c r="BW90" s="19"/>
      <c r="BX90" s="19"/>
      <c r="BY90" s="47"/>
      <c r="BZ90" s="14"/>
      <c r="CA90" s="109" t="s">
        <v>14</v>
      </c>
      <c r="CB90" s="110" t="s">
        <v>164</v>
      </c>
      <c r="CC90" s="110" t="s">
        <v>149</v>
      </c>
      <c r="CD90" s="184" t="s">
        <v>150</v>
      </c>
      <c r="CE90" s="184" t="s">
        <v>151</v>
      </c>
      <c r="CF90" s="110" t="s">
        <v>152</v>
      </c>
      <c r="CG90" s="14"/>
      <c r="CH90" s="109"/>
      <c r="CI90" s="110" t="s">
        <v>5</v>
      </c>
      <c r="CJ90" s="110" t="s">
        <v>4</v>
      </c>
      <c r="CK90" s="110" t="s">
        <v>33</v>
      </c>
      <c r="CL90" s="110" t="s">
        <v>29</v>
      </c>
      <c r="CM90" s="110" t="s">
        <v>3</v>
      </c>
      <c r="CN90" s="110" t="s">
        <v>54</v>
      </c>
      <c r="CO90" s="328" t="s">
        <v>160</v>
      </c>
      <c r="CP90" s="29"/>
      <c r="CQ90" s="47"/>
      <c r="CR90" s="14"/>
      <c r="CS90" s="109" t="s">
        <v>14</v>
      </c>
      <c r="CT90" s="110" t="s">
        <v>164</v>
      </c>
      <c r="CU90" s="110" t="s">
        <v>149</v>
      </c>
      <c r="CV90" s="184" t="s">
        <v>150</v>
      </c>
      <c r="CW90" s="184" t="s">
        <v>151</v>
      </c>
      <c r="CX90" s="194" t="s">
        <v>152</v>
      </c>
      <c r="CY90" s="14"/>
      <c r="CZ90" s="109" t="s">
        <v>14</v>
      </c>
      <c r="DA90" s="110" t="s">
        <v>5</v>
      </c>
      <c r="DB90" s="110" t="s">
        <v>4</v>
      </c>
      <c r="DC90" s="110" t="s">
        <v>33</v>
      </c>
      <c r="DD90" s="110" t="s">
        <v>29</v>
      </c>
      <c r="DE90" s="110" t="s">
        <v>3</v>
      </c>
      <c r="DF90" s="110" t="s">
        <v>54</v>
      </c>
      <c r="DG90" s="328" t="s">
        <v>160</v>
      </c>
      <c r="DH90" s="29"/>
      <c r="DI90" s="47"/>
      <c r="DJ90" s="29"/>
      <c r="DK90" s="19"/>
      <c r="DL90" s="19"/>
      <c r="DM90" s="27"/>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row>
    <row r="91" spans="1:142" x14ac:dyDescent="0.25">
      <c r="A91" s="14"/>
      <c r="B91" s="14"/>
      <c r="C91" s="14"/>
      <c r="D91" s="21"/>
      <c r="E91" s="14"/>
      <c r="F91" s="14"/>
      <c r="G91" s="14"/>
      <c r="H91" s="21"/>
      <c r="I91" s="15"/>
      <c r="J91" s="13"/>
      <c r="K91" s="14"/>
      <c r="L91" s="14"/>
      <c r="M91" s="14"/>
      <c r="N91" s="14"/>
      <c r="O91" s="14"/>
      <c r="P91" s="14"/>
      <c r="Q91" s="47"/>
      <c r="R91" s="19"/>
      <c r="S91" s="14"/>
      <c r="T91" s="14"/>
      <c r="U91" s="21"/>
      <c r="V91" s="14"/>
      <c r="W91" s="14"/>
      <c r="X91" s="14"/>
      <c r="Y91" s="14"/>
      <c r="Z91" s="14"/>
      <c r="AA91" s="19"/>
      <c r="AB91" s="19"/>
      <c r="AC91" s="19"/>
      <c r="AD91" s="19"/>
      <c r="AE91" s="19"/>
      <c r="AF91" s="47"/>
      <c r="AG91" s="19"/>
      <c r="AH91" s="14"/>
      <c r="AI91" s="14"/>
      <c r="AJ91" s="21"/>
      <c r="AK91" s="14"/>
      <c r="AL91" s="14"/>
      <c r="AM91" s="14"/>
      <c r="AN91" s="14"/>
      <c r="AO91" s="14"/>
      <c r="AP91" s="19"/>
      <c r="AQ91" s="19"/>
      <c r="AR91" s="19"/>
      <c r="AS91" s="19"/>
      <c r="AT91" s="19"/>
      <c r="AU91" s="47"/>
      <c r="AV91" s="14"/>
      <c r="AW91" s="14"/>
      <c r="AX91" s="14"/>
      <c r="AY91" s="21"/>
      <c r="AZ91" s="14"/>
      <c r="BA91" s="14"/>
      <c r="BB91" s="14"/>
      <c r="BC91" s="14"/>
      <c r="BD91" s="14"/>
      <c r="BE91" s="19"/>
      <c r="BF91" s="19"/>
      <c r="BG91" s="19"/>
      <c r="BH91" s="19"/>
      <c r="BI91" s="19"/>
      <c r="BJ91" s="47"/>
      <c r="BK91" s="19"/>
      <c r="BL91" s="14"/>
      <c r="BM91" s="14"/>
      <c r="BN91" s="21"/>
      <c r="BO91" s="14"/>
      <c r="BP91" s="14"/>
      <c r="BQ91" s="14"/>
      <c r="BR91" s="14"/>
      <c r="BS91" s="14"/>
      <c r="BT91" s="19"/>
      <c r="BU91" s="19"/>
      <c r="BV91" s="19"/>
      <c r="BW91" s="19"/>
      <c r="BX91" s="19"/>
      <c r="BY91" s="47"/>
      <c r="BZ91" s="14"/>
      <c r="CA91" s="140" t="s">
        <v>461</v>
      </c>
      <c r="CB91" s="27">
        <f>COUNTIFS(S26_stakeholder_category,"PP",Response_Q161_1,"&lt;&gt;0",Response_Q156_1,"&lt;&gt;0")</f>
        <v>0</v>
      </c>
      <c r="CC91" s="37">
        <f>COUNTIFS(S26_stakeholder_category,"PP",Response_Q161_1,1,Response_Q156_1,"&lt;&gt;0")</f>
        <v>0</v>
      </c>
      <c r="CD91" s="37">
        <f>COUNTIFS(S26_stakeholder_category,"PP",Response_Q161_1,2,Response_Q156_1,"&lt;&gt;0")</f>
        <v>0</v>
      </c>
      <c r="CE91" s="37">
        <f>COUNTIFS(S26_stakeholder_category,"PP",Response_Q161_1,3,Response_Q156_1,"&lt;&gt;0")</f>
        <v>0</v>
      </c>
      <c r="CF91" s="97">
        <f t="shared" ref="CF91:CF96" si="41">IF(CB$85=0,0,SUMPRODUCT(CC91:CE91,Rank_score)/CB$85)</f>
        <v>0</v>
      </c>
      <c r="CG91" s="14"/>
      <c r="CH91" s="140" t="s">
        <v>461</v>
      </c>
      <c r="CI91" s="27">
        <f t="shared" ref="CI91:CN91" si="42">COUNTIFS(S26_stakeholder_category,"PP",Response_Q161_1,"&lt;&gt;0",Response_Q161_2,CI$63,Response_Q156_1,"&lt;&gt;0")</f>
        <v>0</v>
      </c>
      <c r="CJ91" s="27">
        <f t="shared" si="42"/>
        <v>0</v>
      </c>
      <c r="CK91" s="27">
        <f t="shared" si="42"/>
        <v>0</v>
      </c>
      <c r="CL91" s="27">
        <f t="shared" si="42"/>
        <v>0</v>
      </c>
      <c r="CM91" s="27">
        <f t="shared" si="42"/>
        <v>0</v>
      </c>
      <c r="CN91" s="27">
        <f t="shared" si="42"/>
        <v>0</v>
      </c>
      <c r="CO91" s="141" t="str">
        <f t="shared" ref="CO91:CO97" si="43">IF(ISBLANK(CH91),"",IF(CF91=0,not_ranked,IF(SUM(CI91:CN91)=0,not_estimated,IFERROR(SUMPRODUCT(CI91:CN91,Likekihood_score)/SUM(CI91:CN91),0))))</f>
        <v>Factor not ranked</v>
      </c>
      <c r="CP91" s="29"/>
      <c r="CQ91" s="47"/>
      <c r="CR91" s="14"/>
      <c r="CS91" s="140" t="s">
        <v>373</v>
      </c>
      <c r="CT91" s="27">
        <f>COUNTIFS(S26_stakeholder_category,"PP",Response_Q162_1,"&lt;&gt;0",Response_Q157_1,"&lt;&gt;0")</f>
        <v>2</v>
      </c>
      <c r="CU91" s="37">
        <f>COUNTIFS(S26_stakeholder_category,"PP",Response_Q162_1,1,Response_Q157_1,"&lt;&gt;0")</f>
        <v>2</v>
      </c>
      <c r="CV91" s="37">
        <f>COUNTIFS(S26_stakeholder_category,"PP",Response_Q162_1,2,Response_Q157_1,"&lt;&gt;0")</f>
        <v>0</v>
      </c>
      <c r="CW91" s="37">
        <f>COUNTIFS(S26_stakeholder_category,"PP",Response_Q162_1,3,Response_Q157_1,"&lt;&gt;0")</f>
        <v>0</v>
      </c>
      <c r="CX91" s="37">
        <f>IF(CT85=0,0,SUMPRODUCT(CU91:CW91,Rank_score)/CT$58)</f>
        <v>2</v>
      </c>
      <c r="CY91" s="14"/>
      <c r="CZ91" s="140" t="s">
        <v>373</v>
      </c>
      <c r="DA91" s="27">
        <f t="shared" ref="DA91:DF91" si="44">COUNTIFS(S26_stakeholder_category,"PP",Response_Q162_1,"&lt;&gt;0",Response_Q162_2,DA$63,Response_Q157_1,"&lt;&gt;0")</f>
        <v>0</v>
      </c>
      <c r="DB91" s="27">
        <f t="shared" si="44"/>
        <v>0</v>
      </c>
      <c r="DC91" s="27">
        <f t="shared" si="44"/>
        <v>0</v>
      </c>
      <c r="DD91" s="27">
        <f t="shared" si="44"/>
        <v>0</v>
      </c>
      <c r="DE91" s="27">
        <f t="shared" si="44"/>
        <v>1</v>
      </c>
      <c r="DF91" s="27">
        <f t="shared" si="44"/>
        <v>1</v>
      </c>
      <c r="DG91" s="141">
        <f t="shared" ref="DG91:DG98" si="45">IF(ISBLANK(CZ91),"",IF(CX91=0,not_ranked,IF(SUM(DA91:DF91)=0,not_estimated,IFERROR(SUMPRODUCT(DA91:DF91,Likekihood_score)/SUM(DA91:DF91),0))))</f>
        <v>5.5</v>
      </c>
      <c r="DH91" s="29"/>
      <c r="DI91" s="47"/>
      <c r="DJ91" s="29"/>
      <c r="DK91" s="19"/>
      <c r="DL91" s="19"/>
      <c r="DM91" s="14"/>
      <c r="DN91" s="14"/>
      <c r="DO91" s="14"/>
      <c r="DP91" s="14"/>
      <c r="DQ91" s="14"/>
      <c r="DR91" s="13"/>
      <c r="DS91" s="13"/>
      <c r="DT91" s="14"/>
      <c r="DU91" s="14"/>
      <c r="DV91" s="14"/>
      <c r="DW91" s="14"/>
      <c r="DX91" s="14"/>
      <c r="DY91" s="14"/>
      <c r="DZ91" s="14"/>
      <c r="EA91" s="14"/>
      <c r="EB91" s="14"/>
      <c r="EC91" s="14"/>
      <c r="ED91" s="14"/>
      <c r="EE91" s="14"/>
      <c r="EF91" s="14"/>
      <c r="EG91" s="14"/>
      <c r="EH91" s="14"/>
      <c r="EI91" s="14"/>
      <c r="EJ91" s="14"/>
      <c r="EK91" s="14"/>
      <c r="EL91" s="14"/>
    </row>
    <row r="92" spans="1:142" ht="14.4" x14ac:dyDescent="0.25">
      <c r="A92" s="14"/>
      <c r="B92" s="60"/>
      <c r="C92" s="19"/>
      <c r="D92" s="59"/>
      <c r="E92" s="14"/>
      <c r="F92" s="14"/>
      <c r="G92" s="14"/>
      <c r="H92" s="21"/>
      <c r="I92" s="21"/>
      <c r="J92" s="14"/>
      <c r="K92" s="14"/>
      <c r="L92" s="14"/>
      <c r="M92" s="14"/>
      <c r="N92" s="14"/>
      <c r="O92" s="14"/>
      <c r="P92" s="14"/>
      <c r="Q92" s="47"/>
      <c r="R92" s="19"/>
      <c r="S92" s="60"/>
      <c r="T92" s="19"/>
      <c r="U92" s="59"/>
      <c r="V92" s="14"/>
      <c r="W92" s="14"/>
      <c r="X92" s="14"/>
      <c r="Y92" s="14"/>
      <c r="Z92" s="14"/>
      <c r="AA92" s="19"/>
      <c r="AB92" s="19"/>
      <c r="AC92" s="19"/>
      <c r="AD92" s="19"/>
      <c r="AE92" s="19"/>
      <c r="AF92" s="47"/>
      <c r="AG92" s="19"/>
      <c r="AH92" s="60"/>
      <c r="AI92" s="19"/>
      <c r="AJ92" s="59"/>
      <c r="AK92" s="14"/>
      <c r="AL92" s="14"/>
      <c r="AM92" s="14"/>
      <c r="AN92" s="14"/>
      <c r="AO92" s="14"/>
      <c r="AP92" s="19"/>
      <c r="AQ92" s="19"/>
      <c r="AR92" s="19"/>
      <c r="AS92" s="19"/>
      <c r="AT92" s="19"/>
      <c r="AU92" s="47"/>
      <c r="AV92" s="14"/>
      <c r="AW92" s="60"/>
      <c r="AX92" s="19"/>
      <c r="AY92" s="59"/>
      <c r="AZ92" s="14"/>
      <c r="BA92" s="14"/>
      <c r="BB92" s="14"/>
      <c r="BC92" s="14"/>
      <c r="BD92" s="14"/>
      <c r="BE92" s="19"/>
      <c r="BF92" s="19"/>
      <c r="BG92" s="19"/>
      <c r="BH92" s="19"/>
      <c r="BI92" s="19"/>
      <c r="BJ92" s="47"/>
      <c r="BK92" s="19"/>
      <c r="BL92" s="60"/>
      <c r="BM92" s="19"/>
      <c r="BN92" s="59"/>
      <c r="BO92" s="14"/>
      <c r="BP92" s="14"/>
      <c r="BQ92" s="14"/>
      <c r="BR92" s="14"/>
      <c r="BS92" s="14"/>
      <c r="BT92" s="19"/>
      <c r="BU92" s="19"/>
      <c r="BV92" s="19"/>
      <c r="BW92" s="19"/>
      <c r="BX92" s="19"/>
      <c r="BY92" s="47"/>
      <c r="BZ92" s="14"/>
      <c r="CA92" s="140" t="s">
        <v>338</v>
      </c>
      <c r="CB92" s="27">
        <f>COUNTIFS(S26_stakeholder_category,"PP",Response_Q161_3,"&lt;&gt;0",Response_Q156_1,"&lt;&gt;0")</f>
        <v>0</v>
      </c>
      <c r="CC92" s="37">
        <f>COUNTIFS(S26_stakeholder_category,"PP",Response_Q161_3,1,Response_Q156_1,"&lt;&gt;0")</f>
        <v>0</v>
      </c>
      <c r="CD92" s="37">
        <f>COUNTIFS(S26_stakeholder_category,"PP",Response_Q161_3,2,Response_Q156_1,"&lt;&gt;0")</f>
        <v>0</v>
      </c>
      <c r="CE92" s="37">
        <f>COUNTIFS(S26_stakeholder_category,"PP",Response_Q161_3,3,Response_Q156_1,"&lt;&gt;0")</f>
        <v>0</v>
      </c>
      <c r="CF92" s="97">
        <f t="shared" si="41"/>
        <v>0</v>
      </c>
      <c r="CG92" s="14"/>
      <c r="CH92" s="140" t="s">
        <v>338</v>
      </c>
      <c r="CI92" s="27">
        <f t="shared" ref="CI92:CN92" si="46">COUNTIFS(S26_stakeholder_category,"PP",Response_Q161_3,"&lt;&gt;0",Response_Q161_4,CI$63,Response_Q156_1,"&lt;&gt;0")</f>
        <v>0</v>
      </c>
      <c r="CJ92" s="27">
        <f t="shared" si="46"/>
        <v>0</v>
      </c>
      <c r="CK92" s="27">
        <f t="shared" si="46"/>
        <v>0</v>
      </c>
      <c r="CL92" s="27">
        <f t="shared" si="46"/>
        <v>0</v>
      </c>
      <c r="CM92" s="27">
        <f t="shared" si="46"/>
        <v>0</v>
      </c>
      <c r="CN92" s="27">
        <f t="shared" si="46"/>
        <v>0</v>
      </c>
      <c r="CO92" s="141" t="str">
        <f t="shared" si="43"/>
        <v>Factor not ranked</v>
      </c>
      <c r="CP92" s="14"/>
      <c r="CQ92" s="47"/>
      <c r="CR92" s="14"/>
      <c r="CS92" s="140" t="s">
        <v>338</v>
      </c>
      <c r="CT92" s="27">
        <f>COUNTIFS(S26_stakeholder_category,"PP",Response_Q162_3,"&lt;&gt;0",Response_Q157_1,"&lt;&gt;0")</f>
        <v>1</v>
      </c>
      <c r="CU92" s="37">
        <f>COUNTIFS(S26_stakeholder_category,"PP",Response_Q162_3,1,Response_Q157_1,"&lt;&gt;0")</f>
        <v>0</v>
      </c>
      <c r="CV92" s="37">
        <f>COUNTIFS(S26_stakeholder_category,"PP",Response_Q162_3,2,Response_Q157_1,"&lt;&gt;0")</f>
        <v>1</v>
      </c>
      <c r="CW92" s="37">
        <f>COUNTIFS(S26_stakeholder_category,"PP",Response_Q162_3,3,Response_Q157_1,"&lt;&gt;0")</f>
        <v>0</v>
      </c>
      <c r="CX92" s="37">
        <f>IF(CT85=0,0,SUMPRODUCT(CU92:CW92,Rank_score)/CT$58)</f>
        <v>0.66666666666666663</v>
      </c>
      <c r="CY92" s="14"/>
      <c r="CZ92" s="140" t="s">
        <v>343</v>
      </c>
      <c r="DA92" s="27">
        <f t="shared" ref="DA92:DF92" si="47">COUNTIFS(S26_stakeholder_category,"PP",Response_Q162_3,"&lt;&gt;0",Response_Q162_4,DA$63,Response_Q157_1,"&lt;&gt;0")</f>
        <v>0</v>
      </c>
      <c r="DB92" s="27">
        <f t="shared" si="47"/>
        <v>1</v>
      </c>
      <c r="DC92" s="27">
        <f t="shared" si="47"/>
        <v>0</v>
      </c>
      <c r="DD92" s="27">
        <f t="shared" si="47"/>
        <v>0</v>
      </c>
      <c r="DE92" s="27">
        <f t="shared" si="47"/>
        <v>0</v>
      </c>
      <c r="DF92" s="27">
        <f t="shared" si="47"/>
        <v>0</v>
      </c>
      <c r="DG92" s="141">
        <f t="shared" si="45"/>
        <v>2</v>
      </c>
      <c r="DH92" s="14"/>
      <c r="DI92" s="47"/>
      <c r="DJ92" s="14"/>
      <c r="DK92" s="56"/>
      <c r="DL92" s="29"/>
      <c r="DM92" s="59"/>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row>
    <row r="93" spans="1:142" ht="14.4" x14ac:dyDescent="0.25">
      <c r="A93" s="14"/>
      <c r="B93" s="62"/>
      <c r="C93" s="19"/>
      <c r="D93" s="59"/>
      <c r="E93" s="14"/>
      <c r="F93" s="14"/>
      <c r="G93" s="14"/>
      <c r="H93" s="21"/>
      <c r="I93" s="21"/>
      <c r="J93" s="14"/>
      <c r="K93" s="14"/>
      <c r="L93" s="14"/>
      <c r="M93" s="14"/>
      <c r="N93" s="14"/>
      <c r="O93" s="14"/>
      <c r="P93" s="14"/>
      <c r="Q93" s="47"/>
      <c r="R93" s="19"/>
      <c r="S93" s="61"/>
      <c r="T93" s="19"/>
      <c r="U93" s="59"/>
      <c r="V93" s="14"/>
      <c r="W93" s="14"/>
      <c r="X93" s="14"/>
      <c r="Y93" s="14"/>
      <c r="Z93" s="13"/>
      <c r="AA93" s="30"/>
      <c r="AB93" s="30"/>
      <c r="AC93" s="30"/>
      <c r="AD93" s="30"/>
      <c r="AE93" s="30"/>
      <c r="AF93" s="47"/>
      <c r="AG93" s="19"/>
      <c r="AH93" s="61"/>
      <c r="AI93" s="19"/>
      <c r="AJ93" s="59"/>
      <c r="AK93" s="14"/>
      <c r="AL93" s="14"/>
      <c r="AM93" s="14"/>
      <c r="AN93" s="14"/>
      <c r="AO93" s="13"/>
      <c r="AP93" s="30"/>
      <c r="AQ93" s="30"/>
      <c r="AR93" s="30"/>
      <c r="AS93" s="30"/>
      <c r="AT93" s="30"/>
      <c r="AU93" s="47"/>
      <c r="AV93" s="14"/>
      <c r="AW93" s="61"/>
      <c r="AX93" s="19"/>
      <c r="AY93" s="59"/>
      <c r="AZ93" s="14"/>
      <c r="BA93" s="14"/>
      <c r="BB93" s="14"/>
      <c r="BC93" s="14"/>
      <c r="BD93" s="13"/>
      <c r="BE93" s="30"/>
      <c r="BF93" s="30"/>
      <c r="BG93" s="30"/>
      <c r="BH93" s="30"/>
      <c r="BI93" s="30"/>
      <c r="BJ93" s="47"/>
      <c r="BK93" s="19"/>
      <c r="BL93" s="61"/>
      <c r="BM93" s="19"/>
      <c r="BN93" s="59"/>
      <c r="BO93" s="14"/>
      <c r="BP93" s="14"/>
      <c r="BQ93" s="14"/>
      <c r="BR93" s="14"/>
      <c r="BS93" s="13"/>
      <c r="BT93" s="30"/>
      <c r="BU93" s="30"/>
      <c r="BV93" s="30"/>
      <c r="BW93" s="30"/>
      <c r="BX93" s="30"/>
      <c r="BY93" s="47"/>
      <c r="BZ93" s="14"/>
      <c r="CA93" s="140" t="s">
        <v>340</v>
      </c>
      <c r="CB93" s="27">
        <f>COUNTIFS(S26_stakeholder_category,"PP",Response_Q161_5,"&lt;&gt;0",Response_Q156_1,"&lt;&gt;0")</f>
        <v>0</v>
      </c>
      <c r="CC93" s="37">
        <f>COUNTIFS(S26_stakeholder_category,"PP",Response_Q161_5,1,Response_Q156_1,"&lt;&gt;0")</f>
        <v>0</v>
      </c>
      <c r="CD93" s="37">
        <f>COUNTIFS(S26_stakeholder_category,"PP",Response_Q161_5,2,Response_Q156_1,"&lt;&gt;0")</f>
        <v>0</v>
      </c>
      <c r="CE93" s="37">
        <f>COUNTIFS(S26_stakeholder_category,"PP",Response_Q161_5,3,Response_Q156_1,"&lt;&gt;0")</f>
        <v>0</v>
      </c>
      <c r="CF93" s="97">
        <f t="shared" si="41"/>
        <v>0</v>
      </c>
      <c r="CG93" s="14"/>
      <c r="CH93" s="140" t="s">
        <v>340</v>
      </c>
      <c r="CI93" s="27">
        <f t="shared" ref="CI93:CN93" si="48">COUNTIFS(S26_stakeholder_category,"PP",Response_Q161_5,"&lt;&gt;0",Response_Q161_6,CI$63,Response_Q156_1,"&lt;&gt;0")</f>
        <v>0</v>
      </c>
      <c r="CJ93" s="27">
        <f t="shared" si="48"/>
        <v>0</v>
      </c>
      <c r="CK93" s="27">
        <f t="shared" si="48"/>
        <v>0</v>
      </c>
      <c r="CL93" s="27">
        <f t="shared" si="48"/>
        <v>0</v>
      </c>
      <c r="CM93" s="27">
        <f t="shared" si="48"/>
        <v>0</v>
      </c>
      <c r="CN93" s="27">
        <f t="shared" si="48"/>
        <v>0</v>
      </c>
      <c r="CO93" s="141" t="str">
        <f t="shared" si="43"/>
        <v>Factor not ranked</v>
      </c>
      <c r="CP93" s="14"/>
      <c r="CQ93" s="47"/>
      <c r="CR93" s="14"/>
      <c r="CS93" s="140" t="s">
        <v>159</v>
      </c>
      <c r="CT93" s="27">
        <f>COUNTIFS(S26_stakeholder_category,"PP",Response_Q162_5,"&lt;&gt;0",Response_Q157_1,"&lt;&gt;0")</f>
        <v>0</v>
      </c>
      <c r="CU93" s="37">
        <f>COUNTIFS(S26_stakeholder_category,"PP",Response_Q162_5,1,Response_Q157_1,"&lt;&gt;0")</f>
        <v>0</v>
      </c>
      <c r="CV93" s="37">
        <f>COUNTIFS(S26_stakeholder_category,"PP",Response_Q162_5,2,Response_Q157_1,"&lt;&gt;0")</f>
        <v>0</v>
      </c>
      <c r="CW93" s="37">
        <f>COUNTIFS(S26_stakeholder_category,"PP",Response_Q162_5,3,Response_Q157_1,"&lt;&gt;0")</f>
        <v>0</v>
      </c>
      <c r="CX93" s="37">
        <f>IF(CT85=0,0,SUMPRODUCT(CU93:CW93,Rank_score)/CT$58)</f>
        <v>0</v>
      </c>
      <c r="CY93" s="14"/>
      <c r="CZ93" s="107" t="s">
        <v>158</v>
      </c>
      <c r="DA93" s="27">
        <f t="shared" ref="DA93:DF93" si="49">COUNTIFS(S26_stakeholder_category,"PP",Response_Q162_5,"&lt;&gt;0",Response_Q162_6,DA$63,Response_Q157_1,"&lt;&gt;0")</f>
        <v>0</v>
      </c>
      <c r="DB93" s="27">
        <f t="shared" si="49"/>
        <v>0</v>
      </c>
      <c r="DC93" s="27">
        <f t="shared" si="49"/>
        <v>0</v>
      </c>
      <c r="DD93" s="27">
        <f t="shared" si="49"/>
        <v>0</v>
      </c>
      <c r="DE93" s="27">
        <f t="shared" si="49"/>
        <v>0</v>
      </c>
      <c r="DF93" s="27">
        <f t="shared" si="49"/>
        <v>0</v>
      </c>
      <c r="DG93" s="141" t="str">
        <f t="shared" si="45"/>
        <v>Factor not ranked</v>
      </c>
      <c r="DH93" s="14"/>
      <c r="DI93" s="47"/>
      <c r="DJ93" s="14"/>
      <c r="DK93" s="56"/>
      <c r="DL93" s="19"/>
      <c r="DM93" s="59"/>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row>
    <row r="94" spans="1:142" x14ac:dyDescent="0.25">
      <c r="A94" s="14"/>
      <c r="B94" s="19"/>
      <c r="C94" s="19"/>
      <c r="D94" s="59"/>
      <c r="E94" s="14"/>
      <c r="F94" s="14"/>
      <c r="G94" s="14"/>
      <c r="H94" s="21"/>
      <c r="I94" s="21"/>
      <c r="J94" s="14"/>
      <c r="K94" s="14"/>
      <c r="L94" s="14"/>
      <c r="M94" s="14"/>
      <c r="N94" s="14"/>
      <c r="O94" s="14"/>
      <c r="P94" s="14"/>
      <c r="Q94" s="47"/>
      <c r="R94" s="19"/>
      <c r="S94" s="62"/>
      <c r="T94" s="19"/>
      <c r="U94" s="59"/>
      <c r="V94" s="14"/>
      <c r="W94" s="14"/>
      <c r="X94" s="14"/>
      <c r="Y94" s="14"/>
      <c r="Z94" s="14"/>
      <c r="AA94" s="14"/>
      <c r="AB94" s="14"/>
      <c r="AC94" s="14"/>
      <c r="AD94" s="14"/>
      <c r="AE94" s="14"/>
      <c r="AF94" s="47"/>
      <c r="AG94" s="19"/>
      <c r="AH94" s="62"/>
      <c r="AI94" s="19"/>
      <c r="AJ94" s="59"/>
      <c r="AK94" s="14"/>
      <c r="AL94" s="14"/>
      <c r="AM94" s="14"/>
      <c r="AN94" s="14"/>
      <c r="AO94" s="14"/>
      <c r="AP94" s="14"/>
      <c r="AQ94" s="14"/>
      <c r="AR94" s="14"/>
      <c r="AS94" s="14"/>
      <c r="AT94" s="14"/>
      <c r="AU94" s="47"/>
      <c r="AV94" s="14"/>
      <c r="AW94" s="62"/>
      <c r="AX94" s="19"/>
      <c r="AY94" s="59"/>
      <c r="AZ94" s="14"/>
      <c r="BA94" s="14"/>
      <c r="BB94" s="14"/>
      <c r="BC94" s="14"/>
      <c r="BD94" s="14"/>
      <c r="BE94" s="14"/>
      <c r="BF94" s="14"/>
      <c r="BG94" s="14"/>
      <c r="BH94" s="14"/>
      <c r="BI94" s="14"/>
      <c r="BJ94" s="47"/>
      <c r="BK94" s="19"/>
      <c r="BL94" s="62"/>
      <c r="BM94" s="19"/>
      <c r="BN94" s="59"/>
      <c r="BO94" s="14"/>
      <c r="BP94" s="14"/>
      <c r="BQ94" s="14"/>
      <c r="BR94" s="14"/>
      <c r="BS94" s="14"/>
      <c r="BT94" s="14"/>
      <c r="BU94" s="14"/>
      <c r="BV94" s="14"/>
      <c r="BW94" s="14"/>
      <c r="BX94" s="14"/>
      <c r="BY94" s="47"/>
      <c r="BZ94" s="14"/>
      <c r="CA94" s="140" t="s">
        <v>341</v>
      </c>
      <c r="CB94" s="27">
        <f>COUNTIFS(S26_stakeholder_category,"PP",Response_Q161_7,"&lt;&gt;0",Response_Q156_1,"&lt;&gt;0")</f>
        <v>0</v>
      </c>
      <c r="CC94" s="37">
        <f>COUNTIFS(S26_stakeholder_category,"PP",Response_Q161_7,1,Response_Q156_1,"&lt;&gt;0")</f>
        <v>0</v>
      </c>
      <c r="CD94" s="37">
        <f>COUNTIFS(S26_stakeholder_category,"PP",Response_Q161_7,2,Response_Q156_1,"&lt;&gt;0")</f>
        <v>0</v>
      </c>
      <c r="CE94" s="37">
        <f>COUNTIFS(S26_stakeholder_category,"PP",Response_Q161_7,3,Response_Q156_1,"&lt;&gt;0")</f>
        <v>0</v>
      </c>
      <c r="CF94" s="97">
        <f t="shared" si="41"/>
        <v>0</v>
      </c>
      <c r="CG94" s="14"/>
      <c r="CH94" s="140" t="s">
        <v>341</v>
      </c>
      <c r="CI94" s="27">
        <f t="shared" ref="CI94:CN94" si="50">COUNTIFS(S26_stakeholder_category,"PP",Response_Q161_7,"&lt;&gt;0",Response_Q161_8,CI$63,Response_Q156_1,"&lt;&gt;0")</f>
        <v>0</v>
      </c>
      <c r="CJ94" s="27">
        <f t="shared" si="50"/>
        <v>0</v>
      </c>
      <c r="CK94" s="27">
        <f t="shared" si="50"/>
        <v>0</v>
      </c>
      <c r="CL94" s="27">
        <f t="shared" si="50"/>
        <v>0</v>
      </c>
      <c r="CM94" s="27">
        <f t="shared" si="50"/>
        <v>0</v>
      </c>
      <c r="CN94" s="27">
        <f t="shared" si="50"/>
        <v>0</v>
      </c>
      <c r="CO94" s="141" t="str">
        <f t="shared" si="43"/>
        <v>Factor not ranked</v>
      </c>
      <c r="CP94" s="14"/>
      <c r="CQ94" s="47"/>
      <c r="CR94" s="14"/>
      <c r="CS94" s="140" t="s">
        <v>345</v>
      </c>
      <c r="CT94" s="27">
        <f>COUNTIFS(S26_stakeholder_category,"PP",Response_Q162_7,"&lt;&gt;0",Response_Q157_1,"&lt;&gt;0")</f>
        <v>1</v>
      </c>
      <c r="CU94" s="37">
        <f>COUNTIFS(S26_stakeholder_category,"PP",Response_Q162_7,1,Response_Q157_1,"&lt;&gt;0")</f>
        <v>0</v>
      </c>
      <c r="CV94" s="37">
        <f>COUNTIFS(S26_stakeholder_category,"PP",Response_Q162_7,2,Response_Q157_1,"&lt;&gt;0")</f>
        <v>1</v>
      </c>
      <c r="CW94" s="37">
        <f>COUNTIFS(S26_stakeholder_category,"PP",Response_Q162_7,3,Response_Q157_1,"&lt;&gt;0")</f>
        <v>0</v>
      </c>
      <c r="CX94" s="37">
        <f>IF(CT85=0,0,SUMPRODUCT(CU94:CW94,Rank_score)/CT$58)</f>
        <v>0.66666666666666663</v>
      </c>
      <c r="CY94" s="14"/>
      <c r="CZ94" s="107" t="s">
        <v>159</v>
      </c>
      <c r="DA94" s="27">
        <f t="shared" ref="DA94:DF94" si="51">COUNTIFS(S26_stakeholder_category,"PP",Response_Q162_7,"&lt;&gt;0",Response_Q162_8,DA$63,Response_Q157_1,"&lt;&gt;0")</f>
        <v>0</v>
      </c>
      <c r="DB94" s="27">
        <f t="shared" si="51"/>
        <v>1</v>
      </c>
      <c r="DC94" s="27">
        <f t="shared" si="51"/>
        <v>0</v>
      </c>
      <c r="DD94" s="27">
        <f t="shared" si="51"/>
        <v>0</v>
      </c>
      <c r="DE94" s="27">
        <f t="shared" si="51"/>
        <v>0</v>
      </c>
      <c r="DF94" s="27">
        <f t="shared" si="51"/>
        <v>0</v>
      </c>
      <c r="DG94" s="141">
        <f t="shared" si="45"/>
        <v>2</v>
      </c>
      <c r="DH94" s="14"/>
      <c r="DI94" s="47"/>
      <c r="DJ94" s="14"/>
      <c r="DK94" s="14"/>
      <c r="DL94" s="19"/>
      <c r="DM94" s="59"/>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row>
    <row r="95" spans="1:142" x14ac:dyDescent="0.25">
      <c r="A95" s="14"/>
      <c r="B95" s="19"/>
      <c r="C95" s="19"/>
      <c r="D95" s="59"/>
      <c r="E95" s="14"/>
      <c r="F95" s="14"/>
      <c r="G95" s="14"/>
      <c r="H95" s="21"/>
      <c r="I95" s="21"/>
      <c r="J95" s="14"/>
      <c r="K95" s="14"/>
      <c r="L95" s="14"/>
      <c r="M95" s="14"/>
      <c r="N95" s="14"/>
      <c r="O95" s="14"/>
      <c r="P95" s="14"/>
      <c r="Q95" s="47"/>
      <c r="R95" s="19"/>
      <c r="S95" s="62"/>
      <c r="T95" s="19"/>
      <c r="U95" s="59"/>
      <c r="V95" s="14"/>
      <c r="W95" s="14"/>
      <c r="X95" s="14"/>
      <c r="Y95" s="14"/>
      <c r="Z95" s="14"/>
      <c r="AA95" s="14"/>
      <c r="AB95" s="14"/>
      <c r="AC95" s="14"/>
      <c r="AD95" s="14"/>
      <c r="AE95" s="14"/>
      <c r="AF95" s="47"/>
      <c r="AG95" s="19"/>
      <c r="AH95" s="62"/>
      <c r="AI95" s="19"/>
      <c r="AJ95" s="59"/>
      <c r="AK95" s="14"/>
      <c r="AL95" s="14"/>
      <c r="AM95" s="14"/>
      <c r="AN95" s="14"/>
      <c r="AO95" s="14"/>
      <c r="AP95" s="14"/>
      <c r="AQ95" s="14"/>
      <c r="AR95" s="14"/>
      <c r="AS95" s="14"/>
      <c r="AT95" s="14"/>
      <c r="AU95" s="47"/>
      <c r="AV95" s="14"/>
      <c r="AW95" s="62"/>
      <c r="AX95" s="19"/>
      <c r="AY95" s="59"/>
      <c r="AZ95" s="14"/>
      <c r="BA95" s="14"/>
      <c r="BB95" s="14"/>
      <c r="BC95" s="14"/>
      <c r="BD95" s="14"/>
      <c r="BE95" s="14"/>
      <c r="BF95" s="14"/>
      <c r="BG95" s="14"/>
      <c r="BH95" s="14"/>
      <c r="BI95" s="14"/>
      <c r="BJ95" s="47"/>
      <c r="BK95" s="19"/>
      <c r="BL95" s="62"/>
      <c r="BM95" s="19"/>
      <c r="BN95" s="59"/>
      <c r="BO95" s="14"/>
      <c r="BP95" s="14"/>
      <c r="BQ95" s="14"/>
      <c r="BR95" s="14"/>
      <c r="BS95" s="14"/>
      <c r="BT95" s="14"/>
      <c r="BU95" s="14"/>
      <c r="BV95" s="14"/>
      <c r="BW95" s="14"/>
      <c r="BX95" s="14"/>
      <c r="BY95" s="47"/>
      <c r="BZ95" s="14"/>
      <c r="CA95" s="140" t="s">
        <v>462</v>
      </c>
      <c r="CB95" s="27">
        <f>COUNTIFS(S26_stakeholder_category,"PP",Response_Q161_9,"&lt;&gt;0",Response_Q156_1,"&lt;&gt;0")</f>
        <v>0</v>
      </c>
      <c r="CC95" s="37">
        <f>COUNTIFS(S26_stakeholder_category,"PP",Response_Q161_9,1,Response_Q156_1,"&lt;&gt;0")</f>
        <v>0</v>
      </c>
      <c r="CD95" s="37">
        <f>COUNTIFS(S26_stakeholder_category,"PP",Response_Q161_9,2,Response_Q156_1,"&lt;&gt;0")</f>
        <v>0</v>
      </c>
      <c r="CE95" s="37">
        <f>COUNTIFS(S26_stakeholder_category,"PP",Response_Q161_9,3,Response_Q156_1,"&lt;&gt;0")</f>
        <v>0</v>
      </c>
      <c r="CF95" s="97">
        <f t="shared" si="41"/>
        <v>0</v>
      </c>
      <c r="CG95" s="14"/>
      <c r="CH95" s="140" t="s">
        <v>462</v>
      </c>
      <c r="CI95" s="27">
        <f t="shared" ref="CI95:CN95" si="52">COUNTIFS(S26_stakeholder_category,"PP",Response_Q161_9,"&lt;&gt;0",Response_Q161_10,CI$63,Response_Q156_1,"&lt;&gt;0")</f>
        <v>0</v>
      </c>
      <c r="CJ95" s="27">
        <f t="shared" si="52"/>
        <v>0</v>
      </c>
      <c r="CK95" s="27">
        <f t="shared" si="52"/>
        <v>0</v>
      </c>
      <c r="CL95" s="27">
        <f t="shared" si="52"/>
        <v>0</v>
      </c>
      <c r="CM95" s="27">
        <f t="shared" si="52"/>
        <v>0</v>
      </c>
      <c r="CN95" s="27">
        <f t="shared" si="52"/>
        <v>0</v>
      </c>
      <c r="CO95" s="141" t="str">
        <f t="shared" si="43"/>
        <v>Factor not ranked</v>
      </c>
      <c r="CP95" s="14"/>
      <c r="CQ95" s="47"/>
      <c r="CR95" s="14"/>
      <c r="CS95" s="140" t="s">
        <v>342</v>
      </c>
      <c r="CT95" s="27">
        <f>COUNTIFS(S26_stakeholder_category,"PP",Response_Q162_9,"&lt;&gt;0",Response_Q157_1,"&lt;&gt;0")</f>
        <v>1</v>
      </c>
      <c r="CU95" s="37">
        <f>COUNTIFS(S26_stakeholder_category,"PP",Response_Q162_9,1,Response_Q157_1,"&lt;&gt;0")</f>
        <v>0</v>
      </c>
      <c r="CV95" s="37">
        <f>COUNTIFS(S26_stakeholder_category,"PP",Response_Q162_9,2,Response_Q157_1,"&lt;&gt;0")</f>
        <v>0</v>
      </c>
      <c r="CW95" s="37">
        <f>COUNTIFS(S26_stakeholder_category,"PP",Response_Q162_9,3,Response_Q157_1,"&lt;&gt;0")</f>
        <v>1</v>
      </c>
      <c r="CX95" s="37">
        <f>IF(CT85=0,0,SUMPRODUCT(CU95:CW95,Rank_score)/CT$58)</f>
        <v>0.33333333333333331</v>
      </c>
      <c r="CY95" s="14"/>
      <c r="CZ95" s="106" t="s">
        <v>561</v>
      </c>
      <c r="DA95" s="27">
        <f t="shared" ref="DA95:DF95" si="53">COUNTIFS(S26_stakeholder_category,"PP",Response_Q162_9,"&lt;&gt;0",Response_Q162_10,DA$63,Response_Q157_1,"&lt;&gt;0")</f>
        <v>0</v>
      </c>
      <c r="DB95" s="27">
        <f t="shared" si="53"/>
        <v>0</v>
      </c>
      <c r="DC95" s="27">
        <f t="shared" si="53"/>
        <v>1</v>
      </c>
      <c r="DD95" s="27">
        <f t="shared" si="53"/>
        <v>0</v>
      </c>
      <c r="DE95" s="27">
        <f t="shared" si="53"/>
        <v>0</v>
      </c>
      <c r="DF95" s="27">
        <f t="shared" si="53"/>
        <v>0</v>
      </c>
      <c r="DG95" s="141">
        <f t="shared" si="45"/>
        <v>3</v>
      </c>
      <c r="DH95" s="14"/>
      <c r="DI95" s="47"/>
      <c r="DJ95" s="14"/>
      <c r="DK95" s="14"/>
      <c r="DL95" s="19"/>
      <c r="DM95" s="59"/>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row>
    <row r="96" spans="1:142" x14ac:dyDescent="0.25">
      <c r="A96" s="14"/>
      <c r="B96" s="56"/>
      <c r="C96" s="29"/>
      <c r="D96" s="59"/>
      <c r="E96" s="14"/>
      <c r="F96" s="14"/>
      <c r="G96" s="14"/>
      <c r="H96" s="21"/>
      <c r="I96" s="21"/>
      <c r="J96" s="14"/>
      <c r="K96" s="14"/>
      <c r="L96" s="14"/>
      <c r="M96" s="14"/>
      <c r="N96" s="14"/>
      <c r="O96" s="14"/>
      <c r="P96" s="14"/>
      <c r="Q96" s="47"/>
      <c r="R96" s="19"/>
      <c r="S96" s="19"/>
      <c r="T96" s="19"/>
      <c r="U96" s="59"/>
      <c r="V96" s="14"/>
      <c r="W96" s="14"/>
      <c r="X96" s="14"/>
      <c r="Y96" s="14"/>
      <c r="Z96" s="14"/>
      <c r="AA96" s="14"/>
      <c r="AB96" s="14"/>
      <c r="AC96" s="14"/>
      <c r="AD96" s="14"/>
      <c r="AE96" s="14"/>
      <c r="AF96" s="47"/>
      <c r="AG96" s="19"/>
      <c r="AH96" s="19"/>
      <c r="AI96" s="19"/>
      <c r="AJ96" s="59"/>
      <c r="AK96" s="14"/>
      <c r="AL96" s="14"/>
      <c r="AM96" s="14"/>
      <c r="AN96" s="14"/>
      <c r="AO96" s="14"/>
      <c r="AP96" s="14"/>
      <c r="AQ96" s="14"/>
      <c r="AR96" s="14"/>
      <c r="AS96" s="14"/>
      <c r="AT96" s="14"/>
      <c r="AU96" s="47"/>
      <c r="AV96" s="14"/>
      <c r="AW96" s="19"/>
      <c r="AX96" s="19"/>
      <c r="AY96" s="59"/>
      <c r="AZ96" s="14"/>
      <c r="BA96" s="14"/>
      <c r="BB96" s="14"/>
      <c r="BC96" s="14"/>
      <c r="BD96" s="14"/>
      <c r="BE96" s="14"/>
      <c r="BF96" s="14"/>
      <c r="BG96" s="14"/>
      <c r="BH96" s="14"/>
      <c r="BI96" s="14"/>
      <c r="BJ96" s="47"/>
      <c r="BK96" s="19"/>
      <c r="BL96" s="19"/>
      <c r="BM96" s="19"/>
      <c r="BN96" s="59"/>
      <c r="BO96" s="14"/>
      <c r="BP96" s="14"/>
      <c r="BQ96" s="14"/>
      <c r="BR96" s="14"/>
      <c r="BS96" s="14"/>
      <c r="BT96" s="14"/>
      <c r="BU96" s="14"/>
      <c r="BV96" s="14"/>
      <c r="BW96" s="14"/>
      <c r="BX96" s="14"/>
      <c r="BY96" s="47"/>
      <c r="BZ96" s="14"/>
      <c r="CA96" s="106" t="s">
        <v>49</v>
      </c>
      <c r="CB96" s="27">
        <f>COUNTIFS(S26_stakeholder_category,"PP",Response_Q161_11,"&lt;&gt;0",Response_Q156_1,"&lt;&gt;0")</f>
        <v>0</v>
      </c>
      <c r="CC96" s="37">
        <f>COUNTIFS(S26_stakeholder_category,"PP",Response_Q161_11,1,Response_Q156_1,"&lt;&gt;0")</f>
        <v>0</v>
      </c>
      <c r="CD96" s="37">
        <f>COUNTIFS(S26_stakeholder_category,"PP",Response_Q161_11,2,Response_Q156_1,"&lt;&gt;0")</f>
        <v>0</v>
      </c>
      <c r="CE96" s="37">
        <f>COUNTIFS(S26_stakeholder_category,"PP",Response_Q161_11,3,Response_Q156_1,"&lt;&gt;0")</f>
        <v>0</v>
      </c>
      <c r="CF96" s="97">
        <f t="shared" si="41"/>
        <v>0</v>
      </c>
      <c r="CG96" s="43"/>
      <c r="CH96" s="106" t="s">
        <v>49</v>
      </c>
      <c r="CI96" s="27">
        <f t="shared" ref="CI96:CN96" si="54">COUNTIFS(S26_stakeholder_category,"PP",Response_Q161_11,"&lt;&gt;0",Response_Q161_12,CI$63,Response_Q156_1,"&lt;&gt;0")</f>
        <v>0</v>
      </c>
      <c r="CJ96" s="27">
        <f t="shared" si="54"/>
        <v>0</v>
      </c>
      <c r="CK96" s="27">
        <f t="shared" si="54"/>
        <v>0</v>
      </c>
      <c r="CL96" s="27">
        <f t="shared" si="54"/>
        <v>0</v>
      </c>
      <c r="CM96" s="27">
        <f t="shared" si="54"/>
        <v>0</v>
      </c>
      <c r="CN96" s="27">
        <f t="shared" si="54"/>
        <v>0</v>
      </c>
      <c r="CO96" s="141" t="str">
        <f t="shared" si="43"/>
        <v>Factor not ranked</v>
      </c>
      <c r="CP96" s="14"/>
      <c r="CQ96" s="47"/>
      <c r="CR96" s="14"/>
      <c r="CS96" s="106" t="s">
        <v>49</v>
      </c>
      <c r="CT96" s="27">
        <f>COUNTIFS(S26_stakeholder_category,"PP",Response_Q162_11,"&lt;&gt;0",Response_Q157_1,"&lt;&gt;0")</f>
        <v>1</v>
      </c>
      <c r="CU96" s="37">
        <f>COUNTIFS(S26_stakeholder_category,"PP",Response_Q162_11,1,Response_Q157_1,"&lt;&gt;0")</f>
        <v>1</v>
      </c>
      <c r="CV96" s="37">
        <f>COUNTIFS(S26_stakeholder_category,"PP",Response_Q162_11,2,Response_Q157_1,"&lt;&gt;0")</f>
        <v>0</v>
      </c>
      <c r="CW96" s="37">
        <f>COUNTIFS(S26_stakeholder_category,"PP",Response_Q162_11,3,Response_Q157_1,"&lt;&gt;0")</f>
        <v>0</v>
      </c>
      <c r="CX96" s="37">
        <f>IF(CT85=0,0,SUMPRODUCT(CU96:CW96,Rank_score)/CT$58)</f>
        <v>1</v>
      </c>
      <c r="CY96" s="43"/>
      <c r="CZ96" s="106" t="s">
        <v>49</v>
      </c>
      <c r="DA96" s="27">
        <f t="shared" ref="DA96:DF96" si="55">COUNTIFS(S26_stakeholder_category,"PP",Response_Q162_11,"&lt;&gt;0",Response_Q162_12,DA$63,Response_Q157_1,"&lt;&gt;0")</f>
        <v>0</v>
      </c>
      <c r="DB96" s="27">
        <f t="shared" si="55"/>
        <v>0</v>
      </c>
      <c r="DC96" s="27">
        <f t="shared" si="55"/>
        <v>0</v>
      </c>
      <c r="DD96" s="27">
        <f t="shared" si="55"/>
        <v>0</v>
      </c>
      <c r="DE96" s="27">
        <f t="shared" si="55"/>
        <v>0</v>
      </c>
      <c r="DF96" s="27">
        <f t="shared" si="55"/>
        <v>1</v>
      </c>
      <c r="DG96" s="141">
        <f t="shared" si="45"/>
        <v>6</v>
      </c>
      <c r="DH96" s="14"/>
      <c r="DI96" s="47"/>
      <c r="DJ96" s="14"/>
      <c r="DK96" s="14"/>
      <c r="DL96" s="19"/>
      <c r="DM96" s="59"/>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row>
    <row r="97" spans="1:142" x14ac:dyDescent="0.25">
      <c r="A97" s="14"/>
      <c r="B97" s="56"/>
      <c r="C97" s="19"/>
      <c r="D97" s="59"/>
      <c r="E97" s="14"/>
      <c r="F97" s="14"/>
      <c r="G97" s="14"/>
      <c r="H97" s="21"/>
      <c r="I97" s="21"/>
      <c r="J97" s="14"/>
      <c r="K97" s="14"/>
      <c r="L97" s="14"/>
      <c r="M97" s="14"/>
      <c r="N97" s="14"/>
      <c r="O97" s="14"/>
      <c r="P97" s="14"/>
      <c r="Q97" s="47"/>
      <c r="R97" s="19"/>
      <c r="S97" s="19"/>
      <c r="T97" s="19"/>
      <c r="U97" s="59"/>
      <c r="V97" s="14"/>
      <c r="W97" s="14"/>
      <c r="X97" s="14"/>
      <c r="Y97" s="14"/>
      <c r="Z97" s="14"/>
      <c r="AA97" s="14"/>
      <c r="AB97" s="14"/>
      <c r="AC97" s="14"/>
      <c r="AD97" s="14"/>
      <c r="AE97" s="14"/>
      <c r="AF97" s="47"/>
      <c r="AG97" s="19"/>
      <c r="AH97" s="19"/>
      <c r="AI97" s="19"/>
      <c r="AJ97" s="59"/>
      <c r="AK97" s="14"/>
      <c r="AL97" s="14"/>
      <c r="AM97" s="14"/>
      <c r="AN97" s="14"/>
      <c r="AO97" s="14"/>
      <c r="AP97" s="14"/>
      <c r="AQ97" s="14"/>
      <c r="AR97" s="14"/>
      <c r="AS97" s="14"/>
      <c r="AT97" s="14"/>
      <c r="AU97" s="47"/>
      <c r="AV97" s="14"/>
      <c r="AW97" s="19"/>
      <c r="AX97" s="19"/>
      <c r="AY97" s="59"/>
      <c r="AZ97" s="14"/>
      <c r="BA97" s="14"/>
      <c r="BB97" s="14"/>
      <c r="BC97" s="14"/>
      <c r="BD97" s="14"/>
      <c r="BE97" s="14"/>
      <c r="BF97" s="14"/>
      <c r="BG97" s="14"/>
      <c r="BH97" s="14"/>
      <c r="BI97" s="14"/>
      <c r="BJ97" s="47"/>
      <c r="BK97" s="19"/>
      <c r="BL97" s="19"/>
      <c r="BM97" s="19"/>
      <c r="BN97" s="59"/>
      <c r="BO97" s="14"/>
      <c r="BP97" s="14"/>
      <c r="BQ97" s="14"/>
      <c r="BR97" s="14"/>
      <c r="BS97" s="14"/>
      <c r="BT97" s="14"/>
      <c r="BU97" s="14"/>
      <c r="BV97" s="14"/>
      <c r="BW97" s="14"/>
      <c r="BX97" s="14"/>
      <c r="BY97" s="47"/>
      <c r="BZ97" s="14"/>
      <c r="CA97" s="107"/>
      <c r="CB97" s="27"/>
      <c r="CC97" s="37"/>
      <c r="CD97" s="37"/>
      <c r="CE97" s="37"/>
      <c r="CF97" s="97"/>
      <c r="CG97" s="29"/>
      <c r="CH97" s="107"/>
      <c r="CI97" s="27"/>
      <c r="CJ97" s="27"/>
      <c r="CK97" s="27"/>
      <c r="CL97" s="27"/>
      <c r="CM97" s="27"/>
      <c r="CN97" s="27"/>
      <c r="CO97" s="141" t="str">
        <f t="shared" si="43"/>
        <v/>
      </c>
      <c r="CP97" s="14"/>
      <c r="CQ97" s="47"/>
      <c r="CR97" s="14"/>
      <c r="CS97" s="107"/>
      <c r="CT97" s="27"/>
      <c r="CU97" s="37"/>
      <c r="CV97" s="37"/>
      <c r="CW97" s="37"/>
      <c r="CX97" s="37"/>
      <c r="CY97" s="29"/>
      <c r="CZ97" s="106"/>
      <c r="DA97" s="27"/>
      <c r="DB97" s="27"/>
      <c r="DC97" s="27"/>
      <c r="DD97" s="27"/>
      <c r="DE97" s="27"/>
      <c r="DF97" s="27"/>
      <c r="DG97" s="141" t="str">
        <f t="shared" si="45"/>
        <v/>
      </c>
      <c r="DH97" s="14"/>
      <c r="DI97" s="47"/>
      <c r="DJ97" s="14"/>
      <c r="DK97" s="62"/>
      <c r="DL97" s="19"/>
      <c r="DM97" s="59"/>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row>
    <row r="98" spans="1:142" x14ac:dyDescent="0.25">
      <c r="A98" s="14"/>
      <c r="B98" s="19"/>
      <c r="C98" s="19"/>
      <c r="D98" s="59"/>
      <c r="E98" s="14"/>
      <c r="F98" s="14"/>
      <c r="G98" s="109" t="s">
        <v>14</v>
      </c>
      <c r="H98" s="110" t="s">
        <v>6</v>
      </c>
      <c r="I98" s="110" t="s">
        <v>7</v>
      </c>
      <c r="J98" s="14"/>
      <c r="K98" s="14"/>
      <c r="L98" s="14"/>
      <c r="M98" s="14"/>
      <c r="N98" s="14"/>
      <c r="O98" s="14"/>
      <c r="P98" s="14"/>
      <c r="Q98" s="47"/>
      <c r="R98" s="19"/>
      <c r="S98" s="56"/>
      <c r="T98" s="29"/>
      <c r="U98" s="59"/>
      <c r="V98" s="14"/>
      <c r="W98" s="14"/>
      <c r="X98" s="109" t="s">
        <v>14</v>
      </c>
      <c r="Y98" s="110" t="s">
        <v>6</v>
      </c>
      <c r="Z98" s="110" t="s">
        <v>7</v>
      </c>
      <c r="AA98" s="14"/>
      <c r="AB98" s="14"/>
      <c r="AC98" s="14"/>
      <c r="AD98" s="14"/>
      <c r="AE98" s="14"/>
      <c r="AF98" s="47"/>
      <c r="AG98" s="19"/>
      <c r="AH98" s="56"/>
      <c r="AI98" s="29"/>
      <c r="AJ98" s="59"/>
      <c r="AK98" s="14"/>
      <c r="AL98" s="14"/>
      <c r="AM98" s="109" t="s">
        <v>14</v>
      </c>
      <c r="AN98" s="110" t="s">
        <v>6</v>
      </c>
      <c r="AO98" s="110" t="s">
        <v>7</v>
      </c>
      <c r="AP98" s="14"/>
      <c r="AQ98" s="14"/>
      <c r="AR98" s="14"/>
      <c r="AS98" s="14"/>
      <c r="AT98" s="14"/>
      <c r="AU98" s="47"/>
      <c r="AV98" s="14"/>
      <c r="AW98" s="56"/>
      <c r="AX98" s="29"/>
      <c r="AY98" s="59"/>
      <c r="AZ98" s="14"/>
      <c r="BA98" s="14"/>
      <c r="BB98" s="109" t="s">
        <v>14</v>
      </c>
      <c r="BC98" s="110" t="s">
        <v>6</v>
      </c>
      <c r="BD98" s="110" t="s">
        <v>7</v>
      </c>
      <c r="BE98" s="14"/>
      <c r="BF98" s="14"/>
      <c r="BG98" s="14"/>
      <c r="BH98" s="14"/>
      <c r="BI98" s="14"/>
      <c r="BJ98" s="47"/>
      <c r="BK98" s="19"/>
      <c r="BL98" s="56"/>
      <c r="BM98" s="29"/>
      <c r="BN98" s="59"/>
      <c r="BO98" s="14"/>
      <c r="BP98" s="14"/>
      <c r="BQ98" s="109" t="s">
        <v>14</v>
      </c>
      <c r="BR98" s="110" t="s">
        <v>6</v>
      </c>
      <c r="BS98" s="110" t="s">
        <v>7</v>
      </c>
      <c r="BT98" s="14"/>
      <c r="BU98" s="14"/>
      <c r="BV98" s="14"/>
      <c r="BW98" s="14"/>
      <c r="BX98" s="14"/>
      <c r="BY98" s="47"/>
      <c r="BZ98" s="14"/>
      <c r="CA98" s="86"/>
      <c r="CB98" s="111"/>
      <c r="CC98" s="111"/>
      <c r="CD98" s="179"/>
      <c r="CE98" s="179"/>
      <c r="CF98" s="108"/>
      <c r="CG98" s="29"/>
      <c r="CH98" s="109"/>
      <c r="CI98" s="109"/>
      <c r="CJ98" s="109"/>
      <c r="CK98" s="109"/>
      <c r="CL98" s="109"/>
      <c r="CM98" s="109"/>
      <c r="CN98" s="109"/>
      <c r="CO98" s="329"/>
      <c r="CP98" s="14"/>
      <c r="CQ98" s="47"/>
      <c r="CR98" s="14"/>
      <c r="CS98" s="107"/>
      <c r="CT98" s="27"/>
      <c r="CU98" s="37"/>
      <c r="CV98" s="37"/>
      <c r="CW98" s="37"/>
      <c r="CX98" s="37"/>
      <c r="CY98" s="29"/>
      <c r="CZ98" s="106"/>
      <c r="DA98" s="27"/>
      <c r="DB98" s="27"/>
      <c r="DC98" s="27"/>
      <c r="DD98" s="27"/>
      <c r="DE98" s="27"/>
      <c r="DF98" s="27"/>
      <c r="DG98" s="141" t="str">
        <f t="shared" si="45"/>
        <v/>
      </c>
      <c r="DH98" s="14"/>
      <c r="DI98" s="47"/>
      <c r="DJ98" s="14"/>
      <c r="DK98" s="62"/>
      <c r="DL98" s="19"/>
      <c r="DM98" s="59"/>
      <c r="DN98" s="14"/>
      <c r="DO98" s="14"/>
      <c r="DP98" s="109" t="s">
        <v>14</v>
      </c>
      <c r="DQ98" s="110" t="s">
        <v>6</v>
      </c>
      <c r="DR98" s="110" t="s">
        <v>7</v>
      </c>
      <c r="DS98" s="14"/>
      <c r="DT98" s="14"/>
      <c r="DU98" s="14"/>
      <c r="DV98" s="14"/>
      <c r="DW98" s="14"/>
      <c r="DX98" s="14"/>
      <c r="DY98" s="14"/>
      <c r="DZ98" s="14"/>
      <c r="EA98" s="14"/>
      <c r="EB98" s="14"/>
      <c r="EC98" s="14"/>
      <c r="ED98" s="14"/>
      <c r="EE98" s="14"/>
      <c r="EF98" s="14"/>
      <c r="EG98" s="14"/>
      <c r="EH98" s="14"/>
      <c r="EI98" s="14"/>
      <c r="EJ98" s="14"/>
      <c r="EK98" s="14"/>
      <c r="EL98" s="14"/>
    </row>
    <row r="99" spans="1:142" x14ac:dyDescent="0.25">
      <c r="A99" s="14"/>
      <c r="B99" s="19"/>
      <c r="C99" s="19"/>
      <c r="D99" s="59"/>
      <c r="E99" s="14"/>
      <c r="F99" s="14"/>
      <c r="G99" s="107" t="s">
        <v>34</v>
      </c>
      <c r="H99" s="27">
        <f>COUNTIFS(S26_stakeholder_category,"PP",Response_Q156_1,G99)</f>
        <v>2</v>
      </c>
      <c r="I99" s="41">
        <f>IFERROR(H99/H$104,"")</f>
        <v>0.66666666666666663</v>
      </c>
      <c r="J99" s="14"/>
      <c r="K99" s="14"/>
      <c r="L99" s="14"/>
      <c r="M99" s="14"/>
      <c r="N99" s="14"/>
      <c r="O99" s="14"/>
      <c r="P99" s="14"/>
      <c r="Q99" s="47"/>
      <c r="R99" s="19"/>
      <c r="S99" s="56"/>
      <c r="T99" s="19"/>
      <c r="U99" s="59"/>
      <c r="V99" s="14"/>
      <c r="W99" s="14"/>
      <c r="X99" s="107" t="s">
        <v>5</v>
      </c>
      <c r="Y99" s="27">
        <f t="shared" ref="Y99:Y105" si="56">COUNTIFS(S26_stakeholder_category,"PP",Response_Q160_1,X99)</f>
        <v>3</v>
      </c>
      <c r="Z99" s="41">
        <f t="shared" ref="Z99:Z106" si="57">IFERROR(Y99/Y$106,0)</f>
        <v>1</v>
      </c>
      <c r="AA99" s="14"/>
      <c r="AB99" s="14"/>
      <c r="AC99" s="14"/>
      <c r="AD99" s="14"/>
      <c r="AE99" s="14"/>
      <c r="AF99" s="47"/>
      <c r="AG99" s="19"/>
      <c r="AH99" s="56"/>
      <c r="AI99" s="19"/>
      <c r="AJ99" s="59"/>
      <c r="AK99" s="14"/>
      <c r="AL99" s="14"/>
      <c r="AM99" s="107" t="s">
        <v>5</v>
      </c>
      <c r="AN99" s="27">
        <f t="shared" ref="AN99:AN105" si="58">COUNTIFS(S26_stakeholder_category,"PP",Response_26_CaseA,AM99)</f>
        <v>4</v>
      </c>
      <c r="AO99" s="41">
        <f>IFERROR(AN99/AN$106,0)</f>
        <v>1</v>
      </c>
      <c r="AP99" s="14"/>
      <c r="AQ99" s="14"/>
      <c r="AR99" s="14"/>
      <c r="AS99" s="14"/>
      <c r="AT99" s="14"/>
      <c r="AU99" s="47"/>
      <c r="AV99" s="14"/>
      <c r="AW99" s="56"/>
      <c r="AX99" s="19"/>
      <c r="AY99" s="59"/>
      <c r="AZ99" s="14"/>
      <c r="BA99" s="14"/>
      <c r="BB99" s="107" t="s">
        <v>5</v>
      </c>
      <c r="BC99" s="27">
        <f t="shared" ref="BC99:BC105" si="59">COUNTIFS(S26_stakeholder_category,"PP",Response_26_CaseB,BB99)</f>
        <v>4</v>
      </c>
      <c r="BD99" s="41">
        <f>IFERROR(BC99/BC$106,0)</f>
        <v>1</v>
      </c>
      <c r="BE99" s="14"/>
      <c r="BF99" s="14"/>
      <c r="BG99" s="14"/>
      <c r="BH99" s="14"/>
      <c r="BI99" s="14"/>
      <c r="BJ99" s="47"/>
      <c r="BK99" s="19"/>
      <c r="BL99" s="56"/>
      <c r="BM99" s="19"/>
      <c r="BN99" s="59"/>
      <c r="BO99" s="14"/>
      <c r="BP99" s="14"/>
      <c r="BQ99" s="107" t="s">
        <v>5</v>
      </c>
      <c r="BR99" s="27">
        <f t="shared" ref="BR99:BR105" si="60">COUNTIFS(S26_stakeholder_category,"PP",Response_26_CaseC,BQ99)</f>
        <v>4</v>
      </c>
      <c r="BS99" s="41">
        <f>IFERROR(BR99/BR$106,0)</f>
        <v>1</v>
      </c>
      <c r="BT99" s="14"/>
      <c r="BU99" s="14"/>
      <c r="BV99" s="14"/>
      <c r="BW99" s="14"/>
      <c r="BX99" s="14"/>
      <c r="BY99" s="47"/>
      <c r="BZ99" s="14"/>
      <c r="CA99" s="14"/>
      <c r="CB99" s="21"/>
      <c r="CC99" s="21"/>
      <c r="CD99" s="180"/>
      <c r="CE99" s="181"/>
      <c r="CF99" s="31"/>
      <c r="CG99" s="52"/>
      <c r="CH99" s="52"/>
      <c r="CI99" s="99"/>
      <c r="CJ99" s="14"/>
      <c r="CK99" s="14"/>
      <c r="CL99" s="14"/>
      <c r="CM99" s="14"/>
      <c r="CN99" s="14"/>
      <c r="CO99" s="129"/>
      <c r="CP99" s="14"/>
      <c r="CQ99" s="47"/>
      <c r="CR99" s="14"/>
      <c r="CS99" s="86"/>
      <c r="CT99" s="111"/>
      <c r="CU99" s="86"/>
      <c r="CV99" s="179"/>
      <c r="CW99" s="188"/>
      <c r="CX99" s="179"/>
      <c r="CY99" s="29"/>
      <c r="CZ99" s="109"/>
      <c r="DA99" s="109"/>
      <c r="DB99" s="109"/>
      <c r="DC99" s="109"/>
      <c r="DD99" s="109"/>
      <c r="DE99" s="109"/>
      <c r="DF99" s="109"/>
      <c r="DG99" s="329"/>
      <c r="DH99" s="14"/>
      <c r="DI99" s="47"/>
      <c r="DJ99" s="14"/>
      <c r="DK99" s="62"/>
      <c r="DL99" s="19"/>
      <c r="DM99" s="59"/>
      <c r="DN99" s="14"/>
      <c r="DO99" s="14"/>
      <c r="DP99" s="107" t="s">
        <v>34</v>
      </c>
      <c r="DQ99" s="27">
        <f>COUNTIFS(S26_stakeholder_category,"PP",Response_Q156_1,DP99,Response_Q156_1,"&lt;&gt;0")</f>
        <v>2</v>
      </c>
      <c r="DR99" s="41">
        <f>IF(DQ104=0,"",DQ99/DQ104)</f>
        <v>0.66666666666666663</v>
      </c>
      <c r="DS99" s="14"/>
      <c r="DT99" s="14"/>
      <c r="DU99" s="14"/>
      <c r="DV99" s="14"/>
      <c r="DW99" s="14"/>
      <c r="DX99" s="14"/>
      <c r="DY99" s="14"/>
      <c r="DZ99" s="14"/>
      <c r="EA99" s="14"/>
      <c r="EB99" s="14"/>
      <c r="EC99" s="14"/>
      <c r="ED99" s="14"/>
      <c r="EE99" s="14"/>
      <c r="EF99" s="14"/>
      <c r="EG99" s="14"/>
      <c r="EH99" s="14"/>
      <c r="EI99" s="14"/>
      <c r="EJ99" s="14"/>
      <c r="EK99" s="14"/>
      <c r="EL99" s="14"/>
    </row>
    <row r="100" spans="1:142" x14ac:dyDescent="0.25">
      <c r="A100" s="14"/>
      <c r="B100" s="14"/>
      <c r="C100" s="19"/>
      <c r="D100" s="59"/>
      <c r="E100" s="14"/>
      <c r="F100" s="14"/>
      <c r="G100" s="107" t="s">
        <v>35</v>
      </c>
      <c r="H100" s="27">
        <f>COUNTIFS(S26_stakeholder_category,"PP",Response_Q156_1,G100)</f>
        <v>1</v>
      </c>
      <c r="I100" s="41">
        <f t="shared" ref="I100:I104" si="61">IFERROR(H100/H$104,"")</f>
        <v>0.33333333333333331</v>
      </c>
      <c r="J100" s="14"/>
      <c r="K100" s="14"/>
      <c r="L100" s="14"/>
      <c r="M100" s="14"/>
      <c r="N100" s="14"/>
      <c r="O100" s="14"/>
      <c r="P100" s="14"/>
      <c r="Q100" s="47"/>
      <c r="R100" s="19"/>
      <c r="S100" s="19"/>
      <c r="T100" s="19"/>
      <c r="U100" s="59"/>
      <c r="V100" s="14"/>
      <c r="W100" s="14"/>
      <c r="X100" s="107" t="s">
        <v>4</v>
      </c>
      <c r="Y100" s="27">
        <f t="shared" si="56"/>
        <v>0</v>
      </c>
      <c r="Z100" s="41">
        <f t="shared" si="57"/>
        <v>0</v>
      </c>
      <c r="AA100" s="14"/>
      <c r="AB100" s="14"/>
      <c r="AC100" s="14"/>
      <c r="AD100" s="14"/>
      <c r="AE100" s="14"/>
      <c r="AF100" s="47"/>
      <c r="AG100" s="19"/>
      <c r="AH100" s="19"/>
      <c r="AI100" s="19"/>
      <c r="AJ100" s="59"/>
      <c r="AK100" s="14"/>
      <c r="AL100" s="14"/>
      <c r="AM100" s="107" t="s">
        <v>4</v>
      </c>
      <c r="AN100" s="27">
        <f t="shared" si="58"/>
        <v>0</v>
      </c>
      <c r="AO100" s="41">
        <f t="shared" ref="AO100:AO105" si="62">IFERROR(AN100/AN$106,0)</f>
        <v>0</v>
      </c>
      <c r="AP100" s="14"/>
      <c r="AQ100" s="14"/>
      <c r="AR100" s="14"/>
      <c r="AS100" s="14"/>
      <c r="AT100" s="14"/>
      <c r="AU100" s="47"/>
      <c r="AV100" s="14"/>
      <c r="AW100" s="19"/>
      <c r="AX100" s="19"/>
      <c r="AY100" s="59"/>
      <c r="AZ100" s="14"/>
      <c r="BA100" s="14"/>
      <c r="BB100" s="107" t="s">
        <v>4</v>
      </c>
      <c r="BC100" s="27">
        <f t="shared" si="59"/>
        <v>0</v>
      </c>
      <c r="BD100" s="41">
        <f t="shared" ref="BD100:BD105" si="63">IFERROR(BC100/BC$106,0)</f>
        <v>0</v>
      </c>
      <c r="BE100" s="14"/>
      <c r="BF100" s="14"/>
      <c r="BG100" s="14"/>
      <c r="BH100" s="14"/>
      <c r="BI100" s="14"/>
      <c r="BJ100" s="47"/>
      <c r="BK100" s="19"/>
      <c r="BL100" s="19"/>
      <c r="BM100" s="19"/>
      <c r="BN100" s="59"/>
      <c r="BO100" s="14"/>
      <c r="BP100" s="14"/>
      <c r="BQ100" s="107" t="s">
        <v>4</v>
      </c>
      <c r="BR100" s="27">
        <f t="shared" si="60"/>
        <v>0</v>
      </c>
      <c r="BS100" s="41">
        <f t="shared" ref="BS100:BS105" si="64">IFERROR(BR100/BR$106,0)</f>
        <v>0</v>
      </c>
      <c r="BT100" s="14"/>
      <c r="BU100" s="14"/>
      <c r="BV100" s="14"/>
      <c r="BW100" s="14"/>
      <c r="BX100" s="14"/>
      <c r="BY100" s="47"/>
      <c r="BZ100" s="14"/>
      <c r="CA100" s="14"/>
      <c r="CB100" s="21"/>
      <c r="CC100" s="21"/>
      <c r="CD100" s="180"/>
      <c r="CE100" s="181"/>
      <c r="CF100" s="31"/>
      <c r="CG100" s="52"/>
      <c r="CH100" s="52"/>
      <c r="CI100" s="99"/>
      <c r="CJ100" s="14"/>
      <c r="CK100" s="14"/>
      <c r="CL100" s="14"/>
      <c r="CM100" s="14"/>
      <c r="CN100" s="14"/>
      <c r="CO100" s="129"/>
      <c r="CP100" s="14"/>
      <c r="CQ100" s="47"/>
      <c r="CR100" s="14"/>
      <c r="CS100" s="14"/>
      <c r="CT100" s="14"/>
      <c r="CU100" s="14"/>
      <c r="CV100" s="180"/>
      <c r="CW100" s="190"/>
      <c r="CX100" s="191"/>
      <c r="CY100" s="52"/>
      <c r="CZ100" s="52"/>
      <c r="DA100" s="54"/>
      <c r="DB100" s="14"/>
      <c r="DC100" s="14"/>
      <c r="DD100" s="14"/>
      <c r="DE100" s="14"/>
      <c r="DF100" s="14"/>
      <c r="DG100" s="129"/>
      <c r="DH100" s="14"/>
      <c r="DI100" s="47"/>
      <c r="DJ100" s="14"/>
      <c r="DK100" s="62"/>
      <c r="DL100" s="19"/>
      <c r="DM100" s="59"/>
      <c r="DN100" s="14"/>
      <c r="DO100" s="14"/>
      <c r="DP100" s="107" t="s">
        <v>35</v>
      </c>
      <c r="DQ100" s="27">
        <f>COUNTIFS(S26_stakeholder_category,"PP",Response_Q156_1,DP100,Response_Q156_1,"&lt;&gt;0")</f>
        <v>1</v>
      </c>
      <c r="DR100" s="41">
        <f>IF(DQ104=0,"",DQ100/DQ104)</f>
        <v>0.33333333333333331</v>
      </c>
      <c r="DS100" s="14"/>
      <c r="DT100" s="14"/>
      <c r="DU100" s="14"/>
      <c r="DV100" s="14"/>
      <c r="DW100" s="14"/>
      <c r="DX100" s="14"/>
      <c r="DY100" s="14"/>
      <c r="DZ100" s="14"/>
      <c r="EA100" s="14"/>
      <c r="EB100" s="14"/>
      <c r="EC100" s="14"/>
      <c r="ED100" s="14"/>
      <c r="EE100" s="14"/>
      <c r="EF100" s="14"/>
      <c r="EG100" s="14"/>
      <c r="EH100" s="14"/>
      <c r="EI100" s="14"/>
      <c r="EJ100" s="14"/>
      <c r="EK100" s="14"/>
      <c r="EL100" s="14"/>
    </row>
    <row r="101" spans="1:142" x14ac:dyDescent="0.25">
      <c r="A101" s="14"/>
      <c r="B101" s="62"/>
      <c r="C101" s="19"/>
      <c r="D101" s="59"/>
      <c r="E101" s="14"/>
      <c r="F101" s="14"/>
      <c r="G101" s="107" t="s">
        <v>36</v>
      </c>
      <c r="H101" s="27">
        <f>COUNTIFS(S26_stakeholder_category,"PP",Response_Q156_1,G101)</f>
        <v>0</v>
      </c>
      <c r="I101" s="41">
        <f t="shared" si="61"/>
        <v>0</v>
      </c>
      <c r="J101" s="14"/>
      <c r="K101" s="14"/>
      <c r="L101" s="14"/>
      <c r="M101" s="14"/>
      <c r="N101" s="14"/>
      <c r="O101" s="14"/>
      <c r="P101" s="14"/>
      <c r="Q101" s="47"/>
      <c r="R101" s="19"/>
      <c r="S101" s="14"/>
      <c r="T101" s="19"/>
      <c r="U101" s="59"/>
      <c r="V101" s="14"/>
      <c r="W101" s="14"/>
      <c r="X101" s="107" t="s">
        <v>33</v>
      </c>
      <c r="Y101" s="27">
        <f t="shared" si="56"/>
        <v>0</v>
      </c>
      <c r="Z101" s="41">
        <f t="shared" si="57"/>
        <v>0</v>
      </c>
      <c r="AA101" s="14"/>
      <c r="AB101" s="14"/>
      <c r="AC101" s="14"/>
      <c r="AD101" s="14"/>
      <c r="AE101" s="14"/>
      <c r="AF101" s="47"/>
      <c r="AG101" s="19"/>
      <c r="AH101" s="14"/>
      <c r="AI101" s="19"/>
      <c r="AJ101" s="59"/>
      <c r="AK101" s="14"/>
      <c r="AL101" s="14"/>
      <c r="AM101" s="107" t="s">
        <v>33</v>
      </c>
      <c r="AN101" s="27">
        <f t="shared" si="58"/>
        <v>0</v>
      </c>
      <c r="AO101" s="41">
        <f t="shared" si="62"/>
        <v>0</v>
      </c>
      <c r="AP101" s="14"/>
      <c r="AQ101" s="14"/>
      <c r="AR101" s="14"/>
      <c r="AS101" s="14"/>
      <c r="AT101" s="14"/>
      <c r="AU101" s="47"/>
      <c r="AV101" s="14"/>
      <c r="AW101" s="14"/>
      <c r="AX101" s="19"/>
      <c r="AY101" s="59"/>
      <c r="AZ101" s="14"/>
      <c r="BA101" s="14"/>
      <c r="BB101" s="107" t="s">
        <v>33</v>
      </c>
      <c r="BC101" s="27">
        <f t="shared" si="59"/>
        <v>0</v>
      </c>
      <c r="BD101" s="41">
        <f t="shared" si="63"/>
        <v>0</v>
      </c>
      <c r="BE101" s="14"/>
      <c r="BF101" s="14"/>
      <c r="BG101" s="14"/>
      <c r="BH101" s="14"/>
      <c r="BI101" s="14"/>
      <c r="BJ101" s="47"/>
      <c r="BK101" s="19"/>
      <c r="BL101" s="14"/>
      <c r="BM101" s="19"/>
      <c r="BN101" s="59"/>
      <c r="BO101" s="14"/>
      <c r="BP101" s="14"/>
      <c r="BQ101" s="107" t="s">
        <v>33</v>
      </c>
      <c r="BR101" s="27">
        <f t="shared" si="60"/>
        <v>0</v>
      </c>
      <c r="BS101" s="41">
        <f t="shared" si="64"/>
        <v>0</v>
      </c>
      <c r="BT101" s="14"/>
      <c r="BU101" s="14"/>
      <c r="BV101" s="14"/>
      <c r="BW101" s="14"/>
      <c r="BX101" s="14"/>
      <c r="BY101" s="47"/>
      <c r="BZ101" s="14"/>
      <c r="CA101" s="14"/>
      <c r="CB101" s="21"/>
      <c r="CC101" s="21"/>
      <c r="CD101" s="180"/>
      <c r="CE101" s="181"/>
      <c r="CF101" s="31"/>
      <c r="CG101" s="52"/>
      <c r="CH101" s="52"/>
      <c r="CI101" s="99"/>
      <c r="CJ101" s="14"/>
      <c r="CK101" s="14"/>
      <c r="CL101" s="14"/>
      <c r="CM101" s="14"/>
      <c r="CN101" s="14"/>
      <c r="CO101" s="129"/>
      <c r="CP101" s="14"/>
      <c r="CQ101" s="47"/>
      <c r="CR101" s="14"/>
      <c r="CS101" s="14"/>
      <c r="CT101" s="14"/>
      <c r="CU101" s="14"/>
      <c r="CV101" s="180"/>
      <c r="CW101" s="190"/>
      <c r="CX101" s="191"/>
      <c r="CY101" s="52"/>
      <c r="CZ101" s="52"/>
      <c r="DA101" s="54"/>
      <c r="DB101" s="14"/>
      <c r="DC101" s="14"/>
      <c r="DD101" s="14"/>
      <c r="DE101" s="14"/>
      <c r="DF101" s="14"/>
      <c r="DG101" s="129"/>
      <c r="DH101" s="14"/>
      <c r="DI101" s="47"/>
      <c r="DJ101" s="14"/>
      <c r="DK101" s="62"/>
      <c r="DL101" s="19"/>
      <c r="DM101" s="59"/>
      <c r="DN101" s="14"/>
      <c r="DO101" s="14"/>
      <c r="DP101" s="107" t="s">
        <v>36</v>
      </c>
      <c r="DQ101" s="27">
        <f>COUNTIFS(S26_stakeholder_category,"PP",Response_Q156_1,DP101,Response_Q156_1,"&lt;&gt;0")</f>
        <v>0</v>
      </c>
      <c r="DR101" s="41">
        <f>IF(DQ104=0,"",DQ101/DQ104)</f>
        <v>0</v>
      </c>
      <c r="DS101" s="14"/>
      <c r="DT101" s="14"/>
      <c r="DU101" s="14"/>
      <c r="DV101" s="14"/>
      <c r="DW101" s="14"/>
      <c r="DX101" s="14"/>
      <c r="DY101" s="14"/>
      <c r="DZ101" s="14"/>
      <c r="EA101" s="14"/>
      <c r="EB101" s="14"/>
      <c r="EC101" s="14"/>
      <c r="ED101" s="14"/>
      <c r="EE101" s="14"/>
      <c r="EF101" s="14"/>
      <c r="EG101" s="14"/>
      <c r="EH101" s="14"/>
      <c r="EI101" s="14"/>
      <c r="EJ101" s="14"/>
      <c r="EK101" s="14"/>
      <c r="EL101" s="14"/>
    </row>
    <row r="102" spans="1:142" x14ac:dyDescent="0.25">
      <c r="A102" s="14"/>
      <c r="B102" s="62"/>
      <c r="C102" s="19"/>
      <c r="D102" s="59"/>
      <c r="E102" s="14"/>
      <c r="F102" s="14"/>
      <c r="G102" s="107" t="s">
        <v>38</v>
      </c>
      <c r="H102" s="27">
        <f>COUNTIFS(S26_stakeholder_category,"PP",Response_Q156_1,G102)</f>
        <v>0</v>
      </c>
      <c r="I102" s="41">
        <f t="shared" si="61"/>
        <v>0</v>
      </c>
      <c r="J102" s="14"/>
      <c r="K102" s="14"/>
      <c r="L102" s="14"/>
      <c r="M102" s="14"/>
      <c r="N102" s="14"/>
      <c r="O102" s="14"/>
      <c r="P102" s="14"/>
      <c r="Q102" s="47"/>
      <c r="R102" s="19"/>
      <c r="S102" s="14"/>
      <c r="T102" s="19"/>
      <c r="U102" s="59"/>
      <c r="V102" s="14"/>
      <c r="W102" s="14"/>
      <c r="X102" s="107" t="s">
        <v>29</v>
      </c>
      <c r="Y102" s="27">
        <f t="shared" si="56"/>
        <v>0</v>
      </c>
      <c r="Z102" s="41">
        <f t="shared" si="57"/>
        <v>0</v>
      </c>
      <c r="AA102" s="14"/>
      <c r="AB102" s="14"/>
      <c r="AC102" s="14"/>
      <c r="AD102" s="14"/>
      <c r="AE102" s="14"/>
      <c r="AF102" s="47"/>
      <c r="AG102" s="19"/>
      <c r="AH102" s="14"/>
      <c r="AI102" s="19"/>
      <c r="AJ102" s="59"/>
      <c r="AK102" s="14"/>
      <c r="AL102" s="14"/>
      <c r="AM102" s="107" t="s">
        <v>29</v>
      </c>
      <c r="AN102" s="27">
        <f t="shared" si="58"/>
        <v>0</v>
      </c>
      <c r="AO102" s="41">
        <f t="shared" si="62"/>
        <v>0</v>
      </c>
      <c r="AP102" s="14"/>
      <c r="AQ102" s="14"/>
      <c r="AR102" s="14"/>
      <c r="AS102" s="14"/>
      <c r="AT102" s="14"/>
      <c r="AU102" s="47"/>
      <c r="AV102" s="14"/>
      <c r="AW102" s="14"/>
      <c r="AX102" s="19"/>
      <c r="AY102" s="59"/>
      <c r="AZ102" s="14"/>
      <c r="BA102" s="14"/>
      <c r="BB102" s="107" t="s">
        <v>29</v>
      </c>
      <c r="BC102" s="27">
        <f t="shared" si="59"/>
        <v>0</v>
      </c>
      <c r="BD102" s="41">
        <f t="shared" si="63"/>
        <v>0</v>
      </c>
      <c r="BE102" s="14"/>
      <c r="BF102" s="14"/>
      <c r="BG102" s="14"/>
      <c r="BH102" s="14"/>
      <c r="BI102" s="14"/>
      <c r="BJ102" s="47"/>
      <c r="BK102" s="19"/>
      <c r="BL102" s="14"/>
      <c r="BM102" s="19"/>
      <c r="BN102" s="59"/>
      <c r="BO102" s="14"/>
      <c r="BP102" s="14"/>
      <c r="BQ102" s="107" t="s">
        <v>29</v>
      </c>
      <c r="BR102" s="27">
        <f t="shared" si="60"/>
        <v>0</v>
      </c>
      <c r="BS102" s="41">
        <f t="shared" si="64"/>
        <v>0</v>
      </c>
      <c r="BT102" s="14"/>
      <c r="BU102" s="14"/>
      <c r="BV102" s="14"/>
      <c r="BW102" s="14"/>
      <c r="BX102" s="14"/>
      <c r="BY102" s="47"/>
      <c r="BZ102" s="14"/>
      <c r="CA102" s="14"/>
      <c r="CB102" s="21"/>
      <c r="CC102" s="21"/>
      <c r="CD102" s="180"/>
      <c r="CE102" s="181"/>
      <c r="CF102" s="31"/>
      <c r="CG102" s="52"/>
      <c r="CH102" s="52"/>
      <c r="CI102" s="99"/>
      <c r="CJ102" s="14"/>
      <c r="CK102" s="14"/>
      <c r="CL102" s="14"/>
      <c r="CM102" s="14"/>
      <c r="CN102" s="14"/>
      <c r="CO102" s="129"/>
      <c r="CP102" s="14"/>
      <c r="CQ102" s="47"/>
      <c r="CR102" s="14"/>
      <c r="CS102" s="14"/>
      <c r="CT102" s="14"/>
      <c r="CU102" s="14"/>
      <c r="CV102" s="180"/>
      <c r="CW102" s="190"/>
      <c r="CX102" s="191"/>
      <c r="CY102" s="52"/>
      <c r="CZ102" s="52"/>
      <c r="DA102" s="54"/>
      <c r="DB102" s="14"/>
      <c r="DC102" s="14"/>
      <c r="DD102" s="14"/>
      <c r="DE102" s="14"/>
      <c r="DF102" s="14"/>
      <c r="DG102" s="129"/>
      <c r="DH102" s="14"/>
      <c r="DI102" s="47"/>
      <c r="DJ102" s="14"/>
      <c r="DK102" s="62"/>
      <c r="DL102" s="19"/>
      <c r="DM102" s="59"/>
      <c r="DN102" s="14"/>
      <c r="DO102" s="14"/>
      <c r="DP102" s="107" t="s">
        <v>38</v>
      </c>
      <c r="DQ102" s="27">
        <f>COUNTIFS(S26_stakeholder_category,"PP",Response_Q156_1,DP102,Response_Q156_1,"&lt;&gt;0")</f>
        <v>0</v>
      </c>
      <c r="DR102" s="41">
        <f>IF(DQ104=0,"",DQ102/DQ104)</f>
        <v>0</v>
      </c>
      <c r="DS102" s="14"/>
      <c r="DT102" s="14"/>
      <c r="DU102" s="14"/>
      <c r="DV102" s="14"/>
      <c r="DW102" s="14"/>
      <c r="DX102" s="14"/>
      <c r="DY102" s="14"/>
      <c r="DZ102" s="14"/>
      <c r="EA102" s="14"/>
      <c r="EB102" s="14"/>
      <c r="EC102" s="14"/>
      <c r="ED102" s="14"/>
      <c r="EE102" s="14"/>
      <c r="EF102" s="14"/>
      <c r="EG102" s="14"/>
      <c r="EH102" s="14"/>
      <c r="EI102" s="14"/>
      <c r="EJ102" s="14"/>
      <c r="EK102" s="14"/>
      <c r="EL102" s="14"/>
    </row>
    <row r="103" spans="1:142" x14ac:dyDescent="0.25">
      <c r="A103" s="14"/>
      <c r="B103" s="62"/>
      <c r="C103" s="19"/>
      <c r="D103" s="59"/>
      <c r="E103" s="14"/>
      <c r="F103" s="14"/>
      <c r="G103" s="107" t="s">
        <v>39</v>
      </c>
      <c r="H103" s="27">
        <f>COUNTIFS(S26_stakeholder_category,"PP",Response_Q156_1,G103)</f>
        <v>0</v>
      </c>
      <c r="I103" s="41">
        <f t="shared" si="61"/>
        <v>0</v>
      </c>
      <c r="J103" s="14"/>
      <c r="K103" s="14"/>
      <c r="L103" s="14"/>
      <c r="M103" s="14"/>
      <c r="N103" s="14"/>
      <c r="O103" s="14"/>
      <c r="P103" s="14"/>
      <c r="Q103" s="47"/>
      <c r="R103" s="19"/>
      <c r="S103" s="62"/>
      <c r="T103" s="19"/>
      <c r="U103" s="59"/>
      <c r="V103" s="14"/>
      <c r="W103" s="14"/>
      <c r="X103" s="107" t="s">
        <v>3</v>
      </c>
      <c r="Y103" s="27">
        <f t="shared" si="56"/>
        <v>0</v>
      </c>
      <c r="Z103" s="41">
        <f t="shared" si="57"/>
        <v>0</v>
      </c>
      <c r="AA103" s="14"/>
      <c r="AB103" s="14"/>
      <c r="AC103" s="14"/>
      <c r="AD103" s="14"/>
      <c r="AE103" s="14"/>
      <c r="AF103" s="47"/>
      <c r="AG103" s="19"/>
      <c r="AH103" s="62"/>
      <c r="AI103" s="19"/>
      <c r="AJ103" s="59"/>
      <c r="AK103" s="14"/>
      <c r="AL103" s="14"/>
      <c r="AM103" s="107" t="s">
        <v>3</v>
      </c>
      <c r="AN103" s="27">
        <f t="shared" si="58"/>
        <v>0</v>
      </c>
      <c r="AO103" s="41">
        <f t="shared" si="62"/>
        <v>0</v>
      </c>
      <c r="AP103" s="14"/>
      <c r="AQ103" s="14"/>
      <c r="AR103" s="14"/>
      <c r="AS103" s="14"/>
      <c r="AT103" s="14"/>
      <c r="AU103" s="47"/>
      <c r="AV103" s="14"/>
      <c r="AW103" s="62"/>
      <c r="AX103" s="19"/>
      <c r="AY103" s="59"/>
      <c r="AZ103" s="14"/>
      <c r="BA103" s="14"/>
      <c r="BB103" s="107" t="s">
        <v>3</v>
      </c>
      <c r="BC103" s="27">
        <f t="shared" si="59"/>
        <v>0</v>
      </c>
      <c r="BD103" s="41">
        <f t="shared" si="63"/>
        <v>0</v>
      </c>
      <c r="BE103" s="14"/>
      <c r="BF103" s="14"/>
      <c r="BG103" s="14"/>
      <c r="BH103" s="14"/>
      <c r="BI103" s="14"/>
      <c r="BJ103" s="47"/>
      <c r="BK103" s="19"/>
      <c r="BL103" s="62"/>
      <c r="BM103" s="19"/>
      <c r="BN103" s="59"/>
      <c r="BO103" s="14"/>
      <c r="BP103" s="14"/>
      <c r="BQ103" s="107" t="s">
        <v>3</v>
      </c>
      <c r="BR103" s="27">
        <f t="shared" si="60"/>
        <v>0</v>
      </c>
      <c r="BS103" s="41">
        <f t="shared" si="64"/>
        <v>0</v>
      </c>
      <c r="BT103" s="14"/>
      <c r="BU103" s="14"/>
      <c r="BV103" s="14"/>
      <c r="BW103" s="14"/>
      <c r="BX103" s="14"/>
      <c r="BY103" s="47"/>
      <c r="BZ103" s="14"/>
      <c r="CA103" s="14"/>
      <c r="CB103" s="21"/>
      <c r="CC103" s="21"/>
      <c r="CD103" s="180"/>
      <c r="CE103" s="181"/>
      <c r="CF103" s="31"/>
      <c r="CG103" s="52"/>
      <c r="CH103" s="52"/>
      <c r="CI103" s="99"/>
      <c r="CJ103" s="14"/>
      <c r="CK103" s="14"/>
      <c r="CL103" s="14"/>
      <c r="CM103" s="14"/>
      <c r="CN103" s="14"/>
      <c r="CO103" s="129"/>
      <c r="CP103" s="14"/>
      <c r="CQ103" s="47"/>
      <c r="CR103" s="14"/>
      <c r="CS103" s="14"/>
      <c r="CT103" s="14"/>
      <c r="CU103" s="14"/>
      <c r="CV103" s="180"/>
      <c r="CW103" s="190"/>
      <c r="CX103" s="191"/>
      <c r="CY103" s="52"/>
      <c r="CZ103" s="52"/>
      <c r="DA103" s="54"/>
      <c r="DB103" s="14"/>
      <c r="DC103" s="14"/>
      <c r="DD103" s="14"/>
      <c r="DE103" s="14"/>
      <c r="DF103" s="14"/>
      <c r="DG103" s="129"/>
      <c r="DH103" s="14"/>
      <c r="DI103" s="47"/>
      <c r="DJ103" s="14"/>
      <c r="DK103" s="62"/>
      <c r="DL103" s="19"/>
      <c r="DM103" s="59"/>
      <c r="DN103" s="14"/>
      <c r="DO103" s="14"/>
      <c r="DP103" s="107" t="s">
        <v>39</v>
      </c>
      <c r="DQ103" s="27">
        <f>COUNTIFS(S26_stakeholder_category,"PP",Response_Q156_1,DP103,Response_Q156_1,"&lt;&gt;0")</f>
        <v>0</v>
      </c>
      <c r="DR103" s="41">
        <f>IF(DQ104=0,"",DQ103/DQ104)</f>
        <v>0</v>
      </c>
      <c r="DS103" s="14"/>
      <c r="DT103" s="14"/>
      <c r="DU103" s="14"/>
      <c r="DV103" s="14"/>
      <c r="DW103" s="14"/>
      <c r="DX103" s="14"/>
      <c r="DY103" s="14"/>
      <c r="DZ103" s="14"/>
      <c r="EA103" s="14"/>
      <c r="EB103" s="14"/>
      <c r="EC103" s="14"/>
      <c r="ED103" s="14"/>
      <c r="EE103" s="14"/>
      <c r="EF103" s="14"/>
      <c r="EG103" s="14"/>
      <c r="EH103" s="14"/>
      <c r="EI103" s="14"/>
      <c r="EJ103" s="14"/>
      <c r="EK103" s="14"/>
      <c r="EL103" s="14"/>
    </row>
    <row r="104" spans="1:142" x14ac:dyDescent="0.25">
      <c r="A104" s="14"/>
      <c r="B104" s="62"/>
      <c r="C104" s="19"/>
      <c r="D104" s="59"/>
      <c r="E104" s="14"/>
      <c r="F104" s="14"/>
      <c r="G104" s="86" t="s">
        <v>145</v>
      </c>
      <c r="H104" s="111">
        <f>COUNTIFS(S26_stakeholder_category,"PP",Response_Q156_1,"&lt;&gt;0")</f>
        <v>3</v>
      </c>
      <c r="I104" s="119">
        <f t="shared" si="61"/>
        <v>1</v>
      </c>
      <c r="J104" s="14"/>
      <c r="K104" s="14"/>
      <c r="L104" s="14"/>
      <c r="M104" s="14"/>
      <c r="N104" s="14"/>
      <c r="O104" s="14"/>
      <c r="P104" s="14"/>
      <c r="Q104" s="47"/>
      <c r="R104" s="19"/>
      <c r="S104" s="62"/>
      <c r="T104" s="19"/>
      <c r="U104" s="59"/>
      <c r="V104" s="14"/>
      <c r="W104" s="14"/>
      <c r="X104" s="107" t="s">
        <v>54</v>
      </c>
      <c r="Y104" s="27">
        <f t="shared" si="56"/>
        <v>0</v>
      </c>
      <c r="Z104" s="41">
        <f t="shared" si="57"/>
        <v>0</v>
      </c>
      <c r="AA104" s="14"/>
      <c r="AB104" s="14"/>
      <c r="AC104" s="14"/>
      <c r="AD104" s="14"/>
      <c r="AE104" s="14"/>
      <c r="AF104" s="47"/>
      <c r="AG104" s="19"/>
      <c r="AH104" s="62"/>
      <c r="AI104" s="19"/>
      <c r="AJ104" s="59"/>
      <c r="AK104" s="14"/>
      <c r="AL104" s="14"/>
      <c r="AM104" s="107" t="s">
        <v>54</v>
      </c>
      <c r="AN104" s="27">
        <f t="shared" si="58"/>
        <v>0</v>
      </c>
      <c r="AO104" s="41">
        <f t="shared" si="62"/>
        <v>0</v>
      </c>
      <c r="AP104" s="14"/>
      <c r="AQ104" s="14"/>
      <c r="AR104" s="14"/>
      <c r="AS104" s="14"/>
      <c r="AT104" s="14"/>
      <c r="AU104" s="47"/>
      <c r="AV104" s="14"/>
      <c r="AW104" s="62"/>
      <c r="AX104" s="19"/>
      <c r="AY104" s="59"/>
      <c r="AZ104" s="14"/>
      <c r="BA104" s="14"/>
      <c r="BB104" s="107" t="s">
        <v>54</v>
      </c>
      <c r="BC104" s="27">
        <f t="shared" si="59"/>
        <v>0</v>
      </c>
      <c r="BD104" s="41">
        <f t="shared" si="63"/>
        <v>0</v>
      </c>
      <c r="BE104" s="14"/>
      <c r="BF104" s="14"/>
      <c r="BG104" s="14"/>
      <c r="BH104" s="14"/>
      <c r="BI104" s="14"/>
      <c r="BJ104" s="47"/>
      <c r="BK104" s="19"/>
      <c r="BL104" s="62"/>
      <c r="BM104" s="19"/>
      <c r="BN104" s="59"/>
      <c r="BO104" s="14"/>
      <c r="BP104" s="14"/>
      <c r="BQ104" s="107" t="s">
        <v>54</v>
      </c>
      <c r="BR104" s="27">
        <f t="shared" si="60"/>
        <v>0</v>
      </c>
      <c r="BS104" s="41">
        <f t="shared" si="64"/>
        <v>0</v>
      </c>
      <c r="BT104" s="14"/>
      <c r="BU104" s="14"/>
      <c r="BV104" s="14"/>
      <c r="BW104" s="14"/>
      <c r="BX104" s="14"/>
      <c r="BY104" s="47"/>
      <c r="BZ104" s="14"/>
      <c r="CA104" s="14"/>
      <c r="CB104" s="21"/>
      <c r="CC104" s="21"/>
      <c r="CD104" s="180"/>
      <c r="CE104" s="181"/>
      <c r="CF104" s="31"/>
      <c r="CG104" s="52"/>
      <c r="CH104" s="52"/>
      <c r="CI104" s="99"/>
      <c r="CJ104" s="14"/>
      <c r="CK104" s="14"/>
      <c r="CL104" s="14"/>
      <c r="CM104" s="14"/>
      <c r="CN104" s="14"/>
      <c r="CO104" s="129"/>
      <c r="CP104" s="14"/>
      <c r="CQ104" s="47"/>
      <c r="CR104" s="14"/>
      <c r="CS104" s="14"/>
      <c r="CT104" s="14"/>
      <c r="CU104" s="14"/>
      <c r="CV104" s="180"/>
      <c r="CW104" s="190"/>
      <c r="CX104" s="191"/>
      <c r="CY104" s="52"/>
      <c r="CZ104" s="52"/>
      <c r="DA104" s="54"/>
      <c r="DB104" s="14"/>
      <c r="DC104" s="14"/>
      <c r="DD104" s="14"/>
      <c r="DE104" s="14"/>
      <c r="DF104" s="14"/>
      <c r="DG104" s="129"/>
      <c r="DH104" s="14"/>
      <c r="DI104" s="47"/>
      <c r="DJ104" s="14"/>
      <c r="DK104" s="62"/>
      <c r="DL104" s="19"/>
      <c r="DM104" s="59"/>
      <c r="DN104" s="14"/>
      <c r="DO104" s="14"/>
      <c r="DP104" s="86" t="s">
        <v>145</v>
      </c>
      <c r="DQ104" s="111">
        <f>COUNTIFS(S26_stakeholder_category,"PP",Response_Q156_1,"&lt;&gt;0",Response_Q156_1,"&lt;&gt;0")</f>
        <v>3</v>
      </c>
      <c r="DR104" s="119">
        <f>IF(DQ104=0,"",DQ104/DQ104)</f>
        <v>1</v>
      </c>
      <c r="DS104" s="14"/>
      <c r="DT104" s="14"/>
      <c r="DU104" s="14"/>
      <c r="DV104" s="14"/>
      <c r="DW104" s="14"/>
      <c r="DX104" s="14"/>
      <c r="DY104" s="14"/>
      <c r="DZ104" s="14"/>
      <c r="EA104" s="14"/>
      <c r="EB104" s="14"/>
      <c r="EC104" s="14"/>
      <c r="ED104" s="14"/>
      <c r="EE104" s="14"/>
      <c r="EF104" s="14"/>
      <c r="EG104" s="14"/>
      <c r="EH104" s="14"/>
      <c r="EI104" s="14"/>
      <c r="EJ104" s="14"/>
      <c r="EK104" s="14"/>
      <c r="EL104" s="14"/>
    </row>
    <row r="105" spans="1:142" x14ac:dyDescent="0.25">
      <c r="A105" s="14"/>
      <c r="B105" s="62"/>
      <c r="C105" s="19"/>
      <c r="D105" s="59"/>
      <c r="E105" s="14"/>
      <c r="F105" s="14"/>
      <c r="G105" s="14"/>
      <c r="H105" s="21"/>
      <c r="I105" s="21"/>
      <c r="J105" s="14"/>
      <c r="K105" s="14"/>
      <c r="L105" s="14"/>
      <c r="M105" s="14"/>
      <c r="N105" s="14"/>
      <c r="O105" s="14"/>
      <c r="P105" s="14"/>
      <c r="Q105" s="47"/>
      <c r="R105" s="19"/>
      <c r="S105" s="62"/>
      <c r="T105" s="19"/>
      <c r="U105" s="59"/>
      <c r="V105" s="14"/>
      <c r="W105" s="14"/>
      <c r="X105" s="107" t="s">
        <v>39</v>
      </c>
      <c r="Y105" s="27">
        <f t="shared" si="56"/>
        <v>0</v>
      </c>
      <c r="Z105" s="41">
        <f t="shared" si="57"/>
        <v>0</v>
      </c>
      <c r="AA105" s="14"/>
      <c r="AB105" s="14"/>
      <c r="AC105" s="14"/>
      <c r="AD105" s="14"/>
      <c r="AE105" s="14"/>
      <c r="AF105" s="47"/>
      <c r="AG105" s="19"/>
      <c r="AH105" s="62"/>
      <c r="AI105" s="19"/>
      <c r="AJ105" s="59"/>
      <c r="AK105" s="14"/>
      <c r="AL105" s="14"/>
      <c r="AM105" s="107" t="s">
        <v>39</v>
      </c>
      <c r="AN105" s="27">
        <f t="shared" si="58"/>
        <v>0</v>
      </c>
      <c r="AO105" s="41">
        <f t="shared" si="62"/>
        <v>0</v>
      </c>
      <c r="AP105" s="14"/>
      <c r="AQ105" s="14"/>
      <c r="AR105" s="14"/>
      <c r="AS105" s="14"/>
      <c r="AT105" s="14"/>
      <c r="AU105" s="47"/>
      <c r="AV105" s="14"/>
      <c r="AW105" s="62"/>
      <c r="AX105" s="19"/>
      <c r="AY105" s="59"/>
      <c r="AZ105" s="14"/>
      <c r="BA105" s="14"/>
      <c r="BB105" s="107" t="s">
        <v>39</v>
      </c>
      <c r="BC105" s="27">
        <f t="shared" si="59"/>
        <v>0</v>
      </c>
      <c r="BD105" s="41">
        <f t="shared" si="63"/>
        <v>0</v>
      </c>
      <c r="BE105" s="14"/>
      <c r="BF105" s="14"/>
      <c r="BG105" s="14"/>
      <c r="BH105" s="14"/>
      <c r="BI105" s="14"/>
      <c r="BJ105" s="47"/>
      <c r="BK105" s="19"/>
      <c r="BL105" s="62"/>
      <c r="BM105" s="19"/>
      <c r="BN105" s="59"/>
      <c r="BO105" s="14"/>
      <c r="BP105" s="14"/>
      <c r="BQ105" s="107" t="s">
        <v>39</v>
      </c>
      <c r="BR105" s="27">
        <f t="shared" si="60"/>
        <v>0</v>
      </c>
      <c r="BS105" s="41">
        <f t="shared" si="64"/>
        <v>0</v>
      </c>
      <c r="BT105" s="14"/>
      <c r="BU105" s="14"/>
      <c r="BV105" s="14"/>
      <c r="BW105" s="14"/>
      <c r="BX105" s="14"/>
      <c r="BY105" s="47"/>
      <c r="BZ105" s="14"/>
      <c r="CA105" s="14"/>
      <c r="CB105" s="21"/>
      <c r="CC105" s="21"/>
      <c r="CD105" s="180"/>
      <c r="CE105" s="181"/>
      <c r="CF105" s="31"/>
      <c r="CG105" s="52"/>
      <c r="CH105" s="52"/>
      <c r="CI105" s="99"/>
      <c r="CJ105" s="14"/>
      <c r="CK105" s="14"/>
      <c r="CL105" s="14"/>
      <c r="CM105" s="14"/>
      <c r="CN105" s="14"/>
      <c r="CO105" s="129"/>
      <c r="CP105" s="14"/>
      <c r="CQ105" s="47"/>
      <c r="CR105" s="14"/>
      <c r="CS105" s="14"/>
      <c r="CT105" s="14"/>
      <c r="CU105" s="14"/>
      <c r="CV105" s="180"/>
      <c r="CW105" s="190"/>
      <c r="CX105" s="191"/>
      <c r="CY105" s="52"/>
      <c r="CZ105" s="52"/>
      <c r="DA105" s="54"/>
      <c r="DB105" s="14"/>
      <c r="DC105" s="14"/>
      <c r="DD105" s="14"/>
      <c r="DE105" s="14"/>
      <c r="DF105" s="14"/>
      <c r="DG105" s="129"/>
      <c r="DH105" s="14"/>
      <c r="DI105" s="47"/>
      <c r="DJ105" s="14"/>
      <c r="DK105" s="62"/>
      <c r="DL105" s="19"/>
      <c r="DM105" s="59"/>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row>
    <row r="106" spans="1:142" x14ac:dyDescent="0.25">
      <c r="A106" s="14"/>
      <c r="B106" s="62"/>
      <c r="C106" s="19"/>
      <c r="D106" s="59"/>
      <c r="E106" s="14"/>
      <c r="F106" s="14"/>
      <c r="G106" s="14"/>
      <c r="H106" s="21"/>
      <c r="I106" s="21"/>
      <c r="J106" s="14"/>
      <c r="K106" s="14"/>
      <c r="L106" s="14"/>
      <c r="M106" s="14"/>
      <c r="N106" s="14"/>
      <c r="O106" s="14"/>
      <c r="P106" s="14"/>
      <c r="Q106" s="47"/>
      <c r="R106" s="19"/>
      <c r="S106" s="62"/>
      <c r="T106" s="19"/>
      <c r="U106" s="59"/>
      <c r="V106" s="14"/>
      <c r="W106" s="14"/>
      <c r="X106" s="86" t="s">
        <v>145</v>
      </c>
      <c r="Y106" s="111">
        <f>COUNTIFS(S26_stakeholder_category,"PP",Response_Q160_1,"&lt;&gt;0")</f>
        <v>3</v>
      </c>
      <c r="Z106" s="119">
        <f t="shared" si="57"/>
        <v>1</v>
      </c>
      <c r="AA106" s="14"/>
      <c r="AB106" s="14"/>
      <c r="AC106" s="14"/>
      <c r="AD106" s="14"/>
      <c r="AE106" s="14"/>
      <c r="AF106" s="47"/>
      <c r="AG106" s="19"/>
      <c r="AH106" s="62"/>
      <c r="AI106" s="19"/>
      <c r="AJ106" s="59"/>
      <c r="AK106" s="14"/>
      <c r="AL106" s="14"/>
      <c r="AM106" s="86" t="s">
        <v>145</v>
      </c>
      <c r="AN106" s="111">
        <f>COUNTIFS(S26_stakeholder_category,"PP",Response_26_CaseA,"&lt;&gt;0")</f>
        <v>4</v>
      </c>
      <c r="AO106" s="119">
        <f>IFERROR(AN106/AN$106,0)</f>
        <v>1</v>
      </c>
      <c r="AP106" s="14"/>
      <c r="AQ106" s="14"/>
      <c r="AR106" s="14"/>
      <c r="AS106" s="14"/>
      <c r="AT106" s="14"/>
      <c r="AU106" s="47"/>
      <c r="AV106" s="14"/>
      <c r="AW106" s="62"/>
      <c r="AX106" s="19"/>
      <c r="AY106" s="59"/>
      <c r="AZ106" s="14"/>
      <c r="BA106" s="14"/>
      <c r="BB106" s="86" t="s">
        <v>145</v>
      </c>
      <c r="BC106" s="111">
        <f>COUNTIFS(S26_stakeholder_category,"PP",Response_26_CaseB,"&lt;&gt;0")</f>
        <v>4</v>
      </c>
      <c r="BD106" s="119">
        <f>IFERROR(BC106/BC$106,0)</f>
        <v>1</v>
      </c>
      <c r="BE106" s="14"/>
      <c r="BF106" s="14"/>
      <c r="BG106" s="14"/>
      <c r="BH106" s="14"/>
      <c r="BI106" s="14"/>
      <c r="BJ106" s="47"/>
      <c r="BK106" s="19"/>
      <c r="BL106" s="62"/>
      <c r="BM106" s="19"/>
      <c r="BN106" s="59"/>
      <c r="BO106" s="14"/>
      <c r="BP106" s="14"/>
      <c r="BQ106" s="86" t="s">
        <v>145</v>
      </c>
      <c r="BR106" s="111">
        <f>COUNTIFS(S26_stakeholder_category,"PP",Response_26_CaseC,"&lt;&gt;0")</f>
        <v>4</v>
      </c>
      <c r="BS106" s="119">
        <f>IFERROR(BR106/BR$106,0)</f>
        <v>1</v>
      </c>
      <c r="BT106" s="14"/>
      <c r="BU106" s="14"/>
      <c r="BV106" s="14"/>
      <c r="BW106" s="14"/>
      <c r="BX106" s="14"/>
      <c r="BY106" s="47"/>
      <c r="BZ106" s="14"/>
      <c r="CA106" s="14"/>
      <c r="CB106" s="21"/>
      <c r="CC106" s="21"/>
      <c r="CD106" s="180"/>
      <c r="CE106" s="181"/>
      <c r="CF106" s="31"/>
      <c r="CG106" s="52"/>
      <c r="CH106" s="52"/>
      <c r="CI106" s="99"/>
      <c r="CJ106" s="14"/>
      <c r="CK106" s="14"/>
      <c r="CL106" s="14"/>
      <c r="CM106" s="14"/>
      <c r="CN106" s="14"/>
      <c r="CO106" s="129"/>
      <c r="CP106" s="14"/>
      <c r="CQ106" s="47"/>
      <c r="CR106" s="14"/>
      <c r="CS106" s="14"/>
      <c r="CT106" s="14"/>
      <c r="CU106" s="14"/>
      <c r="CV106" s="180"/>
      <c r="CW106" s="190"/>
      <c r="CX106" s="191"/>
      <c r="CY106" s="52"/>
      <c r="CZ106" s="52"/>
      <c r="DA106" s="54"/>
      <c r="DB106" s="14"/>
      <c r="DC106" s="14"/>
      <c r="DD106" s="14"/>
      <c r="DE106" s="14"/>
      <c r="DF106" s="14"/>
      <c r="DG106" s="129"/>
      <c r="DH106" s="14"/>
      <c r="DI106" s="47"/>
      <c r="DJ106" s="14"/>
      <c r="DK106" s="62"/>
      <c r="DL106" s="19"/>
      <c r="DM106" s="59"/>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row>
    <row r="107" spans="1:142" s="135" customFormat="1" ht="16.5" customHeight="1" x14ac:dyDescent="0.25">
      <c r="A107" s="14"/>
      <c r="B107" s="13"/>
      <c r="C107" s="13"/>
      <c r="D107" s="21"/>
      <c r="E107" s="14"/>
      <c r="F107" s="14"/>
      <c r="G107" s="14"/>
      <c r="H107" s="21"/>
      <c r="I107" s="21"/>
      <c r="J107" s="14"/>
      <c r="K107" s="14"/>
      <c r="L107" s="14"/>
      <c r="M107" s="14"/>
      <c r="N107" s="14"/>
      <c r="O107" s="14"/>
      <c r="P107" s="14"/>
      <c r="Q107" s="47"/>
      <c r="R107" s="19"/>
      <c r="S107" s="13"/>
      <c r="T107" s="13"/>
      <c r="U107" s="21"/>
      <c r="V107" s="14"/>
      <c r="W107" s="14"/>
      <c r="X107" s="14"/>
      <c r="Y107" s="14"/>
      <c r="Z107" s="14"/>
      <c r="AA107" s="14"/>
      <c r="AB107" s="14"/>
      <c r="AC107" s="14"/>
      <c r="AD107" s="14"/>
      <c r="AE107" s="14"/>
      <c r="AF107" s="47"/>
      <c r="AG107" s="19"/>
      <c r="AH107" s="13"/>
      <c r="AI107" s="13"/>
      <c r="AJ107" s="21"/>
      <c r="AK107" s="14"/>
      <c r="AL107" s="14"/>
      <c r="AM107" s="14"/>
      <c r="AN107" s="14"/>
      <c r="AO107" s="14"/>
      <c r="AP107" s="14"/>
      <c r="AQ107" s="14"/>
      <c r="AR107" s="14"/>
      <c r="AS107" s="14"/>
      <c r="AT107" s="14"/>
      <c r="AU107" s="47"/>
      <c r="AV107" s="14"/>
      <c r="AW107" s="13"/>
      <c r="AX107" s="13"/>
      <c r="AY107" s="21"/>
      <c r="AZ107" s="14"/>
      <c r="BA107" s="14"/>
      <c r="BB107" s="14"/>
      <c r="BC107" s="14"/>
      <c r="BD107" s="14"/>
      <c r="BE107" s="14"/>
      <c r="BF107" s="14"/>
      <c r="BG107" s="14"/>
      <c r="BH107" s="14"/>
      <c r="BI107" s="14"/>
      <c r="BJ107" s="47"/>
      <c r="BK107" s="19"/>
      <c r="BL107" s="13"/>
      <c r="BM107" s="13"/>
      <c r="BN107" s="21"/>
      <c r="BO107" s="14"/>
      <c r="BP107" s="14"/>
      <c r="BQ107" s="14"/>
      <c r="BR107" s="14"/>
      <c r="BS107" s="14"/>
      <c r="BT107" s="14"/>
      <c r="BU107" s="14"/>
      <c r="BV107" s="14"/>
      <c r="BW107" s="14"/>
      <c r="BX107" s="14"/>
      <c r="BY107" s="47"/>
      <c r="BZ107" s="14"/>
      <c r="CA107" s="14"/>
      <c r="CB107" s="98"/>
      <c r="CC107" s="21"/>
      <c r="CD107" s="180"/>
      <c r="CE107" s="181"/>
      <c r="CF107" s="31"/>
      <c r="CG107" s="31"/>
      <c r="CH107" s="31"/>
      <c r="CI107" s="14"/>
      <c r="CJ107" s="14"/>
      <c r="CK107" s="14"/>
      <c r="CL107" s="14"/>
      <c r="CM107" s="14"/>
      <c r="CN107" s="14"/>
      <c r="CO107" s="129"/>
      <c r="CP107" s="14"/>
      <c r="CQ107" s="47"/>
      <c r="CR107" s="14"/>
      <c r="CS107" s="14"/>
      <c r="CT107" s="14"/>
      <c r="CU107" s="14"/>
      <c r="CV107" s="180"/>
      <c r="CW107" s="190"/>
      <c r="CX107" s="191"/>
      <c r="CY107" s="31"/>
      <c r="CZ107" s="31"/>
      <c r="DA107" s="14"/>
      <c r="DB107" s="14"/>
      <c r="DC107" s="14"/>
      <c r="DD107" s="14"/>
      <c r="DE107" s="14"/>
      <c r="DF107" s="14"/>
      <c r="DG107" s="129"/>
      <c r="DH107" s="14"/>
      <c r="DI107" s="47"/>
      <c r="DJ107" s="14"/>
      <c r="DK107" s="13"/>
      <c r="DL107" s="13"/>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row>
    <row r="108" spans="1:142" s="131" customFormat="1" x14ac:dyDescent="0.25">
      <c r="A108" s="78"/>
      <c r="B108" s="78" t="s">
        <v>22</v>
      </c>
      <c r="C108" s="78" t="s">
        <v>136</v>
      </c>
      <c r="D108" s="79"/>
      <c r="E108" s="78"/>
      <c r="F108" s="78"/>
      <c r="G108" s="78"/>
      <c r="H108" s="79"/>
      <c r="I108" s="79"/>
      <c r="J108" s="78"/>
      <c r="K108" s="78"/>
      <c r="L108" s="78"/>
      <c r="M108" s="78"/>
      <c r="N108" s="78"/>
      <c r="O108" s="78"/>
      <c r="P108" s="78"/>
      <c r="Q108" s="82"/>
      <c r="R108" s="83"/>
      <c r="S108" s="78" t="str">
        <f>$B108</f>
        <v>Pellet users</v>
      </c>
      <c r="T108" s="78"/>
      <c r="U108" s="78"/>
      <c r="V108" s="78"/>
      <c r="W108" s="78"/>
      <c r="X108" s="78"/>
      <c r="Y108" s="78"/>
      <c r="Z108" s="78"/>
      <c r="AA108" s="78"/>
      <c r="AB108" s="78"/>
      <c r="AC108" s="78"/>
      <c r="AD108" s="78"/>
      <c r="AE108" s="78"/>
      <c r="AF108" s="82"/>
      <c r="AG108" s="83"/>
      <c r="AH108" s="78" t="str">
        <f>$B108</f>
        <v>Pellet users</v>
      </c>
      <c r="AI108" s="78"/>
      <c r="AJ108" s="78"/>
      <c r="AK108" s="78"/>
      <c r="AL108" s="78"/>
      <c r="AM108" s="78"/>
      <c r="AN108" s="78"/>
      <c r="AO108" s="78"/>
      <c r="AP108" s="78"/>
      <c r="AQ108" s="78"/>
      <c r="AR108" s="78"/>
      <c r="AS108" s="78"/>
      <c r="AT108" s="78"/>
      <c r="AU108" s="82"/>
      <c r="AV108" s="78"/>
      <c r="AW108" s="78" t="str">
        <f>$B108</f>
        <v>Pellet users</v>
      </c>
      <c r="AX108" s="78"/>
      <c r="AY108" s="78"/>
      <c r="AZ108" s="78"/>
      <c r="BA108" s="78"/>
      <c r="BB108" s="78"/>
      <c r="BC108" s="78"/>
      <c r="BD108" s="78"/>
      <c r="BE108" s="78"/>
      <c r="BF108" s="78"/>
      <c r="BG108" s="78"/>
      <c r="BH108" s="78"/>
      <c r="BI108" s="78"/>
      <c r="BJ108" s="82"/>
      <c r="BK108" s="83"/>
      <c r="BL108" s="78" t="str">
        <f>$B108</f>
        <v>Pellet users</v>
      </c>
      <c r="BM108" s="78"/>
      <c r="BN108" s="78"/>
      <c r="BO108" s="78"/>
      <c r="BP108" s="78"/>
      <c r="BQ108" s="78"/>
      <c r="BR108" s="78"/>
      <c r="BS108" s="78"/>
      <c r="BT108" s="78"/>
      <c r="BU108" s="78"/>
      <c r="BV108" s="78"/>
      <c r="BW108" s="78"/>
      <c r="BX108" s="78"/>
      <c r="BY108" s="82"/>
      <c r="BZ108" s="78"/>
      <c r="CA108" s="78" t="str">
        <f>$B108</f>
        <v>Pellet users</v>
      </c>
      <c r="CB108" s="79"/>
      <c r="CC108" s="79"/>
      <c r="CD108" s="182"/>
      <c r="CE108" s="182"/>
      <c r="CF108" s="79"/>
      <c r="CG108" s="78"/>
      <c r="CH108" s="78"/>
      <c r="CI108" s="78"/>
      <c r="CJ108" s="78"/>
      <c r="CK108" s="78"/>
      <c r="CL108" s="78"/>
      <c r="CM108" s="78"/>
      <c r="CN108" s="78"/>
      <c r="CO108" s="78"/>
      <c r="CP108" s="78"/>
      <c r="CQ108" s="82"/>
      <c r="CR108" s="78"/>
      <c r="CS108" s="78" t="str">
        <f>$B108</f>
        <v>Pellet users</v>
      </c>
      <c r="CT108" s="78"/>
      <c r="CU108" s="78"/>
      <c r="CV108" s="182"/>
      <c r="CW108" s="192"/>
      <c r="CX108" s="192"/>
      <c r="CY108" s="78"/>
      <c r="CZ108" s="78"/>
      <c r="DA108" s="78"/>
      <c r="DB108" s="78"/>
      <c r="DC108" s="78"/>
      <c r="DD108" s="78"/>
      <c r="DE108" s="78"/>
      <c r="DF108" s="78"/>
      <c r="DG108" s="78"/>
      <c r="DH108" s="78"/>
      <c r="DI108" s="82"/>
      <c r="DJ108" s="78"/>
      <c r="DK108" s="78" t="str">
        <f>$B108</f>
        <v>Pellet users</v>
      </c>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row>
    <row r="109" spans="1:142" x14ac:dyDescent="0.25">
      <c r="A109" s="14"/>
      <c r="B109" s="84" t="s">
        <v>301</v>
      </c>
      <c r="C109" s="84"/>
      <c r="D109" s="85"/>
      <c r="E109" s="84"/>
      <c r="F109" s="14"/>
      <c r="G109" s="14"/>
      <c r="H109" s="21"/>
      <c r="I109" s="21"/>
      <c r="J109" s="14"/>
      <c r="K109" s="14"/>
      <c r="L109" s="14"/>
      <c r="M109" s="14"/>
      <c r="N109" s="14"/>
      <c r="O109" s="14"/>
      <c r="P109" s="14"/>
      <c r="Q109" s="47"/>
      <c r="R109" s="19"/>
      <c r="S109" s="84" t="s">
        <v>322</v>
      </c>
      <c r="T109" s="84"/>
      <c r="U109" s="85"/>
      <c r="V109" s="84"/>
      <c r="W109" s="14"/>
      <c r="X109" s="14"/>
      <c r="Y109" s="14"/>
      <c r="Z109" s="14"/>
      <c r="AA109" s="14"/>
      <c r="AB109" s="14"/>
      <c r="AC109" s="14"/>
      <c r="AD109" s="14"/>
      <c r="AE109" s="14"/>
      <c r="AF109" s="47"/>
      <c r="AG109" s="19"/>
      <c r="AH109" s="84" t="s">
        <v>328</v>
      </c>
      <c r="AI109" s="84"/>
      <c r="AJ109" s="85"/>
      <c r="AK109" s="84"/>
      <c r="AL109" s="84"/>
      <c r="AM109" s="14"/>
      <c r="AN109" s="14"/>
      <c r="AO109" s="14"/>
      <c r="AP109" s="14"/>
      <c r="AQ109" s="14"/>
      <c r="AR109" s="14"/>
      <c r="AS109" s="14"/>
      <c r="AT109" s="14"/>
      <c r="AU109" s="47"/>
      <c r="AV109" s="14"/>
      <c r="AW109" s="84" t="s">
        <v>347</v>
      </c>
      <c r="AX109" s="84"/>
      <c r="AY109" s="85"/>
      <c r="AZ109" s="84"/>
      <c r="BA109" s="84"/>
      <c r="BB109" s="14"/>
      <c r="BC109" s="14"/>
      <c r="BD109" s="14"/>
      <c r="BE109" s="14"/>
      <c r="BF109" s="14"/>
      <c r="BG109" s="14"/>
      <c r="BH109" s="14"/>
      <c r="BI109" s="14"/>
      <c r="BJ109" s="47"/>
      <c r="BK109" s="19"/>
      <c r="BL109" s="84" t="s">
        <v>348</v>
      </c>
      <c r="BM109" s="84"/>
      <c r="BN109" s="85"/>
      <c r="BO109" s="84"/>
      <c r="BP109" s="84"/>
      <c r="BQ109" s="14"/>
      <c r="BR109" s="14"/>
      <c r="BS109" s="14"/>
      <c r="BT109" s="14"/>
      <c r="BU109" s="14"/>
      <c r="BV109" s="14"/>
      <c r="BW109" s="14"/>
      <c r="BX109" s="14"/>
      <c r="BY109" s="47"/>
      <c r="BZ109" s="14"/>
      <c r="CA109" s="148" t="s">
        <v>303</v>
      </c>
      <c r="CB109" s="85"/>
      <c r="CC109" s="85"/>
      <c r="CD109" s="186"/>
      <c r="CE109" s="185"/>
      <c r="CF109" s="152"/>
      <c r="CG109" s="14"/>
      <c r="CH109" s="14"/>
      <c r="CI109" s="14"/>
      <c r="CJ109" s="14"/>
      <c r="CK109" s="14"/>
      <c r="CL109" s="14"/>
      <c r="CM109" s="14"/>
      <c r="CN109" s="14"/>
      <c r="CO109" s="129"/>
      <c r="CP109" s="14"/>
      <c r="CQ109" s="47"/>
      <c r="CR109" s="14"/>
      <c r="CS109" s="148" t="s">
        <v>304</v>
      </c>
      <c r="CT109" s="84"/>
      <c r="CU109" s="85"/>
      <c r="CV109" s="185"/>
      <c r="CW109" s="193"/>
      <c r="CX109" s="193"/>
      <c r="CY109" s="14"/>
      <c r="CZ109" s="14"/>
      <c r="DA109" s="14"/>
      <c r="DB109" s="14"/>
      <c r="DC109" s="14"/>
      <c r="DD109" s="14"/>
      <c r="DE109" s="14"/>
      <c r="DF109" s="14"/>
      <c r="DG109" s="129"/>
      <c r="DH109" s="14"/>
      <c r="DI109" s="47"/>
      <c r="DJ109" s="14"/>
      <c r="DK109" s="84" t="s">
        <v>305</v>
      </c>
      <c r="DL109" s="84"/>
      <c r="DM109" s="85"/>
      <c r="DN109" s="8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row>
    <row r="110" spans="1:142" x14ac:dyDescent="0.25">
      <c r="A110" s="14"/>
      <c r="B110" s="14"/>
      <c r="C110" s="14"/>
      <c r="D110" s="15"/>
      <c r="E110" s="14"/>
      <c r="F110" s="14"/>
      <c r="G110" s="14"/>
      <c r="H110" s="21"/>
      <c r="I110" s="21"/>
      <c r="J110" s="14"/>
      <c r="K110" s="14"/>
      <c r="L110" s="14"/>
      <c r="M110" s="14"/>
      <c r="N110" s="14"/>
      <c r="O110" s="14"/>
      <c r="P110" s="14"/>
      <c r="Q110" s="47"/>
      <c r="R110" s="19"/>
      <c r="S110" s="14"/>
      <c r="T110" s="14"/>
      <c r="U110" s="15"/>
      <c r="V110" s="14"/>
      <c r="W110" s="14"/>
      <c r="X110" s="14"/>
      <c r="Y110" s="14"/>
      <c r="Z110" s="14"/>
      <c r="AA110" s="14"/>
      <c r="AB110" s="14"/>
      <c r="AC110" s="14"/>
      <c r="AD110" s="14"/>
      <c r="AE110" s="14"/>
      <c r="AF110" s="47"/>
      <c r="AG110" s="19"/>
      <c r="AH110" s="14"/>
      <c r="AI110" s="14"/>
      <c r="AJ110" s="15"/>
      <c r="AK110" s="14"/>
      <c r="AL110" s="14"/>
      <c r="AM110" s="14"/>
      <c r="AN110" s="14"/>
      <c r="AO110" s="14"/>
      <c r="AP110" s="14"/>
      <c r="AQ110" s="14"/>
      <c r="AR110" s="14"/>
      <c r="AS110" s="14"/>
      <c r="AT110" s="14"/>
      <c r="AU110" s="47"/>
      <c r="AV110" s="14"/>
      <c r="AW110" s="14"/>
      <c r="AX110" s="14"/>
      <c r="AY110" s="15"/>
      <c r="AZ110" s="14"/>
      <c r="BA110" s="14"/>
      <c r="BB110" s="14"/>
      <c r="BC110" s="14"/>
      <c r="BD110" s="14"/>
      <c r="BE110" s="14"/>
      <c r="BF110" s="14"/>
      <c r="BG110" s="14"/>
      <c r="BH110" s="14"/>
      <c r="BI110" s="14"/>
      <c r="BJ110" s="47"/>
      <c r="BK110" s="19"/>
      <c r="BL110" s="14"/>
      <c r="BM110" s="14"/>
      <c r="BN110" s="15"/>
      <c r="BO110" s="14"/>
      <c r="BP110" s="14"/>
      <c r="BQ110" s="14"/>
      <c r="BR110" s="14"/>
      <c r="BS110" s="14"/>
      <c r="BT110" s="14"/>
      <c r="BU110" s="14"/>
      <c r="BV110" s="14"/>
      <c r="BW110" s="14"/>
      <c r="BX110" s="14"/>
      <c r="BY110" s="47"/>
      <c r="BZ110" s="14"/>
      <c r="CA110" s="14"/>
      <c r="CB110" s="21"/>
      <c r="CC110" s="21"/>
      <c r="CD110" s="180"/>
      <c r="CE110" s="180"/>
      <c r="CF110" s="21"/>
      <c r="CG110" s="14"/>
      <c r="CH110" s="14"/>
      <c r="CI110" s="14"/>
      <c r="CJ110" s="14"/>
      <c r="CK110" s="14"/>
      <c r="CL110" s="14"/>
      <c r="CM110" s="14"/>
      <c r="CN110" s="14"/>
      <c r="CO110" s="129"/>
      <c r="CP110" s="14"/>
      <c r="CQ110" s="47"/>
      <c r="CR110" s="14"/>
      <c r="CS110" s="14"/>
      <c r="CT110" s="14"/>
      <c r="CU110" s="14"/>
      <c r="CV110" s="180"/>
      <c r="CW110" s="189"/>
      <c r="CX110" s="189"/>
      <c r="CY110" s="14"/>
      <c r="CZ110" s="14"/>
      <c r="DA110" s="14"/>
      <c r="DB110" s="14"/>
      <c r="DC110" s="14"/>
      <c r="DD110" s="14"/>
      <c r="DE110" s="14"/>
      <c r="DF110" s="14"/>
      <c r="DG110" s="129"/>
      <c r="DH110" s="14"/>
      <c r="DI110" s="47"/>
      <c r="DJ110" s="14"/>
      <c r="DK110" s="14"/>
      <c r="DL110" s="14"/>
      <c r="DM110" s="15"/>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row>
    <row r="111" spans="1:142" ht="27.6" x14ac:dyDescent="0.25">
      <c r="A111" s="14"/>
      <c r="B111" s="112" t="s">
        <v>23</v>
      </c>
      <c r="C111" s="113" t="s">
        <v>24</v>
      </c>
      <c r="D111" s="113" t="s">
        <v>145</v>
      </c>
      <c r="E111" s="113" t="s">
        <v>300</v>
      </c>
      <c r="F111" s="14"/>
      <c r="G111" s="14"/>
      <c r="H111" s="21"/>
      <c r="I111" s="21"/>
      <c r="J111" s="14"/>
      <c r="K111" s="19"/>
      <c r="L111" s="51"/>
      <c r="M111" s="51"/>
      <c r="N111" s="51"/>
      <c r="O111" s="51"/>
      <c r="P111" s="51"/>
      <c r="Q111" s="47"/>
      <c r="R111" s="19"/>
      <c r="S111" s="112" t="s">
        <v>23</v>
      </c>
      <c r="T111" s="113" t="s">
        <v>24</v>
      </c>
      <c r="U111" s="113" t="s">
        <v>145</v>
      </c>
      <c r="V111" s="113" t="s">
        <v>300</v>
      </c>
      <c r="W111" s="14"/>
      <c r="X111" s="14"/>
      <c r="Y111" s="14"/>
      <c r="Z111" s="14"/>
      <c r="AA111" s="56"/>
      <c r="AB111" s="56"/>
      <c r="AC111" s="56"/>
      <c r="AD111" s="56"/>
      <c r="AE111" s="56"/>
      <c r="AF111" s="47"/>
      <c r="AG111" s="19"/>
      <c r="AH111" s="112" t="s">
        <v>23</v>
      </c>
      <c r="AI111" s="113" t="s">
        <v>24</v>
      </c>
      <c r="AJ111" s="113" t="s">
        <v>145</v>
      </c>
      <c r="AK111" s="113" t="s">
        <v>300</v>
      </c>
      <c r="AL111" s="14"/>
      <c r="AM111" s="14"/>
      <c r="AN111" s="14"/>
      <c r="AO111" s="14"/>
      <c r="AP111" s="56"/>
      <c r="AQ111" s="56"/>
      <c r="AR111" s="56"/>
      <c r="AS111" s="56"/>
      <c r="AT111" s="56"/>
      <c r="AU111" s="47"/>
      <c r="AV111" s="14"/>
      <c r="AW111" s="112" t="s">
        <v>23</v>
      </c>
      <c r="AX111" s="113" t="s">
        <v>24</v>
      </c>
      <c r="AY111" s="113" t="s">
        <v>145</v>
      </c>
      <c r="AZ111" s="113" t="s">
        <v>300</v>
      </c>
      <c r="BA111" s="14"/>
      <c r="BB111" s="14"/>
      <c r="BC111" s="14"/>
      <c r="BD111" s="14"/>
      <c r="BE111" s="56"/>
      <c r="BF111" s="56"/>
      <c r="BG111" s="56"/>
      <c r="BH111" s="56"/>
      <c r="BI111" s="56"/>
      <c r="BJ111" s="47"/>
      <c r="BK111" s="19"/>
      <c r="BL111" s="112" t="s">
        <v>23</v>
      </c>
      <c r="BM111" s="113" t="s">
        <v>24</v>
      </c>
      <c r="BN111" s="113" t="s">
        <v>145</v>
      </c>
      <c r="BO111" s="113" t="s">
        <v>300</v>
      </c>
      <c r="BP111" s="14"/>
      <c r="BQ111" s="14"/>
      <c r="BR111" s="14"/>
      <c r="BS111" s="14"/>
      <c r="BT111" s="56"/>
      <c r="BU111" s="56"/>
      <c r="BV111" s="56"/>
      <c r="BW111" s="56"/>
      <c r="BX111" s="56"/>
      <c r="BY111" s="47"/>
      <c r="BZ111" s="14"/>
      <c r="CA111" s="112" t="s">
        <v>23</v>
      </c>
      <c r="CB111" s="113" t="s">
        <v>145</v>
      </c>
      <c r="CC111" s="21"/>
      <c r="CD111" s="180"/>
      <c r="CE111" s="180"/>
      <c r="CF111" s="21"/>
      <c r="CG111" s="14"/>
      <c r="CH111" s="14"/>
      <c r="CI111" s="14"/>
      <c r="CJ111" s="14"/>
      <c r="CK111" s="14"/>
      <c r="CL111" s="14"/>
      <c r="CM111" s="14"/>
      <c r="CN111" s="14"/>
      <c r="CO111" s="129"/>
      <c r="CP111" s="17"/>
      <c r="CQ111" s="47"/>
      <c r="CR111" s="14"/>
      <c r="CS111" s="112" t="s">
        <v>23</v>
      </c>
      <c r="CT111" s="113" t="s">
        <v>145</v>
      </c>
      <c r="CU111" s="14"/>
      <c r="CV111" s="180"/>
      <c r="CW111" s="189"/>
      <c r="CX111" s="189"/>
      <c r="CY111" s="14"/>
      <c r="CZ111" s="14"/>
      <c r="DA111" s="14"/>
      <c r="DB111" s="14"/>
      <c r="DC111" s="14"/>
      <c r="DD111" s="14"/>
      <c r="DE111" s="14"/>
      <c r="DF111" s="14"/>
      <c r="DG111" s="129"/>
      <c r="DH111" s="17"/>
      <c r="DI111" s="47"/>
      <c r="DJ111" s="17"/>
      <c r="DK111" s="112" t="s">
        <v>23</v>
      </c>
      <c r="DL111" s="113" t="s">
        <v>24</v>
      </c>
      <c r="DM111" s="113" t="s">
        <v>145</v>
      </c>
      <c r="DN111" s="113" t="s">
        <v>300</v>
      </c>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row>
    <row r="112" spans="1:142" x14ac:dyDescent="0.25">
      <c r="A112" s="14"/>
      <c r="B112" s="57" t="s">
        <v>22</v>
      </c>
      <c r="C112" s="121" t="str">
        <f>IF(H131=0,"na",IF(COUNTIF(H126:H130,MAX(H126:H130))&gt;COUNTIF(G126:G130,"&lt;&gt;""")/2,"No clear choice of the most common response",INDEX(G126:G130,MATCH(MAX(H126:H130),H126:H130,0),1)))</f>
        <v>Definitely not</v>
      </c>
      <c r="D112" s="58">
        <f>COUNTIFS(S26_stakeholder_category,"PU",Response_Q156_1,"&lt;&gt;0")</f>
        <v>2</v>
      </c>
      <c r="E112" s="121">
        <f>COUNTIFS(S26_stakeholder_category,"PU",Response_Q156_1,"I don’t know")</f>
        <v>0</v>
      </c>
      <c r="F112" s="14"/>
      <c r="G112" s="14"/>
      <c r="H112" s="21"/>
      <c r="I112" s="21"/>
      <c r="J112" s="14"/>
      <c r="K112" s="19"/>
      <c r="L112" s="40"/>
      <c r="M112" s="40"/>
      <c r="N112" s="40"/>
      <c r="O112" s="40"/>
      <c r="P112" s="40"/>
      <c r="Q112" s="47"/>
      <c r="R112" s="19"/>
      <c r="S112" s="34" t="s">
        <v>22</v>
      </c>
      <c r="T112" s="37" t="str">
        <f>IF(Y133=0,"na",IF(COUNTIF(Y126:Y132,MAX(Y126:Y132))&gt;COUNTIF(X126:X132,"&lt;&gt;""")/2,"No clear choice of the most common response",INDEX(X126:X132,MATCH(MAX(Y126:Y132),Y126:Y132,0),1)))</f>
        <v>Very unlikely</v>
      </c>
      <c r="U112" s="33">
        <f>COUNTIFS(S26_stakeholder_category,"PU",Response_Q160_1,"&lt;&gt;0")</f>
        <v>2</v>
      </c>
      <c r="V112" s="37">
        <f>COUNTIFS(S26_stakeholder_category,"PU",Response_Q160_1,"I don’t know")</f>
        <v>0</v>
      </c>
      <c r="W112" s="14"/>
      <c r="X112" s="14"/>
      <c r="Y112" s="14"/>
      <c r="Z112" s="14"/>
      <c r="AA112" s="19"/>
      <c r="AB112" s="19"/>
      <c r="AC112" s="19"/>
      <c r="AD112" s="19"/>
      <c r="AE112" s="19"/>
      <c r="AF112" s="47"/>
      <c r="AG112" s="19"/>
      <c r="AH112" s="57" t="s">
        <v>22</v>
      </c>
      <c r="AI112" s="121" t="str">
        <f>IF(AN133=0,"na",IF(COUNTIF(AN126:AN132,MAX(AN126:AN132))&gt;COUNTIF(AM126:AM132,"&lt;&gt;""")/2,"No clear choice of the most common response",INDEX(AM126:AM132,MATCH(MAX(AN126:AN132),AN126:AN132,0),1)))</f>
        <v>Very unlikely</v>
      </c>
      <c r="AJ112" s="58">
        <f>COUNTIFS(S26_stakeholder_category,"PU",Response_26_CaseA,"&lt;&gt;0")</f>
        <v>2</v>
      </c>
      <c r="AK112" s="121">
        <f>COUNTIFS(S26_stakeholder_category,"PU",Response_26_CaseA,"I don’t know")</f>
        <v>0</v>
      </c>
      <c r="AL112" s="14"/>
      <c r="AM112" s="14"/>
      <c r="AN112" s="14"/>
      <c r="AO112" s="14"/>
      <c r="AP112" s="19"/>
      <c r="AQ112" s="19"/>
      <c r="AR112" s="19"/>
      <c r="AS112" s="19"/>
      <c r="AT112" s="19"/>
      <c r="AU112" s="47"/>
      <c r="AV112" s="14"/>
      <c r="AW112" s="57" t="s">
        <v>22</v>
      </c>
      <c r="AX112" s="121" t="str">
        <f>IF(BC133=0,"na",IF(COUNTIF(BC126:BC132,MAX(BC126:BC132))&gt;COUNTIF(BB126:BB132,"&lt;&gt;""")/2,"No clear choice of the most common response",INDEX(BB126:BB132,MATCH(MAX(BC126:BC132),BC126:BC132,0),1)))</f>
        <v>Very unlikely</v>
      </c>
      <c r="AY112" s="58">
        <f>COUNTIFS(S26_stakeholder_category,"PU",Response_26_CaseB,"&lt;&gt;0")</f>
        <v>2</v>
      </c>
      <c r="AZ112" s="121">
        <f>COUNTIFS(S26_stakeholder_category,"PU",Response_26_CaseB,"I don’t know")</f>
        <v>0</v>
      </c>
      <c r="BA112" s="14"/>
      <c r="BB112" s="14"/>
      <c r="BC112" s="14"/>
      <c r="BD112" s="14"/>
      <c r="BE112" s="19"/>
      <c r="BF112" s="19"/>
      <c r="BG112" s="19"/>
      <c r="BH112" s="19"/>
      <c r="BI112" s="19"/>
      <c r="BJ112" s="47"/>
      <c r="BK112" s="19"/>
      <c r="BL112" s="57" t="s">
        <v>22</v>
      </c>
      <c r="BM112" s="121" t="str">
        <f>IF(BR133=0,"na",IF(COUNTIF(BR126:BR132,MAX(BR126:BR132))&gt;COUNTIF(BQ126:BQ132,"&lt;&gt;""")/2,"No clear choice of the most common response",INDEX(BQ126:BQ132,MATCH(MAX(BR126:BR132),BR126:BR132,0),1)))</f>
        <v>Very unlikely</v>
      </c>
      <c r="BN112" s="58">
        <f>COUNTIFS(S26_stakeholder_category,"PU",Response_26_CaseC,"&lt;&gt;0")</f>
        <v>2</v>
      </c>
      <c r="BO112" s="121">
        <f>COUNTIFS(S26_stakeholder_category,"PU",Response_26_CaseC,"I don’t know")</f>
        <v>0</v>
      </c>
      <c r="BP112" s="14"/>
      <c r="BQ112" s="14"/>
      <c r="BR112" s="14"/>
      <c r="BS112" s="14"/>
      <c r="BT112" s="19"/>
      <c r="BU112" s="19"/>
      <c r="BV112" s="19"/>
      <c r="BW112" s="19"/>
      <c r="BX112" s="19"/>
      <c r="BY112" s="47"/>
      <c r="BZ112" s="14"/>
      <c r="CA112" s="34" t="s">
        <v>22</v>
      </c>
      <c r="CB112" s="37">
        <f>MAX(SUM(CC118:CC124),SUM(CD118:CD124),SUM(CE118:CE124))</f>
        <v>1</v>
      </c>
      <c r="CC112" s="21"/>
      <c r="CD112" s="180"/>
      <c r="CE112" s="180"/>
      <c r="CF112" s="21"/>
      <c r="CG112" s="14"/>
      <c r="CH112" s="14"/>
      <c r="CI112" s="14"/>
      <c r="CJ112" s="14"/>
      <c r="CK112" s="14"/>
      <c r="CL112" s="14"/>
      <c r="CM112" s="14"/>
      <c r="CN112" s="14"/>
      <c r="CO112" s="129"/>
      <c r="CP112" s="29"/>
      <c r="CQ112" s="47"/>
      <c r="CR112" s="14"/>
      <c r="CS112" s="34" t="s">
        <v>22</v>
      </c>
      <c r="CT112" s="37">
        <f>MAX(SUM(CU118:CU124),SUM(CV118:CV124),SUM(CW118:CW124))</f>
        <v>1</v>
      </c>
      <c r="CU112" s="14"/>
      <c r="CV112" s="180"/>
      <c r="CW112" s="189"/>
      <c r="CX112" s="189"/>
      <c r="CY112" s="14"/>
      <c r="CZ112" s="14"/>
      <c r="DA112" s="14"/>
      <c r="DB112" s="14"/>
      <c r="DC112" s="14"/>
      <c r="DD112" s="14"/>
      <c r="DE112" s="14"/>
      <c r="DF112" s="14"/>
      <c r="DG112" s="129"/>
      <c r="DH112" s="29"/>
      <c r="DI112" s="47"/>
      <c r="DJ112" s="29"/>
      <c r="DK112" s="34" t="s">
        <v>22</v>
      </c>
      <c r="DL112" s="37" t="str">
        <f>IF(DQ131=0,"na",IF(COUNTIF(DQ126:DQ130,MAX(DQ126:DQ130))&gt;COUNTIF(DP126:DP130,"&lt;&gt;""")/2,"No clear choice of the most common response",INDEX(DP126:DP130,MATCH(MAX(DQ126:DQ130),DQ126:DQ130,0),1)))</f>
        <v>Definitely not</v>
      </c>
      <c r="DM112" s="33">
        <f>COUNTIFS(S26_stakeholder_category,"PU",Response_Q156_1,"&lt;&gt;0",Response_Q156_1,"&lt;&gt;0")</f>
        <v>2</v>
      </c>
      <c r="DN112" s="37">
        <f>DQ130</f>
        <v>0</v>
      </c>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row>
    <row r="113" spans="1:142" x14ac:dyDescent="0.25">
      <c r="A113" s="14"/>
      <c r="B113" s="57"/>
      <c r="C113" s="121" t="str">
        <f ca="1">IF(H131=0,"",IF(COUNTIF(H126:H130,MAX(H126:H130))=1,"",IF(COUNTIF(H126:H130,MAX(H126:H130))&gt;COUNTIF(G126:G130,"&lt;&gt;""")/2,"",INDEX(OFFSET(G126,MATCH(C112,G126:G131,0),0):G130,MATCH(MAX(H126:H130),OFFSET(H126,MATCH(C112,G126:G131,0),0):H130,0),1))))</f>
        <v>Sometimes</v>
      </c>
      <c r="D113" s="58"/>
      <c r="E113" s="121"/>
      <c r="F113" s="14"/>
      <c r="G113" s="14"/>
      <c r="H113" s="21"/>
      <c r="I113" s="21"/>
      <c r="J113" s="14"/>
      <c r="K113" s="19"/>
      <c r="L113" s="40"/>
      <c r="M113" s="40"/>
      <c r="N113" s="40"/>
      <c r="O113" s="40"/>
      <c r="P113" s="40"/>
      <c r="Q113" s="47"/>
      <c r="R113" s="19"/>
      <c r="S113" s="34"/>
      <c r="T113" s="37" t="str">
        <f ca="1">IF(Y133=0,"",IF(COUNTIF(Y126:Y132,MAX(Y126:Y132))=1,"",IF(COUNTIF(Y126:Y132,MAX(Y126:Y132))&gt;COUNTIF(X126:X132,"&lt;&gt;""")/2,"",INDEX(OFFSET(X126,MATCH(T112,X126:X132,0),0):X132,MATCH(MAX(Y126:Y132),OFFSET(Y126,MATCH(T112,X126:X132,0),0):Y132,0),1))))</f>
        <v/>
      </c>
      <c r="U113" s="33"/>
      <c r="V113" s="37"/>
      <c r="W113" s="14"/>
      <c r="X113" s="14"/>
      <c r="Y113" s="14"/>
      <c r="Z113" s="14"/>
      <c r="AA113" s="19"/>
      <c r="AB113" s="19"/>
      <c r="AC113" s="19"/>
      <c r="AD113" s="19"/>
      <c r="AE113" s="19"/>
      <c r="AF113" s="47"/>
      <c r="AG113" s="19"/>
      <c r="AH113" s="57"/>
      <c r="AI113" s="121" t="str">
        <f ca="1">IF(AN133=0,"",IF(COUNTIF(AN126:AN132,MAX(AN126:AN132))=1,"",IF(COUNTIF(AN126:AN132,MAX(AN126:AN132))&gt;COUNTIF(AM126:AM132,"&lt;&gt;""")/2,"",INDEX(OFFSET(AM126,MATCH(AI112,AM126:AM132,0),0):AM132,MATCH(MAX(AN126:AN132),OFFSET(AN126,MATCH(AI112,AM126:AM132,0),0):AN132,0),1))))</f>
        <v/>
      </c>
      <c r="AJ113" s="58"/>
      <c r="AK113" s="121"/>
      <c r="AL113" s="14"/>
      <c r="AM113" s="14"/>
      <c r="AN113" s="14"/>
      <c r="AO113" s="14"/>
      <c r="AP113" s="19"/>
      <c r="AQ113" s="19"/>
      <c r="AR113" s="19"/>
      <c r="AS113" s="19"/>
      <c r="AT113" s="19"/>
      <c r="AU113" s="47"/>
      <c r="AV113" s="14"/>
      <c r="AW113" s="57"/>
      <c r="AX113" s="121" t="str">
        <f ca="1">IF(BC133=0,"",IF(COUNTIF(BC126:BC132,MAX(BC126:BC132))=1,"",IF(COUNTIF(BC126:BC132,MAX(BC126:BC132))&gt;COUNTIF(BB126:BB132,"&lt;&gt;""")/2,"",INDEX(OFFSET(BB126,MATCH(AX112,BB126:BB132,0),0):BB132,MATCH(MAX(BC126:BC132),OFFSET(BC126,MATCH(AX112,BB126:BB132,0),0):BC132,0),1))))</f>
        <v>Unlikely</v>
      </c>
      <c r="AY113" s="58"/>
      <c r="AZ113" s="121"/>
      <c r="BA113" s="14"/>
      <c r="BB113" s="14"/>
      <c r="BC113" s="14"/>
      <c r="BD113" s="14"/>
      <c r="BE113" s="19"/>
      <c r="BF113" s="19"/>
      <c r="BG113" s="19"/>
      <c r="BH113" s="19"/>
      <c r="BI113" s="19"/>
      <c r="BJ113" s="47"/>
      <c r="BK113" s="19"/>
      <c r="BL113" s="57"/>
      <c r="BM113" s="121" t="str">
        <f ca="1">IF(BR133=0,"",IF(COUNTIF(BR126:BR132,MAX(BR126:BR132))=1,"",IF(COUNTIF(BR126:BR132,MAX(BR126:BR132))&gt;COUNTIF(BQ126:BQ132,"&lt;&gt;""")/2,"",INDEX(OFFSET(BQ126,MATCH(BM112,BQ126:BQ132,0),0):BQ132,MATCH(MAX(BR126:BR132),OFFSET(BR126,MATCH(BM112,BQ126:BQ132,0),0):BR132,0),1))))</f>
        <v>Moderately unlikely</v>
      </c>
      <c r="BN113" s="58"/>
      <c r="BO113" s="121"/>
      <c r="BP113" s="14"/>
      <c r="BQ113" s="14"/>
      <c r="BR113" s="14"/>
      <c r="BS113" s="14"/>
      <c r="BT113" s="19"/>
      <c r="BU113" s="19"/>
      <c r="BV113" s="19"/>
      <c r="BW113" s="19"/>
      <c r="BX113" s="19"/>
      <c r="BY113" s="47"/>
      <c r="BZ113" s="14"/>
      <c r="CA113" s="14"/>
      <c r="CB113" s="21"/>
      <c r="CC113" s="21"/>
      <c r="CD113" s="180"/>
      <c r="CE113" s="180"/>
      <c r="CF113" s="21"/>
      <c r="CG113" s="14"/>
      <c r="CH113" s="14"/>
      <c r="CI113" s="14"/>
      <c r="CJ113" s="14"/>
      <c r="CK113" s="14"/>
      <c r="CL113" s="14"/>
      <c r="CM113" s="14"/>
      <c r="CN113" s="14"/>
      <c r="CO113" s="129"/>
      <c r="CP113" s="29"/>
      <c r="CQ113" s="47"/>
      <c r="CR113" s="14"/>
      <c r="CS113" s="14"/>
      <c r="CT113" s="14"/>
      <c r="CU113" s="14"/>
      <c r="CV113" s="180"/>
      <c r="CW113" s="189"/>
      <c r="CX113" s="189"/>
      <c r="CY113" s="14"/>
      <c r="CZ113" s="14"/>
      <c r="DA113" s="14"/>
      <c r="DB113" s="14"/>
      <c r="DC113" s="14"/>
      <c r="DD113" s="14"/>
      <c r="DE113" s="14"/>
      <c r="DF113" s="14"/>
      <c r="DG113" s="129"/>
      <c r="DH113" s="29"/>
      <c r="DI113" s="47"/>
      <c r="DJ113" s="29"/>
      <c r="DK113" s="34"/>
      <c r="DL113" s="121" t="str">
        <f ca="1">IF(DQ131=0,"",IF(COUNTIF(DQ126:DQ130,MAX(DQ126:DQ130))=1,"",IF(COUNTIF(DQ126:DQ130,MAX(DQ126:DQ130))&gt;COUNTIF(DP126:DP130,"&lt;&gt;""")/2,"",INDEX(OFFSET(DP126,MATCH(DL112,DP126:DP131,0),0):DP130,MATCH(MAX(DQ126:DQ130),OFFSET(DQ126,MATCH(DL112,DP126:DP131,0),0):DQ130,0),1))))</f>
        <v>Sometimes</v>
      </c>
      <c r="DM113" s="33"/>
      <c r="DN113" s="37"/>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row>
    <row r="114" spans="1:142" x14ac:dyDescent="0.25">
      <c r="A114" s="14"/>
      <c r="B114" s="57"/>
      <c r="C114" s="121" t="str">
        <f ca="1" xml:space="preserve"> IF(H131=0,"", IF(COUNTIF(H126:H130,MAX(H126:H130))&lt;=2,"",IF(COUNTIF(H126:H130,MAX(H126:H130))&gt;COUNTIF(G126:G130,"&lt;&gt;""")/2,"", INDEX(OFFSET(G126,MATCH(C113,G126:G131,0),0):G130,         MATCH(MAX(H126:H130),        OFFSET(H126,MATCH(C113,G126:G131,0),0):H130,0),1))))</f>
        <v/>
      </c>
      <c r="D114" s="58"/>
      <c r="E114" s="121"/>
      <c r="F114" s="14"/>
      <c r="G114" s="14"/>
      <c r="H114" s="21"/>
      <c r="I114" s="21"/>
      <c r="J114" s="14"/>
      <c r="K114" s="19"/>
      <c r="L114" s="40"/>
      <c r="M114" s="40"/>
      <c r="N114" s="40"/>
      <c r="O114" s="40"/>
      <c r="P114" s="40"/>
      <c r="Q114" s="47"/>
      <c r="R114" s="19"/>
      <c r="S114" s="34"/>
      <c r="T114" s="121" t="str">
        <f ca="1" xml:space="preserve"> IF(Y133=0,"",IF(Y133=0,"", IF(COUNTIF(Y126:Y132,MAX(Y126:Y132))&lt;=2,"",IF(COUNTIF(Y126:Y132,MAX(Y126:Y132))&gt;COUNTIF(X126:X132,"&lt;&gt;""")/2,"", INDEX(OFFSET(X126,MATCH(T113,X126:X132,0),0):X132,         MATCH(MAX(Y126:Y132),        OFFSET(Y126,MATCH(T113,X126:X132,0),0):Y132,0),1)))))</f>
        <v/>
      </c>
      <c r="U114" s="33"/>
      <c r="V114" s="37"/>
      <c r="W114" s="14"/>
      <c r="X114" s="14"/>
      <c r="Y114" s="14"/>
      <c r="Z114" s="14"/>
      <c r="AA114" s="19"/>
      <c r="AB114" s="19"/>
      <c r="AC114" s="19"/>
      <c r="AD114" s="19"/>
      <c r="AE114" s="19"/>
      <c r="AF114" s="47"/>
      <c r="AG114" s="19"/>
      <c r="AH114" s="57"/>
      <c r="AI114" s="121" t="str">
        <f ca="1" xml:space="preserve"> IF(AN133=0,"",IF(AN133=0,"", IF(COUNTIF(AN126:AN132,MAX(AN126:AN132))&lt;=2,"",IF(COUNTIF(AN126:AN132,MAX(AN126:AN132))&gt;COUNTIF(AM126:AM132,"&lt;&gt;""")/2,"", INDEX(OFFSET(AM126,MATCH(AI113,AM126:AM132,0),0):AM132,         MATCH(MAX(AN126:AN132),        OFFSET(AN126,MATCH(AI113,AM126:AM132,0),0):AN132,0),1)))))</f>
        <v/>
      </c>
      <c r="AJ114" s="58"/>
      <c r="AK114" s="121"/>
      <c r="AL114" s="14"/>
      <c r="AM114" s="14"/>
      <c r="AN114" s="14"/>
      <c r="AO114" s="14"/>
      <c r="AP114" s="19"/>
      <c r="AQ114" s="19"/>
      <c r="AR114" s="19"/>
      <c r="AS114" s="19"/>
      <c r="AT114" s="19"/>
      <c r="AU114" s="47"/>
      <c r="AV114" s="14"/>
      <c r="AW114" s="57"/>
      <c r="AX114" s="121" t="str">
        <f ca="1" xml:space="preserve"> IF(BC133=0,"",IF(BC133=0,"", IF(COUNTIF(BC126:BC132,MAX(BC126:BC132))&lt;=2,"",IF(COUNTIF(BC126:BC132,MAX(BC126:BC132))&gt;COUNTIF(BB126:BB132,"&lt;&gt;""")/2,"", INDEX(OFFSET(BB126,MATCH(AX113,BB126:BB132,0),0):BB132,         MATCH(MAX(BC126:BC132),        OFFSET(BC126,MATCH(AX113,BB126:BB132,0),0):BC132,0),1)))))</f>
        <v/>
      </c>
      <c r="AY114" s="58"/>
      <c r="AZ114" s="121"/>
      <c r="BA114" s="14"/>
      <c r="BB114" s="14"/>
      <c r="BC114" s="14"/>
      <c r="BD114" s="14"/>
      <c r="BE114" s="19"/>
      <c r="BF114" s="19"/>
      <c r="BG114" s="19"/>
      <c r="BH114" s="19"/>
      <c r="BI114" s="19"/>
      <c r="BJ114" s="47"/>
      <c r="BK114" s="19"/>
      <c r="BL114" s="57"/>
      <c r="BM114" s="121" t="str">
        <f ca="1" xml:space="preserve"> IF(BR133=0,"",IF(BR133=0,"", IF(COUNTIF(BR126:BR132,MAX(BR126:BR132))&lt;=2,"",IF(COUNTIF(BR126:BR132,MAX(BR126:BR132))&gt;COUNTIF(BQ126:BQ132,"&lt;&gt;""")/2,"", INDEX(OFFSET(BQ126,MATCH(BM113,BQ126:BQ132,0),0):BQ132,         MATCH(MAX(BR126:BR132),        OFFSET(BR126,MATCH(BM113,BQ126:BQ132,0),0):BR132,0),1)))))</f>
        <v/>
      </c>
      <c r="BN114" s="58"/>
      <c r="BO114" s="121"/>
      <c r="BP114" s="14"/>
      <c r="BQ114" s="14"/>
      <c r="BR114" s="14"/>
      <c r="BS114" s="14"/>
      <c r="BT114" s="19"/>
      <c r="BU114" s="19"/>
      <c r="BV114" s="19"/>
      <c r="BW114" s="19"/>
      <c r="BX114" s="19"/>
      <c r="BY114" s="47"/>
      <c r="BZ114" s="14"/>
      <c r="CA114" s="14"/>
      <c r="CB114" s="21"/>
      <c r="CC114" s="21"/>
      <c r="CD114" s="180"/>
      <c r="CE114" s="180"/>
      <c r="CF114" s="21"/>
      <c r="CG114" s="14"/>
      <c r="CH114" s="14"/>
      <c r="CI114" s="14"/>
      <c r="CJ114" s="14"/>
      <c r="CK114" s="14"/>
      <c r="CL114" s="14"/>
      <c r="CM114" s="14"/>
      <c r="CN114" s="14"/>
      <c r="CO114" s="129"/>
      <c r="CP114" s="29"/>
      <c r="CQ114" s="47"/>
      <c r="CR114" s="14"/>
      <c r="CS114" s="14"/>
      <c r="CT114" s="14"/>
      <c r="CU114" s="14"/>
      <c r="CV114" s="180"/>
      <c r="CW114" s="189"/>
      <c r="CX114" s="189"/>
      <c r="CY114" s="14"/>
      <c r="CZ114" s="14"/>
      <c r="DA114" s="14"/>
      <c r="DB114" s="14"/>
      <c r="DC114" s="14"/>
      <c r="DD114" s="14"/>
      <c r="DE114" s="14"/>
      <c r="DF114" s="14"/>
      <c r="DG114" s="129"/>
      <c r="DH114" s="29"/>
      <c r="DI114" s="47"/>
      <c r="DJ114" s="29"/>
      <c r="DK114" s="34"/>
      <c r="DL114" s="121" t="str">
        <f ca="1" xml:space="preserve"> IF(DQ131=0,"",IF(DQ131=0,"", IF(COUNTIF(DQ126:DQ130,MAX(DQ126:DQ130))&lt;=2,"",IF(COUNTIF(DQ126:DQ130,MAX(DQ126:DQ130))&gt;COUNTIF(DP126:DP130,"&lt;&gt;""")/2,"", INDEX(OFFSET(DP126,MATCH(DL113,DP126:DP131,0),0):DP130,         MATCH(MAX(DQ126:DQ130),        OFFSET(DQ126,MATCH(DL113,DP126:DP131,0),0):DQ130,0),1)))))</f>
        <v/>
      </c>
      <c r="DM114" s="33"/>
      <c r="DN114" s="37"/>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row>
    <row r="115" spans="1:142" x14ac:dyDescent="0.25">
      <c r="A115" s="14"/>
      <c r="B115" s="14"/>
      <c r="C115" s="14"/>
      <c r="D115" s="27"/>
      <c r="E115" s="14"/>
      <c r="F115" s="14"/>
      <c r="G115" s="14"/>
      <c r="H115" s="21"/>
      <c r="I115" s="21"/>
      <c r="J115" s="14"/>
      <c r="K115" s="19"/>
      <c r="L115" s="40"/>
      <c r="M115" s="40"/>
      <c r="N115" s="40"/>
      <c r="O115" s="40"/>
      <c r="P115" s="40"/>
      <c r="Q115" s="47"/>
      <c r="R115" s="19"/>
      <c r="S115" s="19"/>
      <c r="T115" s="19"/>
      <c r="U115" s="14"/>
      <c r="V115" s="14"/>
      <c r="W115" s="14"/>
      <c r="X115" s="14"/>
      <c r="Y115" s="14"/>
      <c r="Z115" s="14"/>
      <c r="AA115" s="19"/>
      <c r="AB115" s="19"/>
      <c r="AC115" s="19"/>
      <c r="AD115" s="19"/>
      <c r="AE115" s="19"/>
      <c r="AF115" s="47"/>
      <c r="AG115" s="19"/>
      <c r="AH115" s="19"/>
      <c r="AI115" s="19"/>
      <c r="AJ115" s="14"/>
      <c r="AK115" s="14"/>
      <c r="AL115" s="14"/>
      <c r="AM115" s="14"/>
      <c r="AN115" s="14"/>
      <c r="AO115" s="14"/>
      <c r="AP115" s="19"/>
      <c r="AQ115" s="19"/>
      <c r="AR115" s="19"/>
      <c r="AS115" s="19"/>
      <c r="AT115" s="19"/>
      <c r="AU115" s="47"/>
      <c r="AV115" s="14"/>
      <c r="AW115" s="19"/>
      <c r="AX115" s="19"/>
      <c r="AY115" s="14"/>
      <c r="AZ115" s="14"/>
      <c r="BA115" s="14"/>
      <c r="BB115" s="14"/>
      <c r="BC115" s="14"/>
      <c r="BD115" s="14"/>
      <c r="BE115" s="19"/>
      <c r="BF115" s="19"/>
      <c r="BG115" s="19"/>
      <c r="BH115" s="19"/>
      <c r="BI115" s="19"/>
      <c r="BJ115" s="47"/>
      <c r="BK115" s="19"/>
      <c r="BL115" s="19"/>
      <c r="BM115" s="19"/>
      <c r="BN115" s="14"/>
      <c r="BO115" s="14"/>
      <c r="BP115" s="14"/>
      <c r="BQ115" s="14"/>
      <c r="BR115" s="14"/>
      <c r="BS115" s="14"/>
      <c r="BT115" s="19"/>
      <c r="BU115" s="19"/>
      <c r="BV115" s="19"/>
      <c r="BW115" s="19"/>
      <c r="BX115" s="19"/>
      <c r="BY115" s="47"/>
      <c r="BZ115" s="14"/>
      <c r="CA115" s="14"/>
      <c r="CB115" s="21"/>
      <c r="CC115" s="21"/>
      <c r="CD115" s="180"/>
      <c r="CE115" s="180"/>
      <c r="CF115" s="21"/>
      <c r="CG115" s="14"/>
      <c r="CH115" s="14"/>
      <c r="CI115" s="14"/>
      <c r="CJ115" s="14"/>
      <c r="CK115" s="14"/>
      <c r="CL115" s="14"/>
      <c r="CM115" s="14"/>
      <c r="CN115" s="14"/>
      <c r="CO115" s="129"/>
      <c r="CP115" s="29"/>
      <c r="CQ115" s="47"/>
      <c r="CR115" s="14"/>
      <c r="CS115" s="14"/>
      <c r="CT115" s="14"/>
      <c r="CU115" s="14"/>
      <c r="CV115" s="180"/>
      <c r="CW115" s="189"/>
      <c r="CX115" s="189"/>
      <c r="CY115" s="14"/>
      <c r="CZ115" s="14"/>
      <c r="DA115" s="14"/>
      <c r="DB115" s="14"/>
      <c r="DC115" s="14"/>
      <c r="DD115" s="14"/>
      <c r="DE115" s="14"/>
      <c r="DF115" s="14"/>
      <c r="DG115" s="129"/>
      <c r="DH115" s="29"/>
      <c r="DI115" s="47"/>
      <c r="DJ115" s="29"/>
      <c r="DK115" s="14"/>
      <c r="DL115" s="14"/>
      <c r="DM115" s="27"/>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row>
    <row r="116" spans="1:142" x14ac:dyDescent="0.25">
      <c r="A116" s="14"/>
      <c r="B116" s="14"/>
      <c r="C116" s="14"/>
      <c r="D116" s="27"/>
      <c r="E116" s="14"/>
      <c r="F116" s="14"/>
      <c r="G116" s="14"/>
      <c r="H116" s="21"/>
      <c r="I116" s="21"/>
      <c r="J116" s="14"/>
      <c r="K116" s="19"/>
      <c r="L116" s="40"/>
      <c r="M116" s="40"/>
      <c r="N116" s="40"/>
      <c r="O116" s="40"/>
      <c r="P116" s="40"/>
      <c r="Q116" s="47"/>
      <c r="R116" s="19"/>
      <c r="S116" s="19"/>
      <c r="T116" s="19"/>
      <c r="U116" s="14"/>
      <c r="V116" s="14"/>
      <c r="W116" s="14"/>
      <c r="X116" s="14"/>
      <c r="Y116" s="14"/>
      <c r="Z116" s="14"/>
      <c r="AA116" s="19"/>
      <c r="AB116" s="19"/>
      <c r="AC116" s="19"/>
      <c r="AD116" s="19"/>
      <c r="AE116" s="19"/>
      <c r="AF116" s="47"/>
      <c r="AG116" s="19"/>
      <c r="AH116" s="19"/>
      <c r="AI116" s="19"/>
      <c r="AJ116" s="14"/>
      <c r="AK116" s="14"/>
      <c r="AL116" s="14"/>
      <c r="AM116" s="14"/>
      <c r="AN116" s="14"/>
      <c r="AO116" s="14"/>
      <c r="AP116" s="19"/>
      <c r="AQ116" s="19"/>
      <c r="AR116" s="19"/>
      <c r="AS116" s="19"/>
      <c r="AT116" s="19"/>
      <c r="AU116" s="47"/>
      <c r="AV116" s="14"/>
      <c r="AW116" s="19"/>
      <c r="AX116" s="19"/>
      <c r="AY116" s="14"/>
      <c r="AZ116" s="14"/>
      <c r="BA116" s="14"/>
      <c r="BB116" s="14"/>
      <c r="BC116" s="14"/>
      <c r="BD116" s="14"/>
      <c r="BE116" s="19"/>
      <c r="BF116" s="19"/>
      <c r="BG116" s="19"/>
      <c r="BH116" s="19"/>
      <c r="BI116" s="19"/>
      <c r="BJ116" s="47"/>
      <c r="BK116" s="19"/>
      <c r="BL116" s="19"/>
      <c r="BM116" s="19"/>
      <c r="BN116" s="14"/>
      <c r="BO116" s="14"/>
      <c r="BP116" s="14"/>
      <c r="BQ116" s="14"/>
      <c r="BR116" s="14"/>
      <c r="BS116" s="14"/>
      <c r="BT116" s="19"/>
      <c r="BU116" s="19"/>
      <c r="BV116" s="19"/>
      <c r="BW116" s="19"/>
      <c r="BX116" s="19"/>
      <c r="BY116" s="47"/>
      <c r="BZ116" s="14"/>
      <c r="CA116" s="14"/>
      <c r="CB116" s="21"/>
      <c r="CC116" s="21"/>
      <c r="CD116" s="180"/>
      <c r="CE116" s="180"/>
      <c r="CF116" s="21"/>
      <c r="CG116" s="14"/>
      <c r="CH116" s="14"/>
      <c r="CI116" s="14"/>
      <c r="CJ116" s="14"/>
      <c r="CK116" s="14"/>
      <c r="CL116" s="14"/>
      <c r="CM116" s="14"/>
      <c r="CN116" s="14"/>
      <c r="CO116" s="129"/>
      <c r="CP116" s="29"/>
      <c r="CQ116" s="47"/>
      <c r="CR116" s="14"/>
      <c r="CS116" s="14"/>
      <c r="CT116" s="14"/>
      <c r="CU116" s="14"/>
      <c r="CV116" s="180"/>
      <c r="CW116" s="189"/>
      <c r="CX116" s="189"/>
      <c r="CY116" s="14"/>
      <c r="CZ116" s="14"/>
      <c r="DA116" s="14"/>
      <c r="DB116" s="14"/>
      <c r="DC116" s="14"/>
      <c r="DD116" s="14"/>
      <c r="DE116" s="14"/>
      <c r="DF116" s="14"/>
      <c r="DG116" s="129"/>
      <c r="DH116" s="29"/>
      <c r="DI116" s="47"/>
      <c r="DJ116" s="29"/>
      <c r="DK116" s="14"/>
      <c r="DL116" s="14"/>
      <c r="DM116" s="27"/>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row>
    <row r="117" spans="1:142" ht="27.6" x14ac:dyDescent="0.25">
      <c r="A117" s="14"/>
      <c r="B117" s="14"/>
      <c r="C117" s="14"/>
      <c r="D117" s="27"/>
      <c r="E117" s="14"/>
      <c r="F117" s="14"/>
      <c r="G117" s="14"/>
      <c r="H117" s="21"/>
      <c r="I117" s="21"/>
      <c r="J117" s="14"/>
      <c r="K117" s="19"/>
      <c r="L117" s="40"/>
      <c r="M117" s="40"/>
      <c r="N117" s="40"/>
      <c r="O117" s="40"/>
      <c r="P117" s="40"/>
      <c r="Q117" s="47"/>
      <c r="R117" s="19"/>
      <c r="S117" s="19"/>
      <c r="T117" s="19"/>
      <c r="U117" s="14"/>
      <c r="V117" s="14"/>
      <c r="W117" s="14"/>
      <c r="X117" s="14"/>
      <c r="Y117" s="14"/>
      <c r="Z117" s="14"/>
      <c r="AA117" s="19"/>
      <c r="AB117" s="19"/>
      <c r="AC117" s="19"/>
      <c r="AD117" s="19"/>
      <c r="AE117" s="19"/>
      <c r="AF117" s="47"/>
      <c r="AG117" s="19"/>
      <c r="AH117" s="19"/>
      <c r="AI117" s="19"/>
      <c r="AJ117" s="14"/>
      <c r="AK117" s="14"/>
      <c r="AL117" s="14"/>
      <c r="AM117" s="14"/>
      <c r="AN117" s="14"/>
      <c r="AO117" s="14"/>
      <c r="AP117" s="19"/>
      <c r="AQ117" s="19"/>
      <c r="AR117" s="19"/>
      <c r="AS117" s="19"/>
      <c r="AT117" s="19"/>
      <c r="AU117" s="47"/>
      <c r="AV117" s="14"/>
      <c r="AW117" s="19"/>
      <c r="AX117" s="19"/>
      <c r="AY117" s="14"/>
      <c r="AZ117" s="14"/>
      <c r="BA117" s="14"/>
      <c r="BB117" s="14"/>
      <c r="BC117" s="14"/>
      <c r="BD117" s="14"/>
      <c r="BE117" s="19"/>
      <c r="BF117" s="19"/>
      <c r="BG117" s="19"/>
      <c r="BH117" s="19"/>
      <c r="BI117" s="19"/>
      <c r="BJ117" s="47"/>
      <c r="BK117" s="19"/>
      <c r="BL117" s="19"/>
      <c r="BM117" s="19"/>
      <c r="BN117" s="14"/>
      <c r="BO117" s="14"/>
      <c r="BP117" s="14"/>
      <c r="BQ117" s="14"/>
      <c r="BR117" s="14"/>
      <c r="BS117" s="14"/>
      <c r="BT117" s="19"/>
      <c r="BU117" s="19"/>
      <c r="BV117" s="19"/>
      <c r="BW117" s="19"/>
      <c r="BX117" s="19"/>
      <c r="BY117" s="47"/>
      <c r="BZ117" s="14"/>
      <c r="CA117" s="109" t="s">
        <v>14</v>
      </c>
      <c r="CB117" s="110" t="s">
        <v>164</v>
      </c>
      <c r="CC117" s="110" t="s">
        <v>149</v>
      </c>
      <c r="CD117" s="184" t="s">
        <v>150</v>
      </c>
      <c r="CE117" s="184" t="s">
        <v>151</v>
      </c>
      <c r="CF117" s="110" t="s">
        <v>152</v>
      </c>
      <c r="CG117" s="14"/>
      <c r="CH117" s="109"/>
      <c r="CI117" s="110" t="s">
        <v>5</v>
      </c>
      <c r="CJ117" s="110" t="s">
        <v>4</v>
      </c>
      <c r="CK117" s="110" t="s">
        <v>33</v>
      </c>
      <c r="CL117" s="110" t="s">
        <v>29</v>
      </c>
      <c r="CM117" s="110" t="s">
        <v>3</v>
      </c>
      <c r="CN117" s="110" t="s">
        <v>54</v>
      </c>
      <c r="CO117" s="328" t="s">
        <v>160</v>
      </c>
      <c r="CP117" s="29"/>
      <c r="CQ117" s="47"/>
      <c r="CR117" s="14"/>
      <c r="CS117" s="109" t="s">
        <v>14</v>
      </c>
      <c r="CT117" s="110" t="s">
        <v>164</v>
      </c>
      <c r="CU117" s="110" t="s">
        <v>149</v>
      </c>
      <c r="CV117" s="184" t="s">
        <v>150</v>
      </c>
      <c r="CW117" s="184" t="s">
        <v>151</v>
      </c>
      <c r="CX117" s="194" t="s">
        <v>152</v>
      </c>
      <c r="CY117" s="14"/>
      <c r="CZ117" s="109" t="s">
        <v>14</v>
      </c>
      <c r="DA117" s="110" t="s">
        <v>5</v>
      </c>
      <c r="DB117" s="110" t="s">
        <v>4</v>
      </c>
      <c r="DC117" s="110" t="s">
        <v>33</v>
      </c>
      <c r="DD117" s="110" t="s">
        <v>29</v>
      </c>
      <c r="DE117" s="110" t="s">
        <v>3</v>
      </c>
      <c r="DF117" s="110" t="s">
        <v>54</v>
      </c>
      <c r="DG117" s="328" t="s">
        <v>160</v>
      </c>
      <c r="DH117" s="29"/>
      <c r="DI117" s="47"/>
      <c r="DJ117" s="29"/>
      <c r="DK117" s="19"/>
      <c r="DL117" s="19"/>
      <c r="DM117" s="27"/>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row>
    <row r="118" spans="1:142" x14ac:dyDescent="0.25">
      <c r="A118" s="14"/>
      <c r="B118" s="14"/>
      <c r="C118" s="14"/>
      <c r="D118" s="21"/>
      <c r="E118" s="14"/>
      <c r="F118" s="14"/>
      <c r="G118" s="14"/>
      <c r="H118" s="21"/>
      <c r="I118" s="15"/>
      <c r="J118" s="13"/>
      <c r="K118" s="14"/>
      <c r="L118" s="14"/>
      <c r="M118" s="14"/>
      <c r="N118" s="14"/>
      <c r="O118" s="14"/>
      <c r="P118" s="14"/>
      <c r="Q118" s="47"/>
      <c r="R118" s="19"/>
      <c r="S118" s="19"/>
      <c r="T118" s="19"/>
      <c r="U118" s="14"/>
      <c r="V118" s="14"/>
      <c r="W118" s="14"/>
      <c r="X118" s="14"/>
      <c r="Y118" s="14"/>
      <c r="Z118" s="14"/>
      <c r="AA118" s="19"/>
      <c r="AB118" s="19"/>
      <c r="AC118" s="19"/>
      <c r="AD118" s="19"/>
      <c r="AE118" s="19"/>
      <c r="AF118" s="47"/>
      <c r="AG118" s="19"/>
      <c r="AH118" s="19"/>
      <c r="AI118" s="19"/>
      <c r="AJ118" s="14"/>
      <c r="AK118" s="14"/>
      <c r="AL118" s="14"/>
      <c r="AM118" s="14"/>
      <c r="AN118" s="14"/>
      <c r="AO118" s="14"/>
      <c r="AP118" s="19"/>
      <c r="AQ118" s="19"/>
      <c r="AR118" s="19"/>
      <c r="AS118" s="19"/>
      <c r="AT118" s="19"/>
      <c r="AU118" s="47"/>
      <c r="AV118" s="14"/>
      <c r="AW118" s="19"/>
      <c r="AX118" s="19"/>
      <c r="AY118" s="14"/>
      <c r="AZ118" s="14"/>
      <c r="BA118" s="14"/>
      <c r="BB118" s="14"/>
      <c r="BC118" s="14"/>
      <c r="BD118" s="14"/>
      <c r="BE118" s="19"/>
      <c r="BF118" s="19"/>
      <c r="BG118" s="19"/>
      <c r="BH118" s="19"/>
      <c r="BI118" s="19"/>
      <c r="BJ118" s="47"/>
      <c r="BK118" s="19"/>
      <c r="BL118" s="19"/>
      <c r="BM118" s="19"/>
      <c r="BN118" s="14"/>
      <c r="BO118" s="14"/>
      <c r="BP118" s="14"/>
      <c r="BQ118" s="14"/>
      <c r="BR118" s="14"/>
      <c r="BS118" s="14"/>
      <c r="BT118" s="19"/>
      <c r="BU118" s="19"/>
      <c r="BV118" s="19"/>
      <c r="BW118" s="19"/>
      <c r="BX118" s="19"/>
      <c r="BY118" s="47"/>
      <c r="BZ118" s="14"/>
      <c r="CA118" s="140" t="s">
        <v>461</v>
      </c>
      <c r="CB118" s="27">
        <f>COUNTIFS(S26_stakeholder_category,"PU",Response_Q161_1,"&lt;&gt;0",Response_Q156_1,"&lt;&gt;0")</f>
        <v>0</v>
      </c>
      <c r="CC118" s="37">
        <f>COUNTIFS(S26_stakeholder_category,"PU",Response_Q161_1,1,Response_Q156_1,"&lt;&gt;""0")</f>
        <v>0</v>
      </c>
      <c r="CD118" s="37">
        <f>COUNTIFS(S26_stakeholder_category,"PU",Response_Q161_1,2,Response_Q156_1,"&lt;&gt;""0")</f>
        <v>0</v>
      </c>
      <c r="CE118" s="37">
        <f>COUNTIFS(S26_stakeholder_category,"PU",Response_Q161_1,3,Response_Q156_1,"&lt;&gt;""0")</f>
        <v>0</v>
      </c>
      <c r="CF118" s="97">
        <f>IF(CB112=0,0,SUMPRODUCT(CC118:CE118,Rank_score)/$CB112)</f>
        <v>0</v>
      </c>
      <c r="CG118" s="14"/>
      <c r="CH118" s="140" t="s">
        <v>461</v>
      </c>
      <c r="CI118" s="27">
        <f t="shared" ref="CI118:CN118" si="65">COUNTIFS(S26_stakeholder_category,"PU",Response_Q161_1,"&lt;&gt;0",Response_Q161_2,CI$63,Response_Q156_1,"&lt;&gt;0")</f>
        <v>0</v>
      </c>
      <c r="CJ118" s="27">
        <f t="shared" si="65"/>
        <v>0</v>
      </c>
      <c r="CK118" s="27">
        <f t="shared" si="65"/>
        <v>0</v>
      </c>
      <c r="CL118" s="27">
        <f t="shared" si="65"/>
        <v>0</v>
      </c>
      <c r="CM118" s="27">
        <f t="shared" si="65"/>
        <v>0</v>
      </c>
      <c r="CN118" s="27">
        <f t="shared" si="65"/>
        <v>0</v>
      </c>
      <c r="CO118" s="141" t="str">
        <f t="shared" ref="CO118:CO124" si="66">IF(ISBLANK(CH118),"",IF(CF118=0,not_ranked,IF(SUM(CI118:CN118)=0,not_estimated,IFERROR(SUMPRODUCT(CI118:CN118,Likekihood_score)/SUM(CI118:CN118),0))))</f>
        <v>Factor not ranked</v>
      </c>
      <c r="CP118" s="29"/>
      <c r="CQ118" s="47"/>
      <c r="CR118" s="14"/>
      <c r="CS118" s="140" t="s">
        <v>373</v>
      </c>
      <c r="CT118" s="27">
        <f>COUNTIFS(S26_stakeholder_category,"PU",Response_Q162_1,"&lt;&gt;0",Response_Q157_1,"&lt;&gt;0")</f>
        <v>1</v>
      </c>
      <c r="CU118" s="37">
        <f>COUNTIFS(S26_stakeholder_category,"PU",Response_Q162_1,1,Response_Q157_1,"&lt;&gt;0")</f>
        <v>0</v>
      </c>
      <c r="CV118" s="37">
        <f>COUNTIFS(S26_stakeholder_category,"PU",Response_Q162_1,2,Response_Q157_1,"&lt;&gt;0")</f>
        <v>1</v>
      </c>
      <c r="CW118" s="37">
        <f>COUNTIFS(S26_stakeholder_category,"PU",Response_Q162_1,3,Response_Q157_1,"&lt;&gt;0")</f>
        <v>0</v>
      </c>
      <c r="CX118" s="37">
        <f>IF(CT112=0,0,SUMPRODUCT(CU118:CW118,Rank_score)/CT$58)</f>
        <v>0.66666666666666663</v>
      </c>
      <c r="CY118" s="14"/>
      <c r="CZ118" s="140" t="s">
        <v>373</v>
      </c>
      <c r="DA118" s="27">
        <f t="shared" ref="DA118:DF118" si="67">COUNTIFS(S26_stakeholder_category,"PU",Response_Q162_1,"&lt;&gt;0",Response_Q162_2,DA$63,Response_Q157_1,"&lt;&gt;0")</f>
        <v>0</v>
      </c>
      <c r="DB118" s="27">
        <f t="shared" si="67"/>
        <v>0</v>
      </c>
      <c r="DC118" s="27">
        <f t="shared" si="67"/>
        <v>0</v>
      </c>
      <c r="DD118" s="27">
        <f t="shared" si="67"/>
        <v>0</v>
      </c>
      <c r="DE118" s="27">
        <f t="shared" si="67"/>
        <v>1</v>
      </c>
      <c r="DF118" s="27">
        <f t="shared" si="67"/>
        <v>0</v>
      </c>
      <c r="DG118" s="141">
        <f t="shared" ref="DG118:DG125" si="68">IF(ISBLANK(CZ118),"",IF(CX118=0,not_ranked,IF(SUM(DA118:DF118)=0,not_estimated,IFERROR(SUMPRODUCT(DA118:DF118,Likekihood_score)/SUM(DA118:DF118),0))))</f>
        <v>5</v>
      </c>
      <c r="DH118" s="29"/>
      <c r="DI118" s="47"/>
      <c r="DJ118" s="29"/>
      <c r="DK118" s="19"/>
      <c r="DL118" s="19"/>
      <c r="DM118" s="14"/>
      <c r="DN118" s="14"/>
      <c r="DO118" s="14"/>
      <c r="DP118" s="14"/>
      <c r="DQ118" s="14"/>
      <c r="DR118" s="13"/>
      <c r="DS118" s="13"/>
      <c r="DT118" s="14"/>
      <c r="DU118" s="14"/>
      <c r="DV118" s="14"/>
      <c r="DW118" s="14"/>
      <c r="DX118" s="14"/>
      <c r="DY118" s="14"/>
      <c r="DZ118" s="14"/>
      <c r="EA118" s="14"/>
      <c r="EB118" s="14"/>
      <c r="EC118" s="14"/>
      <c r="ED118" s="14"/>
      <c r="EE118" s="14"/>
      <c r="EF118" s="14"/>
      <c r="EG118" s="14"/>
      <c r="EH118" s="14"/>
      <c r="EI118" s="14"/>
      <c r="EJ118" s="14"/>
      <c r="EK118" s="14"/>
      <c r="EL118" s="14"/>
    </row>
    <row r="119" spans="1:142" ht="14.4" x14ac:dyDescent="0.25">
      <c r="A119" s="14"/>
      <c r="B119" s="60"/>
      <c r="C119" s="19"/>
      <c r="D119" s="59"/>
      <c r="E119" s="14"/>
      <c r="F119" s="14"/>
      <c r="G119" s="14"/>
      <c r="H119" s="21"/>
      <c r="I119" s="21"/>
      <c r="J119" s="14"/>
      <c r="K119" s="14"/>
      <c r="L119" s="14"/>
      <c r="M119" s="14"/>
      <c r="N119" s="14"/>
      <c r="O119" s="14"/>
      <c r="P119" s="14"/>
      <c r="Q119" s="47"/>
      <c r="R119" s="19"/>
      <c r="S119" s="19"/>
      <c r="T119" s="19"/>
      <c r="U119" s="14"/>
      <c r="V119" s="14"/>
      <c r="W119" s="14"/>
      <c r="X119" s="14"/>
      <c r="Y119" s="14"/>
      <c r="Z119" s="14"/>
      <c r="AA119" s="19"/>
      <c r="AB119" s="19"/>
      <c r="AC119" s="19"/>
      <c r="AD119" s="19"/>
      <c r="AE119" s="19"/>
      <c r="AF119" s="47"/>
      <c r="AG119" s="19"/>
      <c r="AH119" s="19"/>
      <c r="AI119" s="19"/>
      <c r="AJ119" s="14"/>
      <c r="AK119" s="14"/>
      <c r="AL119" s="14"/>
      <c r="AM119" s="14"/>
      <c r="AN119" s="14"/>
      <c r="AO119" s="14"/>
      <c r="AP119" s="19"/>
      <c r="AQ119" s="19"/>
      <c r="AR119" s="19"/>
      <c r="AS119" s="19"/>
      <c r="AT119" s="19"/>
      <c r="AU119" s="47"/>
      <c r="AV119" s="14"/>
      <c r="AW119" s="19"/>
      <c r="AX119" s="19"/>
      <c r="AY119" s="14"/>
      <c r="AZ119" s="14"/>
      <c r="BA119" s="14"/>
      <c r="BB119" s="14"/>
      <c r="BC119" s="14"/>
      <c r="BD119" s="14"/>
      <c r="BE119" s="19"/>
      <c r="BF119" s="19"/>
      <c r="BG119" s="19"/>
      <c r="BH119" s="19"/>
      <c r="BI119" s="19"/>
      <c r="BJ119" s="47"/>
      <c r="BK119" s="19"/>
      <c r="BL119" s="19"/>
      <c r="BM119" s="19"/>
      <c r="BN119" s="14"/>
      <c r="BO119" s="14"/>
      <c r="BP119" s="14"/>
      <c r="BQ119" s="14"/>
      <c r="BR119" s="14"/>
      <c r="BS119" s="14"/>
      <c r="BT119" s="19"/>
      <c r="BU119" s="19"/>
      <c r="BV119" s="19"/>
      <c r="BW119" s="19"/>
      <c r="BX119" s="19"/>
      <c r="BY119" s="47"/>
      <c r="BZ119" s="14"/>
      <c r="CA119" s="140" t="s">
        <v>338</v>
      </c>
      <c r="CB119" s="27">
        <f>COUNTIFS(S26_stakeholder_category,"PU",Response_Q161_3,"&lt;&gt;0",Response_Q156_1,"&lt;&gt;0")</f>
        <v>1</v>
      </c>
      <c r="CC119" s="37">
        <f>COUNTIFS(S26_stakeholder_category,"PU",Response_Q161_3,1,Response_Q156_1,"&lt;&gt;0")</f>
        <v>0</v>
      </c>
      <c r="CD119" s="37">
        <f>COUNTIFS(S26_stakeholder_category,"PU",Response_Q161_3,2,Response_Q156_1,"&lt;&gt;0")</f>
        <v>0</v>
      </c>
      <c r="CE119" s="37">
        <f>COUNTIFS(S26_stakeholder_category,"PU",Response_Q161_3,3,Response_Q156_1,"&lt;&gt;0")</f>
        <v>1</v>
      </c>
      <c r="CF119" s="97">
        <f>IF(CB112=0,0,SUMPRODUCT(CC119:CE119,Rank_score)/$CB112)</f>
        <v>1</v>
      </c>
      <c r="CG119" s="14"/>
      <c r="CH119" s="140" t="s">
        <v>338</v>
      </c>
      <c r="CI119" s="27">
        <f t="shared" ref="CI119:CN119" si="69">COUNTIFS(S26_stakeholder_category,"PU",Response_Q161_3,"&lt;&gt;0",Response_Q161_4,CI$63,Response_Q156_1,"&lt;&gt;0")</f>
        <v>0</v>
      </c>
      <c r="CJ119" s="27">
        <f t="shared" si="69"/>
        <v>1</v>
      </c>
      <c r="CK119" s="27">
        <f t="shared" si="69"/>
        <v>0</v>
      </c>
      <c r="CL119" s="27">
        <f t="shared" si="69"/>
        <v>0</v>
      </c>
      <c r="CM119" s="27">
        <f t="shared" si="69"/>
        <v>0</v>
      </c>
      <c r="CN119" s="27">
        <f t="shared" si="69"/>
        <v>0</v>
      </c>
      <c r="CO119" s="141">
        <f t="shared" si="66"/>
        <v>2</v>
      </c>
      <c r="CP119" s="14"/>
      <c r="CQ119" s="47"/>
      <c r="CR119" s="14"/>
      <c r="CS119" s="140" t="s">
        <v>338</v>
      </c>
      <c r="CT119" s="27">
        <f>COUNTIFS(S26_stakeholder_category,"PU",Response_Q162_3,"&lt;&gt;0",Response_Q157_1,"&lt;&gt;0")</f>
        <v>1</v>
      </c>
      <c r="CU119" s="37">
        <f>COUNTIFS(S26_stakeholder_category,"PU",Response_Q162_3,1,Response_Q157_1,"&lt;&gt;0")</f>
        <v>0</v>
      </c>
      <c r="CV119" s="37">
        <f>COUNTIFS(S26_stakeholder_category,"PU",Response_Q162_3,2,Response_Q157_1,"&lt;&gt;0")</f>
        <v>0</v>
      </c>
      <c r="CW119" s="37">
        <f>COUNTIFS(S26_stakeholder_category,"PU",Response_Q162_3,3,Response_Q157_1,"&lt;&gt;0")</f>
        <v>1</v>
      </c>
      <c r="CX119" s="37">
        <f>IF(CT112=0,0,SUMPRODUCT(CU119:CW119,Rank_score)/CT$58)</f>
        <v>0.33333333333333331</v>
      </c>
      <c r="CY119" s="14"/>
      <c r="CZ119" s="140" t="s">
        <v>338</v>
      </c>
      <c r="DA119" s="27">
        <f t="shared" ref="DA119:DF119" si="70">COUNTIFS(S26_stakeholder_category,"PU",Response_Q162_3,"&lt;&gt;0",Response_Q162_4,DA$63,Response_Q157_1,"&lt;&gt;0")</f>
        <v>0</v>
      </c>
      <c r="DB119" s="27">
        <f t="shared" si="70"/>
        <v>1</v>
      </c>
      <c r="DC119" s="27">
        <f t="shared" si="70"/>
        <v>0</v>
      </c>
      <c r="DD119" s="27">
        <f t="shared" si="70"/>
        <v>0</v>
      </c>
      <c r="DE119" s="27">
        <f t="shared" si="70"/>
        <v>0</v>
      </c>
      <c r="DF119" s="27">
        <f t="shared" si="70"/>
        <v>0</v>
      </c>
      <c r="DG119" s="141">
        <f t="shared" si="68"/>
        <v>2</v>
      </c>
      <c r="DH119" s="14"/>
      <c r="DI119" s="47"/>
      <c r="DJ119" s="14"/>
      <c r="DK119" s="56"/>
      <c r="DL119" s="29"/>
      <c r="DM119" s="59"/>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row>
    <row r="120" spans="1:142" x14ac:dyDescent="0.25">
      <c r="A120" s="14"/>
      <c r="B120" s="62"/>
      <c r="C120" s="19"/>
      <c r="D120" s="59"/>
      <c r="E120" s="14"/>
      <c r="F120" s="14"/>
      <c r="G120" s="14"/>
      <c r="H120" s="21"/>
      <c r="I120" s="21"/>
      <c r="J120" s="14"/>
      <c r="K120" s="14"/>
      <c r="L120" s="14"/>
      <c r="M120" s="14"/>
      <c r="N120" s="14"/>
      <c r="O120" s="14"/>
      <c r="P120" s="14"/>
      <c r="Q120" s="47"/>
      <c r="R120" s="19"/>
      <c r="S120" s="19"/>
      <c r="T120" s="19"/>
      <c r="U120" s="14"/>
      <c r="V120" s="14"/>
      <c r="W120" s="14"/>
      <c r="X120" s="14"/>
      <c r="Y120" s="14"/>
      <c r="Z120" s="13"/>
      <c r="AA120" s="13"/>
      <c r="AB120" s="13"/>
      <c r="AC120" s="13"/>
      <c r="AD120" s="13"/>
      <c r="AE120" s="13"/>
      <c r="AF120" s="47"/>
      <c r="AG120" s="19"/>
      <c r="AH120" s="19"/>
      <c r="AI120" s="19"/>
      <c r="AJ120" s="14"/>
      <c r="AK120" s="14"/>
      <c r="AL120" s="14"/>
      <c r="AM120" s="14"/>
      <c r="AN120" s="14"/>
      <c r="AO120" s="13"/>
      <c r="AP120" s="13"/>
      <c r="AQ120" s="13"/>
      <c r="AR120" s="13"/>
      <c r="AS120" s="13"/>
      <c r="AT120" s="13"/>
      <c r="AU120" s="47"/>
      <c r="AV120" s="14"/>
      <c r="AW120" s="19"/>
      <c r="AX120" s="19"/>
      <c r="AY120" s="14"/>
      <c r="AZ120" s="14"/>
      <c r="BA120" s="14"/>
      <c r="BB120" s="14"/>
      <c r="BC120" s="14"/>
      <c r="BD120" s="13"/>
      <c r="BE120" s="13"/>
      <c r="BF120" s="13"/>
      <c r="BG120" s="13"/>
      <c r="BH120" s="13"/>
      <c r="BI120" s="13"/>
      <c r="BJ120" s="47"/>
      <c r="BK120" s="19"/>
      <c r="BL120" s="19"/>
      <c r="BM120" s="19"/>
      <c r="BN120" s="14"/>
      <c r="BO120" s="14"/>
      <c r="BP120" s="14"/>
      <c r="BQ120" s="14"/>
      <c r="BR120" s="14"/>
      <c r="BS120" s="13"/>
      <c r="BT120" s="13"/>
      <c r="BU120" s="13"/>
      <c r="BV120" s="13"/>
      <c r="BW120" s="13"/>
      <c r="BX120" s="13"/>
      <c r="BY120" s="47"/>
      <c r="BZ120" s="14"/>
      <c r="CA120" s="140" t="s">
        <v>340</v>
      </c>
      <c r="CB120" s="27">
        <f>COUNTIFS(S26_stakeholder_category,"PU",Response_Q161_5,"&lt;&gt;0",Response_Q156_1,"&lt;&gt;0")</f>
        <v>1</v>
      </c>
      <c r="CC120" s="37">
        <f>COUNTIFS(S26_stakeholder_category,"PU",Response_Q161_5,1,Response_Q156_1,"&lt;&gt;0")</f>
        <v>0</v>
      </c>
      <c r="CD120" s="37">
        <f>COUNTIFS(S26_stakeholder_category,"PU",Response_Q161_5,2,Response_Q156_1,"&lt;&gt;0")</f>
        <v>1</v>
      </c>
      <c r="CE120" s="37">
        <f>COUNTIFS(S26_stakeholder_category,"PU",Response_Q161_5,3,Response_Q156_1,"&lt;&gt;0")</f>
        <v>0</v>
      </c>
      <c r="CF120" s="97">
        <f>IF(CB112=0,0,SUMPRODUCT(CC120:CE120,Rank_score)/$CB112)</f>
        <v>2</v>
      </c>
      <c r="CG120" s="14"/>
      <c r="CH120" s="140" t="s">
        <v>340</v>
      </c>
      <c r="CI120" s="27">
        <f t="shared" ref="CI120:CN120" si="71">COUNTIFS(S26_stakeholder_category,"PU",Response_Q161_5,"&lt;&gt;0",Response_Q161_6,CI$63,Response_Q156_1,"&lt;&gt;0")</f>
        <v>0</v>
      </c>
      <c r="CJ120" s="27">
        <f t="shared" si="71"/>
        <v>1</v>
      </c>
      <c r="CK120" s="27">
        <f t="shared" si="71"/>
        <v>0</v>
      </c>
      <c r="CL120" s="27">
        <f t="shared" si="71"/>
        <v>0</v>
      </c>
      <c r="CM120" s="27">
        <f t="shared" si="71"/>
        <v>0</v>
      </c>
      <c r="CN120" s="27">
        <f t="shared" si="71"/>
        <v>0</v>
      </c>
      <c r="CO120" s="141">
        <f t="shared" si="66"/>
        <v>2</v>
      </c>
      <c r="CP120" s="14"/>
      <c r="CQ120" s="47"/>
      <c r="CR120" s="14"/>
      <c r="CS120" s="140" t="s">
        <v>159</v>
      </c>
      <c r="CT120" s="27">
        <f>COUNTIFS(S26_stakeholder_category,"PU",Response_Q162_5,"&lt;&gt;0",Response_Q157_1,"&lt;&gt;0")</f>
        <v>0</v>
      </c>
      <c r="CU120" s="37">
        <f>COUNTIFS(S26_stakeholder_category,"PU",Response_Q162_5,1,Response_Q157_1,"&lt;&gt;0")</f>
        <v>0</v>
      </c>
      <c r="CV120" s="37">
        <f>COUNTIFS(S26_stakeholder_category,"PU",Response_Q162_5,2,Response_Q157_1,"&lt;&gt;0")</f>
        <v>0</v>
      </c>
      <c r="CW120" s="37">
        <f>COUNTIFS(S26_stakeholder_category,"PU",Response_Q162_5,3,Response_Q157_1,"&lt;&gt;0")</f>
        <v>0</v>
      </c>
      <c r="CX120" s="37">
        <f>IF(CT112=0,0,SUMPRODUCT(CU120:CW120,Rank_score)/CT$58)</f>
        <v>0</v>
      </c>
      <c r="CY120" s="14"/>
      <c r="CZ120" s="140" t="s">
        <v>159</v>
      </c>
      <c r="DA120" s="27">
        <f t="shared" ref="DA120:DF120" si="72">COUNTIFS(S26_stakeholder_category,"PU",Response_Q162_5,"&lt;&gt;0",Response_Q162_6,DA$63,Response_Q157_1,"&lt;&gt;0")</f>
        <v>0</v>
      </c>
      <c r="DB120" s="27">
        <f t="shared" si="72"/>
        <v>0</v>
      </c>
      <c r="DC120" s="27">
        <f t="shared" si="72"/>
        <v>0</v>
      </c>
      <c r="DD120" s="27">
        <f t="shared" si="72"/>
        <v>0</v>
      </c>
      <c r="DE120" s="27">
        <f t="shared" si="72"/>
        <v>0</v>
      </c>
      <c r="DF120" s="27">
        <f t="shared" si="72"/>
        <v>0</v>
      </c>
      <c r="DG120" s="141" t="str">
        <f t="shared" si="68"/>
        <v>Factor not ranked</v>
      </c>
      <c r="DH120" s="14"/>
      <c r="DI120" s="47"/>
      <c r="DJ120" s="14"/>
      <c r="DK120" s="56"/>
      <c r="DL120" s="19"/>
      <c r="DM120" s="59"/>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row>
    <row r="121" spans="1:142" x14ac:dyDescent="0.25">
      <c r="A121" s="14"/>
      <c r="B121" s="62"/>
      <c r="C121" s="19"/>
      <c r="D121" s="59"/>
      <c r="E121" s="14"/>
      <c r="F121" s="14"/>
      <c r="G121" s="14"/>
      <c r="H121" s="21"/>
      <c r="I121" s="21"/>
      <c r="J121" s="14"/>
      <c r="K121" s="14"/>
      <c r="L121" s="14"/>
      <c r="M121" s="14"/>
      <c r="N121" s="14"/>
      <c r="O121" s="14"/>
      <c r="P121" s="14"/>
      <c r="Q121" s="47"/>
      <c r="R121" s="19"/>
      <c r="S121" s="19"/>
      <c r="T121" s="19"/>
      <c r="U121" s="19"/>
      <c r="V121" s="19"/>
      <c r="W121" s="14"/>
      <c r="X121" s="14"/>
      <c r="Y121" s="14"/>
      <c r="Z121" s="14"/>
      <c r="AA121" s="14"/>
      <c r="AB121" s="14"/>
      <c r="AC121" s="14"/>
      <c r="AD121" s="14"/>
      <c r="AE121" s="14"/>
      <c r="AF121" s="47"/>
      <c r="AG121" s="19"/>
      <c r="AH121" s="19"/>
      <c r="AI121" s="19"/>
      <c r="AJ121" s="19"/>
      <c r="AK121" s="19"/>
      <c r="AL121" s="14"/>
      <c r="AM121" s="14"/>
      <c r="AN121" s="14"/>
      <c r="AO121" s="14"/>
      <c r="AP121" s="14"/>
      <c r="AQ121" s="14"/>
      <c r="AR121" s="14"/>
      <c r="AS121" s="14"/>
      <c r="AT121" s="14"/>
      <c r="AU121" s="47"/>
      <c r="AV121" s="14"/>
      <c r="AW121" s="19"/>
      <c r="AX121" s="19"/>
      <c r="AY121" s="19"/>
      <c r="AZ121" s="19"/>
      <c r="BA121" s="14"/>
      <c r="BB121" s="14"/>
      <c r="BC121" s="14"/>
      <c r="BD121" s="14"/>
      <c r="BE121" s="14"/>
      <c r="BF121" s="14"/>
      <c r="BG121" s="14"/>
      <c r="BH121" s="14"/>
      <c r="BI121" s="14"/>
      <c r="BJ121" s="47"/>
      <c r="BK121" s="19"/>
      <c r="BL121" s="19"/>
      <c r="BM121" s="19"/>
      <c r="BN121" s="19"/>
      <c r="BO121" s="19"/>
      <c r="BP121" s="14"/>
      <c r="BQ121" s="14"/>
      <c r="BR121" s="14"/>
      <c r="BS121" s="14"/>
      <c r="BT121" s="14"/>
      <c r="BU121" s="14"/>
      <c r="BV121" s="14"/>
      <c r="BW121" s="14"/>
      <c r="BX121" s="14"/>
      <c r="BY121" s="47"/>
      <c r="BZ121" s="14"/>
      <c r="CA121" s="140" t="s">
        <v>341</v>
      </c>
      <c r="CB121" s="27">
        <f>COUNTIFS(S26_stakeholder_category,"PU",Response_Q161_7,"&lt;&gt;0",Response_Q156_1,"&lt;&gt;0")</f>
        <v>1</v>
      </c>
      <c r="CC121" s="37">
        <f>COUNTIFS(S26_stakeholder_category,"PU",Response_Q161_7,1,Response_Q156_1,"&lt;&gt;0")</f>
        <v>1</v>
      </c>
      <c r="CD121" s="37">
        <f>COUNTIFS(S26_stakeholder_category,"PU",Response_Q161_7,2,Response_Q156_1,"&lt;&gt;0")</f>
        <v>0</v>
      </c>
      <c r="CE121" s="37">
        <f>COUNTIFS(S26_stakeholder_category,"PU",Response_Q161_7,3,Response_Q156_1,"&lt;&gt;0")</f>
        <v>0</v>
      </c>
      <c r="CF121" s="97">
        <f>IF(CB112=0,0,SUMPRODUCT(CC121:CE121,Rank_score)/$CB112)</f>
        <v>3</v>
      </c>
      <c r="CG121" s="14"/>
      <c r="CH121" s="140" t="s">
        <v>341</v>
      </c>
      <c r="CI121" s="27">
        <f t="shared" ref="CI121:CN121" si="73">COUNTIFS(S26_stakeholder_category,"PU",Response_Q161_7,"&lt;&gt;0",Response_Q161_8,CI$63,Response_Q156_1,"&lt;&gt;0")</f>
        <v>0</v>
      </c>
      <c r="CJ121" s="27">
        <f t="shared" si="73"/>
        <v>1</v>
      </c>
      <c r="CK121" s="27">
        <f t="shared" si="73"/>
        <v>0</v>
      </c>
      <c r="CL121" s="27">
        <f t="shared" si="73"/>
        <v>0</v>
      </c>
      <c r="CM121" s="27">
        <f t="shared" si="73"/>
        <v>0</v>
      </c>
      <c r="CN121" s="27">
        <f t="shared" si="73"/>
        <v>0</v>
      </c>
      <c r="CO121" s="141">
        <f t="shared" si="66"/>
        <v>2</v>
      </c>
      <c r="CP121" s="14"/>
      <c r="CQ121" s="47"/>
      <c r="CR121" s="14"/>
      <c r="CS121" s="140" t="s">
        <v>345</v>
      </c>
      <c r="CT121" s="27">
        <f>COUNTIFS(S26_stakeholder_category,"PU",Response_Q162_7,"&lt;&gt;0",Response_Q157_1,"&lt;&gt;0")</f>
        <v>0</v>
      </c>
      <c r="CU121" s="37">
        <f>COUNTIFS(S26_stakeholder_category,"PU",Response_Q162_7,1,Response_Q157_1,"&lt;&gt;0")</f>
        <v>0</v>
      </c>
      <c r="CV121" s="37">
        <f>COUNTIFS(S26_stakeholder_category,"PU",Response_Q162_7,2,Response_Q157_1,"&lt;&gt;0")</f>
        <v>0</v>
      </c>
      <c r="CW121" s="37">
        <f>COUNTIFS(S26_stakeholder_category,"PU",Response_Q162_7,3,Response_Q157_1,"&lt;&gt;0")</f>
        <v>0</v>
      </c>
      <c r="CX121" s="37">
        <f>IF(CT112=0,0,SUMPRODUCT(CU121:CW121,Rank_score)/CT$58)</f>
        <v>0</v>
      </c>
      <c r="CY121" s="14"/>
      <c r="CZ121" s="140" t="s">
        <v>345</v>
      </c>
      <c r="DA121" s="27">
        <f t="shared" ref="DA121:DF121" si="74">COUNTIFS(S26_stakeholder_category,"PU",Response_Q162_7,"&lt;&gt;0",Response_Q162_8,DA$63,Response_Q157_1,"&lt;&gt;0")</f>
        <v>0</v>
      </c>
      <c r="DB121" s="27">
        <f t="shared" si="74"/>
        <v>0</v>
      </c>
      <c r="DC121" s="27">
        <f t="shared" si="74"/>
        <v>0</v>
      </c>
      <c r="DD121" s="27">
        <f t="shared" si="74"/>
        <v>0</v>
      </c>
      <c r="DE121" s="27">
        <f t="shared" si="74"/>
        <v>0</v>
      </c>
      <c r="DF121" s="27">
        <f t="shared" si="74"/>
        <v>0</v>
      </c>
      <c r="DG121" s="141" t="str">
        <f t="shared" si="68"/>
        <v>Factor not ranked</v>
      </c>
      <c r="DH121" s="14"/>
      <c r="DI121" s="47"/>
      <c r="DJ121" s="14"/>
      <c r="DK121" s="14"/>
      <c r="DL121" s="19"/>
      <c r="DM121" s="59"/>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row>
    <row r="122" spans="1:142" x14ac:dyDescent="0.25">
      <c r="A122" s="14"/>
      <c r="B122" s="62"/>
      <c r="C122" s="19"/>
      <c r="D122" s="59"/>
      <c r="E122" s="14"/>
      <c r="F122" s="14"/>
      <c r="G122" s="14"/>
      <c r="H122" s="21"/>
      <c r="I122" s="21"/>
      <c r="J122" s="14"/>
      <c r="K122" s="14"/>
      <c r="L122" s="14"/>
      <c r="M122" s="14"/>
      <c r="N122" s="14"/>
      <c r="O122" s="14"/>
      <c r="P122" s="14"/>
      <c r="Q122" s="47"/>
      <c r="R122" s="19"/>
      <c r="S122" s="19"/>
      <c r="T122" s="19"/>
      <c r="U122" s="59"/>
      <c r="V122" s="19"/>
      <c r="W122" s="14"/>
      <c r="X122" s="14"/>
      <c r="Y122" s="14"/>
      <c r="Z122" s="14"/>
      <c r="AA122" s="14"/>
      <c r="AB122" s="14"/>
      <c r="AC122" s="14"/>
      <c r="AD122" s="14"/>
      <c r="AE122" s="14"/>
      <c r="AF122" s="47"/>
      <c r="AG122" s="19"/>
      <c r="AH122" s="19"/>
      <c r="AI122" s="19"/>
      <c r="AJ122" s="59"/>
      <c r="AK122" s="19"/>
      <c r="AL122" s="14"/>
      <c r="AM122" s="14"/>
      <c r="AN122" s="14"/>
      <c r="AO122" s="14"/>
      <c r="AP122" s="14"/>
      <c r="AQ122" s="14"/>
      <c r="AR122" s="14"/>
      <c r="AS122" s="14"/>
      <c r="AT122" s="14"/>
      <c r="AU122" s="47"/>
      <c r="AV122" s="14"/>
      <c r="AW122" s="19"/>
      <c r="AX122" s="19"/>
      <c r="AY122" s="59"/>
      <c r="AZ122" s="19"/>
      <c r="BA122" s="14"/>
      <c r="BB122" s="14"/>
      <c r="BC122" s="14"/>
      <c r="BD122" s="14"/>
      <c r="BE122" s="14"/>
      <c r="BF122" s="14"/>
      <c r="BG122" s="14"/>
      <c r="BH122" s="14"/>
      <c r="BI122" s="14"/>
      <c r="BJ122" s="47"/>
      <c r="BK122" s="19"/>
      <c r="BL122" s="19"/>
      <c r="BM122" s="19"/>
      <c r="BN122" s="59"/>
      <c r="BO122" s="19"/>
      <c r="BP122" s="14"/>
      <c r="BQ122" s="14"/>
      <c r="BR122" s="14"/>
      <c r="BS122" s="14"/>
      <c r="BT122" s="14"/>
      <c r="BU122" s="14"/>
      <c r="BV122" s="14"/>
      <c r="BW122" s="14"/>
      <c r="BX122" s="14"/>
      <c r="BY122" s="47"/>
      <c r="BZ122" s="14"/>
      <c r="CA122" s="140" t="s">
        <v>462</v>
      </c>
      <c r="CB122" s="27">
        <f>COUNTIFS(S26_stakeholder_category,"PU",Response_Q161_9,"&lt;&gt;0",Response_Q156_1,"&lt;&gt;0")</f>
        <v>0</v>
      </c>
      <c r="CC122" s="37">
        <f>COUNTIFS(S26_stakeholder_category,"PU",Response_Q161_9,1,Response_Q156_1,"&lt;&gt;0")</f>
        <v>0</v>
      </c>
      <c r="CD122" s="37">
        <f>COUNTIFS(S26_stakeholder_category,"PU",Response_Q161_9,2,Response_Q156_1,"&lt;&gt;0")</f>
        <v>0</v>
      </c>
      <c r="CE122" s="37">
        <f>COUNTIFS(S26_stakeholder_category,"PU",Response_Q161_9,3,Response_Q156_1,"&lt;&gt;0")</f>
        <v>0</v>
      </c>
      <c r="CF122" s="97">
        <f>IF(CB112=0,0,SUMPRODUCT(CC122:CE122,Rank_score)/$CB112)</f>
        <v>0</v>
      </c>
      <c r="CG122" s="14"/>
      <c r="CH122" s="140" t="s">
        <v>462</v>
      </c>
      <c r="CI122" s="27">
        <f t="shared" ref="CI122:CN122" si="75">COUNTIFS(S26_stakeholder_category,"PU",Response_Q161_9,"&lt;&gt;0",Response_Q161_10,CI$63,Response_Q156_1,"&lt;&gt;0")</f>
        <v>0</v>
      </c>
      <c r="CJ122" s="27">
        <f t="shared" si="75"/>
        <v>0</v>
      </c>
      <c r="CK122" s="27">
        <f t="shared" si="75"/>
        <v>0</v>
      </c>
      <c r="CL122" s="27">
        <f t="shared" si="75"/>
        <v>0</v>
      </c>
      <c r="CM122" s="27">
        <f t="shared" si="75"/>
        <v>0</v>
      </c>
      <c r="CN122" s="27">
        <f t="shared" si="75"/>
        <v>0</v>
      </c>
      <c r="CO122" s="141" t="str">
        <f t="shared" si="66"/>
        <v>Factor not ranked</v>
      </c>
      <c r="CP122" s="14"/>
      <c r="CQ122" s="47"/>
      <c r="CR122" s="14"/>
      <c r="CS122" s="140" t="s">
        <v>342</v>
      </c>
      <c r="CT122" s="27">
        <f>COUNTIFS(S26_stakeholder_category,"PU",Response_Q162_9,"&lt;&gt;0",Response_Q157_1,"&lt;&gt;0")</f>
        <v>1</v>
      </c>
      <c r="CU122" s="37">
        <f>COUNTIFS(S26_stakeholder_category,"PU",Response_Q162_9,1,Response_Q157_1,"&lt;&gt;0")</f>
        <v>1</v>
      </c>
      <c r="CV122" s="37">
        <f>COUNTIFS(S26_stakeholder_category,"PU",Response_Q162_9,2,Response_Q157_1,"&lt;&gt;0")</f>
        <v>0</v>
      </c>
      <c r="CW122" s="37">
        <f>COUNTIFS(S26_stakeholder_category,"PU",Response_Q162_9,3,Response_Q157_1,"&lt;&gt;0")</f>
        <v>0</v>
      </c>
      <c r="CX122" s="37">
        <f>IF(CT112=0,0,SUMPRODUCT(CU122:CW122,Rank_score)/CT$58)</f>
        <v>1</v>
      </c>
      <c r="CY122" s="14"/>
      <c r="CZ122" s="140" t="s">
        <v>342</v>
      </c>
      <c r="DA122" s="27">
        <f t="shared" ref="DA122:DF122" si="76">COUNTIFS(S26_stakeholder_category,"PU",Response_Q162_9,"&lt;&gt;0",Response_Q162_10,DA$63,Response_Q157_1,"&lt;&gt;0")</f>
        <v>0</v>
      </c>
      <c r="DB122" s="27">
        <f t="shared" si="76"/>
        <v>0</v>
      </c>
      <c r="DC122" s="27">
        <f t="shared" si="76"/>
        <v>0</v>
      </c>
      <c r="DD122" s="27">
        <f t="shared" si="76"/>
        <v>0</v>
      </c>
      <c r="DE122" s="27">
        <f t="shared" si="76"/>
        <v>1</v>
      </c>
      <c r="DF122" s="27">
        <f t="shared" si="76"/>
        <v>0</v>
      </c>
      <c r="DG122" s="141">
        <f t="shared" si="68"/>
        <v>5</v>
      </c>
      <c r="DH122" s="14"/>
      <c r="DI122" s="47"/>
      <c r="DJ122" s="14"/>
      <c r="DK122" s="14"/>
      <c r="DL122" s="19"/>
      <c r="DM122" s="59"/>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row>
    <row r="123" spans="1:142" x14ac:dyDescent="0.25">
      <c r="A123" s="14"/>
      <c r="B123" s="62"/>
      <c r="C123" s="19"/>
      <c r="D123" s="59"/>
      <c r="E123" s="14"/>
      <c r="F123" s="14"/>
      <c r="G123" s="14"/>
      <c r="H123" s="21"/>
      <c r="I123" s="21"/>
      <c r="J123" s="14"/>
      <c r="K123" s="14"/>
      <c r="L123" s="14"/>
      <c r="M123" s="14"/>
      <c r="N123" s="14"/>
      <c r="O123" s="14"/>
      <c r="P123" s="14"/>
      <c r="Q123" s="47"/>
      <c r="R123" s="19"/>
      <c r="S123" s="19"/>
      <c r="T123" s="19"/>
      <c r="U123" s="59"/>
      <c r="V123" s="19"/>
      <c r="W123" s="14"/>
      <c r="X123" s="14"/>
      <c r="Y123" s="14"/>
      <c r="Z123" s="14"/>
      <c r="AA123" s="14"/>
      <c r="AB123" s="14"/>
      <c r="AC123" s="14"/>
      <c r="AD123" s="14"/>
      <c r="AE123" s="14"/>
      <c r="AF123" s="47"/>
      <c r="AG123" s="19"/>
      <c r="AH123" s="19"/>
      <c r="AI123" s="19"/>
      <c r="AJ123" s="59"/>
      <c r="AK123" s="19"/>
      <c r="AL123" s="14"/>
      <c r="AM123" s="14"/>
      <c r="AN123" s="14"/>
      <c r="AO123" s="14"/>
      <c r="AP123" s="14"/>
      <c r="AQ123" s="14"/>
      <c r="AR123" s="14"/>
      <c r="AS123" s="14"/>
      <c r="AT123" s="14"/>
      <c r="AU123" s="47"/>
      <c r="AV123" s="14"/>
      <c r="AW123" s="19"/>
      <c r="AX123" s="19"/>
      <c r="AY123" s="59"/>
      <c r="AZ123" s="19"/>
      <c r="BA123" s="14"/>
      <c r="BB123" s="14"/>
      <c r="BC123" s="14"/>
      <c r="BD123" s="14"/>
      <c r="BE123" s="14"/>
      <c r="BF123" s="14"/>
      <c r="BG123" s="14"/>
      <c r="BH123" s="14"/>
      <c r="BI123" s="14"/>
      <c r="BJ123" s="47"/>
      <c r="BK123" s="19"/>
      <c r="BL123" s="19"/>
      <c r="BM123" s="19"/>
      <c r="BN123" s="59"/>
      <c r="BO123" s="19"/>
      <c r="BP123" s="14"/>
      <c r="BQ123" s="14"/>
      <c r="BR123" s="14"/>
      <c r="BS123" s="14"/>
      <c r="BT123" s="14"/>
      <c r="BU123" s="14"/>
      <c r="BV123" s="14"/>
      <c r="BW123" s="14"/>
      <c r="BX123" s="14"/>
      <c r="BY123" s="47"/>
      <c r="BZ123" s="14"/>
      <c r="CA123" s="106" t="s">
        <v>49</v>
      </c>
      <c r="CB123" s="27">
        <f>COUNTIFS(S26_stakeholder_category,"PU",Response_Q161_11,"&lt;&gt;0",Response_Q156_1,"&lt;&gt;0")</f>
        <v>0</v>
      </c>
      <c r="CC123" s="37">
        <f>COUNTIFS(S26_stakeholder_category,"PU",Response_Q161_11,1,Response_Q156_1,"&lt;&gt;0")</f>
        <v>0</v>
      </c>
      <c r="CD123" s="37">
        <f>COUNTIFS(S26_stakeholder_category,"PU",Response_Q161_11,2,Response_Q156_1,"&lt;&gt;0")</f>
        <v>0</v>
      </c>
      <c r="CE123" s="37">
        <f>COUNTIFS(S26_stakeholder_category,"PU",Response_Q161_11,3,Response_Q156_1,"&lt;&gt;0")</f>
        <v>0</v>
      </c>
      <c r="CF123" s="97">
        <f>IF(CB112=0,0,SUMPRODUCT(CC123:CE123,Rank_score)/$CB112)</f>
        <v>0</v>
      </c>
      <c r="CG123" s="43"/>
      <c r="CH123" s="106" t="s">
        <v>49</v>
      </c>
      <c r="CI123" s="27">
        <f t="shared" ref="CI123:CN123" si="77">COUNTIFS(S26_stakeholder_category,"PU",Response_Q161_11,"&lt;&gt;0",Response_Q161_12,CI$63,Response_Q156_1,"&lt;&gt;0")</f>
        <v>0</v>
      </c>
      <c r="CJ123" s="27">
        <f t="shared" si="77"/>
        <v>0</v>
      </c>
      <c r="CK123" s="27">
        <f t="shared" si="77"/>
        <v>0</v>
      </c>
      <c r="CL123" s="27">
        <f t="shared" si="77"/>
        <v>0</v>
      </c>
      <c r="CM123" s="27">
        <f t="shared" si="77"/>
        <v>0</v>
      </c>
      <c r="CN123" s="27">
        <f t="shared" si="77"/>
        <v>0</v>
      </c>
      <c r="CO123" s="141" t="str">
        <f t="shared" si="66"/>
        <v>Factor not ranked</v>
      </c>
      <c r="CP123" s="14"/>
      <c r="CQ123" s="47"/>
      <c r="CR123" s="14"/>
      <c r="CS123" s="106" t="s">
        <v>49</v>
      </c>
      <c r="CT123" s="27">
        <f>COUNTIFS(S26_stakeholder_category,"PU",Response_Q162_11,"&lt;&gt;0",Response_Q157_1,"&lt;&gt;0")</f>
        <v>0</v>
      </c>
      <c r="CU123" s="37">
        <f>COUNTIFS(S26_stakeholder_category,"PU",Response_Q162_11,1,Response_Q157_1,"&lt;&gt;0")</f>
        <v>0</v>
      </c>
      <c r="CV123" s="37">
        <f>COUNTIFS(S26_stakeholder_category,"PU",Response_Q162_11,2,Response_Q157_1,"&lt;&gt;0")</f>
        <v>0</v>
      </c>
      <c r="CW123" s="37">
        <f>COUNTIFS(S26_stakeholder_category,"PU",Response_Q162_11,3,Response_Q157_1,"&lt;&gt;0")</f>
        <v>0</v>
      </c>
      <c r="CX123" s="37">
        <f>IF(CT112=0,0,SUMPRODUCT(CU123:CW123,Rank_score)/CT$58)</f>
        <v>0</v>
      </c>
      <c r="CY123" s="43"/>
      <c r="CZ123" s="106" t="s">
        <v>49</v>
      </c>
      <c r="DA123" s="27">
        <f t="shared" ref="DA123:DF123" si="78">COUNTIFS(S26_stakeholder_category,"PU",Response_Q162_11,"&lt;&gt;0",Response_Q162_12,DA$63,Response_Q157_1,"&lt;&gt;0")</f>
        <v>0</v>
      </c>
      <c r="DB123" s="27">
        <f t="shared" si="78"/>
        <v>0</v>
      </c>
      <c r="DC123" s="27">
        <f t="shared" si="78"/>
        <v>0</v>
      </c>
      <c r="DD123" s="27">
        <f t="shared" si="78"/>
        <v>0</v>
      </c>
      <c r="DE123" s="27">
        <f t="shared" si="78"/>
        <v>0</v>
      </c>
      <c r="DF123" s="27">
        <f t="shared" si="78"/>
        <v>0</v>
      </c>
      <c r="DG123" s="141" t="str">
        <f t="shared" si="68"/>
        <v>Factor not ranked</v>
      </c>
      <c r="DH123" s="14"/>
      <c r="DI123" s="47"/>
      <c r="DJ123" s="14"/>
      <c r="DK123" s="14"/>
      <c r="DL123" s="19"/>
      <c r="DM123" s="59"/>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row>
    <row r="124" spans="1:142" x14ac:dyDescent="0.25">
      <c r="A124" s="14"/>
      <c r="B124" s="62"/>
      <c r="C124" s="19"/>
      <c r="D124" s="59"/>
      <c r="E124" s="14"/>
      <c r="F124" s="14"/>
      <c r="G124" s="14"/>
      <c r="H124" s="21"/>
      <c r="I124" s="21"/>
      <c r="J124" s="14"/>
      <c r="K124" s="14"/>
      <c r="L124" s="14"/>
      <c r="M124" s="14"/>
      <c r="N124" s="14"/>
      <c r="O124" s="14"/>
      <c r="P124" s="14"/>
      <c r="Q124" s="47"/>
      <c r="R124" s="19"/>
      <c r="S124" s="56"/>
      <c r="T124" s="29"/>
      <c r="U124" s="27"/>
      <c r="V124" s="19"/>
      <c r="W124" s="14"/>
      <c r="X124" s="14"/>
      <c r="Y124" s="14"/>
      <c r="Z124" s="14"/>
      <c r="AA124" s="14"/>
      <c r="AB124" s="14"/>
      <c r="AC124" s="14"/>
      <c r="AD124" s="14"/>
      <c r="AE124" s="14"/>
      <c r="AF124" s="47"/>
      <c r="AG124" s="19"/>
      <c r="AH124" s="56"/>
      <c r="AI124" s="29"/>
      <c r="AJ124" s="27"/>
      <c r="AK124" s="19"/>
      <c r="AL124" s="14"/>
      <c r="AM124" s="14"/>
      <c r="AN124" s="14"/>
      <c r="AO124" s="14"/>
      <c r="AP124" s="14"/>
      <c r="AQ124" s="14"/>
      <c r="AR124" s="14"/>
      <c r="AS124" s="14"/>
      <c r="AT124" s="14"/>
      <c r="AU124" s="47"/>
      <c r="AV124" s="14"/>
      <c r="AW124" s="56"/>
      <c r="AX124" s="29"/>
      <c r="AY124" s="27"/>
      <c r="AZ124" s="19"/>
      <c r="BA124" s="14"/>
      <c r="BB124" s="14"/>
      <c r="BC124" s="14"/>
      <c r="BD124" s="14"/>
      <c r="BE124" s="14"/>
      <c r="BF124" s="14"/>
      <c r="BG124" s="14"/>
      <c r="BH124" s="14"/>
      <c r="BI124" s="14"/>
      <c r="BJ124" s="47"/>
      <c r="BK124" s="19"/>
      <c r="BL124" s="56"/>
      <c r="BM124" s="29"/>
      <c r="BN124" s="27"/>
      <c r="BO124" s="19"/>
      <c r="BP124" s="14"/>
      <c r="BQ124" s="14"/>
      <c r="BR124" s="14"/>
      <c r="BS124" s="14"/>
      <c r="BT124" s="14"/>
      <c r="BU124" s="14"/>
      <c r="BV124" s="14"/>
      <c r="BW124" s="14"/>
      <c r="BX124" s="14"/>
      <c r="BY124" s="47"/>
      <c r="BZ124" s="14"/>
      <c r="CA124" s="107"/>
      <c r="CB124" s="27"/>
      <c r="CC124" s="37"/>
      <c r="CD124" s="37"/>
      <c r="CE124" s="37"/>
      <c r="CF124" s="97"/>
      <c r="CG124" s="29"/>
      <c r="CH124" s="107"/>
      <c r="CI124" s="27"/>
      <c r="CJ124" s="27"/>
      <c r="CK124" s="27"/>
      <c r="CL124" s="27"/>
      <c r="CM124" s="27"/>
      <c r="CN124" s="27"/>
      <c r="CO124" s="141" t="str">
        <f t="shared" si="66"/>
        <v/>
      </c>
      <c r="CP124" s="14"/>
      <c r="CQ124" s="47"/>
      <c r="CR124" s="14"/>
      <c r="CS124" s="107"/>
      <c r="CT124" s="27"/>
      <c r="CU124" s="37"/>
      <c r="CV124" s="37"/>
      <c r="CW124" s="37"/>
      <c r="CX124" s="37"/>
      <c r="CY124" s="29"/>
      <c r="CZ124" s="106"/>
      <c r="DA124" s="27"/>
      <c r="DB124" s="27"/>
      <c r="DC124" s="27"/>
      <c r="DD124" s="27"/>
      <c r="DE124" s="27"/>
      <c r="DF124" s="27"/>
      <c r="DG124" s="141" t="str">
        <f t="shared" si="68"/>
        <v/>
      </c>
      <c r="DH124" s="14"/>
      <c r="DI124" s="47"/>
      <c r="DJ124" s="14"/>
      <c r="DK124" s="62"/>
      <c r="DL124" s="19"/>
      <c r="DM124" s="59"/>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row>
    <row r="125" spans="1:142" x14ac:dyDescent="0.25">
      <c r="A125" s="14"/>
      <c r="B125" s="62"/>
      <c r="C125" s="19"/>
      <c r="D125" s="59"/>
      <c r="E125" s="14"/>
      <c r="F125" s="14"/>
      <c r="G125" s="109" t="s">
        <v>14</v>
      </c>
      <c r="H125" s="110" t="s">
        <v>6</v>
      </c>
      <c r="I125" s="110" t="s">
        <v>7</v>
      </c>
      <c r="J125" s="14"/>
      <c r="K125" s="14"/>
      <c r="L125" s="14"/>
      <c r="M125" s="14"/>
      <c r="N125" s="14"/>
      <c r="O125" s="14"/>
      <c r="P125" s="14"/>
      <c r="Q125" s="47"/>
      <c r="R125" s="19"/>
      <c r="S125" s="56"/>
      <c r="T125" s="19"/>
      <c r="U125" s="27"/>
      <c r="V125" s="19"/>
      <c r="W125" s="14"/>
      <c r="X125" s="109" t="s">
        <v>14</v>
      </c>
      <c r="Y125" s="110" t="s">
        <v>6</v>
      </c>
      <c r="Z125" s="110" t="s">
        <v>7</v>
      </c>
      <c r="AA125" s="14"/>
      <c r="AB125" s="14"/>
      <c r="AC125" s="14"/>
      <c r="AD125" s="14"/>
      <c r="AE125" s="14"/>
      <c r="AF125" s="47"/>
      <c r="AG125" s="19"/>
      <c r="AH125" s="56"/>
      <c r="AI125" s="19"/>
      <c r="AJ125" s="27"/>
      <c r="AK125" s="19"/>
      <c r="AL125" s="14"/>
      <c r="AM125" s="109" t="s">
        <v>14</v>
      </c>
      <c r="AN125" s="110" t="s">
        <v>6</v>
      </c>
      <c r="AO125" s="110" t="s">
        <v>7</v>
      </c>
      <c r="AP125" s="14"/>
      <c r="AQ125" s="14"/>
      <c r="AR125" s="14"/>
      <c r="AS125" s="14"/>
      <c r="AT125" s="14"/>
      <c r="AU125" s="47"/>
      <c r="AV125" s="14"/>
      <c r="AW125" s="56"/>
      <c r="AX125" s="19"/>
      <c r="AY125" s="27"/>
      <c r="AZ125" s="19"/>
      <c r="BA125" s="14"/>
      <c r="BB125" s="109" t="s">
        <v>14</v>
      </c>
      <c r="BC125" s="110" t="s">
        <v>6</v>
      </c>
      <c r="BD125" s="110" t="s">
        <v>7</v>
      </c>
      <c r="BE125" s="14"/>
      <c r="BF125" s="14"/>
      <c r="BG125" s="14"/>
      <c r="BH125" s="14"/>
      <c r="BI125" s="14"/>
      <c r="BJ125" s="47"/>
      <c r="BK125" s="19"/>
      <c r="BL125" s="56"/>
      <c r="BM125" s="19"/>
      <c r="BN125" s="27"/>
      <c r="BO125" s="19"/>
      <c r="BP125" s="14"/>
      <c r="BQ125" s="109" t="s">
        <v>14</v>
      </c>
      <c r="BR125" s="110" t="s">
        <v>6</v>
      </c>
      <c r="BS125" s="110" t="s">
        <v>7</v>
      </c>
      <c r="BT125" s="14"/>
      <c r="BU125" s="14"/>
      <c r="BV125" s="14"/>
      <c r="BW125" s="14"/>
      <c r="BX125" s="14"/>
      <c r="BY125" s="47"/>
      <c r="BZ125" s="14"/>
      <c r="CA125" s="86"/>
      <c r="CB125" s="111"/>
      <c r="CC125" s="111"/>
      <c r="CD125" s="179"/>
      <c r="CE125" s="179"/>
      <c r="CF125" s="108"/>
      <c r="CG125" s="29"/>
      <c r="CH125" s="109"/>
      <c r="CI125" s="109"/>
      <c r="CJ125" s="109"/>
      <c r="CK125" s="109"/>
      <c r="CL125" s="109"/>
      <c r="CM125" s="109"/>
      <c r="CN125" s="109"/>
      <c r="CO125" s="329"/>
      <c r="CP125" s="14"/>
      <c r="CQ125" s="47"/>
      <c r="CR125" s="14"/>
      <c r="CS125" s="107"/>
      <c r="CT125" s="27"/>
      <c r="CU125" s="37"/>
      <c r="CV125" s="37"/>
      <c r="CW125" s="37"/>
      <c r="CX125" s="37"/>
      <c r="CY125" s="29"/>
      <c r="CZ125" s="106"/>
      <c r="DA125" s="27"/>
      <c r="DB125" s="27"/>
      <c r="DC125" s="27"/>
      <c r="DD125" s="27"/>
      <c r="DE125" s="27"/>
      <c r="DF125" s="27"/>
      <c r="DG125" s="141" t="str">
        <f t="shared" si="68"/>
        <v/>
      </c>
      <c r="DH125" s="14"/>
      <c r="DI125" s="47"/>
      <c r="DJ125" s="14"/>
      <c r="DK125" s="62"/>
      <c r="DL125" s="19"/>
      <c r="DM125" s="59"/>
      <c r="DN125" s="14"/>
      <c r="DO125" s="14"/>
      <c r="DP125" s="109" t="s">
        <v>14</v>
      </c>
      <c r="DQ125" s="110" t="s">
        <v>6</v>
      </c>
      <c r="DR125" s="110" t="s">
        <v>7</v>
      </c>
      <c r="DS125" s="14"/>
      <c r="DT125" s="14"/>
      <c r="DU125" s="14"/>
      <c r="DV125" s="14"/>
      <c r="DW125" s="14"/>
      <c r="DX125" s="14"/>
      <c r="DY125" s="14"/>
      <c r="DZ125" s="14"/>
      <c r="EA125" s="14"/>
      <c r="EB125" s="14"/>
      <c r="EC125" s="14"/>
      <c r="ED125" s="14"/>
      <c r="EE125" s="14"/>
      <c r="EF125" s="14"/>
      <c r="EG125" s="14"/>
      <c r="EH125" s="14"/>
      <c r="EI125" s="14"/>
      <c r="EJ125" s="14"/>
      <c r="EK125" s="14"/>
      <c r="EL125" s="14"/>
    </row>
    <row r="126" spans="1:142" x14ac:dyDescent="0.25">
      <c r="A126" s="14"/>
      <c r="B126" s="19"/>
      <c r="C126" s="19"/>
      <c r="D126" s="59"/>
      <c r="E126" s="14"/>
      <c r="F126" s="14"/>
      <c r="G126" s="107" t="s">
        <v>34</v>
      </c>
      <c r="H126" s="27">
        <f>COUNTIFS(S26_stakeholder_category,"PU",Response_Q156_1,G126)</f>
        <v>1</v>
      </c>
      <c r="I126" s="41">
        <f>IFERROR(H126/H$131,"")</f>
        <v>0.5</v>
      </c>
      <c r="J126" s="14"/>
      <c r="K126" s="14"/>
      <c r="L126" s="14"/>
      <c r="M126" s="14"/>
      <c r="N126" s="14"/>
      <c r="O126" s="14"/>
      <c r="P126" s="14"/>
      <c r="Q126" s="47"/>
      <c r="R126" s="19"/>
      <c r="S126" s="19"/>
      <c r="T126" s="19"/>
      <c r="U126" s="27"/>
      <c r="V126" s="19"/>
      <c r="W126" s="14"/>
      <c r="X126" s="107" t="s">
        <v>5</v>
      </c>
      <c r="Y126" s="27">
        <f t="shared" ref="Y126:Y132" si="79">COUNTIFS(S26_stakeholder_category,"PU",Response_Q160_1,X126)</f>
        <v>2</v>
      </c>
      <c r="Z126" s="41">
        <f t="shared" ref="Z126:Z133" si="80">IFERROR(Y126/Y$133,0)</f>
        <v>1</v>
      </c>
      <c r="AA126" s="14"/>
      <c r="AB126" s="14"/>
      <c r="AC126" s="14"/>
      <c r="AD126" s="14"/>
      <c r="AE126" s="14"/>
      <c r="AF126" s="47"/>
      <c r="AG126" s="19"/>
      <c r="AH126" s="19"/>
      <c r="AI126" s="19"/>
      <c r="AJ126" s="27"/>
      <c r="AK126" s="19"/>
      <c r="AL126" s="14"/>
      <c r="AM126" s="107" t="s">
        <v>5</v>
      </c>
      <c r="AN126" s="27">
        <f t="shared" ref="AN126:AN132" si="81">COUNTIFS(S26_stakeholder_category,"PU",Response_26_CaseA,AM126)</f>
        <v>2</v>
      </c>
      <c r="AO126" s="41">
        <f>IFERROR(AN126/AN$133,0)</f>
        <v>1</v>
      </c>
      <c r="AP126" s="14"/>
      <c r="AQ126" s="14"/>
      <c r="AR126" s="14"/>
      <c r="AS126" s="14"/>
      <c r="AT126" s="14"/>
      <c r="AU126" s="47"/>
      <c r="AV126" s="14"/>
      <c r="AW126" s="19"/>
      <c r="AX126" s="19"/>
      <c r="AY126" s="27"/>
      <c r="AZ126" s="19"/>
      <c r="BA126" s="14"/>
      <c r="BB126" s="107" t="s">
        <v>5</v>
      </c>
      <c r="BC126" s="27">
        <f t="shared" ref="BC126:BC132" si="82">COUNTIFS(S26_stakeholder_category,"PU",Response_26_CaseB,BB126)</f>
        <v>1</v>
      </c>
      <c r="BD126" s="41">
        <f>IFERROR(BC126/BC$133,0)</f>
        <v>0.5</v>
      </c>
      <c r="BE126" s="14"/>
      <c r="BF126" s="14"/>
      <c r="BG126" s="14"/>
      <c r="BH126" s="14"/>
      <c r="BI126" s="14"/>
      <c r="BJ126" s="47"/>
      <c r="BK126" s="19"/>
      <c r="BL126" s="19"/>
      <c r="BM126" s="19"/>
      <c r="BN126" s="27"/>
      <c r="BO126" s="19"/>
      <c r="BP126" s="14"/>
      <c r="BQ126" s="107" t="s">
        <v>5</v>
      </c>
      <c r="BR126" s="27">
        <f t="shared" ref="BR126:BR132" si="83">COUNTIFS(S26_stakeholder_category,"PU",Response_26_CaseC,BQ126)</f>
        <v>1</v>
      </c>
      <c r="BS126" s="41">
        <f>IFERROR(BR126/BR$133,0)</f>
        <v>0.5</v>
      </c>
      <c r="BT126" s="14"/>
      <c r="BU126" s="14"/>
      <c r="BV126" s="14"/>
      <c r="BW126" s="14"/>
      <c r="BX126" s="14"/>
      <c r="BY126" s="47"/>
      <c r="BZ126" s="14"/>
      <c r="CA126" s="19"/>
      <c r="CB126" s="27"/>
      <c r="CC126" s="27"/>
      <c r="CD126" s="37"/>
      <c r="CE126" s="181"/>
      <c r="CF126" s="31"/>
      <c r="CG126" s="52"/>
      <c r="CH126" s="52"/>
      <c r="CI126" s="99"/>
      <c r="CJ126" s="14"/>
      <c r="CK126" s="14"/>
      <c r="CL126" s="14"/>
      <c r="CM126" s="14"/>
      <c r="CN126" s="14"/>
      <c r="CO126" s="129"/>
      <c r="CP126" s="14"/>
      <c r="CQ126" s="47"/>
      <c r="CR126" s="14"/>
      <c r="CS126" s="86"/>
      <c r="CT126" s="111"/>
      <c r="CU126" s="86"/>
      <c r="CV126" s="179"/>
      <c r="CW126" s="188"/>
      <c r="CX126" s="179"/>
      <c r="CY126" s="29"/>
      <c r="CZ126" s="109"/>
      <c r="DA126" s="109"/>
      <c r="DB126" s="109"/>
      <c r="DC126" s="109"/>
      <c r="DD126" s="109"/>
      <c r="DE126" s="109"/>
      <c r="DF126" s="109"/>
      <c r="DG126" s="329"/>
      <c r="DH126" s="14"/>
      <c r="DI126" s="47"/>
      <c r="DJ126" s="14"/>
      <c r="DK126" s="62"/>
      <c r="DL126" s="19"/>
      <c r="DM126" s="59"/>
      <c r="DN126" s="14"/>
      <c r="DO126" s="14"/>
      <c r="DP126" s="107" t="s">
        <v>34</v>
      </c>
      <c r="DQ126" s="27">
        <f>COUNTIFS(S26_stakeholder_category,"PU",Response_Q156_1,DP126,Response_Q156_1,"&lt;&gt;0")</f>
        <v>1</v>
      </c>
      <c r="DR126" s="41">
        <f>IF(DQ131=0,"",DQ126/DQ131)</f>
        <v>0.5</v>
      </c>
      <c r="DS126" s="14"/>
      <c r="DT126" s="14"/>
      <c r="DU126" s="14"/>
      <c r="DV126" s="14"/>
      <c r="DW126" s="14"/>
      <c r="DX126" s="14"/>
      <c r="DY126" s="14"/>
      <c r="DZ126" s="14"/>
      <c r="EA126" s="14"/>
      <c r="EB126" s="14"/>
      <c r="EC126" s="14"/>
      <c r="ED126" s="14"/>
      <c r="EE126" s="14"/>
      <c r="EF126" s="14"/>
      <c r="EG126" s="14"/>
      <c r="EH126" s="14"/>
      <c r="EI126" s="14"/>
      <c r="EJ126" s="14"/>
      <c r="EK126" s="14"/>
      <c r="EL126" s="14"/>
    </row>
    <row r="127" spans="1:142" x14ac:dyDescent="0.25">
      <c r="A127" s="14"/>
      <c r="B127" s="19"/>
      <c r="C127" s="19"/>
      <c r="D127" s="59"/>
      <c r="E127" s="14"/>
      <c r="F127" s="14"/>
      <c r="G127" s="107" t="s">
        <v>35</v>
      </c>
      <c r="H127" s="27">
        <f>COUNTIFS(S26_stakeholder_category,"PU",Response_Q156_1,G127)</f>
        <v>1</v>
      </c>
      <c r="I127" s="41">
        <f t="shared" ref="I127:I131" si="84">IFERROR(H127/H$131,"")</f>
        <v>0.5</v>
      </c>
      <c r="J127" s="14"/>
      <c r="K127" s="14"/>
      <c r="L127" s="14"/>
      <c r="M127" s="14"/>
      <c r="N127" s="14"/>
      <c r="O127" s="14"/>
      <c r="P127" s="14"/>
      <c r="Q127" s="47"/>
      <c r="R127" s="19"/>
      <c r="S127" s="19"/>
      <c r="T127" s="19"/>
      <c r="U127" s="27"/>
      <c r="V127" s="19"/>
      <c r="W127" s="14"/>
      <c r="X127" s="107" t="s">
        <v>4</v>
      </c>
      <c r="Y127" s="27">
        <f t="shared" si="79"/>
        <v>0</v>
      </c>
      <c r="Z127" s="41">
        <f t="shared" si="80"/>
        <v>0</v>
      </c>
      <c r="AA127" s="14"/>
      <c r="AB127" s="14"/>
      <c r="AC127" s="14"/>
      <c r="AD127" s="14"/>
      <c r="AE127" s="14"/>
      <c r="AF127" s="47"/>
      <c r="AG127" s="19"/>
      <c r="AH127" s="19"/>
      <c r="AI127" s="19"/>
      <c r="AJ127" s="27"/>
      <c r="AK127" s="19"/>
      <c r="AL127" s="14"/>
      <c r="AM127" s="107" t="s">
        <v>4</v>
      </c>
      <c r="AN127" s="27">
        <f t="shared" si="81"/>
        <v>0</v>
      </c>
      <c r="AO127" s="41">
        <f t="shared" ref="AO127:AO133" si="85">IFERROR(AN127/AN$133,0)</f>
        <v>0</v>
      </c>
      <c r="AP127" s="14"/>
      <c r="AQ127" s="14"/>
      <c r="AR127" s="14"/>
      <c r="AS127" s="14"/>
      <c r="AT127" s="14"/>
      <c r="AU127" s="47"/>
      <c r="AV127" s="14"/>
      <c r="AW127" s="19"/>
      <c r="AX127" s="19"/>
      <c r="AY127" s="27"/>
      <c r="AZ127" s="19"/>
      <c r="BA127" s="14"/>
      <c r="BB127" s="107" t="s">
        <v>4</v>
      </c>
      <c r="BC127" s="27">
        <f t="shared" si="82"/>
        <v>1</v>
      </c>
      <c r="BD127" s="41">
        <f t="shared" ref="BD127:BD133" si="86">IFERROR(BC127/BC$133,0)</f>
        <v>0.5</v>
      </c>
      <c r="BE127" s="14"/>
      <c r="BF127" s="14"/>
      <c r="BG127" s="14"/>
      <c r="BH127" s="14"/>
      <c r="BI127" s="14"/>
      <c r="BJ127" s="47"/>
      <c r="BK127" s="19"/>
      <c r="BL127" s="19"/>
      <c r="BM127" s="19"/>
      <c r="BN127" s="27"/>
      <c r="BO127" s="19"/>
      <c r="BP127" s="14"/>
      <c r="BQ127" s="107" t="s">
        <v>4</v>
      </c>
      <c r="BR127" s="27">
        <f t="shared" si="83"/>
        <v>0</v>
      </c>
      <c r="BS127" s="41">
        <f t="shared" ref="BS127:BS133" si="87">IFERROR(BR127/BR$133,0)</f>
        <v>0</v>
      </c>
      <c r="BT127" s="14"/>
      <c r="BU127" s="14"/>
      <c r="BV127" s="14"/>
      <c r="BW127" s="14"/>
      <c r="BX127" s="14"/>
      <c r="BY127" s="47"/>
      <c r="BZ127" s="14"/>
      <c r="CA127" s="19"/>
      <c r="CB127" s="27"/>
      <c r="CC127" s="27"/>
      <c r="CD127" s="37"/>
      <c r="CE127" s="181"/>
      <c r="CF127" s="31"/>
      <c r="CG127" s="52"/>
      <c r="CH127" s="52"/>
      <c r="CI127" s="99"/>
      <c r="CJ127" s="14"/>
      <c r="CK127" s="14"/>
      <c r="CL127" s="14"/>
      <c r="CM127" s="14"/>
      <c r="CN127" s="14"/>
      <c r="CO127" s="129"/>
      <c r="CP127" s="14"/>
      <c r="CQ127" s="47"/>
      <c r="CR127" s="14"/>
      <c r="CS127" s="14"/>
      <c r="CT127" s="14"/>
      <c r="CU127" s="14"/>
      <c r="CV127" s="180"/>
      <c r="CW127" s="190"/>
      <c r="CX127" s="191"/>
      <c r="CY127" s="52"/>
      <c r="CZ127" s="52"/>
      <c r="DA127" s="54"/>
      <c r="DB127" s="14"/>
      <c r="DC127" s="14"/>
      <c r="DD127" s="14"/>
      <c r="DE127" s="14"/>
      <c r="DF127" s="14"/>
      <c r="DG127" s="129"/>
      <c r="DH127" s="14"/>
      <c r="DI127" s="47"/>
      <c r="DJ127" s="14"/>
      <c r="DK127" s="62"/>
      <c r="DL127" s="19"/>
      <c r="DM127" s="59"/>
      <c r="DN127" s="14"/>
      <c r="DO127" s="14"/>
      <c r="DP127" s="107" t="s">
        <v>35</v>
      </c>
      <c r="DQ127" s="27">
        <f>COUNTIFS(S26_stakeholder_category,"PU",Response_Q156_1,DP127,Response_Q156_1,"&lt;&gt;0")</f>
        <v>1</v>
      </c>
      <c r="DR127" s="41">
        <f>IF(DQ131=0,"",DQ127/DQ131)</f>
        <v>0.5</v>
      </c>
      <c r="DS127" s="14"/>
      <c r="DT127" s="14"/>
      <c r="DU127" s="14"/>
      <c r="DV127" s="14"/>
      <c r="DW127" s="14"/>
      <c r="DX127" s="14"/>
      <c r="DY127" s="14"/>
      <c r="DZ127" s="14"/>
      <c r="EA127" s="14"/>
      <c r="EB127" s="14"/>
      <c r="EC127" s="14"/>
      <c r="ED127" s="14"/>
      <c r="EE127" s="14"/>
      <c r="EF127" s="14"/>
      <c r="EG127" s="14"/>
      <c r="EH127" s="14"/>
      <c r="EI127" s="14"/>
      <c r="EJ127" s="14"/>
      <c r="EK127" s="14"/>
      <c r="EL127" s="14"/>
    </row>
    <row r="128" spans="1:142" x14ac:dyDescent="0.25">
      <c r="A128" s="14"/>
      <c r="B128" s="56"/>
      <c r="C128" s="29"/>
      <c r="D128" s="59"/>
      <c r="E128" s="14"/>
      <c r="F128" s="14"/>
      <c r="G128" s="107" t="s">
        <v>36</v>
      </c>
      <c r="H128" s="27">
        <f>COUNTIFS(S26_stakeholder_category,"PU",Response_Q156_1,G128)</f>
        <v>0</v>
      </c>
      <c r="I128" s="41">
        <f t="shared" si="84"/>
        <v>0</v>
      </c>
      <c r="J128" s="14"/>
      <c r="K128" s="14"/>
      <c r="L128" s="14"/>
      <c r="M128" s="14"/>
      <c r="N128" s="14"/>
      <c r="O128" s="14"/>
      <c r="P128" s="14"/>
      <c r="Q128" s="47"/>
      <c r="R128" s="19"/>
      <c r="S128" s="19"/>
      <c r="T128" s="19"/>
      <c r="U128" s="27"/>
      <c r="V128" s="19"/>
      <c r="W128" s="14"/>
      <c r="X128" s="107" t="s">
        <v>33</v>
      </c>
      <c r="Y128" s="27">
        <f t="shared" si="79"/>
        <v>0</v>
      </c>
      <c r="Z128" s="41">
        <f t="shared" si="80"/>
        <v>0</v>
      </c>
      <c r="AA128" s="14"/>
      <c r="AB128" s="14"/>
      <c r="AC128" s="14"/>
      <c r="AD128" s="14"/>
      <c r="AE128" s="14"/>
      <c r="AF128" s="47"/>
      <c r="AG128" s="19"/>
      <c r="AH128" s="19"/>
      <c r="AI128" s="19"/>
      <c r="AJ128" s="27"/>
      <c r="AK128" s="19"/>
      <c r="AL128" s="14"/>
      <c r="AM128" s="107" t="s">
        <v>33</v>
      </c>
      <c r="AN128" s="27">
        <f t="shared" si="81"/>
        <v>0</v>
      </c>
      <c r="AO128" s="41">
        <f t="shared" si="85"/>
        <v>0</v>
      </c>
      <c r="AP128" s="14"/>
      <c r="AQ128" s="14"/>
      <c r="AR128" s="14"/>
      <c r="AS128" s="14"/>
      <c r="AT128" s="14"/>
      <c r="AU128" s="47"/>
      <c r="AV128" s="14"/>
      <c r="AW128" s="19"/>
      <c r="AX128" s="19"/>
      <c r="AY128" s="27"/>
      <c r="AZ128" s="19"/>
      <c r="BA128" s="14"/>
      <c r="BB128" s="107" t="s">
        <v>33</v>
      </c>
      <c r="BC128" s="27">
        <f t="shared" si="82"/>
        <v>0</v>
      </c>
      <c r="BD128" s="41">
        <f t="shared" si="86"/>
        <v>0</v>
      </c>
      <c r="BE128" s="14"/>
      <c r="BF128" s="14"/>
      <c r="BG128" s="14"/>
      <c r="BH128" s="14"/>
      <c r="BI128" s="14"/>
      <c r="BJ128" s="47"/>
      <c r="BK128" s="19"/>
      <c r="BL128" s="19"/>
      <c r="BM128" s="19"/>
      <c r="BN128" s="27"/>
      <c r="BO128" s="19"/>
      <c r="BP128" s="14"/>
      <c r="BQ128" s="107" t="s">
        <v>33</v>
      </c>
      <c r="BR128" s="27">
        <f t="shared" si="83"/>
        <v>1</v>
      </c>
      <c r="BS128" s="41">
        <f t="shared" si="87"/>
        <v>0.5</v>
      </c>
      <c r="BT128" s="14"/>
      <c r="BU128" s="14"/>
      <c r="BV128" s="14"/>
      <c r="BW128" s="14"/>
      <c r="BX128" s="14"/>
      <c r="BY128" s="47"/>
      <c r="BZ128" s="14"/>
      <c r="CA128" s="19"/>
      <c r="CB128" s="27"/>
      <c r="CC128" s="27"/>
      <c r="CD128" s="37"/>
      <c r="CE128" s="181"/>
      <c r="CF128" s="31"/>
      <c r="CG128" s="52"/>
      <c r="CH128" s="52"/>
      <c r="CI128" s="99"/>
      <c r="CJ128" s="14"/>
      <c r="CK128" s="14"/>
      <c r="CL128" s="14"/>
      <c r="CM128" s="14"/>
      <c r="CN128" s="14"/>
      <c r="CO128" s="129"/>
      <c r="CP128" s="14"/>
      <c r="CQ128" s="47"/>
      <c r="CR128" s="14"/>
      <c r="CS128" s="14"/>
      <c r="CT128" s="14"/>
      <c r="CU128" s="14"/>
      <c r="CV128" s="180"/>
      <c r="CW128" s="190"/>
      <c r="CX128" s="191"/>
      <c r="CY128" s="52"/>
      <c r="CZ128" s="52"/>
      <c r="DA128" s="54"/>
      <c r="DB128" s="14"/>
      <c r="DC128" s="14"/>
      <c r="DD128" s="14"/>
      <c r="DE128" s="14"/>
      <c r="DF128" s="14"/>
      <c r="DG128" s="129"/>
      <c r="DH128" s="14"/>
      <c r="DI128" s="47"/>
      <c r="DJ128" s="14"/>
      <c r="DK128" s="62"/>
      <c r="DL128" s="19"/>
      <c r="DM128" s="59"/>
      <c r="DN128" s="14"/>
      <c r="DO128" s="14"/>
      <c r="DP128" s="107" t="s">
        <v>36</v>
      </c>
      <c r="DQ128" s="27">
        <f>COUNTIFS(S26_stakeholder_category,"PU",Response_Q156_1,DP128,Response_Q156_1,"&lt;&gt;0")</f>
        <v>0</v>
      </c>
      <c r="DR128" s="41">
        <f>IF(DQ131=0,"",DQ128/DQ131)</f>
        <v>0</v>
      </c>
      <c r="DS128" s="14"/>
      <c r="DT128" s="14"/>
      <c r="DU128" s="14"/>
      <c r="DV128" s="14"/>
      <c r="DW128" s="14"/>
      <c r="DX128" s="14"/>
      <c r="DY128" s="14"/>
      <c r="DZ128" s="14"/>
      <c r="EA128" s="14"/>
      <c r="EB128" s="14"/>
      <c r="EC128" s="14"/>
      <c r="ED128" s="14"/>
      <c r="EE128" s="14"/>
      <c r="EF128" s="14"/>
      <c r="EG128" s="14"/>
      <c r="EH128" s="14"/>
      <c r="EI128" s="14"/>
      <c r="EJ128" s="14"/>
      <c r="EK128" s="14"/>
      <c r="EL128" s="14"/>
    </row>
    <row r="129" spans="1:142" x14ac:dyDescent="0.25">
      <c r="A129" s="14"/>
      <c r="B129" s="56"/>
      <c r="C129" s="19"/>
      <c r="D129" s="59"/>
      <c r="E129" s="14"/>
      <c r="F129" s="14"/>
      <c r="G129" s="107" t="s">
        <v>38</v>
      </c>
      <c r="H129" s="27">
        <f>COUNTIFS(S26_stakeholder_category,"PU",Response_Q156_1,G129)</f>
        <v>0</v>
      </c>
      <c r="I129" s="41">
        <f t="shared" si="84"/>
        <v>0</v>
      </c>
      <c r="J129" s="14"/>
      <c r="K129" s="14"/>
      <c r="L129" s="14"/>
      <c r="M129" s="14"/>
      <c r="N129" s="14"/>
      <c r="O129" s="14"/>
      <c r="P129" s="14"/>
      <c r="Q129" s="47"/>
      <c r="R129" s="19"/>
      <c r="S129" s="19"/>
      <c r="T129" s="19"/>
      <c r="U129" s="27"/>
      <c r="V129" s="19"/>
      <c r="W129" s="14"/>
      <c r="X129" s="107" t="s">
        <v>29</v>
      </c>
      <c r="Y129" s="27">
        <f t="shared" si="79"/>
        <v>0</v>
      </c>
      <c r="Z129" s="41">
        <f t="shared" si="80"/>
        <v>0</v>
      </c>
      <c r="AA129" s="14"/>
      <c r="AB129" s="14"/>
      <c r="AC129" s="14"/>
      <c r="AD129" s="14"/>
      <c r="AE129" s="14"/>
      <c r="AF129" s="47"/>
      <c r="AG129" s="19"/>
      <c r="AH129" s="19"/>
      <c r="AI129" s="19"/>
      <c r="AJ129" s="27"/>
      <c r="AK129" s="19"/>
      <c r="AL129" s="14"/>
      <c r="AM129" s="107" t="s">
        <v>29</v>
      </c>
      <c r="AN129" s="27">
        <f t="shared" si="81"/>
        <v>0</v>
      </c>
      <c r="AO129" s="41">
        <f t="shared" si="85"/>
        <v>0</v>
      </c>
      <c r="AP129" s="14"/>
      <c r="AQ129" s="14"/>
      <c r="AR129" s="14"/>
      <c r="AS129" s="14"/>
      <c r="AT129" s="14"/>
      <c r="AU129" s="47"/>
      <c r="AV129" s="14"/>
      <c r="AW129" s="19"/>
      <c r="AX129" s="19"/>
      <c r="AY129" s="27"/>
      <c r="AZ129" s="19"/>
      <c r="BA129" s="14"/>
      <c r="BB129" s="107" t="s">
        <v>29</v>
      </c>
      <c r="BC129" s="27">
        <f t="shared" si="82"/>
        <v>0</v>
      </c>
      <c r="BD129" s="41">
        <f t="shared" si="86"/>
        <v>0</v>
      </c>
      <c r="BE129" s="14"/>
      <c r="BF129" s="14"/>
      <c r="BG129" s="14"/>
      <c r="BH129" s="14"/>
      <c r="BI129" s="14"/>
      <c r="BJ129" s="47"/>
      <c r="BK129" s="19"/>
      <c r="BL129" s="19"/>
      <c r="BM129" s="19"/>
      <c r="BN129" s="27"/>
      <c r="BO129" s="19"/>
      <c r="BP129" s="14"/>
      <c r="BQ129" s="107" t="s">
        <v>29</v>
      </c>
      <c r="BR129" s="27">
        <f t="shared" si="83"/>
        <v>0</v>
      </c>
      <c r="BS129" s="41">
        <f t="shared" si="87"/>
        <v>0</v>
      </c>
      <c r="BT129" s="14"/>
      <c r="BU129" s="14"/>
      <c r="BV129" s="14"/>
      <c r="BW129" s="14"/>
      <c r="BX129" s="14"/>
      <c r="BY129" s="47"/>
      <c r="BZ129" s="14"/>
      <c r="CA129" s="19"/>
      <c r="CB129" s="27"/>
      <c r="CC129" s="27"/>
      <c r="CD129" s="37"/>
      <c r="CE129" s="181"/>
      <c r="CF129" s="31"/>
      <c r="CG129" s="52"/>
      <c r="CH129" s="52"/>
      <c r="CI129" s="99"/>
      <c r="CJ129" s="14"/>
      <c r="CK129" s="14"/>
      <c r="CL129" s="14"/>
      <c r="CM129" s="14"/>
      <c r="CN129" s="14"/>
      <c r="CO129" s="129"/>
      <c r="CP129" s="14"/>
      <c r="CQ129" s="47"/>
      <c r="CR129" s="14"/>
      <c r="CS129" s="14"/>
      <c r="CT129" s="14"/>
      <c r="CU129" s="14"/>
      <c r="CV129" s="180"/>
      <c r="CW129" s="190"/>
      <c r="CX129" s="191"/>
      <c r="CY129" s="52"/>
      <c r="CZ129" s="52"/>
      <c r="DA129" s="54"/>
      <c r="DB129" s="14"/>
      <c r="DC129" s="14"/>
      <c r="DD129" s="14"/>
      <c r="DE129" s="14"/>
      <c r="DF129" s="14"/>
      <c r="DG129" s="129"/>
      <c r="DH129" s="14"/>
      <c r="DI129" s="47"/>
      <c r="DJ129" s="14"/>
      <c r="DK129" s="62"/>
      <c r="DL129" s="19"/>
      <c r="DM129" s="59"/>
      <c r="DN129" s="14"/>
      <c r="DO129" s="14"/>
      <c r="DP129" s="107" t="s">
        <v>38</v>
      </c>
      <c r="DQ129" s="27">
        <f>COUNTIFS(S26_stakeholder_category,"PU",Response_Q156_1,DP129,Response_Q156_1,"&lt;&gt;0")</f>
        <v>0</v>
      </c>
      <c r="DR129" s="41">
        <f>IF(DQ131=0,"",DQ129/DQ131)</f>
        <v>0</v>
      </c>
      <c r="DS129" s="14"/>
      <c r="DT129" s="14"/>
      <c r="DU129" s="14"/>
      <c r="DV129" s="14"/>
      <c r="DW129" s="14"/>
      <c r="DX129" s="14"/>
      <c r="DY129" s="14"/>
      <c r="DZ129" s="14"/>
      <c r="EA129" s="14"/>
      <c r="EB129" s="14"/>
      <c r="EC129" s="14"/>
      <c r="ED129" s="14"/>
      <c r="EE129" s="14"/>
      <c r="EF129" s="14"/>
      <c r="EG129" s="14"/>
      <c r="EH129" s="14"/>
      <c r="EI129" s="14"/>
      <c r="EJ129" s="14"/>
      <c r="EK129" s="14"/>
      <c r="EL129" s="14"/>
    </row>
    <row r="130" spans="1:142" ht="14.4" x14ac:dyDescent="0.25">
      <c r="A130" s="14"/>
      <c r="B130" s="14"/>
      <c r="C130" s="19"/>
      <c r="D130" s="15"/>
      <c r="E130" s="14"/>
      <c r="F130" s="14"/>
      <c r="G130" s="107" t="s">
        <v>39</v>
      </c>
      <c r="H130" s="27">
        <f>COUNTIFS(S26_stakeholder_category,"PU",Response_Q156_1,G130)</f>
        <v>0</v>
      </c>
      <c r="I130" s="41">
        <f t="shared" si="84"/>
        <v>0</v>
      </c>
      <c r="J130" s="14"/>
      <c r="K130" s="14"/>
      <c r="L130" s="14"/>
      <c r="M130" s="14"/>
      <c r="N130" s="14"/>
      <c r="O130" s="14"/>
      <c r="P130" s="14"/>
      <c r="Q130" s="47"/>
      <c r="R130" s="19"/>
      <c r="S130" s="60"/>
      <c r="T130" s="19"/>
      <c r="U130" s="59"/>
      <c r="V130" s="19"/>
      <c r="W130" s="14"/>
      <c r="X130" s="107" t="s">
        <v>3</v>
      </c>
      <c r="Y130" s="27">
        <f t="shared" si="79"/>
        <v>0</v>
      </c>
      <c r="Z130" s="41">
        <f t="shared" si="80"/>
        <v>0</v>
      </c>
      <c r="AA130" s="14"/>
      <c r="AB130" s="14"/>
      <c r="AC130" s="14"/>
      <c r="AD130" s="14"/>
      <c r="AE130" s="14"/>
      <c r="AF130" s="47"/>
      <c r="AG130" s="19"/>
      <c r="AH130" s="60"/>
      <c r="AI130" s="19"/>
      <c r="AJ130" s="59"/>
      <c r="AK130" s="19"/>
      <c r="AL130" s="14"/>
      <c r="AM130" s="107" t="s">
        <v>3</v>
      </c>
      <c r="AN130" s="27">
        <f t="shared" si="81"/>
        <v>0</v>
      </c>
      <c r="AO130" s="41">
        <f t="shared" si="85"/>
        <v>0</v>
      </c>
      <c r="AP130" s="14"/>
      <c r="AQ130" s="14"/>
      <c r="AR130" s="14"/>
      <c r="AS130" s="14"/>
      <c r="AT130" s="14"/>
      <c r="AU130" s="47"/>
      <c r="AV130" s="14"/>
      <c r="AW130" s="60"/>
      <c r="AX130" s="19"/>
      <c r="AY130" s="59"/>
      <c r="AZ130" s="19"/>
      <c r="BA130" s="14"/>
      <c r="BB130" s="107" t="s">
        <v>3</v>
      </c>
      <c r="BC130" s="27">
        <f t="shared" si="82"/>
        <v>0</v>
      </c>
      <c r="BD130" s="41">
        <f t="shared" si="86"/>
        <v>0</v>
      </c>
      <c r="BE130" s="14"/>
      <c r="BF130" s="14"/>
      <c r="BG130" s="14"/>
      <c r="BH130" s="14"/>
      <c r="BI130" s="14"/>
      <c r="BJ130" s="47"/>
      <c r="BK130" s="19"/>
      <c r="BL130" s="60"/>
      <c r="BM130" s="19"/>
      <c r="BN130" s="59"/>
      <c r="BO130" s="19"/>
      <c r="BP130" s="14"/>
      <c r="BQ130" s="107" t="s">
        <v>3</v>
      </c>
      <c r="BR130" s="27">
        <f t="shared" si="83"/>
        <v>0</v>
      </c>
      <c r="BS130" s="41">
        <f t="shared" si="87"/>
        <v>0</v>
      </c>
      <c r="BT130" s="14"/>
      <c r="BU130" s="14"/>
      <c r="BV130" s="14"/>
      <c r="BW130" s="14"/>
      <c r="BX130" s="14"/>
      <c r="BY130" s="47"/>
      <c r="BZ130" s="14"/>
      <c r="CA130" s="19"/>
      <c r="CB130" s="27"/>
      <c r="CC130" s="27"/>
      <c r="CD130" s="37"/>
      <c r="CE130" s="181"/>
      <c r="CF130" s="31"/>
      <c r="CG130" s="52"/>
      <c r="CH130" s="52"/>
      <c r="CI130" s="99"/>
      <c r="CJ130" s="14"/>
      <c r="CK130" s="14"/>
      <c r="CL130" s="14"/>
      <c r="CM130" s="14"/>
      <c r="CN130" s="14"/>
      <c r="CO130" s="129"/>
      <c r="CP130" s="14"/>
      <c r="CQ130" s="47"/>
      <c r="CR130" s="14"/>
      <c r="CS130" s="14"/>
      <c r="CT130" s="14"/>
      <c r="CU130" s="14"/>
      <c r="CV130" s="180"/>
      <c r="CW130" s="190"/>
      <c r="CX130" s="191"/>
      <c r="CY130" s="52"/>
      <c r="CZ130" s="52"/>
      <c r="DA130" s="54"/>
      <c r="DB130" s="14"/>
      <c r="DC130" s="14"/>
      <c r="DD130" s="14"/>
      <c r="DE130" s="14"/>
      <c r="DF130" s="14"/>
      <c r="DG130" s="129"/>
      <c r="DH130" s="14"/>
      <c r="DI130" s="47"/>
      <c r="DJ130" s="14"/>
      <c r="DK130" s="62"/>
      <c r="DL130" s="19"/>
      <c r="DM130" s="59"/>
      <c r="DN130" s="14"/>
      <c r="DO130" s="14"/>
      <c r="DP130" s="107" t="s">
        <v>39</v>
      </c>
      <c r="DQ130" s="27">
        <f>COUNTIFS(S26_stakeholder_category,"PU",Response_Q156_1,DP130,Response_Q156_1,"&lt;&gt;0")</f>
        <v>0</v>
      </c>
      <c r="DR130" s="41">
        <f>IF(DQ131=0,"",DQ130/DQ131)</f>
        <v>0</v>
      </c>
      <c r="DS130" s="14"/>
      <c r="DT130" s="14"/>
      <c r="DU130" s="14"/>
      <c r="DV130" s="14"/>
      <c r="DW130" s="14"/>
      <c r="DX130" s="14"/>
      <c r="DY130" s="14"/>
      <c r="DZ130" s="14"/>
      <c r="EA130" s="14"/>
      <c r="EB130" s="14"/>
      <c r="EC130" s="14"/>
      <c r="ED130" s="14"/>
      <c r="EE130" s="14"/>
      <c r="EF130" s="14"/>
      <c r="EG130" s="14"/>
      <c r="EH130" s="14"/>
      <c r="EI130" s="14"/>
      <c r="EJ130" s="14"/>
      <c r="EK130" s="14"/>
      <c r="EL130" s="14"/>
    </row>
    <row r="131" spans="1:142" ht="14.4" x14ac:dyDescent="0.25">
      <c r="A131" s="14"/>
      <c r="B131" s="14"/>
      <c r="C131" s="19"/>
      <c r="D131" s="15"/>
      <c r="E131" s="14"/>
      <c r="F131" s="14"/>
      <c r="G131" s="86" t="s">
        <v>145</v>
      </c>
      <c r="H131" s="111">
        <f>COUNTIFS(S26_stakeholder_category,"PU",Response_Q156_1,"&lt;&gt;0")</f>
        <v>2</v>
      </c>
      <c r="I131" s="119">
        <f t="shared" si="84"/>
        <v>1</v>
      </c>
      <c r="J131" s="14"/>
      <c r="K131" s="14"/>
      <c r="L131" s="14"/>
      <c r="M131" s="14"/>
      <c r="N131" s="14"/>
      <c r="O131" s="14"/>
      <c r="P131" s="14"/>
      <c r="Q131" s="47"/>
      <c r="R131" s="19"/>
      <c r="S131" s="61"/>
      <c r="T131" s="19"/>
      <c r="U131" s="59"/>
      <c r="V131" s="19"/>
      <c r="W131" s="14"/>
      <c r="X131" s="107" t="s">
        <v>54</v>
      </c>
      <c r="Y131" s="27">
        <f t="shared" si="79"/>
        <v>0</v>
      </c>
      <c r="Z131" s="41">
        <f t="shared" si="80"/>
        <v>0</v>
      </c>
      <c r="AA131" s="14"/>
      <c r="AB131" s="14"/>
      <c r="AC131" s="14"/>
      <c r="AD131" s="14"/>
      <c r="AE131" s="14"/>
      <c r="AF131" s="47"/>
      <c r="AG131" s="19"/>
      <c r="AH131" s="61"/>
      <c r="AI131" s="19"/>
      <c r="AJ131" s="59"/>
      <c r="AK131" s="19"/>
      <c r="AL131" s="14"/>
      <c r="AM131" s="107" t="s">
        <v>54</v>
      </c>
      <c r="AN131" s="27">
        <f t="shared" si="81"/>
        <v>0</v>
      </c>
      <c r="AO131" s="41">
        <f t="shared" si="85"/>
        <v>0</v>
      </c>
      <c r="AP131" s="14"/>
      <c r="AQ131" s="14"/>
      <c r="AR131" s="14"/>
      <c r="AS131" s="14"/>
      <c r="AT131" s="14"/>
      <c r="AU131" s="47"/>
      <c r="AV131" s="14"/>
      <c r="AW131" s="61"/>
      <c r="AX131" s="19"/>
      <c r="AY131" s="59"/>
      <c r="AZ131" s="19"/>
      <c r="BA131" s="14"/>
      <c r="BB131" s="107" t="s">
        <v>54</v>
      </c>
      <c r="BC131" s="27">
        <f t="shared" si="82"/>
        <v>0</v>
      </c>
      <c r="BD131" s="41">
        <f t="shared" si="86"/>
        <v>0</v>
      </c>
      <c r="BE131" s="14"/>
      <c r="BF131" s="14"/>
      <c r="BG131" s="14"/>
      <c r="BH131" s="14"/>
      <c r="BI131" s="14"/>
      <c r="BJ131" s="47"/>
      <c r="BK131" s="19"/>
      <c r="BL131" s="61"/>
      <c r="BM131" s="19"/>
      <c r="BN131" s="59"/>
      <c r="BO131" s="19"/>
      <c r="BP131" s="14"/>
      <c r="BQ131" s="107" t="s">
        <v>54</v>
      </c>
      <c r="BR131" s="27">
        <f t="shared" si="83"/>
        <v>0</v>
      </c>
      <c r="BS131" s="41">
        <f t="shared" si="87"/>
        <v>0</v>
      </c>
      <c r="BT131" s="14"/>
      <c r="BU131" s="14"/>
      <c r="BV131" s="14"/>
      <c r="BW131" s="14"/>
      <c r="BX131" s="14"/>
      <c r="BY131" s="47"/>
      <c r="BZ131" s="14"/>
      <c r="CA131" s="19"/>
      <c r="CB131" s="27"/>
      <c r="CC131" s="27"/>
      <c r="CD131" s="37"/>
      <c r="CE131" s="181"/>
      <c r="CF131" s="31"/>
      <c r="CG131" s="52"/>
      <c r="CH131" s="52"/>
      <c r="CI131" s="99"/>
      <c r="CJ131" s="14"/>
      <c r="CK131" s="14"/>
      <c r="CL131" s="14"/>
      <c r="CM131" s="14"/>
      <c r="CN131" s="14"/>
      <c r="CO131" s="129"/>
      <c r="CP131" s="14"/>
      <c r="CQ131" s="47"/>
      <c r="CR131" s="14"/>
      <c r="CS131" s="14"/>
      <c r="CT131" s="14"/>
      <c r="CU131" s="14"/>
      <c r="CV131" s="180"/>
      <c r="CW131" s="190"/>
      <c r="CX131" s="191"/>
      <c r="CY131" s="52"/>
      <c r="CZ131" s="52"/>
      <c r="DA131" s="54"/>
      <c r="DB131" s="14"/>
      <c r="DC131" s="14"/>
      <c r="DD131" s="14"/>
      <c r="DE131" s="14"/>
      <c r="DF131" s="14"/>
      <c r="DG131" s="129"/>
      <c r="DH131" s="14"/>
      <c r="DI131" s="47"/>
      <c r="DJ131" s="14"/>
      <c r="DK131" s="62"/>
      <c r="DL131" s="19"/>
      <c r="DM131" s="59"/>
      <c r="DN131" s="14"/>
      <c r="DO131" s="14"/>
      <c r="DP131" s="86" t="s">
        <v>145</v>
      </c>
      <c r="DQ131" s="111">
        <f>COUNTIFS(S26_stakeholder_category,"PU",Response_Q156_1,"&lt;&gt;0",Response_Q156_1,"&lt;&gt;0")</f>
        <v>2</v>
      </c>
      <c r="DR131" s="119">
        <f>IF(DQ131=0,"",DQ131/DQ131)</f>
        <v>1</v>
      </c>
      <c r="DS131" s="14"/>
      <c r="DT131" s="14"/>
      <c r="DU131" s="14"/>
      <c r="DV131" s="14"/>
      <c r="DW131" s="14"/>
      <c r="DX131" s="14"/>
      <c r="DY131" s="14"/>
      <c r="DZ131" s="14"/>
      <c r="EA131" s="14"/>
      <c r="EB131" s="14"/>
      <c r="EC131" s="14"/>
      <c r="ED131" s="14"/>
      <c r="EE131" s="14"/>
      <c r="EF131" s="14"/>
      <c r="EG131" s="14"/>
      <c r="EH131" s="14"/>
      <c r="EI131" s="14"/>
      <c r="EJ131" s="14"/>
      <c r="EK131" s="14"/>
      <c r="EL131" s="14"/>
    </row>
    <row r="132" spans="1:142" x14ac:dyDescent="0.25">
      <c r="A132" s="14"/>
      <c r="B132" s="14"/>
      <c r="C132" s="19"/>
      <c r="D132" s="15"/>
      <c r="E132" s="14"/>
      <c r="F132" s="14"/>
      <c r="G132" s="14"/>
      <c r="H132" s="21"/>
      <c r="I132" s="21"/>
      <c r="J132" s="14"/>
      <c r="K132" s="14"/>
      <c r="L132" s="14"/>
      <c r="M132" s="14"/>
      <c r="N132" s="14"/>
      <c r="O132" s="14"/>
      <c r="P132" s="14"/>
      <c r="Q132" s="47"/>
      <c r="R132" s="19"/>
      <c r="S132" s="62"/>
      <c r="T132" s="19"/>
      <c r="U132" s="59"/>
      <c r="V132" s="19"/>
      <c r="W132" s="14"/>
      <c r="X132" s="107" t="s">
        <v>39</v>
      </c>
      <c r="Y132" s="27">
        <f t="shared" si="79"/>
        <v>0</v>
      </c>
      <c r="Z132" s="41">
        <f t="shared" si="80"/>
        <v>0</v>
      </c>
      <c r="AA132" s="14"/>
      <c r="AB132" s="14"/>
      <c r="AC132" s="14"/>
      <c r="AD132" s="14"/>
      <c r="AE132" s="14"/>
      <c r="AF132" s="47"/>
      <c r="AG132" s="19"/>
      <c r="AH132" s="62"/>
      <c r="AI132" s="19"/>
      <c r="AJ132" s="59"/>
      <c r="AK132" s="19"/>
      <c r="AL132" s="14"/>
      <c r="AM132" s="107" t="s">
        <v>39</v>
      </c>
      <c r="AN132" s="27">
        <f t="shared" si="81"/>
        <v>0</v>
      </c>
      <c r="AO132" s="41">
        <f t="shared" si="85"/>
        <v>0</v>
      </c>
      <c r="AP132" s="14"/>
      <c r="AQ132" s="14"/>
      <c r="AR132" s="14"/>
      <c r="AS132" s="14"/>
      <c r="AT132" s="14"/>
      <c r="AU132" s="47"/>
      <c r="AV132" s="14"/>
      <c r="AW132" s="62"/>
      <c r="AX132" s="19"/>
      <c r="AY132" s="59"/>
      <c r="AZ132" s="19"/>
      <c r="BA132" s="14"/>
      <c r="BB132" s="107" t="s">
        <v>39</v>
      </c>
      <c r="BC132" s="27">
        <f t="shared" si="82"/>
        <v>0</v>
      </c>
      <c r="BD132" s="41">
        <f t="shared" si="86"/>
        <v>0</v>
      </c>
      <c r="BE132" s="14"/>
      <c r="BF132" s="14"/>
      <c r="BG132" s="14"/>
      <c r="BH132" s="14"/>
      <c r="BI132" s="14"/>
      <c r="BJ132" s="47"/>
      <c r="BK132" s="19"/>
      <c r="BL132" s="62"/>
      <c r="BM132" s="19"/>
      <c r="BN132" s="59"/>
      <c r="BO132" s="19"/>
      <c r="BP132" s="14"/>
      <c r="BQ132" s="107" t="s">
        <v>39</v>
      </c>
      <c r="BR132" s="27">
        <f t="shared" si="83"/>
        <v>0</v>
      </c>
      <c r="BS132" s="41">
        <f t="shared" si="87"/>
        <v>0</v>
      </c>
      <c r="BT132" s="14"/>
      <c r="BU132" s="14"/>
      <c r="BV132" s="14"/>
      <c r="BW132" s="14"/>
      <c r="BX132" s="14"/>
      <c r="BY132" s="47"/>
      <c r="BZ132" s="14"/>
      <c r="CA132" s="19"/>
      <c r="CB132" s="27"/>
      <c r="CC132" s="27"/>
      <c r="CD132" s="37"/>
      <c r="CE132" s="181"/>
      <c r="CF132" s="31"/>
      <c r="CG132" s="52"/>
      <c r="CH132" s="52"/>
      <c r="CI132" s="99"/>
      <c r="CJ132" s="14"/>
      <c r="CK132" s="14"/>
      <c r="CL132" s="14"/>
      <c r="CM132" s="14"/>
      <c r="CN132" s="14"/>
      <c r="CO132" s="129"/>
      <c r="CP132" s="14"/>
      <c r="CQ132" s="47"/>
      <c r="CR132" s="14"/>
      <c r="CS132" s="14"/>
      <c r="CT132" s="14"/>
      <c r="CU132" s="14"/>
      <c r="CV132" s="180"/>
      <c r="CW132" s="190"/>
      <c r="CX132" s="191"/>
      <c r="CY132" s="52"/>
      <c r="CZ132" s="52"/>
      <c r="DA132" s="54"/>
      <c r="DB132" s="14"/>
      <c r="DC132" s="14"/>
      <c r="DD132" s="14"/>
      <c r="DE132" s="14"/>
      <c r="DF132" s="14"/>
      <c r="DG132" s="129"/>
      <c r="DH132" s="14"/>
      <c r="DI132" s="47"/>
      <c r="DJ132" s="14"/>
      <c r="DK132" s="62"/>
      <c r="DL132" s="19"/>
      <c r="DM132" s="59"/>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row>
    <row r="133" spans="1:142" x14ac:dyDescent="0.25">
      <c r="A133" s="14"/>
      <c r="B133" s="69"/>
      <c r="C133" s="70"/>
      <c r="D133" s="15"/>
      <c r="E133" s="14"/>
      <c r="F133" s="14"/>
      <c r="G133" s="14"/>
      <c r="H133" s="21"/>
      <c r="I133" s="21"/>
      <c r="J133" s="14"/>
      <c r="K133" s="14"/>
      <c r="L133" s="14"/>
      <c r="M133" s="14"/>
      <c r="N133" s="14"/>
      <c r="O133" s="14"/>
      <c r="P133" s="14"/>
      <c r="Q133" s="47"/>
      <c r="R133" s="19"/>
      <c r="S133" s="62"/>
      <c r="T133" s="19"/>
      <c r="U133" s="59"/>
      <c r="V133" s="19"/>
      <c r="W133" s="14"/>
      <c r="X133" s="86" t="s">
        <v>145</v>
      </c>
      <c r="Y133" s="111">
        <f>COUNTIFS(S26_stakeholder_category,"PU",Response_Q160_1,"&lt;&gt;0")</f>
        <v>2</v>
      </c>
      <c r="Z133" s="119">
        <f t="shared" si="80"/>
        <v>1</v>
      </c>
      <c r="AA133" s="14"/>
      <c r="AB133" s="14"/>
      <c r="AC133" s="14"/>
      <c r="AD133" s="14"/>
      <c r="AE133" s="14"/>
      <c r="AF133" s="47"/>
      <c r="AG133" s="19"/>
      <c r="AH133" s="62"/>
      <c r="AI133" s="19"/>
      <c r="AJ133" s="59"/>
      <c r="AK133" s="19"/>
      <c r="AL133" s="14"/>
      <c r="AM133" s="86" t="s">
        <v>145</v>
      </c>
      <c r="AN133" s="111">
        <f>COUNTIFS(S26_stakeholder_category,"PU",Response_26_CaseA,"&lt;&gt;0")</f>
        <v>2</v>
      </c>
      <c r="AO133" s="119">
        <f t="shared" si="85"/>
        <v>1</v>
      </c>
      <c r="AP133" s="14"/>
      <c r="AQ133" s="14"/>
      <c r="AR133" s="14"/>
      <c r="AS133" s="14"/>
      <c r="AT133" s="14"/>
      <c r="AU133" s="47"/>
      <c r="AV133" s="14"/>
      <c r="AW133" s="62"/>
      <c r="AX133" s="19"/>
      <c r="AY133" s="59"/>
      <c r="AZ133" s="19"/>
      <c r="BA133" s="14"/>
      <c r="BB133" s="86" t="s">
        <v>145</v>
      </c>
      <c r="BC133" s="111">
        <f>COUNTIFS(S26_stakeholder_category,"PU",Response_26_CaseB,"&lt;&gt;0")</f>
        <v>2</v>
      </c>
      <c r="BD133" s="119">
        <f t="shared" si="86"/>
        <v>1</v>
      </c>
      <c r="BE133" s="14"/>
      <c r="BF133" s="14"/>
      <c r="BG133" s="14"/>
      <c r="BH133" s="14"/>
      <c r="BI133" s="14"/>
      <c r="BJ133" s="47"/>
      <c r="BK133" s="19"/>
      <c r="BL133" s="62"/>
      <c r="BM133" s="19"/>
      <c r="BN133" s="59"/>
      <c r="BO133" s="19"/>
      <c r="BP133" s="14"/>
      <c r="BQ133" s="86" t="s">
        <v>145</v>
      </c>
      <c r="BR133" s="111">
        <f>COUNTIFS(S26_stakeholder_category,"PU",Response_26_CaseC,"&lt;&gt;0")</f>
        <v>2</v>
      </c>
      <c r="BS133" s="119">
        <f t="shared" si="87"/>
        <v>1</v>
      </c>
      <c r="BT133" s="14"/>
      <c r="BU133" s="14"/>
      <c r="BV133" s="14"/>
      <c r="BW133" s="14"/>
      <c r="BX133" s="14"/>
      <c r="BY133" s="47"/>
      <c r="BZ133" s="14"/>
      <c r="CA133" s="19"/>
      <c r="CB133" s="27"/>
      <c r="CC133" s="27"/>
      <c r="CD133" s="37"/>
      <c r="CE133" s="181"/>
      <c r="CF133" s="31"/>
      <c r="CG133" s="52"/>
      <c r="CH133" s="52"/>
      <c r="CI133" s="99"/>
      <c r="CJ133" s="14"/>
      <c r="CK133" s="14"/>
      <c r="CL133" s="14"/>
      <c r="CM133" s="14"/>
      <c r="CN133" s="14"/>
      <c r="CO133" s="129"/>
      <c r="CP133" s="14"/>
      <c r="CQ133" s="47"/>
      <c r="CR133" s="14"/>
      <c r="CS133" s="14"/>
      <c r="CT133" s="14"/>
      <c r="CU133" s="14"/>
      <c r="CV133" s="180"/>
      <c r="CW133" s="190"/>
      <c r="CX133" s="191"/>
      <c r="CY133" s="52"/>
      <c r="CZ133" s="52"/>
      <c r="DA133" s="54"/>
      <c r="DB133" s="14"/>
      <c r="DC133" s="14"/>
      <c r="DD133" s="14"/>
      <c r="DE133" s="14"/>
      <c r="DF133" s="14"/>
      <c r="DG133" s="129"/>
      <c r="DH133" s="14"/>
      <c r="DI133" s="47"/>
      <c r="DJ133" s="14"/>
      <c r="DK133" s="62"/>
      <c r="DL133" s="19"/>
      <c r="DM133" s="59"/>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row>
    <row r="134" spans="1:142" s="135" customFormat="1" ht="15.75" customHeight="1" x14ac:dyDescent="0.25">
      <c r="A134" s="14"/>
      <c r="B134" s="13"/>
      <c r="C134" s="13"/>
      <c r="D134" s="21"/>
      <c r="E134" s="14"/>
      <c r="F134" s="14"/>
      <c r="G134" s="14"/>
      <c r="H134" s="21"/>
      <c r="I134" s="21"/>
      <c r="J134" s="14"/>
      <c r="K134" s="14"/>
      <c r="L134" s="14"/>
      <c r="M134" s="14"/>
      <c r="N134" s="14"/>
      <c r="O134" s="14"/>
      <c r="P134" s="14"/>
      <c r="Q134" s="47"/>
      <c r="R134" s="19"/>
      <c r="S134" s="13"/>
      <c r="T134" s="13"/>
      <c r="U134" s="21"/>
      <c r="V134" s="14"/>
      <c r="W134" s="14"/>
      <c r="X134" s="14"/>
      <c r="Y134" s="14"/>
      <c r="Z134" s="14"/>
      <c r="AA134" s="14"/>
      <c r="AB134" s="14"/>
      <c r="AC134" s="14"/>
      <c r="AD134" s="14"/>
      <c r="AE134" s="14"/>
      <c r="AF134" s="47"/>
      <c r="AG134" s="19"/>
      <c r="AH134" s="13"/>
      <c r="AI134" s="13"/>
      <c r="AJ134" s="21"/>
      <c r="AK134" s="14"/>
      <c r="AL134" s="14"/>
      <c r="AM134" s="14"/>
      <c r="AN134" s="14"/>
      <c r="AO134" s="14"/>
      <c r="AP134" s="14"/>
      <c r="AQ134" s="14"/>
      <c r="AR134" s="14"/>
      <c r="AS134" s="14"/>
      <c r="AT134" s="14"/>
      <c r="AU134" s="47"/>
      <c r="AV134" s="14"/>
      <c r="AW134" s="13"/>
      <c r="AX134" s="13"/>
      <c r="AY134" s="21"/>
      <c r="AZ134" s="14"/>
      <c r="BA134" s="14"/>
      <c r="BB134" s="14"/>
      <c r="BC134" s="14"/>
      <c r="BD134" s="14"/>
      <c r="BE134" s="14"/>
      <c r="BF134" s="14"/>
      <c r="BG134" s="14"/>
      <c r="BH134" s="14"/>
      <c r="BI134" s="14"/>
      <c r="BJ134" s="47"/>
      <c r="BK134" s="19"/>
      <c r="BL134" s="13"/>
      <c r="BM134" s="13"/>
      <c r="BN134" s="21"/>
      <c r="BO134" s="14"/>
      <c r="BP134" s="14"/>
      <c r="BQ134" s="14"/>
      <c r="BR134" s="14"/>
      <c r="BS134" s="14"/>
      <c r="BT134" s="14"/>
      <c r="BU134" s="14"/>
      <c r="BV134" s="14"/>
      <c r="BW134" s="14"/>
      <c r="BX134" s="14"/>
      <c r="BY134" s="47"/>
      <c r="BZ134" s="14"/>
      <c r="CA134" s="19"/>
      <c r="CB134" s="27"/>
      <c r="CC134" s="27"/>
      <c r="CD134" s="37"/>
      <c r="CE134" s="181"/>
      <c r="CF134" s="31"/>
      <c r="CG134" s="31"/>
      <c r="CH134" s="31"/>
      <c r="CI134" s="14"/>
      <c r="CJ134" s="14"/>
      <c r="CK134" s="14"/>
      <c r="CL134" s="14"/>
      <c r="CM134" s="14"/>
      <c r="CN134" s="14"/>
      <c r="CO134" s="129"/>
      <c r="CP134" s="14"/>
      <c r="CQ134" s="47"/>
      <c r="CR134" s="14"/>
      <c r="CS134" s="14"/>
      <c r="CT134" s="14"/>
      <c r="CU134" s="14"/>
      <c r="CV134" s="180"/>
      <c r="CW134" s="190"/>
      <c r="CX134" s="191"/>
      <c r="CY134" s="31"/>
      <c r="CZ134" s="31"/>
      <c r="DA134" s="14"/>
      <c r="DB134" s="14"/>
      <c r="DC134" s="14"/>
      <c r="DD134" s="14"/>
      <c r="DE134" s="14"/>
      <c r="DF134" s="14"/>
      <c r="DG134" s="129"/>
      <c r="DH134" s="14"/>
      <c r="DI134" s="47"/>
      <c r="DJ134" s="14"/>
      <c r="DK134" s="13"/>
      <c r="DL134" s="13"/>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row>
    <row r="135" spans="1:142" s="131" customFormat="1" x14ac:dyDescent="0.25">
      <c r="A135" s="78"/>
      <c r="B135" s="78" t="s">
        <v>32</v>
      </c>
      <c r="C135" s="78" t="s">
        <v>138</v>
      </c>
      <c r="D135" s="79"/>
      <c r="E135" s="78"/>
      <c r="F135" s="78"/>
      <c r="G135" s="78"/>
      <c r="H135" s="79"/>
      <c r="I135" s="79"/>
      <c r="J135" s="78"/>
      <c r="K135" s="78"/>
      <c r="L135" s="78"/>
      <c r="M135" s="78"/>
      <c r="N135" s="78"/>
      <c r="O135" s="78"/>
      <c r="P135" s="78"/>
      <c r="Q135" s="82"/>
      <c r="R135" s="83"/>
      <c r="S135" s="78" t="str">
        <f>$B135</f>
        <v>Non-bioenergy wood users</v>
      </c>
      <c r="T135" s="78"/>
      <c r="U135" s="78"/>
      <c r="V135" s="78"/>
      <c r="W135" s="78"/>
      <c r="X135" s="78"/>
      <c r="Y135" s="78"/>
      <c r="Z135" s="78"/>
      <c r="AA135" s="78"/>
      <c r="AB135" s="78"/>
      <c r="AC135" s="78"/>
      <c r="AD135" s="78"/>
      <c r="AE135" s="78"/>
      <c r="AF135" s="82"/>
      <c r="AG135" s="83"/>
      <c r="AH135" s="78" t="str">
        <f>$B135</f>
        <v>Non-bioenergy wood users</v>
      </c>
      <c r="AI135" s="78"/>
      <c r="AJ135" s="78"/>
      <c r="AK135" s="78"/>
      <c r="AL135" s="78"/>
      <c r="AM135" s="78"/>
      <c r="AN135" s="78"/>
      <c r="AO135" s="78"/>
      <c r="AP135" s="78"/>
      <c r="AQ135" s="78"/>
      <c r="AR135" s="78"/>
      <c r="AS135" s="78"/>
      <c r="AT135" s="78"/>
      <c r="AU135" s="82"/>
      <c r="AV135" s="78"/>
      <c r="AW135" s="78" t="str">
        <f>$B135</f>
        <v>Non-bioenergy wood users</v>
      </c>
      <c r="AX135" s="78"/>
      <c r="AY135" s="78"/>
      <c r="AZ135" s="78"/>
      <c r="BA135" s="78"/>
      <c r="BB135" s="78"/>
      <c r="BC135" s="78"/>
      <c r="BD135" s="78"/>
      <c r="BE135" s="78"/>
      <c r="BF135" s="78"/>
      <c r="BG135" s="78"/>
      <c r="BH135" s="78"/>
      <c r="BI135" s="78"/>
      <c r="BJ135" s="82"/>
      <c r="BK135" s="83"/>
      <c r="BL135" s="78" t="str">
        <f>$B135</f>
        <v>Non-bioenergy wood users</v>
      </c>
      <c r="BM135" s="78"/>
      <c r="BN135" s="78"/>
      <c r="BO135" s="78"/>
      <c r="BP135" s="78"/>
      <c r="BQ135" s="78"/>
      <c r="BR135" s="78"/>
      <c r="BS135" s="78"/>
      <c r="BT135" s="78"/>
      <c r="BU135" s="78"/>
      <c r="BV135" s="78"/>
      <c r="BW135" s="78"/>
      <c r="BX135" s="78"/>
      <c r="BY135" s="82"/>
      <c r="BZ135" s="78"/>
      <c r="CA135" s="78" t="str">
        <f>$B135</f>
        <v>Non-bioenergy wood users</v>
      </c>
      <c r="CB135" s="79"/>
      <c r="CC135" s="79"/>
      <c r="CD135" s="182"/>
      <c r="CE135" s="182"/>
      <c r="CF135" s="79"/>
      <c r="CG135" s="78"/>
      <c r="CH135" s="78"/>
      <c r="CI135" s="78"/>
      <c r="CJ135" s="78"/>
      <c r="CK135" s="78"/>
      <c r="CL135" s="78"/>
      <c r="CM135" s="78"/>
      <c r="CN135" s="78"/>
      <c r="CO135" s="78"/>
      <c r="CP135" s="78"/>
      <c r="CQ135" s="82"/>
      <c r="CR135" s="78"/>
      <c r="CS135" s="78" t="str">
        <f>$B135</f>
        <v>Non-bioenergy wood users</v>
      </c>
      <c r="CT135" s="78"/>
      <c r="CU135" s="78"/>
      <c r="CV135" s="182"/>
      <c r="CW135" s="192"/>
      <c r="CX135" s="192"/>
      <c r="CY135" s="78"/>
      <c r="CZ135" s="78"/>
      <c r="DA135" s="78"/>
      <c r="DB135" s="78"/>
      <c r="DC135" s="78"/>
      <c r="DD135" s="78"/>
      <c r="DE135" s="78"/>
      <c r="DF135" s="78"/>
      <c r="DG135" s="78"/>
      <c r="DH135" s="78"/>
      <c r="DI135" s="82"/>
      <c r="DJ135" s="78"/>
      <c r="DK135" s="78" t="str">
        <f>$B135</f>
        <v>Non-bioenergy wood users</v>
      </c>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row>
    <row r="136" spans="1:142" ht="15" customHeight="1" x14ac:dyDescent="0.25">
      <c r="A136" s="14"/>
      <c r="B136" s="84" t="s">
        <v>301</v>
      </c>
      <c r="C136" s="84"/>
      <c r="D136" s="85"/>
      <c r="E136" s="84"/>
      <c r="F136" s="14"/>
      <c r="G136" s="14"/>
      <c r="H136" s="21"/>
      <c r="I136" s="21"/>
      <c r="J136" s="14"/>
      <c r="K136" s="14"/>
      <c r="L136" s="14"/>
      <c r="M136" s="14"/>
      <c r="N136" s="14"/>
      <c r="O136" s="14"/>
      <c r="P136" s="14"/>
      <c r="Q136" s="47"/>
      <c r="R136" s="19"/>
      <c r="S136" s="84" t="s">
        <v>322</v>
      </c>
      <c r="T136" s="84"/>
      <c r="U136" s="85"/>
      <c r="V136" s="84"/>
      <c r="W136" s="14"/>
      <c r="X136" s="14"/>
      <c r="Y136" s="14"/>
      <c r="Z136" s="14"/>
      <c r="AA136" s="14"/>
      <c r="AB136" s="14"/>
      <c r="AC136" s="14"/>
      <c r="AD136" s="14"/>
      <c r="AE136" s="14"/>
      <c r="AF136" s="47"/>
      <c r="AG136" s="19"/>
      <c r="AH136" s="84" t="s">
        <v>328</v>
      </c>
      <c r="AI136" s="84"/>
      <c r="AJ136" s="85"/>
      <c r="AK136" s="84"/>
      <c r="AL136" s="84"/>
      <c r="AM136" s="14"/>
      <c r="AN136" s="14"/>
      <c r="AO136" s="14"/>
      <c r="AP136" s="14"/>
      <c r="AQ136" s="14"/>
      <c r="AR136" s="14"/>
      <c r="AS136" s="14"/>
      <c r="AT136" s="14"/>
      <c r="AU136" s="47"/>
      <c r="AV136" s="14"/>
      <c r="AW136" s="84" t="s">
        <v>347</v>
      </c>
      <c r="AX136" s="84"/>
      <c r="AY136" s="85"/>
      <c r="AZ136" s="84"/>
      <c r="BA136" s="84"/>
      <c r="BB136" s="14"/>
      <c r="BC136" s="14"/>
      <c r="BD136" s="14"/>
      <c r="BE136" s="14"/>
      <c r="BF136" s="14"/>
      <c r="BG136" s="14"/>
      <c r="BH136" s="14"/>
      <c r="BI136" s="14"/>
      <c r="BJ136" s="47"/>
      <c r="BK136" s="19"/>
      <c r="BL136" s="84" t="s">
        <v>348</v>
      </c>
      <c r="BM136" s="84"/>
      <c r="BN136" s="85"/>
      <c r="BO136" s="84"/>
      <c r="BP136" s="84"/>
      <c r="BQ136" s="14"/>
      <c r="BR136" s="14"/>
      <c r="BS136" s="14"/>
      <c r="BT136" s="14"/>
      <c r="BU136" s="14"/>
      <c r="BV136" s="14"/>
      <c r="BW136" s="14"/>
      <c r="BX136" s="14"/>
      <c r="BY136" s="47"/>
      <c r="BZ136" s="14"/>
      <c r="CA136" s="148" t="s">
        <v>303</v>
      </c>
      <c r="CB136" s="85"/>
      <c r="CC136" s="85"/>
      <c r="CD136" s="185"/>
      <c r="CE136" s="185"/>
      <c r="CF136" s="147"/>
      <c r="CG136" s="17"/>
      <c r="CH136" s="14"/>
      <c r="CI136" s="14"/>
      <c r="CJ136" s="14"/>
      <c r="CK136" s="14"/>
      <c r="CL136" s="14"/>
      <c r="CM136" s="14"/>
      <c r="CN136" s="14"/>
      <c r="CO136" s="129"/>
      <c r="CP136" s="14"/>
      <c r="CQ136" s="47"/>
      <c r="CR136" s="14"/>
      <c r="CS136" s="151" t="s">
        <v>304</v>
      </c>
      <c r="CT136" s="150"/>
      <c r="CU136" s="147"/>
      <c r="CV136" s="185"/>
      <c r="CW136" s="193"/>
      <c r="CX136" s="193"/>
      <c r="CY136" s="14"/>
      <c r="CZ136" s="14"/>
      <c r="DA136" s="14"/>
      <c r="DB136" s="14"/>
      <c r="DC136" s="14"/>
      <c r="DD136" s="14"/>
      <c r="DE136" s="14"/>
      <c r="DF136" s="14"/>
      <c r="DG136" s="129"/>
      <c r="DH136" s="14"/>
      <c r="DI136" s="47"/>
      <c r="DJ136" s="14"/>
      <c r="DK136" s="84" t="s">
        <v>305</v>
      </c>
      <c r="DL136" s="84"/>
      <c r="DM136" s="85"/>
      <c r="DN136" s="8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row>
    <row r="137" spans="1:142" x14ac:dyDescent="0.25">
      <c r="A137" s="14"/>
      <c r="B137" s="14"/>
      <c r="C137" s="14"/>
      <c r="D137" s="15"/>
      <c r="E137" s="14"/>
      <c r="F137" s="14"/>
      <c r="G137" s="14"/>
      <c r="H137" s="21"/>
      <c r="I137" s="21"/>
      <c r="J137" s="14"/>
      <c r="K137" s="14"/>
      <c r="L137" s="14"/>
      <c r="M137" s="14"/>
      <c r="N137" s="14"/>
      <c r="O137" s="14"/>
      <c r="P137" s="14"/>
      <c r="Q137" s="47"/>
      <c r="R137" s="19"/>
      <c r="S137" s="14"/>
      <c r="T137" s="14"/>
      <c r="U137" s="15"/>
      <c r="V137" s="14"/>
      <c r="W137" s="14"/>
      <c r="X137" s="14"/>
      <c r="Y137" s="14"/>
      <c r="Z137" s="14"/>
      <c r="AA137" s="14"/>
      <c r="AB137" s="14"/>
      <c r="AC137" s="14"/>
      <c r="AD137" s="14"/>
      <c r="AE137" s="14"/>
      <c r="AF137" s="47"/>
      <c r="AG137" s="19"/>
      <c r="AH137" s="14"/>
      <c r="AI137" s="14"/>
      <c r="AJ137" s="15"/>
      <c r="AK137" s="14"/>
      <c r="AL137" s="14"/>
      <c r="AM137" s="14"/>
      <c r="AN137" s="14"/>
      <c r="AO137" s="14"/>
      <c r="AP137" s="14"/>
      <c r="AQ137" s="14"/>
      <c r="AR137" s="14"/>
      <c r="AS137" s="14"/>
      <c r="AT137" s="14"/>
      <c r="AU137" s="47"/>
      <c r="AV137" s="14"/>
      <c r="AW137" s="14"/>
      <c r="AX137" s="14"/>
      <c r="AY137" s="15"/>
      <c r="AZ137" s="14"/>
      <c r="BA137" s="14"/>
      <c r="BB137" s="14"/>
      <c r="BC137" s="14"/>
      <c r="BD137" s="14"/>
      <c r="BE137" s="14"/>
      <c r="BF137" s="14"/>
      <c r="BG137" s="14"/>
      <c r="BH137" s="14"/>
      <c r="BI137" s="14"/>
      <c r="BJ137" s="47"/>
      <c r="BK137" s="19"/>
      <c r="BL137" s="14"/>
      <c r="BM137" s="14"/>
      <c r="BN137" s="15"/>
      <c r="BO137" s="14"/>
      <c r="BP137" s="14"/>
      <c r="BQ137" s="14"/>
      <c r="BR137" s="14"/>
      <c r="BS137" s="14"/>
      <c r="BT137" s="14"/>
      <c r="BU137" s="14"/>
      <c r="BV137" s="14"/>
      <c r="BW137" s="14"/>
      <c r="BX137" s="14"/>
      <c r="BY137" s="47"/>
      <c r="BZ137" s="14"/>
      <c r="CA137" s="14"/>
      <c r="CB137" s="21"/>
      <c r="CC137" s="21"/>
      <c r="CD137" s="180"/>
      <c r="CE137" s="180"/>
      <c r="CF137" s="21"/>
      <c r="CG137" s="14"/>
      <c r="CH137" s="14"/>
      <c r="CI137" s="14"/>
      <c r="CJ137" s="14"/>
      <c r="CK137" s="14"/>
      <c r="CL137" s="14"/>
      <c r="CM137" s="14"/>
      <c r="CN137" s="14"/>
      <c r="CO137" s="129"/>
      <c r="CP137" s="14"/>
      <c r="CQ137" s="47"/>
      <c r="CR137" s="14"/>
      <c r="CS137" s="14"/>
      <c r="CT137" s="14"/>
      <c r="CU137" s="14"/>
      <c r="CV137" s="180"/>
      <c r="CW137" s="189"/>
      <c r="CX137" s="189"/>
      <c r="CY137" s="14"/>
      <c r="CZ137" s="14"/>
      <c r="DA137" s="14"/>
      <c r="DB137" s="14"/>
      <c r="DC137" s="14"/>
      <c r="DD137" s="14"/>
      <c r="DE137" s="14"/>
      <c r="DF137" s="14"/>
      <c r="DG137" s="129"/>
      <c r="DH137" s="14"/>
      <c r="DI137" s="47"/>
      <c r="DJ137" s="14"/>
      <c r="DK137" s="14"/>
      <c r="DL137" s="14"/>
      <c r="DM137" s="15"/>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row>
    <row r="138" spans="1:142" ht="27.6" x14ac:dyDescent="0.25">
      <c r="A138" s="14"/>
      <c r="B138" s="112" t="s">
        <v>23</v>
      </c>
      <c r="C138" s="113" t="s">
        <v>24</v>
      </c>
      <c r="D138" s="113" t="s">
        <v>145</v>
      </c>
      <c r="E138" s="113" t="s">
        <v>300</v>
      </c>
      <c r="F138" s="14"/>
      <c r="G138" s="14"/>
      <c r="H138" s="21"/>
      <c r="I138" s="21"/>
      <c r="J138" s="14"/>
      <c r="K138" s="19"/>
      <c r="L138" s="51"/>
      <c r="M138" s="51"/>
      <c r="N138" s="51"/>
      <c r="O138" s="51"/>
      <c r="P138" s="51"/>
      <c r="Q138" s="47"/>
      <c r="R138" s="19"/>
      <c r="S138" s="112" t="s">
        <v>23</v>
      </c>
      <c r="T138" s="113" t="s">
        <v>24</v>
      </c>
      <c r="U138" s="113" t="s">
        <v>145</v>
      </c>
      <c r="V138" s="113" t="s">
        <v>300</v>
      </c>
      <c r="W138" s="14"/>
      <c r="X138" s="14"/>
      <c r="Y138" s="14"/>
      <c r="Z138" s="14"/>
      <c r="AA138" s="56"/>
      <c r="AB138" s="56"/>
      <c r="AC138" s="56"/>
      <c r="AD138" s="56"/>
      <c r="AE138" s="56"/>
      <c r="AF138" s="47"/>
      <c r="AG138" s="19"/>
      <c r="AH138" s="112" t="s">
        <v>23</v>
      </c>
      <c r="AI138" s="113" t="s">
        <v>24</v>
      </c>
      <c r="AJ138" s="113" t="s">
        <v>145</v>
      </c>
      <c r="AK138" s="113" t="s">
        <v>300</v>
      </c>
      <c r="AL138" s="14"/>
      <c r="AM138" s="14"/>
      <c r="AN138" s="14"/>
      <c r="AO138" s="14"/>
      <c r="AP138" s="56"/>
      <c r="AQ138" s="56"/>
      <c r="AR138" s="56"/>
      <c r="AS138" s="56"/>
      <c r="AT138" s="56"/>
      <c r="AU138" s="47"/>
      <c r="AV138" s="14"/>
      <c r="AW138" s="112" t="s">
        <v>23</v>
      </c>
      <c r="AX138" s="113" t="s">
        <v>24</v>
      </c>
      <c r="AY138" s="113" t="s">
        <v>145</v>
      </c>
      <c r="AZ138" s="113" t="s">
        <v>300</v>
      </c>
      <c r="BA138" s="14"/>
      <c r="BB138" s="14"/>
      <c r="BC138" s="14"/>
      <c r="BD138" s="14"/>
      <c r="BE138" s="56"/>
      <c r="BF138" s="56"/>
      <c r="BG138" s="56"/>
      <c r="BH138" s="56"/>
      <c r="BI138" s="56"/>
      <c r="BJ138" s="47"/>
      <c r="BK138" s="19"/>
      <c r="BL138" s="112" t="s">
        <v>23</v>
      </c>
      <c r="BM138" s="113" t="s">
        <v>24</v>
      </c>
      <c r="BN138" s="113" t="s">
        <v>145</v>
      </c>
      <c r="BO138" s="113" t="s">
        <v>300</v>
      </c>
      <c r="BP138" s="14"/>
      <c r="BQ138" s="14"/>
      <c r="BR138" s="14"/>
      <c r="BS138" s="14"/>
      <c r="BT138" s="56"/>
      <c r="BU138" s="56"/>
      <c r="BV138" s="56"/>
      <c r="BW138" s="56"/>
      <c r="BX138" s="56"/>
      <c r="BY138" s="47"/>
      <c r="BZ138" s="14"/>
      <c r="CA138" s="112" t="s">
        <v>23</v>
      </c>
      <c r="CB138" s="113" t="s">
        <v>145</v>
      </c>
      <c r="CC138" s="21"/>
      <c r="CD138" s="180"/>
      <c r="CE138" s="180"/>
      <c r="CF138" s="21"/>
      <c r="CG138" s="14"/>
      <c r="CH138" s="14"/>
      <c r="CI138" s="14"/>
      <c r="CJ138" s="14"/>
      <c r="CK138" s="14"/>
      <c r="CL138" s="14"/>
      <c r="CM138" s="14"/>
      <c r="CN138" s="14"/>
      <c r="CO138" s="129"/>
      <c r="CP138" s="17"/>
      <c r="CQ138" s="47"/>
      <c r="CR138" s="14"/>
      <c r="CS138" s="112" t="s">
        <v>23</v>
      </c>
      <c r="CT138" s="113" t="s">
        <v>145</v>
      </c>
      <c r="CU138" s="14"/>
      <c r="CV138" s="180"/>
      <c r="CW138" s="189"/>
      <c r="CX138" s="189"/>
      <c r="CY138" s="14"/>
      <c r="CZ138" s="14"/>
      <c r="DA138" s="14"/>
      <c r="DB138" s="14"/>
      <c r="DC138" s="14"/>
      <c r="DD138" s="14"/>
      <c r="DE138" s="14"/>
      <c r="DF138" s="14"/>
      <c r="DG138" s="129"/>
      <c r="DH138" s="17"/>
      <c r="DI138" s="47"/>
      <c r="DJ138" s="17"/>
      <c r="DK138" s="112" t="s">
        <v>23</v>
      </c>
      <c r="DL138" s="113" t="s">
        <v>24</v>
      </c>
      <c r="DM138" s="113" t="s">
        <v>145</v>
      </c>
      <c r="DN138" s="113" t="s">
        <v>300</v>
      </c>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row>
    <row r="139" spans="1:142" x14ac:dyDescent="0.25">
      <c r="A139" s="14"/>
      <c r="B139" s="57" t="s">
        <v>32</v>
      </c>
      <c r="C139" s="121" t="str">
        <f>IF(H158=0,"na",IF(COUNTIF(H153:H157,MAX(H153:H157))&gt;COUNTIF(G153:G157,"&lt;&gt;""")/2,"No clear choice of the most common response",INDEX(G153:G157,MATCH(MAX(H153:H157),H153:H157,0),1)))</f>
        <v>Sometimes</v>
      </c>
      <c r="D139" s="58">
        <f>COUNTIFS(S26_stakeholder_category,"NB",Response_Q156_1,"&lt;&gt;0")</f>
        <v>2</v>
      </c>
      <c r="E139" s="121">
        <f>COUNTIFS(S26_stakeholder_category,"NB",Response_Q156_1,"I don’t know")</f>
        <v>0</v>
      </c>
      <c r="F139" s="14"/>
      <c r="G139" s="14"/>
      <c r="H139" s="21"/>
      <c r="I139" s="21"/>
      <c r="J139" s="14"/>
      <c r="K139" s="19"/>
      <c r="L139" s="40"/>
      <c r="M139" s="40"/>
      <c r="N139" s="40"/>
      <c r="O139" s="40"/>
      <c r="P139" s="40"/>
      <c r="Q139" s="47"/>
      <c r="R139" s="19"/>
      <c r="S139" s="34" t="s">
        <v>32</v>
      </c>
      <c r="T139" s="37" t="str">
        <f>IF(Y160=0,"na",IF(COUNTIF(Y153:Y159,MAX(Y153:Y159))&gt;COUNTIF(X153:X159,"&lt;&gt;""")/2,"No clear choice of the most common response",INDEX(X153:X159,MATCH(MAX(Y153:Y159),Y153:Y159,0),1)))</f>
        <v>Very unlikely</v>
      </c>
      <c r="U139" s="33">
        <f>COUNTIFS(S26_stakeholder_category,"NB",Response_Q160_1,"&lt;&gt;0")</f>
        <v>2</v>
      </c>
      <c r="V139" s="37">
        <f>COUNTIFS(S26_stakeholder_category,"NB",Response_Q160_1,"I don’t know")</f>
        <v>0</v>
      </c>
      <c r="W139" s="14"/>
      <c r="X139" s="14"/>
      <c r="Y139" s="14"/>
      <c r="Z139" s="14"/>
      <c r="AA139" s="19"/>
      <c r="AB139" s="19"/>
      <c r="AC139" s="19"/>
      <c r="AD139" s="19"/>
      <c r="AE139" s="19"/>
      <c r="AF139" s="47"/>
      <c r="AG139" s="19"/>
      <c r="AH139" s="57" t="s">
        <v>32</v>
      </c>
      <c r="AI139" s="121" t="str">
        <f>IF(AN160=0,"na",IF(COUNTIF(AN153:AN159,MAX(AN153:AN159))&gt;COUNTIF(AM153:AM159,"&lt;&gt;""")/2,"No clear choice of the most common response",INDEX(AM153:AM159,MATCH(MAX(AN153:AN159),AN153:AN159,0),1)))</f>
        <v>Unlikely</v>
      </c>
      <c r="AJ139" s="58">
        <f>COUNTIFS(S26_stakeholder_category,"NB",Response_26_CaseA,"&lt;&gt;0")</f>
        <v>2</v>
      </c>
      <c r="AK139" s="121">
        <f>COUNTIFS(S26_stakeholder_category,"NB",Response_26_CaseA,"I don’t know")</f>
        <v>1</v>
      </c>
      <c r="AL139" s="14"/>
      <c r="AM139" s="14"/>
      <c r="AN139" s="14"/>
      <c r="AO139" s="14"/>
      <c r="AP139" s="19"/>
      <c r="AQ139" s="19"/>
      <c r="AR139" s="19"/>
      <c r="AS139" s="19"/>
      <c r="AT139" s="19"/>
      <c r="AU139" s="47"/>
      <c r="AV139" s="14"/>
      <c r="AW139" s="57" t="s">
        <v>32</v>
      </c>
      <c r="AX139" s="121" t="str">
        <f>IF(BC160=0,"na",IF(COUNTIF(BC153:BC159,MAX(BC153:BC159))&gt;COUNTIF(BB153:BB159,"&lt;&gt;""")/2,"No clear choice of the most common response",INDEX(BB153:BB159,MATCH(MAX(BC153:BC159),BC153:BC159,0),1)))</f>
        <v>Unlikely</v>
      </c>
      <c r="AY139" s="58">
        <f>COUNTIFS(S26_stakeholder_category,"NB",Response_26_CaseB,"&lt;&gt;0")</f>
        <v>2</v>
      </c>
      <c r="AZ139" s="121">
        <f>COUNTIFS(S26_stakeholder_category,"NB",Response_26_CaseB,"I don’t know")</f>
        <v>1</v>
      </c>
      <c r="BA139" s="14"/>
      <c r="BB139" s="14"/>
      <c r="BC139" s="14"/>
      <c r="BD139" s="14"/>
      <c r="BE139" s="19"/>
      <c r="BF139" s="19"/>
      <c r="BG139" s="19"/>
      <c r="BH139" s="19"/>
      <c r="BI139" s="19"/>
      <c r="BJ139" s="47"/>
      <c r="BK139" s="19"/>
      <c r="BL139" s="57" t="s">
        <v>32</v>
      </c>
      <c r="BM139" s="121" t="str">
        <f>IF(BR160=0,"na",IF(COUNTIF(BR153:BR159,MAX(BR153:BR159))&gt;COUNTIF(BQ153:BQ159,"&lt;&gt;""")/2,"No clear choice of the most common response",INDEX(BQ153:BQ159,MATCH(MAX(BR153:BR159),BR153:BR159,0),1)))</f>
        <v>Unlikely</v>
      </c>
      <c r="BN139" s="58">
        <f>COUNTIFS(S26_stakeholder_category,"NB",Response_26_CaseC,"&lt;&gt;0")</f>
        <v>2</v>
      </c>
      <c r="BO139" s="121">
        <f>COUNTIFS(S26_stakeholder_category,"NB",Response_26_CaseC,"I don’t know")</f>
        <v>1</v>
      </c>
      <c r="BP139" s="14"/>
      <c r="BQ139" s="14"/>
      <c r="BR139" s="14"/>
      <c r="BS139" s="14"/>
      <c r="BT139" s="19"/>
      <c r="BU139" s="19"/>
      <c r="BV139" s="19"/>
      <c r="BW139" s="19"/>
      <c r="BX139" s="19"/>
      <c r="BY139" s="47"/>
      <c r="BZ139" s="14"/>
      <c r="CA139" s="34" t="s">
        <v>32</v>
      </c>
      <c r="CB139" s="37">
        <f>MAX(SUM(CC145:CC151),SUM(CD145:CD151),SUM(CE145:CE151))</f>
        <v>2</v>
      </c>
      <c r="CC139" s="21"/>
      <c r="CD139" s="180"/>
      <c r="CE139" s="180"/>
      <c r="CF139" s="21"/>
      <c r="CG139" s="14"/>
      <c r="CH139" s="14"/>
      <c r="CI139" s="14"/>
      <c r="CJ139" s="14"/>
      <c r="CK139" s="14"/>
      <c r="CL139" s="14"/>
      <c r="CM139" s="14"/>
      <c r="CN139" s="14"/>
      <c r="CO139" s="129"/>
      <c r="CP139" s="29"/>
      <c r="CQ139" s="47"/>
      <c r="CR139" s="14"/>
      <c r="CS139" s="34" t="s">
        <v>32</v>
      </c>
      <c r="CT139" s="37">
        <f>MAX(SUM(CU145:CU151),SUM(CV145:CV151),SUM(CW145:CW151))</f>
        <v>2</v>
      </c>
      <c r="CU139" s="14"/>
      <c r="CV139" s="180"/>
      <c r="CW139" s="189"/>
      <c r="CX139" s="189"/>
      <c r="CY139" s="14"/>
      <c r="CZ139" s="14"/>
      <c r="DA139" s="14"/>
      <c r="DB139" s="14"/>
      <c r="DC139" s="14"/>
      <c r="DD139" s="14"/>
      <c r="DE139" s="14"/>
      <c r="DF139" s="14"/>
      <c r="DG139" s="129"/>
      <c r="DH139" s="29"/>
      <c r="DI139" s="47"/>
      <c r="DJ139" s="29"/>
      <c r="DK139" s="34" t="s">
        <v>32</v>
      </c>
      <c r="DL139" s="37" t="str">
        <f>IF(DQ158=0,"na",IF(COUNTIF(DQ153:DQ157,MAX(DQ153:DQ157))&gt;COUNTIF(DP153:DP157,"&lt;&gt;""")/2,"No clear choice of the most common response",INDEX(DP153:DP157,MATCH(MAX(DQ153:DQ157),DQ153:DQ157,0),1)))</f>
        <v>Sometimes</v>
      </c>
      <c r="DM139" s="33">
        <f>COUNTIFS(S26_stakeholder_category,"NB",Response_Q156_1,"&lt;&gt;0",Response_Q156_1,"&lt;&gt;0")</f>
        <v>2</v>
      </c>
      <c r="DN139" s="37">
        <f>DQ157</f>
        <v>0</v>
      </c>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row>
    <row r="140" spans="1:142" x14ac:dyDescent="0.25">
      <c r="A140" s="14"/>
      <c r="B140" s="57"/>
      <c r="C140" s="121" t="str">
        <f ca="1">IF(H158=0,"",IF(COUNTIF(H153:H157,MAX(H153:H157))=1,"",IF(COUNTIF(H153:H157,MAX(H153:H157))&gt;COUNTIF(G153:G157,"&lt;&gt;""")/2,"",INDEX(OFFSET(G153,MATCH(C139,G153:G158,0),0):G157,MATCH(MAX(H153:H157),OFFSET(H153,MATCH(C139,G153:G158,0),0):H157,0),1))))</f>
        <v/>
      </c>
      <c r="D140" s="58"/>
      <c r="E140" s="121"/>
      <c r="F140" s="14"/>
      <c r="G140" s="14"/>
      <c r="H140" s="21"/>
      <c r="I140" s="21"/>
      <c r="J140" s="14"/>
      <c r="K140" s="19"/>
      <c r="L140" s="40"/>
      <c r="M140" s="40"/>
      <c r="N140" s="40"/>
      <c r="O140" s="40"/>
      <c r="P140" s="40"/>
      <c r="Q140" s="47"/>
      <c r="R140" s="19"/>
      <c r="S140" s="34"/>
      <c r="T140" s="37" t="str">
        <f ca="1">IF(Y160=0,"",IF(COUNTIF(Y153:Y159,MAX(Y153:Y159))=1,"",IF(COUNTIF(Y153:Y159,MAX(Y153:Y159))&gt;COUNTIF(X153:X159,"&lt;&gt;""")/2,"",INDEX(OFFSET(X153,MATCH(T139,X153:X159,0),0):X159,MATCH(MAX(Y153:Y159),OFFSET(Y153,MATCH(T139,X153:X159,0),0):Y159,0),1))))</f>
        <v/>
      </c>
      <c r="U140" s="33"/>
      <c r="V140" s="37"/>
      <c r="W140" s="14"/>
      <c r="X140" s="14"/>
      <c r="Y140" s="14"/>
      <c r="Z140" s="14"/>
      <c r="AA140" s="19"/>
      <c r="AB140" s="19"/>
      <c r="AC140" s="19"/>
      <c r="AD140" s="19"/>
      <c r="AE140" s="19"/>
      <c r="AF140" s="47"/>
      <c r="AG140" s="19"/>
      <c r="AH140" s="57"/>
      <c r="AI140" s="121" t="str">
        <f ca="1">IF(AN160=0,"",IF(COUNTIF(AN153:AN159,MAX(AN153:AN159))=1,"",IF(COUNTIF(AN153:AN159,MAX(AN153:AN159))&gt;COUNTIF(AM153:AM159,"&lt;&gt;""")/2,"",INDEX(OFFSET(AM153,MATCH(AI139,AM153:AM159,0),0):AM159,MATCH(MAX(AN153:AN159),OFFSET(AN153,MATCH(AI139,AM153:AM159,0),0):AN159,0),1))))</f>
        <v>I don’t know</v>
      </c>
      <c r="AJ140" s="58"/>
      <c r="AK140" s="121"/>
      <c r="AL140" s="14"/>
      <c r="AM140" s="14"/>
      <c r="AN140" s="14"/>
      <c r="AO140" s="14"/>
      <c r="AP140" s="19"/>
      <c r="AQ140" s="19"/>
      <c r="AR140" s="19"/>
      <c r="AS140" s="19"/>
      <c r="AT140" s="19"/>
      <c r="AU140" s="47"/>
      <c r="AV140" s="14"/>
      <c r="AW140" s="57"/>
      <c r="AX140" s="121" t="str">
        <f ca="1">IF(BC160=0,"",IF(COUNTIF(BC153:BC159,MAX(BC153:BC159))=1,"",IF(COUNTIF(BC153:BC159,MAX(BC153:BC159))&gt;COUNTIF(BB153:BB159,"&lt;&gt;""")/2,"",INDEX(OFFSET(BB153,MATCH(AX139,BB153:BB159,0),0):BB159,MATCH(MAX(BC153:BC159),OFFSET(BC153,MATCH(AX139,BB153:BB159,0),0):BC159,0),1))))</f>
        <v>I don’t know</v>
      </c>
      <c r="AY140" s="58"/>
      <c r="AZ140" s="121"/>
      <c r="BA140" s="14"/>
      <c r="BB140" s="14"/>
      <c r="BC140" s="14"/>
      <c r="BD140" s="14"/>
      <c r="BE140" s="19"/>
      <c r="BF140" s="19"/>
      <c r="BG140" s="19"/>
      <c r="BH140" s="19"/>
      <c r="BI140" s="19"/>
      <c r="BJ140" s="47"/>
      <c r="BK140" s="19"/>
      <c r="BL140" s="57"/>
      <c r="BM140" s="121" t="str">
        <f ca="1">IF(BR160=0,"",IF(COUNTIF(BR153:BR159,MAX(BR153:BR159))=1,"",IF(COUNTIF(BR153:BR159,MAX(BR153:BR159))&gt;COUNTIF(BQ153:BQ159,"&lt;&gt;""")/2,"",INDEX(OFFSET(BQ153,MATCH(BM139,BQ153:BQ159,0),0):BQ159,MATCH(MAX(BR153:BR159),OFFSET(BR153,MATCH(BM139,BQ153:BQ159,0),0):BR159,0),1))))</f>
        <v>I don’t know</v>
      </c>
      <c r="BN140" s="58"/>
      <c r="BO140" s="121"/>
      <c r="BP140" s="14"/>
      <c r="BQ140" s="14"/>
      <c r="BR140" s="14"/>
      <c r="BS140" s="14"/>
      <c r="BT140" s="19"/>
      <c r="BU140" s="19"/>
      <c r="BV140" s="19"/>
      <c r="BW140" s="19"/>
      <c r="BX140" s="19"/>
      <c r="BY140" s="47"/>
      <c r="BZ140" s="14"/>
      <c r="CA140" s="14"/>
      <c r="CB140" s="21"/>
      <c r="CC140" s="21"/>
      <c r="CD140" s="180"/>
      <c r="CE140" s="180"/>
      <c r="CF140" s="21"/>
      <c r="CG140" s="14"/>
      <c r="CH140" s="14"/>
      <c r="CI140" s="14"/>
      <c r="CJ140" s="14"/>
      <c r="CK140" s="14"/>
      <c r="CL140" s="14"/>
      <c r="CM140" s="14"/>
      <c r="CN140" s="14"/>
      <c r="CO140" s="129"/>
      <c r="CP140" s="29"/>
      <c r="CQ140" s="47"/>
      <c r="CR140" s="14"/>
      <c r="CS140" s="14"/>
      <c r="CT140" s="14"/>
      <c r="CU140" s="14"/>
      <c r="CV140" s="180"/>
      <c r="CW140" s="189"/>
      <c r="CX140" s="189"/>
      <c r="CY140" s="14"/>
      <c r="CZ140" s="14"/>
      <c r="DA140" s="14"/>
      <c r="DB140" s="14"/>
      <c r="DC140" s="14"/>
      <c r="DD140" s="14"/>
      <c r="DE140" s="14"/>
      <c r="DF140" s="14"/>
      <c r="DG140" s="129"/>
      <c r="DH140" s="29"/>
      <c r="DI140" s="47"/>
      <c r="DJ140" s="29"/>
      <c r="DK140" s="34"/>
      <c r="DL140" s="37" t="str">
        <f ca="1">IF(DQ158=0,"",IF(COUNTIF(DQ153:DQ157,MAX(DQ153:DQ157))=1,"",IF(COUNTIF(DQ153:DQ157,MAX(DQ153:DQ157))&gt;COUNTIF(DP153:DP157,"&lt;&gt;""")/2,"",INDEX(OFFSET(DP153,MATCH(DL139,DP153:DP158,0),0):DP157,MATCH(MAX(DQ153:DQ157),OFFSET(DQ153,MATCH(DL139,DP153:DP158,0),0):DQ157,0),1))))</f>
        <v/>
      </c>
      <c r="DM140" s="33"/>
      <c r="DN140" s="37"/>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row>
    <row r="141" spans="1:142" x14ac:dyDescent="0.25">
      <c r="A141" s="14"/>
      <c r="B141" s="57"/>
      <c r="C141" s="121" t="str">
        <f ca="1" xml:space="preserve"> IF(H158=0,"", IF(COUNTIF(H153:H157,MAX(H153:H157))&lt;=2,"",IF(COUNTIF(H153:H157,MAX(H153:H157))&gt;COUNTIF(G153:G157,"&lt;&gt;""")/2,"", INDEX(OFFSET(G153,MATCH(C140,G153:G158,0),0):G157,         MATCH(MAX(H153:H157),        OFFSET(H153,MATCH(C140,G153:G158,0),0):H157,0),1))))</f>
        <v/>
      </c>
      <c r="D141" s="58"/>
      <c r="E141" s="121"/>
      <c r="F141" s="14"/>
      <c r="G141" s="14"/>
      <c r="H141" s="21"/>
      <c r="I141" s="21"/>
      <c r="J141" s="14"/>
      <c r="K141" s="19"/>
      <c r="L141" s="40"/>
      <c r="M141" s="40"/>
      <c r="N141" s="40"/>
      <c r="O141" s="40"/>
      <c r="P141" s="40"/>
      <c r="Q141" s="47"/>
      <c r="R141" s="19"/>
      <c r="S141" s="34"/>
      <c r="T141" s="121" t="str">
        <f ca="1" xml:space="preserve"> IF(Y160=0,"",IF(Y160=0,"", IF(COUNTIF(Y153:Y159,MAX(Y153:Y159))&lt;=2,"",IF(COUNTIF(Y153:Y159,MAX(Y153:Y159))&gt;COUNTIF(X153:X159,"&lt;&gt;""")/2,"", INDEX(OFFSET(X153,MATCH(T140,X153:X159,0),0):X159,         MATCH(MAX(Y153:Y159),        OFFSET(Y153,MATCH(T140,X153:X159,0),0):Y159,0),1)))))</f>
        <v/>
      </c>
      <c r="U141" s="33"/>
      <c r="V141" s="37"/>
      <c r="W141" s="14"/>
      <c r="X141" s="14"/>
      <c r="Y141" s="14"/>
      <c r="Z141" s="14"/>
      <c r="AA141" s="19"/>
      <c r="AB141" s="19"/>
      <c r="AC141" s="19"/>
      <c r="AD141" s="19"/>
      <c r="AE141" s="19"/>
      <c r="AF141" s="47"/>
      <c r="AG141" s="19"/>
      <c r="AH141" s="57"/>
      <c r="AI141" s="121" t="str">
        <f ca="1" xml:space="preserve"> IF(AN160=0,"",IF(AN160=0,"", IF(COUNTIF(AN153:AN159,MAX(AN153:AN159))&lt;=2,"",IF(COUNTIF(AN153:AN159,MAX(AN153:AN159))&gt;COUNTIF(AM153:AM159,"&lt;&gt;""")/2,"", INDEX(OFFSET(AM153,MATCH(AI140,AM153:AM159,0),0):AM159,         MATCH(MAX(AN153:AN159),        OFFSET(AN153,MATCH(AI140,AM153:AM159,0),0):AN159,0),1)))))</f>
        <v/>
      </c>
      <c r="AJ141" s="58"/>
      <c r="AK141" s="121"/>
      <c r="AL141" s="14"/>
      <c r="AM141" s="14"/>
      <c r="AN141" s="14"/>
      <c r="AO141" s="14"/>
      <c r="AP141" s="19"/>
      <c r="AQ141" s="19"/>
      <c r="AR141" s="19"/>
      <c r="AS141" s="19"/>
      <c r="AT141" s="19"/>
      <c r="AU141" s="47"/>
      <c r="AV141" s="14"/>
      <c r="AW141" s="57"/>
      <c r="AX141" s="121" t="str">
        <f ca="1" xml:space="preserve"> IF(BC160=0,"",IF(BC160=0,"", IF(COUNTIF(BC153:BC159,MAX(BC153:BC159))&lt;=2,"",IF(COUNTIF(BC153:BC159,MAX(BC153:BC159))&gt;COUNTIF(BB153:BB159,"&lt;&gt;""")/2,"", INDEX(OFFSET(BB153,MATCH(AX140,BB153:BB159,0),0):BB159,         MATCH(MAX(BC153:BC159),        OFFSET(BC153,MATCH(AX140,BB153:BB159,0),0):BC159,0),1)))))</f>
        <v/>
      </c>
      <c r="AY141" s="58"/>
      <c r="AZ141" s="121"/>
      <c r="BA141" s="14"/>
      <c r="BB141" s="14"/>
      <c r="BC141" s="14"/>
      <c r="BD141" s="14"/>
      <c r="BE141" s="19"/>
      <c r="BF141" s="19"/>
      <c r="BG141" s="19"/>
      <c r="BH141" s="19"/>
      <c r="BI141" s="19"/>
      <c r="BJ141" s="47"/>
      <c r="BK141" s="19"/>
      <c r="BL141" s="57"/>
      <c r="BM141" s="121" t="str">
        <f ca="1" xml:space="preserve"> IF(BR160=0,"",IF(BR160=0,"", IF(COUNTIF(BR153:BR159,MAX(BR153:BR159))&lt;=2,"",IF(COUNTIF(BR153:BR159,MAX(BR153:BR159))&gt;COUNTIF(BQ153:BQ159,"&lt;&gt;""")/2,"", INDEX(OFFSET(BQ153,MATCH(BM140,BQ153:BQ159,0),0):BQ159,         MATCH(MAX(BR153:BR159),        OFFSET(BR153,MATCH(BM140,BQ153:BQ159,0),0):BR159,0),1)))))</f>
        <v/>
      </c>
      <c r="BN141" s="58"/>
      <c r="BO141" s="121"/>
      <c r="BP141" s="14"/>
      <c r="BQ141" s="14"/>
      <c r="BR141" s="14"/>
      <c r="BS141" s="14"/>
      <c r="BT141" s="19"/>
      <c r="BU141" s="19"/>
      <c r="BV141" s="19"/>
      <c r="BW141" s="19"/>
      <c r="BX141" s="19"/>
      <c r="BY141" s="47"/>
      <c r="BZ141" s="14"/>
      <c r="CA141" s="14"/>
      <c r="CB141" s="21"/>
      <c r="CC141" s="21"/>
      <c r="CD141" s="180"/>
      <c r="CE141" s="180"/>
      <c r="CF141" s="21"/>
      <c r="CG141" s="14"/>
      <c r="CH141" s="14"/>
      <c r="CI141" s="14"/>
      <c r="CJ141" s="14"/>
      <c r="CK141" s="14"/>
      <c r="CL141" s="14"/>
      <c r="CM141" s="14"/>
      <c r="CN141" s="14"/>
      <c r="CO141" s="129"/>
      <c r="CP141" s="29"/>
      <c r="CQ141" s="47"/>
      <c r="CR141" s="14"/>
      <c r="CS141" s="14"/>
      <c r="CT141" s="14"/>
      <c r="CU141" s="14"/>
      <c r="CV141" s="180"/>
      <c r="CW141" s="189"/>
      <c r="CX141" s="189"/>
      <c r="CY141" s="14"/>
      <c r="CZ141" s="14"/>
      <c r="DA141" s="14"/>
      <c r="DB141" s="14"/>
      <c r="DC141" s="14"/>
      <c r="DD141" s="14"/>
      <c r="DE141" s="14"/>
      <c r="DF141" s="14"/>
      <c r="DG141" s="129"/>
      <c r="DH141" s="29"/>
      <c r="DI141" s="47"/>
      <c r="DJ141" s="29"/>
      <c r="DK141" s="34"/>
      <c r="DL141" s="37" t="str">
        <f ca="1">IF(DQ158=0,"",IF(COUNTIF(DQ153:DQ157,MAX(DQ153:DQ157))&lt;=2,"",IF(COUNTIF(DQ153:DQ157,MAX(DQ153:DQ157))&gt;COUNTIF(DP153:DP157,"&lt;&gt;""")/2,"",INDEX(OFFSET(DP153,MATCH(DL140,DP153:DP158,0),0):DP157,MATCH(MAX(DQ153:DQ157),OFFSET(DQ153,MATCH(DL140,DP153:DP158,0),0):DQ157,0),1))))</f>
        <v/>
      </c>
      <c r="DM141" s="33"/>
      <c r="DN141" s="37"/>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row>
    <row r="142" spans="1:142" x14ac:dyDescent="0.25">
      <c r="A142" s="14"/>
      <c r="B142" s="14"/>
      <c r="C142" s="14"/>
      <c r="D142" s="27"/>
      <c r="E142" s="14"/>
      <c r="F142" s="14"/>
      <c r="G142" s="14"/>
      <c r="H142" s="21"/>
      <c r="I142" s="21"/>
      <c r="J142" s="14"/>
      <c r="K142" s="19"/>
      <c r="L142" s="40"/>
      <c r="M142" s="40"/>
      <c r="N142" s="40"/>
      <c r="O142" s="40"/>
      <c r="P142" s="40"/>
      <c r="Q142" s="47"/>
      <c r="R142" s="19"/>
      <c r="S142" s="19"/>
      <c r="T142" s="19"/>
      <c r="U142" s="19"/>
      <c r="V142" s="19"/>
      <c r="W142" s="14"/>
      <c r="X142" s="14"/>
      <c r="Y142" s="14"/>
      <c r="Z142" s="14"/>
      <c r="AA142" s="19"/>
      <c r="AB142" s="19"/>
      <c r="AC142" s="19"/>
      <c r="AD142" s="19"/>
      <c r="AE142" s="19"/>
      <c r="AF142" s="47"/>
      <c r="AG142" s="19"/>
      <c r="AH142" s="19"/>
      <c r="AI142" s="19"/>
      <c r="AJ142" s="19"/>
      <c r="AK142" s="19"/>
      <c r="AL142" s="14"/>
      <c r="AM142" s="14"/>
      <c r="AN142" s="14"/>
      <c r="AO142" s="14"/>
      <c r="AP142" s="19"/>
      <c r="AQ142" s="19"/>
      <c r="AR142" s="19"/>
      <c r="AS142" s="19"/>
      <c r="AT142" s="19"/>
      <c r="AU142" s="47"/>
      <c r="AV142" s="14"/>
      <c r="AW142" s="19"/>
      <c r="AX142" s="19"/>
      <c r="AY142" s="19"/>
      <c r="AZ142" s="19"/>
      <c r="BA142" s="14"/>
      <c r="BB142" s="14"/>
      <c r="BC142" s="14"/>
      <c r="BD142" s="14"/>
      <c r="BE142" s="19"/>
      <c r="BF142" s="19"/>
      <c r="BG142" s="19"/>
      <c r="BH142" s="19"/>
      <c r="BI142" s="19"/>
      <c r="BJ142" s="47"/>
      <c r="BK142" s="19"/>
      <c r="BL142" s="19"/>
      <c r="BM142" s="19"/>
      <c r="BN142" s="19"/>
      <c r="BO142" s="19"/>
      <c r="BP142" s="14"/>
      <c r="BQ142" s="14"/>
      <c r="BR142" s="14"/>
      <c r="BS142" s="14"/>
      <c r="BT142" s="19"/>
      <c r="BU142" s="19"/>
      <c r="BV142" s="19"/>
      <c r="BW142" s="19"/>
      <c r="BX142" s="19"/>
      <c r="BY142" s="47"/>
      <c r="BZ142" s="14"/>
      <c r="CA142" s="14"/>
      <c r="CB142" s="21"/>
      <c r="CC142" s="21"/>
      <c r="CD142" s="180"/>
      <c r="CE142" s="180"/>
      <c r="CF142" s="21"/>
      <c r="CG142" s="14"/>
      <c r="CH142" s="14"/>
      <c r="CI142" s="14"/>
      <c r="CJ142" s="14"/>
      <c r="CK142" s="14"/>
      <c r="CL142" s="14"/>
      <c r="CM142" s="14"/>
      <c r="CN142" s="14"/>
      <c r="CO142" s="129"/>
      <c r="CP142" s="29"/>
      <c r="CQ142" s="47"/>
      <c r="CR142" s="14"/>
      <c r="CS142" s="14"/>
      <c r="CT142" s="14"/>
      <c r="CU142" s="14"/>
      <c r="CV142" s="180"/>
      <c r="CW142" s="189"/>
      <c r="CX142" s="189"/>
      <c r="CY142" s="14"/>
      <c r="CZ142" s="14"/>
      <c r="DA142" s="14"/>
      <c r="DB142" s="14"/>
      <c r="DC142" s="14"/>
      <c r="DD142" s="14"/>
      <c r="DE142" s="14"/>
      <c r="DF142" s="14"/>
      <c r="DG142" s="129"/>
      <c r="DH142" s="29"/>
      <c r="DI142" s="47"/>
      <c r="DJ142" s="29"/>
      <c r="DK142" s="14"/>
      <c r="DL142" s="14"/>
      <c r="DM142" s="27"/>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row>
    <row r="143" spans="1:142" x14ac:dyDescent="0.25">
      <c r="A143" s="14"/>
      <c r="B143" s="14"/>
      <c r="C143" s="14"/>
      <c r="D143" s="27"/>
      <c r="E143" s="14"/>
      <c r="F143" s="14"/>
      <c r="G143" s="14"/>
      <c r="H143" s="21"/>
      <c r="I143" s="21"/>
      <c r="J143" s="14"/>
      <c r="K143" s="19"/>
      <c r="L143" s="40"/>
      <c r="M143" s="40"/>
      <c r="N143" s="40"/>
      <c r="O143" s="40"/>
      <c r="P143" s="40"/>
      <c r="Q143" s="47"/>
      <c r="R143" s="19"/>
      <c r="S143" s="19"/>
      <c r="T143" s="19"/>
      <c r="U143" s="19"/>
      <c r="V143" s="19"/>
      <c r="W143" s="14"/>
      <c r="X143" s="14"/>
      <c r="Y143" s="14"/>
      <c r="Z143" s="14"/>
      <c r="AA143" s="19"/>
      <c r="AB143" s="19"/>
      <c r="AC143" s="19"/>
      <c r="AD143" s="19"/>
      <c r="AE143" s="19"/>
      <c r="AF143" s="47"/>
      <c r="AG143" s="19"/>
      <c r="AH143" s="19"/>
      <c r="AI143" s="19"/>
      <c r="AJ143" s="19"/>
      <c r="AK143" s="19"/>
      <c r="AL143" s="14"/>
      <c r="AM143" s="14"/>
      <c r="AN143" s="14"/>
      <c r="AO143" s="14"/>
      <c r="AP143" s="19"/>
      <c r="AQ143" s="19"/>
      <c r="AR143" s="19"/>
      <c r="AS143" s="19"/>
      <c r="AT143" s="19"/>
      <c r="AU143" s="47"/>
      <c r="AV143" s="14"/>
      <c r="AW143" s="19"/>
      <c r="AX143" s="19"/>
      <c r="AY143" s="19"/>
      <c r="AZ143" s="19"/>
      <c r="BA143" s="14"/>
      <c r="BB143" s="14"/>
      <c r="BC143" s="14"/>
      <c r="BD143" s="14"/>
      <c r="BE143" s="19"/>
      <c r="BF143" s="19"/>
      <c r="BG143" s="19"/>
      <c r="BH143" s="19"/>
      <c r="BI143" s="19"/>
      <c r="BJ143" s="47"/>
      <c r="BK143" s="19"/>
      <c r="BL143" s="19"/>
      <c r="BM143" s="19"/>
      <c r="BN143" s="19"/>
      <c r="BO143" s="19"/>
      <c r="BP143" s="14"/>
      <c r="BQ143" s="14"/>
      <c r="BR143" s="14"/>
      <c r="BS143" s="14"/>
      <c r="BT143" s="19"/>
      <c r="BU143" s="19"/>
      <c r="BV143" s="19"/>
      <c r="BW143" s="19"/>
      <c r="BX143" s="19"/>
      <c r="BY143" s="47"/>
      <c r="BZ143" s="14"/>
      <c r="CA143" s="14"/>
      <c r="CB143" s="21"/>
      <c r="CC143" s="21"/>
      <c r="CD143" s="180"/>
      <c r="CE143" s="180"/>
      <c r="CF143" s="21"/>
      <c r="CG143" s="14"/>
      <c r="CH143" s="14"/>
      <c r="CI143" s="14"/>
      <c r="CJ143" s="14"/>
      <c r="CK143" s="14"/>
      <c r="CL143" s="14"/>
      <c r="CM143" s="14"/>
      <c r="CN143" s="14"/>
      <c r="CO143" s="129"/>
      <c r="CP143" s="29"/>
      <c r="CQ143" s="47"/>
      <c r="CR143" s="14"/>
      <c r="CS143" s="14"/>
      <c r="CT143" s="14"/>
      <c r="CU143" s="14"/>
      <c r="CV143" s="180"/>
      <c r="CW143" s="189"/>
      <c r="CX143" s="189"/>
      <c r="CY143" s="14"/>
      <c r="CZ143" s="14"/>
      <c r="DA143" s="14"/>
      <c r="DB143" s="14"/>
      <c r="DC143" s="14"/>
      <c r="DD143" s="14"/>
      <c r="DE143" s="14"/>
      <c r="DF143" s="14"/>
      <c r="DG143" s="129"/>
      <c r="DH143" s="29"/>
      <c r="DI143" s="47"/>
      <c r="DJ143" s="29"/>
      <c r="DK143" s="14"/>
      <c r="DL143" s="14"/>
      <c r="DM143" s="27"/>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row>
    <row r="144" spans="1:142" ht="27.6" x14ac:dyDescent="0.25">
      <c r="A144" s="14"/>
      <c r="B144" s="14"/>
      <c r="C144" s="14"/>
      <c r="D144" s="27"/>
      <c r="E144" s="14"/>
      <c r="F144" s="14"/>
      <c r="G144" s="14"/>
      <c r="H144" s="21"/>
      <c r="I144" s="21"/>
      <c r="J144" s="14"/>
      <c r="K144" s="19"/>
      <c r="L144" s="40"/>
      <c r="M144" s="40"/>
      <c r="N144" s="40"/>
      <c r="O144" s="40"/>
      <c r="P144" s="40"/>
      <c r="Q144" s="47"/>
      <c r="R144" s="19"/>
      <c r="S144" s="19"/>
      <c r="T144" s="19"/>
      <c r="U144" s="19"/>
      <c r="V144" s="19"/>
      <c r="W144" s="14"/>
      <c r="X144" s="14"/>
      <c r="Y144" s="14"/>
      <c r="Z144" s="14"/>
      <c r="AA144" s="19"/>
      <c r="AB144" s="19"/>
      <c r="AC144" s="19"/>
      <c r="AD144" s="19"/>
      <c r="AE144" s="19"/>
      <c r="AF144" s="47"/>
      <c r="AG144" s="19"/>
      <c r="AH144" s="19"/>
      <c r="AI144" s="19"/>
      <c r="AJ144" s="19"/>
      <c r="AK144" s="19"/>
      <c r="AL144" s="14"/>
      <c r="AM144" s="14"/>
      <c r="AN144" s="14"/>
      <c r="AO144" s="14"/>
      <c r="AP144" s="19"/>
      <c r="AQ144" s="19"/>
      <c r="AR144" s="19"/>
      <c r="AS144" s="19"/>
      <c r="AT144" s="19"/>
      <c r="AU144" s="47"/>
      <c r="AV144" s="14"/>
      <c r="AW144" s="19"/>
      <c r="AX144" s="19"/>
      <c r="AY144" s="19"/>
      <c r="AZ144" s="19"/>
      <c r="BA144" s="14"/>
      <c r="BB144" s="14"/>
      <c r="BC144" s="14"/>
      <c r="BD144" s="14"/>
      <c r="BE144" s="19"/>
      <c r="BF144" s="19"/>
      <c r="BG144" s="19"/>
      <c r="BH144" s="19"/>
      <c r="BI144" s="19"/>
      <c r="BJ144" s="47"/>
      <c r="BK144" s="19"/>
      <c r="BL144" s="19"/>
      <c r="BM144" s="19"/>
      <c r="BN144" s="19"/>
      <c r="BO144" s="19"/>
      <c r="BP144" s="14"/>
      <c r="BQ144" s="14"/>
      <c r="BR144" s="14"/>
      <c r="BS144" s="14"/>
      <c r="BT144" s="19"/>
      <c r="BU144" s="19"/>
      <c r="BV144" s="19"/>
      <c r="BW144" s="19"/>
      <c r="BX144" s="19"/>
      <c r="BY144" s="47"/>
      <c r="BZ144" s="14"/>
      <c r="CA144" s="109" t="s">
        <v>14</v>
      </c>
      <c r="CB144" s="110" t="s">
        <v>164</v>
      </c>
      <c r="CC144" s="110" t="s">
        <v>149</v>
      </c>
      <c r="CD144" s="184" t="s">
        <v>150</v>
      </c>
      <c r="CE144" s="184" t="s">
        <v>151</v>
      </c>
      <c r="CF144" s="110" t="s">
        <v>152</v>
      </c>
      <c r="CG144" s="14"/>
      <c r="CH144" s="109"/>
      <c r="CI144" s="110" t="s">
        <v>5</v>
      </c>
      <c r="CJ144" s="110" t="s">
        <v>4</v>
      </c>
      <c r="CK144" s="110" t="s">
        <v>33</v>
      </c>
      <c r="CL144" s="110" t="s">
        <v>29</v>
      </c>
      <c r="CM144" s="110" t="s">
        <v>3</v>
      </c>
      <c r="CN144" s="110" t="s">
        <v>54</v>
      </c>
      <c r="CO144" s="328" t="s">
        <v>160</v>
      </c>
      <c r="CP144" s="29"/>
      <c r="CQ144" s="47"/>
      <c r="CR144" s="14"/>
      <c r="CS144" s="109" t="s">
        <v>14</v>
      </c>
      <c r="CT144" s="110" t="s">
        <v>164</v>
      </c>
      <c r="CU144" s="110" t="s">
        <v>149</v>
      </c>
      <c r="CV144" s="184" t="s">
        <v>150</v>
      </c>
      <c r="CW144" s="184" t="s">
        <v>151</v>
      </c>
      <c r="CX144" s="194" t="s">
        <v>152</v>
      </c>
      <c r="CY144" s="14"/>
      <c r="CZ144" s="109" t="s">
        <v>14</v>
      </c>
      <c r="DA144" s="110" t="s">
        <v>5</v>
      </c>
      <c r="DB144" s="110" t="s">
        <v>4</v>
      </c>
      <c r="DC144" s="110" t="s">
        <v>33</v>
      </c>
      <c r="DD144" s="110" t="s">
        <v>29</v>
      </c>
      <c r="DE144" s="110" t="s">
        <v>3</v>
      </c>
      <c r="DF144" s="110" t="s">
        <v>54</v>
      </c>
      <c r="DG144" s="328" t="s">
        <v>160</v>
      </c>
      <c r="DH144" s="29"/>
      <c r="DI144" s="47"/>
      <c r="DJ144" s="29"/>
      <c r="DK144" s="19"/>
      <c r="DL144" s="19"/>
      <c r="DM144" s="27"/>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row>
    <row r="145" spans="1:142" x14ac:dyDescent="0.25">
      <c r="A145" s="14"/>
      <c r="B145" s="14"/>
      <c r="C145" s="14"/>
      <c r="D145" s="21"/>
      <c r="E145" s="14"/>
      <c r="F145" s="14"/>
      <c r="G145" s="14"/>
      <c r="H145" s="21"/>
      <c r="I145" s="21"/>
      <c r="J145" s="14"/>
      <c r="K145" s="14"/>
      <c r="L145" s="14"/>
      <c r="M145" s="14"/>
      <c r="N145" s="14"/>
      <c r="O145" s="14"/>
      <c r="P145" s="14"/>
      <c r="Q145" s="47"/>
      <c r="R145" s="19"/>
      <c r="S145" s="19"/>
      <c r="T145" s="19"/>
      <c r="U145" s="19"/>
      <c r="V145" s="19"/>
      <c r="W145" s="14"/>
      <c r="X145" s="14"/>
      <c r="Y145" s="14"/>
      <c r="Z145" s="14"/>
      <c r="AA145" s="19"/>
      <c r="AB145" s="19"/>
      <c r="AC145" s="19"/>
      <c r="AD145" s="19"/>
      <c r="AE145" s="19"/>
      <c r="AF145" s="47"/>
      <c r="AG145" s="19"/>
      <c r="AH145" s="19"/>
      <c r="AI145" s="19"/>
      <c r="AJ145" s="19"/>
      <c r="AK145" s="19"/>
      <c r="AL145" s="14"/>
      <c r="AM145" s="14"/>
      <c r="AN145" s="14"/>
      <c r="AO145" s="14"/>
      <c r="AP145" s="19"/>
      <c r="AQ145" s="19"/>
      <c r="AR145" s="19"/>
      <c r="AS145" s="19"/>
      <c r="AT145" s="19"/>
      <c r="AU145" s="47"/>
      <c r="AV145" s="14"/>
      <c r="AW145" s="19"/>
      <c r="AX145" s="19"/>
      <c r="AY145" s="19"/>
      <c r="AZ145" s="19"/>
      <c r="BA145" s="14"/>
      <c r="BB145" s="14"/>
      <c r="BC145" s="14"/>
      <c r="BD145" s="14"/>
      <c r="BE145" s="19"/>
      <c r="BF145" s="19"/>
      <c r="BG145" s="19"/>
      <c r="BH145" s="19"/>
      <c r="BI145" s="19"/>
      <c r="BJ145" s="47"/>
      <c r="BK145" s="19"/>
      <c r="BL145" s="19"/>
      <c r="BM145" s="19"/>
      <c r="BN145" s="19"/>
      <c r="BO145" s="19"/>
      <c r="BP145" s="14"/>
      <c r="BQ145" s="14"/>
      <c r="BR145" s="14"/>
      <c r="BS145" s="14"/>
      <c r="BT145" s="19"/>
      <c r="BU145" s="19"/>
      <c r="BV145" s="19"/>
      <c r="BW145" s="19"/>
      <c r="BX145" s="19"/>
      <c r="BY145" s="47"/>
      <c r="BZ145" s="14"/>
      <c r="CA145" s="140" t="s">
        <v>461</v>
      </c>
      <c r="CB145" s="27">
        <f>COUNTIFS(S26_stakeholder_category,"NB",Response_Q161_1,"&lt;&gt;0",Response_Q156_1,"&lt;&gt;0")</f>
        <v>2</v>
      </c>
      <c r="CC145" s="37">
        <f>COUNTIFS(S26_stakeholder_category,"NB",Response_Q161_1,1,Response_Q156_1,"&lt;&gt;""0")</f>
        <v>2</v>
      </c>
      <c r="CD145" s="37">
        <f>COUNTIFS(S26_stakeholder_category,"NB",Response_Q161_1,2,Response_Q156_1,"&lt;&gt;""0")</f>
        <v>0</v>
      </c>
      <c r="CE145" s="37">
        <f>COUNTIFS(S26_stakeholder_category,"NB",Response_Q161_1,3,Response_Q156_1,"&lt;&gt;""0")</f>
        <v>0</v>
      </c>
      <c r="CF145" s="97">
        <f>IF(CB139=0,0,SUMPRODUCT(CC145:CE145,Rank_score)/$CB139)</f>
        <v>3</v>
      </c>
      <c r="CG145" s="14"/>
      <c r="CH145" s="140" t="s">
        <v>461</v>
      </c>
      <c r="CI145" s="27">
        <f t="shared" ref="CI145:CN145" si="88">COUNTIFS(S26_stakeholder_category,"NB",Response_Q161_1,"&lt;&gt;0",Response_Q161_2,CI$63,Response_Q156_1,"&lt;&gt;0")</f>
        <v>2</v>
      </c>
      <c r="CJ145" s="27">
        <f t="shared" si="88"/>
        <v>0</v>
      </c>
      <c r="CK145" s="27">
        <f t="shared" si="88"/>
        <v>0</v>
      </c>
      <c r="CL145" s="27">
        <f t="shared" si="88"/>
        <v>0</v>
      </c>
      <c r="CM145" s="27">
        <f t="shared" si="88"/>
        <v>0</v>
      </c>
      <c r="CN145" s="27">
        <f t="shared" si="88"/>
        <v>0</v>
      </c>
      <c r="CO145" s="141">
        <f t="shared" ref="CO145:CO151" si="89">IF(ISBLANK(CH145),"",IF(CF145=0,not_ranked,IF(SUM(CI145:CN145)=0,not_estimated,IFERROR(SUMPRODUCT(CI145:CN145,Likekihood_score)/SUM(CI145:CN145),0))))</f>
        <v>1</v>
      </c>
      <c r="CP145" s="29"/>
      <c r="CQ145" s="47"/>
      <c r="CR145" s="14"/>
      <c r="CS145" s="140" t="s">
        <v>373</v>
      </c>
      <c r="CT145" s="27">
        <f>COUNTIFS(S26_stakeholder_category,"NB",Response_Q162_1,"&lt;&gt;0",Response_Q157_1,"&lt;&gt;0")</f>
        <v>2</v>
      </c>
      <c r="CU145" s="37">
        <f>COUNTIFS(S26_stakeholder_category,"NB",Response_Q162_1,1,Response_Q157_1,"&lt;&gt;0")</f>
        <v>2</v>
      </c>
      <c r="CV145" s="37">
        <f>COUNTIFS(S26_stakeholder_category,"NB",Response_Q162_1,2,Response_Q157_1,"&lt;&gt;0")</f>
        <v>0</v>
      </c>
      <c r="CW145" s="37">
        <f>COUNTIFS(S26_stakeholder_category,"NB",Response_Q162_1,3,Response_Q157_1,"&lt;&gt;0")</f>
        <v>0</v>
      </c>
      <c r="CX145" s="37">
        <f>IF(CT139=0,0,SUMPRODUCT(CU145:CW145,Rank_score)/CT$58)</f>
        <v>2</v>
      </c>
      <c r="CY145" s="14"/>
      <c r="CZ145" s="140" t="s">
        <v>373</v>
      </c>
      <c r="DA145" s="27">
        <f t="shared" ref="DA145:DF145" si="90">COUNTIFS(S26_stakeholder_category,"NB",Response_Q162_1,"&lt;&gt;0",Response_Q162_2,DA$63,Response_Q157_1,"&lt;&gt;0")</f>
        <v>0</v>
      </c>
      <c r="DB145" s="27">
        <f t="shared" si="90"/>
        <v>0</v>
      </c>
      <c r="DC145" s="27">
        <f t="shared" si="90"/>
        <v>0</v>
      </c>
      <c r="DD145" s="27">
        <f t="shared" si="90"/>
        <v>0</v>
      </c>
      <c r="DE145" s="27">
        <f t="shared" si="90"/>
        <v>0</v>
      </c>
      <c r="DF145" s="27">
        <f t="shared" si="90"/>
        <v>2</v>
      </c>
      <c r="DG145" s="141">
        <f t="shared" ref="DG145:DG152" si="91">IF(ISBLANK(CZ145),"",IF(CX145=0,not_ranked,IF(SUM(DA145:DF145)=0,not_estimated,IFERROR(SUMPRODUCT(DA145:DF145,Likekihood_score)/SUM(DA145:DF145),0))))</f>
        <v>6</v>
      </c>
      <c r="DH145" s="29"/>
      <c r="DI145" s="47"/>
      <c r="DJ145" s="29"/>
      <c r="DK145" s="19"/>
      <c r="DL145" s="19"/>
      <c r="DM145" s="14"/>
      <c r="DN145" s="14"/>
      <c r="DO145" s="14"/>
      <c r="DP145" s="14"/>
      <c r="DQ145" s="14"/>
      <c r="DR145" s="13"/>
      <c r="DS145" s="13"/>
      <c r="DT145" s="14"/>
      <c r="DU145" s="14"/>
      <c r="DV145" s="14"/>
      <c r="DW145" s="14"/>
      <c r="DX145" s="14"/>
      <c r="DY145" s="14"/>
      <c r="DZ145" s="14"/>
      <c r="EA145" s="14"/>
      <c r="EB145" s="14"/>
      <c r="EC145" s="14"/>
      <c r="ED145" s="14"/>
      <c r="EE145" s="14"/>
      <c r="EF145" s="14"/>
      <c r="EG145" s="14"/>
      <c r="EH145" s="14"/>
      <c r="EI145" s="14"/>
      <c r="EJ145" s="14"/>
      <c r="EK145" s="14"/>
      <c r="EL145" s="14"/>
    </row>
    <row r="146" spans="1:142" ht="14.4" x14ac:dyDescent="0.25">
      <c r="A146" s="14"/>
      <c r="B146" s="60"/>
      <c r="C146" s="19"/>
      <c r="D146" s="59"/>
      <c r="E146" s="14"/>
      <c r="F146" s="14"/>
      <c r="G146" s="14"/>
      <c r="H146" s="21"/>
      <c r="I146" s="21"/>
      <c r="J146" s="14"/>
      <c r="K146" s="14"/>
      <c r="L146" s="14"/>
      <c r="M146" s="14"/>
      <c r="N146" s="14"/>
      <c r="O146" s="14"/>
      <c r="P146" s="14"/>
      <c r="Q146" s="47"/>
      <c r="R146" s="19"/>
      <c r="S146" s="19"/>
      <c r="T146" s="19"/>
      <c r="U146" s="19"/>
      <c r="V146" s="19"/>
      <c r="W146" s="14"/>
      <c r="X146" s="14"/>
      <c r="Y146" s="14"/>
      <c r="Z146" s="14"/>
      <c r="AA146" s="19"/>
      <c r="AB146" s="19"/>
      <c r="AC146" s="19"/>
      <c r="AD146" s="19"/>
      <c r="AE146" s="19"/>
      <c r="AF146" s="47"/>
      <c r="AG146" s="19"/>
      <c r="AH146" s="19"/>
      <c r="AI146" s="19"/>
      <c r="AJ146" s="19"/>
      <c r="AK146" s="19"/>
      <c r="AL146" s="14"/>
      <c r="AM146" s="14"/>
      <c r="AN146" s="14"/>
      <c r="AO146" s="14"/>
      <c r="AP146" s="19"/>
      <c r="AQ146" s="19"/>
      <c r="AR146" s="19"/>
      <c r="AS146" s="19"/>
      <c r="AT146" s="19"/>
      <c r="AU146" s="47"/>
      <c r="AV146" s="14"/>
      <c r="AW146" s="19"/>
      <c r="AX146" s="19"/>
      <c r="AY146" s="19"/>
      <c r="AZ146" s="19"/>
      <c r="BA146" s="14"/>
      <c r="BB146" s="14"/>
      <c r="BC146" s="14"/>
      <c r="BD146" s="14"/>
      <c r="BE146" s="19"/>
      <c r="BF146" s="19"/>
      <c r="BG146" s="19"/>
      <c r="BH146" s="19"/>
      <c r="BI146" s="19"/>
      <c r="BJ146" s="47"/>
      <c r="BK146" s="19"/>
      <c r="BL146" s="19"/>
      <c r="BM146" s="19"/>
      <c r="BN146" s="19"/>
      <c r="BO146" s="19"/>
      <c r="BP146" s="14"/>
      <c r="BQ146" s="14"/>
      <c r="BR146" s="14"/>
      <c r="BS146" s="14"/>
      <c r="BT146" s="19"/>
      <c r="BU146" s="19"/>
      <c r="BV146" s="19"/>
      <c r="BW146" s="19"/>
      <c r="BX146" s="19"/>
      <c r="BY146" s="47"/>
      <c r="BZ146" s="14"/>
      <c r="CA146" s="140" t="s">
        <v>338</v>
      </c>
      <c r="CB146" s="27">
        <f>COUNTIFS(S26_stakeholder_category,"NB",Response_Q161_3,"&lt;&gt;0",Response_Q156_1,"&lt;&gt;0")</f>
        <v>2</v>
      </c>
      <c r="CC146" s="37">
        <f>COUNTIFS(S26_stakeholder_category,"NB",Response_Q161_3,1,Response_Q156_1,"&lt;&gt;0")</f>
        <v>0</v>
      </c>
      <c r="CD146" s="37">
        <f>COUNTIFS(S26_stakeholder_category,"NB",Response_Q161_3,2,Response_Q156_1,"&lt;&gt;0")</f>
        <v>2</v>
      </c>
      <c r="CE146" s="37">
        <f>COUNTIFS(S26_stakeholder_category,"NB",Response_Q161_3,3,Response_Q156_1,"&lt;&gt;0")</f>
        <v>0</v>
      </c>
      <c r="CF146" s="97">
        <f>IF(CB139=0,0,SUMPRODUCT(CC146:CE146,Rank_score)/$CB139)</f>
        <v>2</v>
      </c>
      <c r="CG146" s="14"/>
      <c r="CH146" s="140" t="s">
        <v>338</v>
      </c>
      <c r="CI146" s="27">
        <f t="shared" ref="CI146:CN146" si="92">COUNTIFS(S26_stakeholder_category,"NB",Response_Q161_3,"&lt;&gt;0",Response_Q161_4,CI$63,Response_Q156_1,"&lt;&gt;0")</f>
        <v>1</v>
      </c>
      <c r="CJ146" s="27">
        <f t="shared" si="92"/>
        <v>0</v>
      </c>
      <c r="CK146" s="27">
        <f t="shared" si="92"/>
        <v>0</v>
      </c>
      <c r="CL146" s="27">
        <f t="shared" si="92"/>
        <v>0</v>
      </c>
      <c r="CM146" s="27">
        <f t="shared" si="92"/>
        <v>0</v>
      </c>
      <c r="CN146" s="27">
        <f t="shared" si="92"/>
        <v>0</v>
      </c>
      <c r="CO146" s="141">
        <f t="shared" si="89"/>
        <v>1</v>
      </c>
      <c r="CP146" s="14"/>
      <c r="CQ146" s="47"/>
      <c r="CR146" s="14"/>
      <c r="CS146" s="140" t="s">
        <v>338</v>
      </c>
      <c r="CT146" s="27">
        <f>COUNTIFS(S26_stakeholder_category,"NB",Response_Q162_3,"&lt;&gt;0",Response_Q157_1,"&lt;&gt;0")</f>
        <v>2</v>
      </c>
      <c r="CU146" s="37">
        <f>COUNTIFS(S26_stakeholder_category,"NB",Response_Q162_3,1,Response_Q157_1,"&lt;&gt;0")</f>
        <v>0</v>
      </c>
      <c r="CV146" s="37">
        <f>COUNTIFS(S26_stakeholder_category,"NB",Response_Q162_3,2,Response_Q157_1,"&lt;&gt;0")</f>
        <v>0</v>
      </c>
      <c r="CW146" s="37">
        <f>COUNTIFS(S26_stakeholder_category,"NB",Response_Q162_3,3,Response_Q157_1,"&lt;&gt;0")</f>
        <v>2</v>
      </c>
      <c r="CX146" s="37">
        <f>IF(CT139=0,0,SUMPRODUCT(CU146:CW146,Rank_score)/CT$58)</f>
        <v>0.66666666666666663</v>
      </c>
      <c r="CY146" s="14"/>
      <c r="CZ146" s="140" t="s">
        <v>338</v>
      </c>
      <c r="DA146" s="27">
        <f t="shared" ref="DA146:DF146" si="93">COUNTIFS(S26_stakeholder_category,"NB",Response_Q162_3,"&lt;&gt;0",Response_Q162_4,DA$63,Response_Q157_1,"&lt;&gt;0")</f>
        <v>0</v>
      </c>
      <c r="DB146" s="27">
        <f t="shared" si="93"/>
        <v>0</v>
      </c>
      <c r="DC146" s="27">
        <f t="shared" si="93"/>
        <v>0</v>
      </c>
      <c r="DD146" s="27">
        <f t="shared" si="93"/>
        <v>0</v>
      </c>
      <c r="DE146" s="27">
        <f t="shared" si="93"/>
        <v>0</v>
      </c>
      <c r="DF146" s="27">
        <f t="shared" si="93"/>
        <v>0</v>
      </c>
      <c r="DG146" s="141" t="str">
        <f t="shared" si="91"/>
        <v>Ranked, but likelihood not estimated</v>
      </c>
      <c r="DH146" s="14"/>
      <c r="DI146" s="47"/>
      <c r="DJ146" s="14"/>
      <c r="DK146" s="56"/>
      <c r="DL146" s="29"/>
      <c r="DM146" s="59"/>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row>
    <row r="147" spans="1:142" x14ac:dyDescent="0.25">
      <c r="A147" s="14"/>
      <c r="B147" s="62"/>
      <c r="C147" s="19"/>
      <c r="D147" s="59"/>
      <c r="E147" s="14"/>
      <c r="F147" s="14"/>
      <c r="G147" s="14"/>
      <c r="H147" s="21"/>
      <c r="I147" s="21"/>
      <c r="J147" s="14"/>
      <c r="K147" s="14"/>
      <c r="L147" s="14"/>
      <c r="M147" s="14"/>
      <c r="N147" s="14"/>
      <c r="O147" s="14"/>
      <c r="P147" s="14"/>
      <c r="Q147" s="47"/>
      <c r="R147" s="19"/>
      <c r="S147" s="19"/>
      <c r="T147" s="19"/>
      <c r="U147" s="19"/>
      <c r="V147" s="19"/>
      <c r="W147" s="14"/>
      <c r="X147" s="14"/>
      <c r="Y147" s="14"/>
      <c r="Z147" s="13"/>
      <c r="AA147" s="13"/>
      <c r="AB147" s="13"/>
      <c r="AC147" s="13"/>
      <c r="AD147" s="13"/>
      <c r="AE147" s="13"/>
      <c r="AF147" s="47"/>
      <c r="AG147" s="19"/>
      <c r="AH147" s="19"/>
      <c r="AI147" s="19"/>
      <c r="AJ147" s="19"/>
      <c r="AK147" s="19"/>
      <c r="AL147" s="14"/>
      <c r="AM147" s="14"/>
      <c r="AN147" s="14"/>
      <c r="AO147" s="13"/>
      <c r="AP147" s="13"/>
      <c r="AQ147" s="13"/>
      <c r="AR147" s="13"/>
      <c r="AS147" s="13"/>
      <c r="AT147" s="13"/>
      <c r="AU147" s="47"/>
      <c r="AV147" s="14"/>
      <c r="AW147" s="19"/>
      <c r="AX147" s="19"/>
      <c r="AY147" s="19"/>
      <c r="AZ147" s="19"/>
      <c r="BA147" s="14"/>
      <c r="BB147" s="14"/>
      <c r="BC147" s="14"/>
      <c r="BD147" s="13"/>
      <c r="BE147" s="13"/>
      <c r="BF147" s="13"/>
      <c r="BG147" s="13"/>
      <c r="BH147" s="13"/>
      <c r="BI147" s="13"/>
      <c r="BJ147" s="47"/>
      <c r="BK147" s="19"/>
      <c r="BL147" s="19"/>
      <c r="BM147" s="19"/>
      <c r="BN147" s="19"/>
      <c r="BO147" s="19"/>
      <c r="BP147" s="14"/>
      <c r="BQ147" s="14"/>
      <c r="BR147" s="14"/>
      <c r="BS147" s="13"/>
      <c r="BT147" s="13"/>
      <c r="BU147" s="13"/>
      <c r="BV147" s="13"/>
      <c r="BW147" s="13"/>
      <c r="BX147" s="13"/>
      <c r="BY147" s="47"/>
      <c r="BZ147" s="14"/>
      <c r="CA147" s="140" t="s">
        <v>340</v>
      </c>
      <c r="CB147" s="27">
        <f>COUNTIFS(S26_stakeholder_category,"NB",Response_Q161_5,"&lt;&gt;0",Response_Q156_1,"&lt;&gt;0")</f>
        <v>2</v>
      </c>
      <c r="CC147" s="37">
        <f>COUNTIFS(S26_stakeholder_category,"NB",Response_Q161_5,1,Response_Q156_1,"&lt;&gt;0")</f>
        <v>0</v>
      </c>
      <c r="CD147" s="37">
        <f>COUNTIFS(S26_stakeholder_category,"NB",Response_Q161_5,2,Response_Q156_1,"&lt;&gt;0")</f>
        <v>0</v>
      </c>
      <c r="CE147" s="37">
        <f>COUNTIFS(S26_stakeholder_category,"NB",Response_Q161_5,3,Response_Q156_1,"&lt;&gt;0")</f>
        <v>2</v>
      </c>
      <c r="CF147" s="97">
        <f>IF(CB139=0,0,SUMPRODUCT(CC147:CE147,Rank_score)/$CB139)</f>
        <v>1</v>
      </c>
      <c r="CG147" s="14"/>
      <c r="CH147" s="140" t="s">
        <v>340</v>
      </c>
      <c r="CI147" s="27">
        <f t="shared" ref="CI147:CN147" si="94">COUNTIFS(S26_stakeholder_category,"NB",Response_Q161_5,"&lt;&gt;0",Response_Q161_6,CI$63,Response_Q156_1,"&lt;&gt;0")</f>
        <v>0</v>
      </c>
      <c r="CJ147" s="27">
        <f t="shared" si="94"/>
        <v>0</v>
      </c>
      <c r="CK147" s="27">
        <f t="shared" si="94"/>
        <v>0</v>
      </c>
      <c r="CL147" s="27">
        <f t="shared" si="94"/>
        <v>0</v>
      </c>
      <c r="CM147" s="27">
        <f t="shared" si="94"/>
        <v>0</v>
      </c>
      <c r="CN147" s="27">
        <f t="shared" si="94"/>
        <v>0</v>
      </c>
      <c r="CO147" s="141" t="str">
        <f t="shared" si="89"/>
        <v>Ranked, but likelihood not estimated</v>
      </c>
      <c r="CP147" s="14"/>
      <c r="CQ147" s="47"/>
      <c r="CR147" s="14"/>
      <c r="CS147" s="140" t="s">
        <v>159</v>
      </c>
      <c r="CT147" s="27">
        <f>COUNTIFS(S26_stakeholder_category,"NB",Response_Q162_5,"&lt;&gt;0",Response_Q157_1,"&lt;&gt;0")</f>
        <v>0</v>
      </c>
      <c r="CU147" s="37">
        <f>COUNTIFS(S26_stakeholder_category,"NB",Response_Q162_5,1,Response_Q157_1,"&lt;&gt;0")</f>
        <v>0</v>
      </c>
      <c r="CV147" s="37">
        <f>COUNTIFS(S26_stakeholder_category,"NB",Response_Q162_5,2,Response_Q157_1,"&lt;&gt;0")</f>
        <v>0</v>
      </c>
      <c r="CW147" s="37">
        <f>COUNTIFS(S26_stakeholder_category,"NB",Response_Q162_5,3,Response_Q157_1,"&lt;&gt;0")</f>
        <v>0</v>
      </c>
      <c r="CX147" s="37">
        <f>IF(CT139=0,0,SUMPRODUCT(CU147:CW147,Rank_score)/CT$58)</f>
        <v>0</v>
      </c>
      <c r="CY147" s="14"/>
      <c r="CZ147" s="140" t="s">
        <v>159</v>
      </c>
      <c r="DA147" s="27">
        <f t="shared" ref="DA147:DF147" si="95">COUNTIFS(S26_stakeholder_category,"NB",Response_Q162_5,"&lt;&gt;0",Response_Q162_6,DA$63,Response_Q157_1,"&lt;&gt;0")</f>
        <v>0</v>
      </c>
      <c r="DB147" s="27">
        <f t="shared" si="95"/>
        <v>0</v>
      </c>
      <c r="DC147" s="27">
        <f t="shared" si="95"/>
        <v>0</v>
      </c>
      <c r="DD147" s="27">
        <f t="shared" si="95"/>
        <v>0</v>
      </c>
      <c r="DE147" s="27">
        <f t="shared" si="95"/>
        <v>0</v>
      </c>
      <c r="DF147" s="27">
        <f t="shared" si="95"/>
        <v>0</v>
      </c>
      <c r="DG147" s="141" t="str">
        <f t="shared" si="91"/>
        <v>Factor not ranked</v>
      </c>
      <c r="DH147" s="14"/>
      <c r="DI147" s="47"/>
      <c r="DJ147" s="14"/>
      <c r="DK147" s="56"/>
      <c r="DL147" s="19"/>
      <c r="DM147" s="59"/>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row>
    <row r="148" spans="1:142" x14ac:dyDescent="0.25">
      <c r="A148" s="14"/>
      <c r="B148" s="62"/>
      <c r="C148" s="19"/>
      <c r="D148" s="59"/>
      <c r="E148" s="14"/>
      <c r="F148" s="14"/>
      <c r="G148" s="14"/>
      <c r="H148" s="21"/>
      <c r="I148" s="21"/>
      <c r="J148" s="14"/>
      <c r="K148" s="14"/>
      <c r="L148" s="14"/>
      <c r="M148" s="14"/>
      <c r="N148" s="14"/>
      <c r="O148" s="14"/>
      <c r="P148" s="14"/>
      <c r="Q148" s="47"/>
      <c r="R148" s="19"/>
      <c r="S148" s="19"/>
      <c r="T148" s="14"/>
      <c r="U148" s="14"/>
      <c r="V148" s="14"/>
      <c r="W148" s="14"/>
      <c r="X148" s="14"/>
      <c r="Y148" s="14"/>
      <c r="Z148" s="14"/>
      <c r="AA148" s="14"/>
      <c r="AB148" s="14"/>
      <c r="AC148" s="14"/>
      <c r="AD148" s="14"/>
      <c r="AE148" s="14"/>
      <c r="AF148" s="47"/>
      <c r="AG148" s="19"/>
      <c r="AH148" s="19"/>
      <c r="AI148" s="14"/>
      <c r="AJ148" s="14"/>
      <c r="AK148" s="14"/>
      <c r="AL148" s="14"/>
      <c r="AM148" s="14"/>
      <c r="AN148" s="14"/>
      <c r="AO148" s="14"/>
      <c r="AP148" s="14"/>
      <c r="AQ148" s="14"/>
      <c r="AR148" s="14"/>
      <c r="AS148" s="14"/>
      <c r="AT148" s="14"/>
      <c r="AU148" s="47"/>
      <c r="AV148" s="14"/>
      <c r="AW148" s="19"/>
      <c r="AX148" s="14"/>
      <c r="AY148" s="14"/>
      <c r="AZ148" s="14"/>
      <c r="BA148" s="14"/>
      <c r="BB148" s="14"/>
      <c r="BC148" s="14"/>
      <c r="BD148" s="14"/>
      <c r="BE148" s="14"/>
      <c r="BF148" s="14"/>
      <c r="BG148" s="14"/>
      <c r="BH148" s="14"/>
      <c r="BI148" s="14"/>
      <c r="BJ148" s="47"/>
      <c r="BK148" s="19"/>
      <c r="BL148" s="19"/>
      <c r="BM148" s="14"/>
      <c r="BN148" s="14"/>
      <c r="BO148" s="14"/>
      <c r="BP148" s="14"/>
      <c r="BQ148" s="14"/>
      <c r="BR148" s="14"/>
      <c r="BS148" s="14"/>
      <c r="BT148" s="14"/>
      <c r="BU148" s="14"/>
      <c r="BV148" s="14"/>
      <c r="BW148" s="14"/>
      <c r="BX148" s="14"/>
      <c r="BY148" s="47"/>
      <c r="BZ148" s="14"/>
      <c r="CA148" s="140" t="s">
        <v>341</v>
      </c>
      <c r="CB148" s="27">
        <f>COUNTIFS(S26_stakeholder_category,"NB",Response_Q161_7,"&lt;&gt;0",Response_Q156_1,"&lt;&gt;0")</f>
        <v>0</v>
      </c>
      <c r="CC148" s="37">
        <f>COUNTIFS(S26_stakeholder_category,"NB",Response_Q161_7,1,Response_Q156_1,"&lt;&gt;0")</f>
        <v>0</v>
      </c>
      <c r="CD148" s="37">
        <f>COUNTIFS(S26_stakeholder_category,"NB",Response_Q161_7,2,Response_Q156_1,"&lt;&gt;0")</f>
        <v>0</v>
      </c>
      <c r="CE148" s="37">
        <f>COUNTIFS(S26_stakeholder_category,"NB",Response_Q161_7,3,Response_Q156_1,"&lt;&gt;0")</f>
        <v>0</v>
      </c>
      <c r="CF148" s="97">
        <f>IF(CB139=0,0,SUMPRODUCT(CC148:CE148,Rank_score)/$CB139)</f>
        <v>0</v>
      </c>
      <c r="CG148" s="14"/>
      <c r="CH148" s="140" t="s">
        <v>341</v>
      </c>
      <c r="CI148" s="27">
        <f t="shared" ref="CI148:CN148" si="96">COUNTIFS(S26_stakeholder_category,"NB",Response_Q161_7,"&lt;&gt;0",Response_Q161_8,CI$63,Response_Q156_1,"&lt;&gt;0")</f>
        <v>0</v>
      </c>
      <c r="CJ148" s="27">
        <f t="shared" si="96"/>
        <v>0</v>
      </c>
      <c r="CK148" s="27">
        <f t="shared" si="96"/>
        <v>0</v>
      </c>
      <c r="CL148" s="27">
        <f t="shared" si="96"/>
        <v>0</v>
      </c>
      <c r="CM148" s="27">
        <f t="shared" si="96"/>
        <v>0</v>
      </c>
      <c r="CN148" s="27">
        <f t="shared" si="96"/>
        <v>0</v>
      </c>
      <c r="CO148" s="141" t="str">
        <f t="shared" si="89"/>
        <v>Factor not ranked</v>
      </c>
      <c r="CP148" s="14"/>
      <c r="CQ148" s="47"/>
      <c r="CR148" s="14"/>
      <c r="CS148" s="140" t="s">
        <v>345</v>
      </c>
      <c r="CT148" s="27">
        <f>COUNTIFS(S26_stakeholder_category,"NB",Response_Q162_7,"&lt;&gt;0",Response_Q157_1,"&lt;&gt;0")</f>
        <v>0</v>
      </c>
      <c r="CU148" s="37">
        <f>COUNTIFS(S26_stakeholder_category,"NB",Response_Q162_7,1,Response_Q157_1,"&lt;&gt;0")</f>
        <v>0</v>
      </c>
      <c r="CV148" s="37">
        <f>COUNTIFS(S26_stakeholder_category,"NB",Response_Q162_7,2,Response_Q157_1,"&lt;&gt;0")</f>
        <v>0</v>
      </c>
      <c r="CW148" s="37">
        <f>COUNTIFS(S26_stakeholder_category,"NB",Response_Q162_7,3,Response_Q157_1,"&lt;&gt;0")</f>
        <v>0</v>
      </c>
      <c r="CX148" s="37">
        <f>IF(CT139=0,0,SUMPRODUCT(CU148:CW148,Rank_score)/CT$58)</f>
        <v>0</v>
      </c>
      <c r="CY148" s="14"/>
      <c r="CZ148" s="140" t="s">
        <v>345</v>
      </c>
      <c r="DA148" s="27">
        <f t="shared" ref="DA148:DF148" si="97">COUNTIFS(S26_stakeholder_category,"NB",Response_Q162_7,"&lt;&gt;0",Response_Q162_8,DA$63,Response_Q157_1,"&lt;&gt;0")</f>
        <v>0</v>
      </c>
      <c r="DB148" s="27">
        <f t="shared" si="97"/>
        <v>0</v>
      </c>
      <c r="DC148" s="27">
        <f t="shared" si="97"/>
        <v>0</v>
      </c>
      <c r="DD148" s="27">
        <f t="shared" si="97"/>
        <v>0</v>
      </c>
      <c r="DE148" s="27">
        <f t="shared" si="97"/>
        <v>0</v>
      </c>
      <c r="DF148" s="27">
        <f t="shared" si="97"/>
        <v>0</v>
      </c>
      <c r="DG148" s="141" t="str">
        <f t="shared" si="91"/>
        <v>Factor not ranked</v>
      </c>
      <c r="DH148" s="14"/>
      <c r="DI148" s="47"/>
      <c r="DJ148" s="14"/>
      <c r="DK148" s="14"/>
      <c r="DL148" s="19"/>
      <c r="DM148" s="59"/>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row>
    <row r="149" spans="1:142" x14ac:dyDescent="0.25">
      <c r="A149" s="14"/>
      <c r="B149" s="19"/>
      <c r="C149" s="19"/>
      <c r="D149" s="59"/>
      <c r="E149" s="14"/>
      <c r="F149" s="14"/>
      <c r="G149" s="14"/>
      <c r="H149" s="21"/>
      <c r="I149" s="21"/>
      <c r="J149" s="14"/>
      <c r="K149" s="14"/>
      <c r="L149" s="14"/>
      <c r="M149" s="14"/>
      <c r="N149" s="14"/>
      <c r="O149" s="14"/>
      <c r="P149" s="14"/>
      <c r="Q149" s="47"/>
      <c r="R149" s="19"/>
      <c r="S149" s="19"/>
      <c r="T149" s="19"/>
      <c r="U149" s="15"/>
      <c r="V149" s="14"/>
      <c r="W149" s="14"/>
      <c r="X149" s="14"/>
      <c r="Y149" s="14"/>
      <c r="Z149" s="14"/>
      <c r="AA149" s="14"/>
      <c r="AB149" s="14"/>
      <c r="AC149" s="14"/>
      <c r="AD149" s="14"/>
      <c r="AE149" s="14"/>
      <c r="AF149" s="47"/>
      <c r="AG149" s="19"/>
      <c r="AH149" s="19"/>
      <c r="AI149" s="19"/>
      <c r="AJ149" s="15"/>
      <c r="AK149" s="14"/>
      <c r="AL149" s="14"/>
      <c r="AM149" s="14"/>
      <c r="AN149" s="14"/>
      <c r="AO149" s="14"/>
      <c r="AP149" s="14"/>
      <c r="AQ149" s="14"/>
      <c r="AR149" s="14"/>
      <c r="AS149" s="14"/>
      <c r="AT149" s="14"/>
      <c r="AU149" s="47"/>
      <c r="AV149" s="14"/>
      <c r="AW149" s="19"/>
      <c r="AX149" s="19"/>
      <c r="AY149" s="15"/>
      <c r="AZ149" s="14"/>
      <c r="BA149" s="14"/>
      <c r="BB149" s="14"/>
      <c r="BC149" s="14"/>
      <c r="BD149" s="14"/>
      <c r="BE149" s="14"/>
      <c r="BF149" s="14"/>
      <c r="BG149" s="14"/>
      <c r="BH149" s="14"/>
      <c r="BI149" s="14"/>
      <c r="BJ149" s="47"/>
      <c r="BK149" s="19"/>
      <c r="BL149" s="19"/>
      <c r="BM149" s="19"/>
      <c r="BN149" s="15"/>
      <c r="BO149" s="14"/>
      <c r="BP149" s="14"/>
      <c r="BQ149" s="14"/>
      <c r="BR149" s="14"/>
      <c r="BS149" s="14"/>
      <c r="BT149" s="14"/>
      <c r="BU149" s="14"/>
      <c r="BV149" s="14"/>
      <c r="BW149" s="14"/>
      <c r="BX149" s="14"/>
      <c r="BY149" s="47"/>
      <c r="BZ149" s="14"/>
      <c r="CA149" s="140" t="s">
        <v>462</v>
      </c>
      <c r="CB149" s="27">
        <f>COUNTIFS(S26_stakeholder_category,"NB",Response_Q161_9,"&lt;&gt;0",Response_Q156_1,"&lt;&gt;0")</f>
        <v>0</v>
      </c>
      <c r="CC149" s="37">
        <f>COUNTIFS(S26_stakeholder_category,"NB",Response_Q161_9,1,Response_Q156_1,"&lt;&gt;0")</f>
        <v>0</v>
      </c>
      <c r="CD149" s="37">
        <f>COUNTIFS(S26_stakeholder_category,"NB",Response_Q161_9,2,Response_Q156_1,"&lt;&gt;0")</f>
        <v>0</v>
      </c>
      <c r="CE149" s="37">
        <f>COUNTIFS(S26_stakeholder_category,"NB",Response_Q161_9,3,Response_Q156_1,"&lt;&gt;0")</f>
        <v>0</v>
      </c>
      <c r="CF149" s="97">
        <f>IF(CB139=0,0,SUMPRODUCT(CC149:CE149,Rank_score)/$CB139)</f>
        <v>0</v>
      </c>
      <c r="CG149" s="14"/>
      <c r="CH149" s="140" t="s">
        <v>462</v>
      </c>
      <c r="CI149" s="27">
        <f t="shared" ref="CI149:CN149" si="98">COUNTIFS(S26_stakeholder_category,"NB",Response_Q161_9,"&lt;&gt;0",Response_Q161_10,CI$63,Response_Q156_1,"&lt;&gt;0")</f>
        <v>0</v>
      </c>
      <c r="CJ149" s="27">
        <f t="shared" si="98"/>
        <v>0</v>
      </c>
      <c r="CK149" s="27">
        <f t="shared" si="98"/>
        <v>0</v>
      </c>
      <c r="CL149" s="27">
        <f t="shared" si="98"/>
        <v>0</v>
      </c>
      <c r="CM149" s="27">
        <f t="shared" si="98"/>
        <v>0</v>
      </c>
      <c r="CN149" s="27">
        <f t="shared" si="98"/>
        <v>0</v>
      </c>
      <c r="CO149" s="141" t="str">
        <f t="shared" si="89"/>
        <v>Factor not ranked</v>
      </c>
      <c r="CP149" s="14"/>
      <c r="CQ149" s="47"/>
      <c r="CR149" s="14"/>
      <c r="CS149" s="140" t="s">
        <v>342</v>
      </c>
      <c r="CT149" s="27">
        <f>COUNTIFS(S26_stakeholder_category,"NB",Response_Q162_9,"&lt;&gt;0",Response_Q157_1,"&lt;&gt;0")</f>
        <v>0</v>
      </c>
      <c r="CU149" s="37">
        <f>COUNTIFS(S26_stakeholder_category,"NB",Response_Q162_9,1,Response_Q157_1,"&lt;&gt;0")</f>
        <v>0</v>
      </c>
      <c r="CV149" s="37">
        <f>COUNTIFS(S26_stakeholder_category,"NB",Response_Q162_9,2,Response_Q157_1,"&lt;&gt;0")</f>
        <v>0</v>
      </c>
      <c r="CW149" s="37">
        <f>COUNTIFS(S26_stakeholder_category,"NB",Response_Q162_9,3,Response_Q157_1,"&lt;&gt;0")</f>
        <v>0</v>
      </c>
      <c r="CX149" s="37">
        <f>IF(CT139=0,0,SUMPRODUCT(CU149:CW149,Rank_score)/CT$58)</f>
        <v>0</v>
      </c>
      <c r="CY149" s="14"/>
      <c r="CZ149" s="140" t="s">
        <v>342</v>
      </c>
      <c r="DA149" s="27">
        <f t="shared" ref="DA149:DF149" si="99">COUNTIFS(S26_stakeholder_category,"NB",Response_Q162_9,"&lt;&gt;0",Response_Q162_10,DA$63,Response_Q157_1,"&lt;&gt;0")</f>
        <v>0</v>
      </c>
      <c r="DB149" s="27">
        <f t="shared" si="99"/>
        <v>0</v>
      </c>
      <c r="DC149" s="27">
        <f t="shared" si="99"/>
        <v>0</v>
      </c>
      <c r="DD149" s="27">
        <f t="shared" si="99"/>
        <v>0</v>
      </c>
      <c r="DE149" s="27">
        <f t="shared" si="99"/>
        <v>0</v>
      </c>
      <c r="DF149" s="27">
        <f t="shared" si="99"/>
        <v>0</v>
      </c>
      <c r="DG149" s="141" t="str">
        <f t="shared" si="91"/>
        <v>Factor not ranked</v>
      </c>
      <c r="DH149" s="14"/>
      <c r="DI149" s="47"/>
      <c r="DJ149" s="14"/>
      <c r="DK149" s="14"/>
      <c r="DL149" s="19"/>
      <c r="DM149" s="59"/>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row>
    <row r="150" spans="1:142" x14ac:dyDescent="0.25">
      <c r="A150" s="14"/>
      <c r="B150" s="19"/>
      <c r="C150" s="19"/>
      <c r="D150" s="59"/>
      <c r="E150" s="14"/>
      <c r="F150" s="14"/>
      <c r="G150" s="14"/>
      <c r="H150" s="21"/>
      <c r="I150" s="21"/>
      <c r="J150" s="14"/>
      <c r="K150" s="14"/>
      <c r="L150" s="14"/>
      <c r="M150" s="14"/>
      <c r="N150" s="14"/>
      <c r="O150" s="14"/>
      <c r="P150" s="14"/>
      <c r="Q150" s="47"/>
      <c r="R150" s="19"/>
      <c r="S150" s="19"/>
      <c r="T150" s="19"/>
      <c r="U150" s="59"/>
      <c r="V150" s="14"/>
      <c r="W150" s="14"/>
      <c r="X150" s="14"/>
      <c r="Y150" s="14"/>
      <c r="Z150" s="14"/>
      <c r="AA150" s="14"/>
      <c r="AB150" s="14"/>
      <c r="AC150" s="14"/>
      <c r="AD150" s="14"/>
      <c r="AE150" s="14"/>
      <c r="AF150" s="47"/>
      <c r="AG150" s="19"/>
      <c r="AH150" s="19"/>
      <c r="AI150" s="19"/>
      <c r="AJ150" s="59"/>
      <c r="AK150" s="14"/>
      <c r="AL150" s="14"/>
      <c r="AM150" s="14"/>
      <c r="AN150" s="14"/>
      <c r="AO150" s="14"/>
      <c r="AP150" s="14"/>
      <c r="AQ150" s="14"/>
      <c r="AR150" s="14"/>
      <c r="AS150" s="14"/>
      <c r="AT150" s="14"/>
      <c r="AU150" s="47"/>
      <c r="AV150" s="14"/>
      <c r="AW150" s="19"/>
      <c r="AX150" s="19"/>
      <c r="AY150" s="59"/>
      <c r="AZ150" s="14"/>
      <c r="BA150" s="14"/>
      <c r="BB150" s="14"/>
      <c r="BC150" s="14"/>
      <c r="BD150" s="14"/>
      <c r="BE150" s="14"/>
      <c r="BF150" s="14"/>
      <c r="BG150" s="14"/>
      <c r="BH150" s="14"/>
      <c r="BI150" s="14"/>
      <c r="BJ150" s="47"/>
      <c r="BK150" s="19"/>
      <c r="BL150" s="19"/>
      <c r="BM150" s="19"/>
      <c r="BN150" s="59"/>
      <c r="BO150" s="14"/>
      <c r="BP150" s="14"/>
      <c r="BQ150" s="14"/>
      <c r="BR150" s="14"/>
      <c r="BS150" s="14"/>
      <c r="BT150" s="14"/>
      <c r="BU150" s="14"/>
      <c r="BV150" s="14"/>
      <c r="BW150" s="14"/>
      <c r="BX150" s="14"/>
      <c r="BY150" s="47"/>
      <c r="BZ150" s="14"/>
      <c r="CA150" s="106" t="s">
        <v>49</v>
      </c>
      <c r="CB150" s="27">
        <f>COUNTIFS(S26_stakeholder_category,"NB",Response_Q161_11,"&lt;&gt;0",Response_Q156_1,"&lt;&gt;0")</f>
        <v>0</v>
      </c>
      <c r="CC150" s="37">
        <f>COUNTIFS(S26_stakeholder_category,"NB",Response_Q161_11,1,Response_Q156_1,"&lt;&gt;0")</f>
        <v>0</v>
      </c>
      <c r="CD150" s="37">
        <f>COUNTIFS(S26_stakeholder_category,"NB",Response_Q161_11,2,Response_Q156_1,"&lt;&gt;0")</f>
        <v>0</v>
      </c>
      <c r="CE150" s="37">
        <f>COUNTIFS(S26_stakeholder_category,"NB",Response_Q161_11,3,Response_Q156_1,"&lt;&gt;0")</f>
        <v>0</v>
      </c>
      <c r="CF150" s="97">
        <f>IF(CB139=0,0,SUMPRODUCT(CC150:CE150,Rank_score)/$CB139)</f>
        <v>0</v>
      </c>
      <c r="CG150" s="43"/>
      <c r="CH150" s="106" t="s">
        <v>49</v>
      </c>
      <c r="CI150" s="27">
        <f t="shared" ref="CI150:CN150" si="100">COUNTIFS(S26_stakeholder_category,"NB",Response_Q161_11,"&lt;&gt;0",Response_Q161_12,CI$63,Response_Q156_1,"&lt;&gt;0")</f>
        <v>0</v>
      </c>
      <c r="CJ150" s="27">
        <f t="shared" si="100"/>
        <v>0</v>
      </c>
      <c r="CK150" s="27">
        <f t="shared" si="100"/>
        <v>0</v>
      </c>
      <c r="CL150" s="27">
        <f t="shared" si="100"/>
        <v>0</v>
      </c>
      <c r="CM150" s="27">
        <f t="shared" si="100"/>
        <v>0</v>
      </c>
      <c r="CN150" s="27">
        <f t="shared" si="100"/>
        <v>0</v>
      </c>
      <c r="CO150" s="141" t="str">
        <f t="shared" si="89"/>
        <v>Factor not ranked</v>
      </c>
      <c r="CP150" s="14"/>
      <c r="CQ150" s="47"/>
      <c r="CR150" s="14"/>
      <c r="CS150" s="106" t="s">
        <v>49</v>
      </c>
      <c r="CT150" s="27">
        <f>COUNTIFS(S26_stakeholder_category,"NB",Response_Q162_11,"&lt;&gt;0",Response_Q157_1,"&lt;&gt;0")</f>
        <v>2</v>
      </c>
      <c r="CU150" s="37">
        <f>COUNTIFS(S26_stakeholder_category,"NB",Response_Q162_11,1,Response_Q157_1,"&lt;&gt;0")</f>
        <v>0</v>
      </c>
      <c r="CV150" s="37">
        <f>COUNTIFS(S26_stakeholder_category,"NB",Response_Q162_11,2,Response_Q157_1,"&lt;&gt;0")</f>
        <v>2</v>
      </c>
      <c r="CW150" s="37">
        <f>COUNTIFS(S26_stakeholder_category,"NB",Response_Q162_11,3,Response_Q157_1,"&lt;&gt;0")</f>
        <v>0</v>
      </c>
      <c r="CX150" s="37">
        <f>IF(CT139=0,0,SUMPRODUCT(CU150:CW150,Rank_score)/CT$58)</f>
        <v>1.3333333333333333</v>
      </c>
      <c r="CY150" s="43"/>
      <c r="CZ150" s="106" t="s">
        <v>49</v>
      </c>
      <c r="DA150" s="27">
        <f t="shared" ref="DA150:DF150" si="101">COUNTIFS(S26_stakeholder_category,"NB",Response_Q162_11,"&lt;&gt;0",Response_Q162_12,DA$63,Response_Q157_1,"&lt;&gt;0")</f>
        <v>0</v>
      </c>
      <c r="DB150" s="27">
        <f t="shared" si="101"/>
        <v>0</v>
      </c>
      <c r="DC150" s="27">
        <f t="shared" si="101"/>
        <v>0</v>
      </c>
      <c r="DD150" s="27">
        <f t="shared" si="101"/>
        <v>0</v>
      </c>
      <c r="DE150" s="27">
        <f t="shared" si="101"/>
        <v>0</v>
      </c>
      <c r="DF150" s="27">
        <f t="shared" si="101"/>
        <v>0</v>
      </c>
      <c r="DG150" s="141" t="str">
        <f t="shared" si="91"/>
        <v>Ranked, but likelihood not estimated</v>
      </c>
      <c r="DH150" s="14"/>
      <c r="DI150" s="47"/>
      <c r="DJ150" s="14"/>
      <c r="DK150" s="14"/>
      <c r="DL150" s="19"/>
      <c r="DM150" s="59"/>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row>
    <row r="151" spans="1:142" x14ac:dyDescent="0.25">
      <c r="A151" s="14"/>
      <c r="B151" s="56"/>
      <c r="C151" s="29"/>
      <c r="D151" s="59"/>
      <c r="E151" s="14"/>
      <c r="F151" s="14"/>
      <c r="G151" s="14"/>
      <c r="H151" s="21"/>
      <c r="I151" s="21"/>
      <c r="J151" s="14"/>
      <c r="K151" s="14"/>
      <c r="L151" s="14"/>
      <c r="M151" s="14"/>
      <c r="N151" s="14"/>
      <c r="O151" s="14"/>
      <c r="P151" s="14"/>
      <c r="Q151" s="47"/>
      <c r="R151" s="19"/>
      <c r="S151" s="56"/>
      <c r="T151" s="29"/>
      <c r="U151" s="27"/>
      <c r="V151" s="14"/>
      <c r="W151" s="14"/>
      <c r="X151" s="14"/>
      <c r="Y151" s="14"/>
      <c r="Z151" s="14"/>
      <c r="AA151" s="14"/>
      <c r="AB151" s="14"/>
      <c r="AC151" s="14"/>
      <c r="AD151" s="14"/>
      <c r="AE151" s="14"/>
      <c r="AF151" s="47"/>
      <c r="AG151" s="19"/>
      <c r="AH151" s="56"/>
      <c r="AI151" s="29"/>
      <c r="AJ151" s="27"/>
      <c r="AK151" s="14"/>
      <c r="AL151" s="14"/>
      <c r="AM151" s="14"/>
      <c r="AN151" s="14"/>
      <c r="AO151" s="14"/>
      <c r="AP151" s="14"/>
      <c r="AQ151" s="14"/>
      <c r="AR151" s="14"/>
      <c r="AS151" s="14"/>
      <c r="AT151" s="14"/>
      <c r="AU151" s="47"/>
      <c r="AV151" s="14"/>
      <c r="AW151" s="56"/>
      <c r="AX151" s="29"/>
      <c r="AY151" s="27"/>
      <c r="AZ151" s="14"/>
      <c r="BA151" s="14"/>
      <c r="BB151" s="14"/>
      <c r="BC151" s="14"/>
      <c r="BD151" s="14"/>
      <c r="BE151" s="14"/>
      <c r="BF151" s="14"/>
      <c r="BG151" s="14"/>
      <c r="BH151" s="14"/>
      <c r="BI151" s="14"/>
      <c r="BJ151" s="47"/>
      <c r="BK151" s="19"/>
      <c r="BL151" s="56"/>
      <c r="BM151" s="29"/>
      <c r="BN151" s="27"/>
      <c r="BO151" s="14"/>
      <c r="BP151" s="14"/>
      <c r="BQ151" s="14"/>
      <c r="BR151" s="14"/>
      <c r="BS151" s="14"/>
      <c r="BT151" s="14"/>
      <c r="BU151" s="14"/>
      <c r="BV151" s="14"/>
      <c r="BW151" s="14"/>
      <c r="BX151" s="14"/>
      <c r="BY151" s="47"/>
      <c r="BZ151" s="14"/>
      <c r="CA151" s="107"/>
      <c r="CB151" s="27"/>
      <c r="CC151" s="37"/>
      <c r="CD151" s="37"/>
      <c r="CE151" s="37"/>
      <c r="CF151" s="97"/>
      <c r="CG151" s="29"/>
      <c r="CH151" s="107"/>
      <c r="CI151" s="27"/>
      <c r="CJ151" s="27"/>
      <c r="CK151" s="27"/>
      <c r="CL151" s="27"/>
      <c r="CM151" s="27"/>
      <c r="CN151" s="27"/>
      <c r="CO151" s="141" t="str">
        <f t="shared" si="89"/>
        <v/>
      </c>
      <c r="CP151" s="14"/>
      <c r="CQ151" s="47"/>
      <c r="CR151" s="14"/>
      <c r="CS151" s="107"/>
      <c r="CT151" s="27"/>
      <c r="CU151" s="37"/>
      <c r="CV151" s="37"/>
      <c r="CW151" s="37"/>
      <c r="CX151" s="37"/>
      <c r="CY151" s="29"/>
      <c r="CZ151" s="106"/>
      <c r="DA151" s="27"/>
      <c r="DB151" s="27"/>
      <c r="DC151" s="27"/>
      <c r="DD151" s="27"/>
      <c r="DE151" s="27"/>
      <c r="DF151" s="27"/>
      <c r="DG151" s="141" t="str">
        <f t="shared" si="91"/>
        <v/>
      </c>
      <c r="DH151" s="14"/>
      <c r="DI151" s="47"/>
      <c r="DJ151" s="14"/>
      <c r="DK151" s="62"/>
      <c r="DL151" s="19"/>
      <c r="DM151" s="59"/>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row>
    <row r="152" spans="1:142" x14ac:dyDescent="0.25">
      <c r="A152" s="14"/>
      <c r="B152" s="56"/>
      <c r="C152" s="19"/>
      <c r="D152" s="59"/>
      <c r="E152" s="14"/>
      <c r="F152" s="14"/>
      <c r="G152" s="109" t="s">
        <v>14</v>
      </c>
      <c r="H152" s="110" t="s">
        <v>6</v>
      </c>
      <c r="I152" s="110" t="s">
        <v>7</v>
      </c>
      <c r="J152" s="14"/>
      <c r="K152" s="14"/>
      <c r="L152" s="14"/>
      <c r="M152" s="14"/>
      <c r="N152" s="14"/>
      <c r="O152" s="14"/>
      <c r="P152" s="14"/>
      <c r="Q152" s="47"/>
      <c r="R152" s="19"/>
      <c r="S152" s="56"/>
      <c r="T152" s="19"/>
      <c r="U152" s="27"/>
      <c r="V152" s="14"/>
      <c r="W152" s="14"/>
      <c r="X152" s="109" t="s">
        <v>14</v>
      </c>
      <c r="Y152" s="110" t="s">
        <v>6</v>
      </c>
      <c r="Z152" s="110" t="s">
        <v>7</v>
      </c>
      <c r="AA152" s="14"/>
      <c r="AB152" s="14"/>
      <c r="AC152" s="14"/>
      <c r="AD152" s="14"/>
      <c r="AE152" s="14"/>
      <c r="AF152" s="47"/>
      <c r="AG152" s="19"/>
      <c r="AH152" s="56"/>
      <c r="AI152" s="19"/>
      <c r="AJ152" s="27"/>
      <c r="AK152" s="14"/>
      <c r="AL152" s="14"/>
      <c r="AM152" s="109" t="s">
        <v>14</v>
      </c>
      <c r="AN152" s="110" t="s">
        <v>6</v>
      </c>
      <c r="AO152" s="110" t="s">
        <v>7</v>
      </c>
      <c r="AP152" s="14"/>
      <c r="AQ152" s="14"/>
      <c r="AR152" s="14"/>
      <c r="AS152" s="14"/>
      <c r="AT152" s="14"/>
      <c r="AU152" s="47"/>
      <c r="AV152" s="14"/>
      <c r="AW152" s="56"/>
      <c r="AX152" s="19"/>
      <c r="AY152" s="27"/>
      <c r="AZ152" s="14"/>
      <c r="BA152" s="14"/>
      <c r="BB152" s="109" t="s">
        <v>14</v>
      </c>
      <c r="BC152" s="110" t="s">
        <v>6</v>
      </c>
      <c r="BD152" s="110" t="s">
        <v>7</v>
      </c>
      <c r="BE152" s="14"/>
      <c r="BF152" s="14"/>
      <c r="BG152" s="14"/>
      <c r="BH152" s="14"/>
      <c r="BI152" s="14"/>
      <c r="BJ152" s="47"/>
      <c r="BK152" s="19"/>
      <c r="BL152" s="56"/>
      <c r="BM152" s="19"/>
      <c r="BN152" s="27"/>
      <c r="BO152" s="14"/>
      <c r="BP152" s="14"/>
      <c r="BQ152" s="109" t="s">
        <v>14</v>
      </c>
      <c r="BR152" s="110" t="s">
        <v>6</v>
      </c>
      <c r="BS152" s="110" t="s">
        <v>7</v>
      </c>
      <c r="BT152" s="14"/>
      <c r="BU152" s="14"/>
      <c r="BV152" s="14"/>
      <c r="BW152" s="14"/>
      <c r="BX152" s="14"/>
      <c r="BY152" s="47"/>
      <c r="BZ152" s="14"/>
      <c r="CA152" s="86"/>
      <c r="CB152" s="111"/>
      <c r="CC152" s="111"/>
      <c r="CD152" s="179"/>
      <c r="CE152" s="179"/>
      <c r="CF152" s="108"/>
      <c r="CG152" s="29"/>
      <c r="CH152" s="109"/>
      <c r="CI152" s="109"/>
      <c r="CJ152" s="109"/>
      <c r="CK152" s="109"/>
      <c r="CL152" s="109"/>
      <c r="CM152" s="109"/>
      <c r="CN152" s="109"/>
      <c r="CO152" s="329"/>
      <c r="CP152" s="14"/>
      <c r="CQ152" s="47"/>
      <c r="CR152" s="14"/>
      <c r="CS152" s="107"/>
      <c r="CT152" s="27"/>
      <c r="CU152" s="37"/>
      <c r="CV152" s="37"/>
      <c r="CW152" s="37"/>
      <c r="CX152" s="37"/>
      <c r="CY152" s="29"/>
      <c r="CZ152" s="106"/>
      <c r="DA152" s="27"/>
      <c r="DB152" s="27"/>
      <c r="DC152" s="27"/>
      <c r="DD152" s="27"/>
      <c r="DE152" s="27"/>
      <c r="DF152" s="27"/>
      <c r="DG152" s="141" t="str">
        <f t="shared" si="91"/>
        <v/>
      </c>
      <c r="DH152" s="14"/>
      <c r="DI152" s="47"/>
      <c r="DJ152" s="14"/>
      <c r="DK152" s="62"/>
      <c r="DL152" s="19"/>
      <c r="DM152" s="59"/>
      <c r="DN152" s="14"/>
      <c r="DO152" s="14"/>
      <c r="DP152" s="109" t="s">
        <v>14</v>
      </c>
      <c r="DQ152" s="110" t="s">
        <v>6</v>
      </c>
      <c r="DR152" s="110" t="s">
        <v>7</v>
      </c>
      <c r="DS152" s="14"/>
      <c r="DT152" s="14"/>
      <c r="DU152" s="14"/>
      <c r="DV152" s="14"/>
      <c r="DW152" s="14"/>
      <c r="DX152" s="14"/>
      <c r="DY152" s="14"/>
      <c r="DZ152" s="14"/>
      <c r="EA152" s="14"/>
      <c r="EB152" s="14"/>
      <c r="EC152" s="14"/>
      <c r="ED152" s="14"/>
      <c r="EE152" s="14"/>
      <c r="EF152" s="14"/>
      <c r="EG152" s="14"/>
      <c r="EH152" s="14"/>
      <c r="EI152" s="14"/>
      <c r="EJ152" s="14"/>
      <c r="EK152" s="14"/>
      <c r="EL152" s="14"/>
    </row>
    <row r="153" spans="1:142" x14ac:dyDescent="0.25">
      <c r="A153" s="14"/>
      <c r="B153" s="14"/>
      <c r="C153" s="19"/>
      <c r="D153" s="59"/>
      <c r="E153" s="14"/>
      <c r="F153" s="14"/>
      <c r="G153" s="107" t="s">
        <v>34</v>
      </c>
      <c r="H153" s="27">
        <f>COUNTIFS(S26_stakeholder_category,"NB",Response_Q156_1,G153)</f>
        <v>0</v>
      </c>
      <c r="I153" s="41">
        <f>IFERROR(H153/H$158,"")</f>
        <v>0</v>
      </c>
      <c r="J153" s="14"/>
      <c r="K153" s="14"/>
      <c r="L153" s="14"/>
      <c r="M153" s="14"/>
      <c r="N153" s="14"/>
      <c r="O153" s="14"/>
      <c r="P153" s="14"/>
      <c r="Q153" s="47"/>
      <c r="R153" s="19"/>
      <c r="S153" s="19"/>
      <c r="T153" s="19"/>
      <c r="U153" s="27"/>
      <c r="V153" s="14"/>
      <c r="W153" s="14"/>
      <c r="X153" s="107" t="s">
        <v>5</v>
      </c>
      <c r="Y153" s="27">
        <f t="shared" ref="Y153:Y159" si="102">COUNTIFS(S26_stakeholder_category,"NB",Response_Q160_1,X153)</f>
        <v>2</v>
      </c>
      <c r="Z153" s="41">
        <f t="shared" ref="Z153:Z160" si="103">IFERROR(Y153/Y$160,0)</f>
        <v>1</v>
      </c>
      <c r="AA153" s="14"/>
      <c r="AB153" s="14"/>
      <c r="AC153" s="14"/>
      <c r="AD153" s="14"/>
      <c r="AE153" s="14"/>
      <c r="AF153" s="47"/>
      <c r="AG153" s="19"/>
      <c r="AH153" s="19"/>
      <c r="AI153" s="19"/>
      <c r="AJ153" s="27"/>
      <c r="AK153" s="14"/>
      <c r="AL153" s="14"/>
      <c r="AM153" s="107" t="s">
        <v>5</v>
      </c>
      <c r="AN153" s="27">
        <f t="shared" ref="AN153:AN159" si="104">COUNTIFS(S26_stakeholder_category,"NB",Response_26_CaseA,AM153)</f>
        <v>0</v>
      </c>
      <c r="AO153" s="41">
        <f>IFERROR(AN153/AN$160,0)</f>
        <v>0</v>
      </c>
      <c r="AP153" s="14"/>
      <c r="AQ153" s="14"/>
      <c r="AR153" s="14"/>
      <c r="AS153" s="14"/>
      <c r="AT153" s="14"/>
      <c r="AU153" s="47"/>
      <c r="AV153" s="14"/>
      <c r="AW153" s="19"/>
      <c r="AX153" s="19"/>
      <c r="AY153" s="27"/>
      <c r="AZ153" s="14"/>
      <c r="BA153" s="14"/>
      <c r="BB153" s="107" t="s">
        <v>5</v>
      </c>
      <c r="BC153" s="27">
        <f t="shared" ref="BC153:BC159" si="105">COUNTIFS(S26_stakeholder_category,"NB",Response_26_CaseB,BB153)</f>
        <v>0</v>
      </c>
      <c r="BD153" s="41">
        <f>IFERROR(BC153/BC$160,0)</f>
        <v>0</v>
      </c>
      <c r="BE153" s="14"/>
      <c r="BF153" s="14"/>
      <c r="BG153" s="14"/>
      <c r="BH153" s="14"/>
      <c r="BI153" s="14"/>
      <c r="BJ153" s="47"/>
      <c r="BK153" s="19"/>
      <c r="BL153" s="19"/>
      <c r="BM153" s="19"/>
      <c r="BN153" s="27"/>
      <c r="BO153" s="14"/>
      <c r="BP153" s="14"/>
      <c r="BQ153" s="107" t="s">
        <v>5</v>
      </c>
      <c r="BR153" s="27">
        <f t="shared" ref="BR153:BR159" si="106">COUNTIFS(S26_stakeholder_category,"NB",Response_26_CaseC,BQ153)</f>
        <v>0</v>
      </c>
      <c r="BS153" s="41">
        <f>IFERROR(BR153/BR$160,0)</f>
        <v>0</v>
      </c>
      <c r="BT153" s="14"/>
      <c r="BU153" s="14"/>
      <c r="BV153" s="14"/>
      <c r="BW153" s="14"/>
      <c r="BX153" s="14"/>
      <c r="BY153" s="47"/>
      <c r="BZ153" s="14"/>
      <c r="CA153" s="14"/>
      <c r="CB153" s="21"/>
      <c r="CC153" s="21"/>
      <c r="CD153" s="180"/>
      <c r="CE153" s="181"/>
      <c r="CF153" s="31"/>
      <c r="CG153" s="52"/>
      <c r="CH153" s="52"/>
      <c r="CI153" s="99"/>
      <c r="CJ153" s="14"/>
      <c r="CK153" s="14"/>
      <c r="CL153" s="14"/>
      <c r="CM153" s="14"/>
      <c r="CN153" s="14"/>
      <c r="CO153" s="129"/>
      <c r="CP153" s="14"/>
      <c r="CQ153" s="47"/>
      <c r="CR153" s="14"/>
      <c r="CS153" s="86"/>
      <c r="CT153" s="111"/>
      <c r="CU153" s="86"/>
      <c r="CV153" s="179"/>
      <c r="CW153" s="188"/>
      <c r="CX153" s="179"/>
      <c r="CY153" s="29"/>
      <c r="CZ153" s="109"/>
      <c r="DA153" s="109"/>
      <c r="DB153" s="109"/>
      <c r="DC153" s="109"/>
      <c r="DD153" s="109"/>
      <c r="DE153" s="109"/>
      <c r="DF153" s="109"/>
      <c r="DG153" s="329"/>
      <c r="DH153" s="14"/>
      <c r="DI153" s="47"/>
      <c r="DJ153" s="14"/>
      <c r="DK153" s="62"/>
      <c r="DL153" s="19"/>
      <c r="DM153" s="59"/>
      <c r="DN153" s="14"/>
      <c r="DO153" s="14"/>
      <c r="DP153" s="107" t="s">
        <v>34</v>
      </c>
      <c r="DQ153" s="27">
        <f>COUNTIFS(S26_stakeholder_category,"NB",Response_Q156_1,DP153,Response_Q156_1,"&lt;&gt;0")</f>
        <v>0</v>
      </c>
      <c r="DR153" s="41">
        <f>IF(DQ158=0,"",DQ153/DQ158)</f>
        <v>0</v>
      </c>
      <c r="DS153" s="14"/>
      <c r="DT153" s="14"/>
      <c r="DU153" s="14"/>
      <c r="DV153" s="14"/>
      <c r="DW153" s="14"/>
      <c r="DX153" s="14"/>
      <c r="DY153" s="14"/>
      <c r="DZ153" s="14"/>
      <c r="EA153" s="14"/>
      <c r="EB153" s="14"/>
      <c r="EC153" s="14"/>
      <c r="ED153" s="14"/>
      <c r="EE153" s="14"/>
      <c r="EF153" s="14"/>
      <c r="EG153" s="14"/>
      <c r="EH153" s="14"/>
      <c r="EI153" s="14"/>
      <c r="EJ153" s="14"/>
      <c r="EK153" s="14"/>
      <c r="EL153" s="14"/>
    </row>
    <row r="154" spans="1:142" x14ac:dyDescent="0.25">
      <c r="A154" s="14"/>
      <c r="B154" s="14"/>
      <c r="C154" s="19"/>
      <c r="D154" s="59"/>
      <c r="E154" s="14"/>
      <c r="F154" s="14"/>
      <c r="G154" s="107" t="s">
        <v>35</v>
      </c>
      <c r="H154" s="27">
        <f>COUNTIFS(S26_stakeholder_category,"NB",Response_Q156_1,G154)</f>
        <v>2</v>
      </c>
      <c r="I154" s="41">
        <f t="shared" ref="I154:I158" si="107">IFERROR(H154/H$158,"")</f>
        <v>1</v>
      </c>
      <c r="J154" s="14"/>
      <c r="K154" s="14"/>
      <c r="L154" s="14"/>
      <c r="M154" s="14"/>
      <c r="N154" s="14"/>
      <c r="O154" s="14"/>
      <c r="P154" s="14"/>
      <c r="Q154" s="47"/>
      <c r="R154" s="19"/>
      <c r="S154" s="19"/>
      <c r="T154" s="19"/>
      <c r="U154" s="27"/>
      <c r="V154" s="14"/>
      <c r="W154" s="14"/>
      <c r="X154" s="107" t="s">
        <v>4</v>
      </c>
      <c r="Y154" s="27">
        <f t="shared" si="102"/>
        <v>0</v>
      </c>
      <c r="Z154" s="41">
        <f t="shared" si="103"/>
        <v>0</v>
      </c>
      <c r="AA154" s="14"/>
      <c r="AB154" s="14"/>
      <c r="AC154" s="14"/>
      <c r="AD154" s="14"/>
      <c r="AE154" s="14"/>
      <c r="AF154" s="47"/>
      <c r="AG154" s="19"/>
      <c r="AH154" s="19"/>
      <c r="AI154" s="19"/>
      <c r="AJ154" s="27"/>
      <c r="AK154" s="14"/>
      <c r="AL154" s="14"/>
      <c r="AM154" s="107" t="s">
        <v>4</v>
      </c>
      <c r="AN154" s="27">
        <f t="shared" si="104"/>
        <v>1</v>
      </c>
      <c r="AO154" s="41">
        <f t="shared" ref="AO154:AO160" si="108">IFERROR(AN154/AN$160,0)</f>
        <v>0.5</v>
      </c>
      <c r="AP154" s="14"/>
      <c r="AQ154" s="14"/>
      <c r="AR154" s="14"/>
      <c r="AS154" s="14"/>
      <c r="AT154" s="14"/>
      <c r="AU154" s="47"/>
      <c r="AV154" s="14"/>
      <c r="AW154" s="19"/>
      <c r="AX154" s="19"/>
      <c r="AY154" s="27"/>
      <c r="AZ154" s="14"/>
      <c r="BA154" s="14"/>
      <c r="BB154" s="107" t="s">
        <v>4</v>
      </c>
      <c r="BC154" s="27">
        <f t="shared" si="105"/>
        <v>1</v>
      </c>
      <c r="BD154" s="41">
        <f t="shared" ref="BD154:BD160" si="109">IFERROR(BC154/BC$160,0)</f>
        <v>0.5</v>
      </c>
      <c r="BE154" s="14"/>
      <c r="BF154" s="14"/>
      <c r="BG154" s="14"/>
      <c r="BH154" s="14"/>
      <c r="BI154" s="14"/>
      <c r="BJ154" s="47"/>
      <c r="BK154" s="19"/>
      <c r="BL154" s="19"/>
      <c r="BM154" s="19"/>
      <c r="BN154" s="27"/>
      <c r="BO154" s="14"/>
      <c r="BP154" s="14"/>
      <c r="BQ154" s="107" t="s">
        <v>4</v>
      </c>
      <c r="BR154" s="27">
        <f t="shared" si="106"/>
        <v>1</v>
      </c>
      <c r="BS154" s="41">
        <f t="shared" ref="BS154:BS160" si="110">IFERROR(BR154/BR$160,0)</f>
        <v>0.5</v>
      </c>
      <c r="BT154" s="14"/>
      <c r="BU154" s="14"/>
      <c r="BV154" s="14"/>
      <c r="BW154" s="14"/>
      <c r="BX154" s="14"/>
      <c r="BY154" s="47"/>
      <c r="BZ154" s="14"/>
      <c r="CA154" s="14"/>
      <c r="CB154" s="21"/>
      <c r="CC154" s="21"/>
      <c r="CD154" s="180"/>
      <c r="CE154" s="181"/>
      <c r="CF154" s="31"/>
      <c r="CG154" s="52"/>
      <c r="CH154" s="52"/>
      <c r="CI154" s="99"/>
      <c r="CJ154" s="14"/>
      <c r="CK154" s="14"/>
      <c r="CL154" s="14"/>
      <c r="CM154" s="14"/>
      <c r="CN154" s="14"/>
      <c r="CO154" s="129"/>
      <c r="CP154" s="14"/>
      <c r="CQ154" s="47"/>
      <c r="CR154" s="14"/>
      <c r="CS154" s="14"/>
      <c r="CT154" s="14"/>
      <c r="CU154" s="14"/>
      <c r="CV154" s="180"/>
      <c r="CW154" s="190"/>
      <c r="CX154" s="191"/>
      <c r="CY154" s="52"/>
      <c r="CZ154" s="52"/>
      <c r="DA154" s="54"/>
      <c r="DB154" s="14"/>
      <c r="DC154" s="14"/>
      <c r="DD154" s="14"/>
      <c r="DE154" s="14"/>
      <c r="DF154" s="14"/>
      <c r="DG154" s="129"/>
      <c r="DH154" s="14"/>
      <c r="DI154" s="47"/>
      <c r="DJ154" s="14"/>
      <c r="DK154" s="62"/>
      <c r="DL154" s="19"/>
      <c r="DM154" s="59"/>
      <c r="DN154" s="14"/>
      <c r="DO154" s="14"/>
      <c r="DP154" s="107" t="s">
        <v>35</v>
      </c>
      <c r="DQ154" s="27">
        <f>COUNTIFS(S26_stakeholder_category,"NB",Response_Q156_1,DP154,Response_Q156_1,"&lt;&gt;0")</f>
        <v>2</v>
      </c>
      <c r="DR154" s="41">
        <f>IF(DQ158=0,"",DQ154/DQ158)</f>
        <v>1</v>
      </c>
      <c r="DS154" s="14"/>
      <c r="DT154" s="14"/>
      <c r="DU154" s="14"/>
      <c r="DV154" s="14"/>
      <c r="DW154" s="14"/>
      <c r="DX154" s="14"/>
      <c r="DY154" s="14"/>
      <c r="DZ154" s="14"/>
      <c r="EA154" s="14"/>
      <c r="EB154" s="14"/>
      <c r="EC154" s="14"/>
      <c r="ED154" s="14"/>
      <c r="EE154" s="14"/>
      <c r="EF154" s="14"/>
      <c r="EG154" s="14"/>
      <c r="EH154" s="14"/>
      <c r="EI154" s="14"/>
      <c r="EJ154" s="14"/>
      <c r="EK154" s="14"/>
      <c r="EL154" s="14"/>
    </row>
    <row r="155" spans="1:142" x14ac:dyDescent="0.25">
      <c r="A155" s="14"/>
      <c r="B155" s="14"/>
      <c r="C155" s="19"/>
      <c r="D155" s="59"/>
      <c r="E155" s="14"/>
      <c r="F155" s="14"/>
      <c r="G155" s="107" t="s">
        <v>36</v>
      </c>
      <c r="H155" s="27">
        <f>COUNTIFS(S26_stakeholder_category,"NB",Response_Q156_1,G155)</f>
        <v>0</v>
      </c>
      <c r="I155" s="41">
        <f t="shared" si="107"/>
        <v>0</v>
      </c>
      <c r="J155" s="14"/>
      <c r="K155" s="14"/>
      <c r="L155" s="14"/>
      <c r="M155" s="14"/>
      <c r="N155" s="14"/>
      <c r="O155" s="14"/>
      <c r="P155" s="14"/>
      <c r="Q155" s="47"/>
      <c r="R155" s="19"/>
      <c r="S155" s="19"/>
      <c r="T155" s="19"/>
      <c r="U155" s="27"/>
      <c r="V155" s="14"/>
      <c r="W155" s="14"/>
      <c r="X155" s="107" t="s">
        <v>33</v>
      </c>
      <c r="Y155" s="27">
        <f t="shared" si="102"/>
        <v>0</v>
      </c>
      <c r="Z155" s="41">
        <f t="shared" si="103"/>
        <v>0</v>
      </c>
      <c r="AA155" s="14"/>
      <c r="AB155" s="14"/>
      <c r="AC155" s="14"/>
      <c r="AD155" s="14"/>
      <c r="AE155" s="14"/>
      <c r="AF155" s="47"/>
      <c r="AG155" s="19"/>
      <c r="AH155" s="19"/>
      <c r="AI155" s="19"/>
      <c r="AJ155" s="27"/>
      <c r="AK155" s="14"/>
      <c r="AL155" s="14"/>
      <c r="AM155" s="107" t="s">
        <v>33</v>
      </c>
      <c r="AN155" s="27">
        <f t="shared" si="104"/>
        <v>0</v>
      </c>
      <c r="AO155" s="41">
        <f t="shared" si="108"/>
        <v>0</v>
      </c>
      <c r="AP155" s="14"/>
      <c r="AQ155" s="14"/>
      <c r="AR155" s="14"/>
      <c r="AS155" s="14"/>
      <c r="AT155" s="14"/>
      <c r="AU155" s="47"/>
      <c r="AV155" s="14"/>
      <c r="AW155" s="19"/>
      <c r="AX155" s="19"/>
      <c r="AY155" s="27"/>
      <c r="AZ155" s="14"/>
      <c r="BA155" s="14"/>
      <c r="BB155" s="107" t="s">
        <v>33</v>
      </c>
      <c r="BC155" s="27">
        <f t="shared" si="105"/>
        <v>0</v>
      </c>
      <c r="BD155" s="41">
        <f t="shared" si="109"/>
        <v>0</v>
      </c>
      <c r="BE155" s="14"/>
      <c r="BF155" s="14"/>
      <c r="BG155" s="14"/>
      <c r="BH155" s="14"/>
      <c r="BI155" s="14"/>
      <c r="BJ155" s="47"/>
      <c r="BK155" s="19"/>
      <c r="BL155" s="19"/>
      <c r="BM155" s="19"/>
      <c r="BN155" s="27"/>
      <c r="BO155" s="14"/>
      <c r="BP155" s="14"/>
      <c r="BQ155" s="107" t="s">
        <v>33</v>
      </c>
      <c r="BR155" s="27">
        <f t="shared" si="106"/>
        <v>0</v>
      </c>
      <c r="BS155" s="41">
        <f t="shared" si="110"/>
        <v>0</v>
      </c>
      <c r="BT155" s="14"/>
      <c r="BU155" s="14"/>
      <c r="BV155" s="14"/>
      <c r="BW155" s="14"/>
      <c r="BX155" s="14"/>
      <c r="BY155" s="47"/>
      <c r="BZ155" s="14"/>
      <c r="CA155" s="14"/>
      <c r="CB155" s="21"/>
      <c r="CC155" s="21"/>
      <c r="CD155" s="180"/>
      <c r="CE155" s="181"/>
      <c r="CF155" s="31"/>
      <c r="CG155" s="52"/>
      <c r="CH155" s="52"/>
      <c r="CI155" s="99"/>
      <c r="CJ155" s="14"/>
      <c r="CK155" s="14"/>
      <c r="CL155" s="14"/>
      <c r="CM155" s="14"/>
      <c r="CN155" s="14"/>
      <c r="CO155" s="129"/>
      <c r="CP155" s="14"/>
      <c r="CQ155" s="47"/>
      <c r="CR155" s="14"/>
      <c r="CS155" s="14"/>
      <c r="CT155" s="14"/>
      <c r="CU155" s="14"/>
      <c r="CV155" s="180"/>
      <c r="CW155" s="190"/>
      <c r="CX155" s="191"/>
      <c r="CY155" s="52"/>
      <c r="CZ155" s="52"/>
      <c r="DA155" s="54"/>
      <c r="DB155" s="14"/>
      <c r="DC155" s="14"/>
      <c r="DD155" s="14"/>
      <c r="DE155" s="14"/>
      <c r="DF155" s="14"/>
      <c r="DG155" s="129"/>
      <c r="DH155" s="14"/>
      <c r="DI155" s="47"/>
      <c r="DJ155" s="14"/>
      <c r="DK155" s="62"/>
      <c r="DL155" s="19"/>
      <c r="DM155" s="59"/>
      <c r="DN155" s="14"/>
      <c r="DO155" s="14"/>
      <c r="DP155" s="107" t="s">
        <v>36</v>
      </c>
      <c r="DQ155" s="27">
        <f>COUNTIFS(S26_stakeholder_category,"NB",Response_Q156_1,DP155,Response_Q156_1,"&lt;&gt;0")</f>
        <v>0</v>
      </c>
      <c r="DR155" s="41">
        <f>IF(DQ158=0,"",DQ155/DQ158)</f>
        <v>0</v>
      </c>
      <c r="DS155" s="14"/>
      <c r="DT155" s="14"/>
      <c r="DU155" s="14"/>
      <c r="DV155" s="14"/>
      <c r="DW155" s="14"/>
      <c r="DX155" s="14"/>
      <c r="DY155" s="14"/>
      <c r="DZ155" s="14"/>
      <c r="EA155" s="14"/>
      <c r="EB155" s="14"/>
      <c r="EC155" s="14"/>
      <c r="ED155" s="14"/>
      <c r="EE155" s="14"/>
      <c r="EF155" s="14"/>
      <c r="EG155" s="14"/>
      <c r="EH155" s="14"/>
      <c r="EI155" s="14"/>
      <c r="EJ155" s="14"/>
      <c r="EK155" s="14"/>
      <c r="EL155" s="14"/>
    </row>
    <row r="156" spans="1:142" x14ac:dyDescent="0.25">
      <c r="A156" s="14"/>
      <c r="B156" s="62"/>
      <c r="C156" s="19"/>
      <c r="D156" s="59"/>
      <c r="E156" s="14"/>
      <c r="F156" s="14"/>
      <c r="G156" s="107" t="s">
        <v>38</v>
      </c>
      <c r="H156" s="27">
        <f>COUNTIFS(S26_stakeholder_category,"NB",Response_Q156_1,G156)</f>
        <v>0</v>
      </c>
      <c r="I156" s="41">
        <f t="shared" si="107"/>
        <v>0</v>
      </c>
      <c r="J156" s="14"/>
      <c r="K156" s="14"/>
      <c r="L156" s="14"/>
      <c r="M156" s="14"/>
      <c r="N156" s="14"/>
      <c r="O156" s="14"/>
      <c r="P156" s="14"/>
      <c r="Q156" s="47"/>
      <c r="R156" s="19"/>
      <c r="S156" s="19"/>
      <c r="T156" s="19"/>
      <c r="U156" s="27"/>
      <c r="V156" s="14"/>
      <c r="W156" s="14"/>
      <c r="X156" s="107" t="s">
        <v>29</v>
      </c>
      <c r="Y156" s="27">
        <f t="shared" si="102"/>
        <v>0</v>
      </c>
      <c r="Z156" s="41">
        <f t="shared" si="103"/>
        <v>0</v>
      </c>
      <c r="AA156" s="14"/>
      <c r="AB156" s="14"/>
      <c r="AC156" s="14"/>
      <c r="AD156" s="14"/>
      <c r="AE156" s="14"/>
      <c r="AF156" s="47"/>
      <c r="AG156" s="19"/>
      <c r="AH156" s="19"/>
      <c r="AI156" s="19"/>
      <c r="AJ156" s="27"/>
      <c r="AK156" s="14"/>
      <c r="AL156" s="14"/>
      <c r="AM156" s="107" t="s">
        <v>29</v>
      </c>
      <c r="AN156" s="27">
        <f t="shared" si="104"/>
        <v>0</v>
      </c>
      <c r="AO156" s="41">
        <f t="shared" si="108"/>
        <v>0</v>
      </c>
      <c r="AP156" s="14"/>
      <c r="AQ156" s="14"/>
      <c r="AR156" s="14"/>
      <c r="AS156" s="14"/>
      <c r="AT156" s="14"/>
      <c r="AU156" s="47"/>
      <c r="AV156" s="14"/>
      <c r="AW156" s="19"/>
      <c r="AX156" s="19"/>
      <c r="AY156" s="27"/>
      <c r="AZ156" s="14"/>
      <c r="BA156" s="14"/>
      <c r="BB156" s="107" t="s">
        <v>29</v>
      </c>
      <c r="BC156" s="27">
        <f t="shared" si="105"/>
        <v>0</v>
      </c>
      <c r="BD156" s="41">
        <f t="shared" si="109"/>
        <v>0</v>
      </c>
      <c r="BE156" s="14"/>
      <c r="BF156" s="14"/>
      <c r="BG156" s="14"/>
      <c r="BH156" s="14"/>
      <c r="BI156" s="14"/>
      <c r="BJ156" s="47"/>
      <c r="BK156" s="19"/>
      <c r="BL156" s="19"/>
      <c r="BM156" s="19"/>
      <c r="BN156" s="27"/>
      <c r="BO156" s="14"/>
      <c r="BP156" s="14"/>
      <c r="BQ156" s="107" t="s">
        <v>29</v>
      </c>
      <c r="BR156" s="27">
        <f t="shared" si="106"/>
        <v>0</v>
      </c>
      <c r="BS156" s="41">
        <f t="shared" si="110"/>
        <v>0</v>
      </c>
      <c r="BT156" s="14"/>
      <c r="BU156" s="14"/>
      <c r="BV156" s="14"/>
      <c r="BW156" s="14"/>
      <c r="BX156" s="14"/>
      <c r="BY156" s="47"/>
      <c r="BZ156" s="14"/>
      <c r="CA156" s="14"/>
      <c r="CB156" s="21"/>
      <c r="CC156" s="21"/>
      <c r="CD156" s="180"/>
      <c r="CE156" s="181"/>
      <c r="CF156" s="31"/>
      <c r="CG156" s="52"/>
      <c r="CH156" s="52"/>
      <c r="CI156" s="99"/>
      <c r="CJ156" s="14"/>
      <c r="CK156" s="14"/>
      <c r="CL156" s="14"/>
      <c r="CM156" s="14"/>
      <c r="CN156" s="14"/>
      <c r="CO156" s="129"/>
      <c r="CP156" s="14"/>
      <c r="CQ156" s="47"/>
      <c r="CR156" s="14"/>
      <c r="CS156" s="14"/>
      <c r="CT156" s="14"/>
      <c r="CU156" s="14"/>
      <c r="CV156" s="180"/>
      <c r="CW156" s="190"/>
      <c r="CX156" s="191"/>
      <c r="CY156" s="52"/>
      <c r="CZ156" s="52"/>
      <c r="DA156" s="54"/>
      <c r="DB156" s="14"/>
      <c r="DC156" s="14"/>
      <c r="DD156" s="14"/>
      <c r="DE156" s="14"/>
      <c r="DF156" s="14"/>
      <c r="DG156" s="129"/>
      <c r="DH156" s="14"/>
      <c r="DI156" s="47"/>
      <c r="DJ156" s="14"/>
      <c r="DK156" s="62"/>
      <c r="DL156" s="19"/>
      <c r="DM156" s="59"/>
      <c r="DN156" s="14"/>
      <c r="DO156" s="14"/>
      <c r="DP156" s="107" t="s">
        <v>38</v>
      </c>
      <c r="DQ156" s="27">
        <f>COUNTIFS(S26_stakeholder_category,"NB",Response_Q156_1,DP156,Response_Q156_1,"&lt;&gt;0")</f>
        <v>0</v>
      </c>
      <c r="DR156" s="41">
        <f>IF(DQ158=0,"",DQ156/DQ158)</f>
        <v>0</v>
      </c>
      <c r="DS156" s="14"/>
      <c r="DT156" s="14"/>
      <c r="DU156" s="14"/>
      <c r="DV156" s="14"/>
      <c r="DW156" s="14"/>
      <c r="DX156" s="14"/>
      <c r="DY156" s="14"/>
      <c r="DZ156" s="14"/>
      <c r="EA156" s="14"/>
      <c r="EB156" s="14"/>
      <c r="EC156" s="14"/>
      <c r="ED156" s="14"/>
      <c r="EE156" s="14"/>
      <c r="EF156" s="14"/>
      <c r="EG156" s="14"/>
      <c r="EH156" s="14"/>
      <c r="EI156" s="14"/>
      <c r="EJ156" s="14"/>
      <c r="EK156" s="14"/>
      <c r="EL156" s="14"/>
    </row>
    <row r="157" spans="1:142" ht="14.4" x14ac:dyDescent="0.25">
      <c r="A157" s="14"/>
      <c r="B157" s="62"/>
      <c r="C157" s="19"/>
      <c r="D157" s="59"/>
      <c r="E157" s="14"/>
      <c r="F157" s="14"/>
      <c r="G157" s="107" t="s">
        <v>39</v>
      </c>
      <c r="H157" s="27">
        <f>COUNTIFS(S26_stakeholder_category,"NB",Response_Q156_1,G157)</f>
        <v>0</v>
      </c>
      <c r="I157" s="41">
        <f t="shared" si="107"/>
        <v>0</v>
      </c>
      <c r="J157" s="14"/>
      <c r="K157" s="14"/>
      <c r="L157" s="14"/>
      <c r="M157" s="14"/>
      <c r="N157" s="14"/>
      <c r="O157" s="14"/>
      <c r="P157" s="14"/>
      <c r="Q157" s="47"/>
      <c r="R157" s="19"/>
      <c r="S157" s="60"/>
      <c r="T157" s="19"/>
      <c r="U157" s="59"/>
      <c r="V157" s="14"/>
      <c r="W157" s="14"/>
      <c r="X157" s="107" t="s">
        <v>3</v>
      </c>
      <c r="Y157" s="27">
        <f t="shared" si="102"/>
        <v>0</v>
      </c>
      <c r="Z157" s="41">
        <f t="shared" si="103"/>
        <v>0</v>
      </c>
      <c r="AA157" s="14"/>
      <c r="AB157" s="14"/>
      <c r="AC157" s="14"/>
      <c r="AD157" s="14"/>
      <c r="AE157" s="14"/>
      <c r="AF157" s="47"/>
      <c r="AG157" s="19"/>
      <c r="AH157" s="60"/>
      <c r="AI157" s="19"/>
      <c r="AJ157" s="59"/>
      <c r="AK157" s="14"/>
      <c r="AL157" s="14"/>
      <c r="AM157" s="107" t="s">
        <v>3</v>
      </c>
      <c r="AN157" s="27">
        <f t="shared" si="104"/>
        <v>0</v>
      </c>
      <c r="AO157" s="41">
        <f t="shared" si="108"/>
        <v>0</v>
      </c>
      <c r="AP157" s="14"/>
      <c r="AQ157" s="14"/>
      <c r="AR157" s="14"/>
      <c r="AS157" s="14"/>
      <c r="AT157" s="14"/>
      <c r="AU157" s="47"/>
      <c r="AV157" s="14"/>
      <c r="AW157" s="60"/>
      <c r="AX157" s="19"/>
      <c r="AY157" s="59"/>
      <c r="AZ157" s="14"/>
      <c r="BA157" s="14"/>
      <c r="BB157" s="107" t="s">
        <v>3</v>
      </c>
      <c r="BC157" s="27">
        <f t="shared" si="105"/>
        <v>0</v>
      </c>
      <c r="BD157" s="41">
        <f t="shared" si="109"/>
        <v>0</v>
      </c>
      <c r="BE157" s="14"/>
      <c r="BF157" s="14"/>
      <c r="BG157" s="14"/>
      <c r="BH157" s="14"/>
      <c r="BI157" s="14"/>
      <c r="BJ157" s="47"/>
      <c r="BK157" s="19"/>
      <c r="BL157" s="60"/>
      <c r="BM157" s="19"/>
      <c r="BN157" s="59"/>
      <c r="BO157" s="14"/>
      <c r="BP157" s="14"/>
      <c r="BQ157" s="107" t="s">
        <v>3</v>
      </c>
      <c r="BR157" s="27">
        <f t="shared" si="106"/>
        <v>0</v>
      </c>
      <c r="BS157" s="41">
        <f t="shared" si="110"/>
        <v>0</v>
      </c>
      <c r="BT157" s="14"/>
      <c r="BU157" s="14"/>
      <c r="BV157" s="14"/>
      <c r="BW157" s="14"/>
      <c r="BX157" s="14"/>
      <c r="BY157" s="47"/>
      <c r="BZ157" s="14"/>
      <c r="CA157" s="14"/>
      <c r="CB157" s="21"/>
      <c r="CC157" s="21"/>
      <c r="CD157" s="180"/>
      <c r="CE157" s="181"/>
      <c r="CF157" s="31"/>
      <c r="CG157" s="52"/>
      <c r="CH157" s="52"/>
      <c r="CI157" s="99"/>
      <c r="CJ157" s="14"/>
      <c r="CK157" s="14"/>
      <c r="CL157" s="14"/>
      <c r="CM157" s="14"/>
      <c r="CN157" s="14"/>
      <c r="CO157" s="129"/>
      <c r="CP157" s="14"/>
      <c r="CQ157" s="47"/>
      <c r="CR157" s="14"/>
      <c r="CS157" s="14"/>
      <c r="CT157" s="14"/>
      <c r="CU157" s="14"/>
      <c r="CV157" s="180"/>
      <c r="CW157" s="190"/>
      <c r="CX157" s="191"/>
      <c r="CY157" s="52"/>
      <c r="CZ157" s="52"/>
      <c r="DA157" s="54"/>
      <c r="DB157" s="14"/>
      <c r="DC157" s="14"/>
      <c r="DD157" s="14"/>
      <c r="DE157" s="14"/>
      <c r="DF157" s="14"/>
      <c r="DG157" s="129"/>
      <c r="DH157" s="14"/>
      <c r="DI157" s="47"/>
      <c r="DJ157" s="14"/>
      <c r="DK157" s="62"/>
      <c r="DL157" s="19"/>
      <c r="DM157" s="59"/>
      <c r="DN157" s="14"/>
      <c r="DO157" s="14"/>
      <c r="DP157" s="107" t="s">
        <v>39</v>
      </c>
      <c r="DQ157" s="27">
        <f>COUNTIFS(S26_stakeholder_category,"NB",Response_Q156_1,DP157,Response_Q156_1,"&lt;&gt;0")</f>
        <v>0</v>
      </c>
      <c r="DR157" s="41">
        <f>IF(DQ158=0,"",DQ157/DQ158)</f>
        <v>0</v>
      </c>
      <c r="DS157" s="14"/>
      <c r="DT157" s="14"/>
      <c r="DU157" s="14"/>
      <c r="DV157" s="14"/>
      <c r="DW157" s="14"/>
      <c r="DX157" s="14"/>
      <c r="DY157" s="14"/>
      <c r="DZ157" s="14"/>
      <c r="EA157" s="14"/>
      <c r="EB157" s="14"/>
      <c r="EC157" s="14"/>
      <c r="ED157" s="14"/>
      <c r="EE157" s="14"/>
      <c r="EF157" s="14"/>
      <c r="EG157" s="14"/>
      <c r="EH157" s="14"/>
      <c r="EI157" s="14"/>
      <c r="EJ157" s="14"/>
      <c r="EK157" s="14"/>
      <c r="EL157" s="14"/>
    </row>
    <row r="158" spans="1:142" ht="14.4" x14ac:dyDescent="0.25">
      <c r="A158" s="14"/>
      <c r="B158" s="62"/>
      <c r="C158" s="19"/>
      <c r="D158" s="59"/>
      <c r="E158" s="14"/>
      <c r="F158" s="14"/>
      <c r="G158" s="86" t="s">
        <v>145</v>
      </c>
      <c r="H158" s="111">
        <f>COUNTIFS(S26_stakeholder_category,"NB",Response_Q156_1,"&lt;&gt;0")</f>
        <v>2</v>
      </c>
      <c r="I158" s="119">
        <f t="shared" si="107"/>
        <v>1</v>
      </c>
      <c r="J158" s="14"/>
      <c r="K158" s="14"/>
      <c r="L158" s="14"/>
      <c r="M158" s="14"/>
      <c r="N158" s="14"/>
      <c r="O158" s="14"/>
      <c r="P158" s="14"/>
      <c r="Q158" s="47"/>
      <c r="R158" s="19"/>
      <c r="S158" s="61"/>
      <c r="T158" s="19"/>
      <c r="U158" s="59"/>
      <c r="V158" s="14"/>
      <c r="W158" s="14"/>
      <c r="X158" s="107" t="s">
        <v>54</v>
      </c>
      <c r="Y158" s="27">
        <f t="shared" si="102"/>
        <v>0</v>
      </c>
      <c r="Z158" s="41">
        <f t="shared" si="103"/>
        <v>0</v>
      </c>
      <c r="AA158" s="14"/>
      <c r="AB158" s="14"/>
      <c r="AC158" s="14"/>
      <c r="AD158" s="14"/>
      <c r="AE158" s="14"/>
      <c r="AF158" s="47"/>
      <c r="AG158" s="19"/>
      <c r="AH158" s="61"/>
      <c r="AI158" s="19"/>
      <c r="AJ158" s="59"/>
      <c r="AK158" s="14"/>
      <c r="AL158" s="14"/>
      <c r="AM158" s="107" t="s">
        <v>54</v>
      </c>
      <c r="AN158" s="27">
        <f t="shared" si="104"/>
        <v>0</v>
      </c>
      <c r="AO158" s="41">
        <f t="shared" si="108"/>
        <v>0</v>
      </c>
      <c r="AP158" s="14"/>
      <c r="AQ158" s="14"/>
      <c r="AR158" s="14"/>
      <c r="AS158" s="14"/>
      <c r="AT158" s="14"/>
      <c r="AU158" s="47"/>
      <c r="AV158" s="14"/>
      <c r="AW158" s="61"/>
      <c r="AX158" s="19"/>
      <c r="AY158" s="59"/>
      <c r="AZ158" s="14"/>
      <c r="BA158" s="14"/>
      <c r="BB158" s="107" t="s">
        <v>54</v>
      </c>
      <c r="BC158" s="27">
        <f t="shared" si="105"/>
        <v>0</v>
      </c>
      <c r="BD158" s="41">
        <f t="shared" si="109"/>
        <v>0</v>
      </c>
      <c r="BE158" s="14"/>
      <c r="BF158" s="14"/>
      <c r="BG158" s="14"/>
      <c r="BH158" s="14"/>
      <c r="BI158" s="14"/>
      <c r="BJ158" s="47"/>
      <c r="BK158" s="19"/>
      <c r="BL158" s="61"/>
      <c r="BM158" s="19"/>
      <c r="BN158" s="59"/>
      <c r="BO158" s="14"/>
      <c r="BP158" s="14"/>
      <c r="BQ158" s="107" t="s">
        <v>54</v>
      </c>
      <c r="BR158" s="27">
        <f t="shared" si="106"/>
        <v>0</v>
      </c>
      <c r="BS158" s="41">
        <f t="shared" si="110"/>
        <v>0</v>
      </c>
      <c r="BT158" s="14"/>
      <c r="BU158" s="14"/>
      <c r="BV158" s="14"/>
      <c r="BW158" s="14"/>
      <c r="BX158" s="14"/>
      <c r="BY158" s="47"/>
      <c r="BZ158" s="14"/>
      <c r="CA158" s="14"/>
      <c r="CB158" s="21"/>
      <c r="CC158" s="21"/>
      <c r="CD158" s="180"/>
      <c r="CE158" s="181"/>
      <c r="CF158" s="31"/>
      <c r="CG158" s="52"/>
      <c r="CH158" s="52"/>
      <c r="CI158" s="99"/>
      <c r="CJ158" s="14"/>
      <c r="CK158" s="14"/>
      <c r="CL158" s="14"/>
      <c r="CM158" s="14"/>
      <c r="CN158" s="14"/>
      <c r="CO158" s="129"/>
      <c r="CP158" s="14"/>
      <c r="CQ158" s="47"/>
      <c r="CR158" s="14"/>
      <c r="CS158" s="14"/>
      <c r="CT158" s="14"/>
      <c r="CU158" s="14"/>
      <c r="CV158" s="180"/>
      <c r="CW158" s="190"/>
      <c r="CX158" s="191"/>
      <c r="CY158" s="52"/>
      <c r="CZ158" s="52"/>
      <c r="DA158" s="54"/>
      <c r="DB158" s="14"/>
      <c r="DC158" s="14"/>
      <c r="DD158" s="14"/>
      <c r="DE158" s="14"/>
      <c r="DF158" s="14"/>
      <c r="DG158" s="129"/>
      <c r="DH158" s="14"/>
      <c r="DI158" s="47"/>
      <c r="DJ158" s="14"/>
      <c r="DK158" s="62"/>
      <c r="DL158" s="19"/>
      <c r="DM158" s="59"/>
      <c r="DN158" s="14"/>
      <c r="DO158" s="14"/>
      <c r="DP158" s="86" t="s">
        <v>145</v>
      </c>
      <c r="DQ158" s="111">
        <f>COUNTIFS(S26_stakeholder_category,"NB",Response_Q156_1,"&lt;&gt;0",Response_Q156_1,"&lt;&gt;0")</f>
        <v>2</v>
      </c>
      <c r="DR158" s="119">
        <f>IF(DQ158=0,"",DQ158/DQ158)</f>
        <v>1</v>
      </c>
      <c r="DS158" s="14"/>
      <c r="DT158" s="14"/>
      <c r="DU158" s="14"/>
      <c r="DV158" s="14"/>
      <c r="DW158" s="14"/>
      <c r="DX158" s="14"/>
      <c r="DY158" s="14"/>
      <c r="DZ158" s="14"/>
      <c r="EA158" s="14"/>
      <c r="EB158" s="14"/>
      <c r="EC158" s="14"/>
      <c r="ED158" s="14"/>
      <c r="EE158" s="14"/>
      <c r="EF158" s="14"/>
      <c r="EG158" s="14"/>
      <c r="EH158" s="14"/>
      <c r="EI158" s="14"/>
      <c r="EJ158" s="14"/>
      <c r="EK158" s="14"/>
      <c r="EL158" s="14"/>
    </row>
    <row r="159" spans="1:142" x14ac:dyDescent="0.25">
      <c r="A159" s="14"/>
      <c r="B159" s="62"/>
      <c r="C159" s="19"/>
      <c r="D159" s="59"/>
      <c r="E159" s="14"/>
      <c r="F159" s="14"/>
      <c r="G159" s="14"/>
      <c r="H159" s="21"/>
      <c r="I159" s="21"/>
      <c r="J159" s="14"/>
      <c r="K159" s="14"/>
      <c r="L159" s="14"/>
      <c r="M159" s="14"/>
      <c r="N159" s="14"/>
      <c r="O159" s="14"/>
      <c r="P159" s="14"/>
      <c r="Q159" s="47"/>
      <c r="R159" s="19"/>
      <c r="S159" s="62"/>
      <c r="T159" s="19"/>
      <c r="U159" s="59"/>
      <c r="V159" s="14"/>
      <c r="W159" s="14"/>
      <c r="X159" s="107" t="s">
        <v>39</v>
      </c>
      <c r="Y159" s="27">
        <f t="shared" si="102"/>
        <v>0</v>
      </c>
      <c r="Z159" s="41">
        <f t="shared" si="103"/>
        <v>0</v>
      </c>
      <c r="AA159" s="14"/>
      <c r="AB159" s="14"/>
      <c r="AC159" s="14"/>
      <c r="AD159" s="14"/>
      <c r="AE159" s="14"/>
      <c r="AF159" s="47"/>
      <c r="AG159" s="19"/>
      <c r="AH159" s="62"/>
      <c r="AI159" s="19"/>
      <c r="AJ159" s="59"/>
      <c r="AK159" s="14"/>
      <c r="AL159" s="14"/>
      <c r="AM159" s="107" t="s">
        <v>39</v>
      </c>
      <c r="AN159" s="27">
        <f t="shared" si="104"/>
        <v>1</v>
      </c>
      <c r="AO159" s="41">
        <f t="shared" si="108"/>
        <v>0.5</v>
      </c>
      <c r="AP159" s="14"/>
      <c r="AQ159" s="14"/>
      <c r="AR159" s="14"/>
      <c r="AS159" s="14"/>
      <c r="AT159" s="14"/>
      <c r="AU159" s="47"/>
      <c r="AV159" s="14"/>
      <c r="AW159" s="62"/>
      <c r="AX159" s="19"/>
      <c r="AY159" s="59"/>
      <c r="AZ159" s="14"/>
      <c r="BA159" s="14"/>
      <c r="BB159" s="107" t="s">
        <v>39</v>
      </c>
      <c r="BC159" s="27">
        <f t="shared" si="105"/>
        <v>1</v>
      </c>
      <c r="BD159" s="41">
        <f t="shared" si="109"/>
        <v>0.5</v>
      </c>
      <c r="BE159" s="14"/>
      <c r="BF159" s="14"/>
      <c r="BG159" s="14"/>
      <c r="BH159" s="14"/>
      <c r="BI159" s="14"/>
      <c r="BJ159" s="47"/>
      <c r="BK159" s="19"/>
      <c r="BL159" s="62"/>
      <c r="BM159" s="19"/>
      <c r="BN159" s="59"/>
      <c r="BO159" s="14"/>
      <c r="BP159" s="14"/>
      <c r="BQ159" s="107" t="s">
        <v>39</v>
      </c>
      <c r="BR159" s="27">
        <f t="shared" si="106"/>
        <v>1</v>
      </c>
      <c r="BS159" s="41">
        <f t="shared" si="110"/>
        <v>0.5</v>
      </c>
      <c r="BT159" s="14"/>
      <c r="BU159" s="14"/>
      <c r="BV159" s="14"/>
      <c r="BW159" s="14"/>
      <c r="BX159" s="14"/>
      <c r="BY159" s="47"/>
      <c r="BZ159" s="14"/>
      <c r="CA159" s="14"/>
      <c r="CB159" s="21"/>
      <c r="CC159" s="21"/>
      <c r="CD159" s="180"/>
      <c r="CE159" s="181"/>
      <c r="CF159" s="31"/>
      <c r="CG159" s="52"/>
      <c r="CH159" s="52"/>
      <c r="CI159" s="99"/>
      <c r="CJ159" s="14"/>
      <c r="CK159" s="14"/>
      <c r="CL159" s="14"/>
      <c r="CM159" s="14"/>
      <c r="CN159" s="14"/>
      <c r="CO159" s="129"/>
      <c r="CP159" s="14"/>
      <c r="CQ159" s="47"/>
      <c r="CR159" s="14"/>
      <c r="CS159" s="14"/>
      <c r="CT159" s="14"/>
      <c r="CU159" s="14"/>
      <c r="CV159" s="180"/>
      <c r="CW159" s="190"/>
      <c r="CX159" s="191"/>
      <c r="CY159" s="52"/>
      <c r="CZ159" s="52"/>
      <c r="DA159" s="54"/>
      <c r="DB159" s="14"/>
      <c r="DC159" s="14"/>
      <c r="DD159" s="14"/>
      <c r="DE159" s="14"/>
      <c r="DF159" s="14"/>
      <c r="DG159" s="129"/>
      <c r="DH159" s="14"/>
      <c r="DI159" s="47"/>
      <c r="DJ159" s="14"/>
      <c r="DK159" s="62"/>
      <c r="DL159" s="19"/>
      <c r="DM159" s="59"/>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row>
    <row r="160" spans="1:142" x14ac:dyDescent="0.25">
      <c r="A160" s="14"/>
      <c r="B160" s="62"/>
      <c r="C160" s="19"/>
      <c r="D160" s="59"/>
      <c r="E160" s="14"/>
      <c r="F160" s="14"/>
      <c r="G160" s="14"/>
      <c r="H160" s="21"/>
      <c r="I160" s="21"/>
      <c r="J160" s="14"/>
      <c r="K160" s="14"/>
      <c r="L160" s="14"/>
      <c r="M160" s="14"/>
      <c r="N160" s="14"/>
      <c r="O160" s="14"/>
      <c r="P160" s="14"/>
      <c r="Q160" s="47"/>
      <c r="R160" s="19"/>
      <c r="S160" s="62"/>
      <c r="T160" s="19"/>
      <c r="U160" s="59"/>
      <c r="V160" s="14"/>
      <c r="W160" s="14"/>
      <c r="X160" s="86" t="s">
        <v>145</v>
      </c>
      <c r="Y160" s="111">
        <f>COUNTIFS(S26_stakeholder_category,"NB",Response_Q160_1,"&lt;&gt;0")</f>
        <v>2</v>
      </c>
      <c r="Z160" s="119">
        <f t="shared" si="103"/>
        <v>1</v>
      </c>
      <c r="AA160" s="14"/>
      <c r="AB160" s="14"/>
      <c r="AC160" s="14"/>
      <c r="AD160" s="14"/>
      <c r="AE160" s="14"/>
      <c r="AF160" s="47"/>
      <c r="AG160" s="19"/>
      <c r="AH160" s="62"/>
      <c r="AI160" s="19"/>
      <c r="AJ160" s="59"/>
      <c r="AK160" s="14"/>
      <c r="AL160" s="14"/>
      <c r="AM160" s="86" t="s">
        <v>145</v>
      </c>
      <c r="AN160" s="111">
        <f>COUNTIFS(S26_stakeholder_category,"NB",Response_26_CaseA,"&lt;&gt;0")</f>
        <v>2</v>
      </c>
      <c r="AO160" s="119">
        <f t="shared" si="108"/>
        <v>1</v>
      </c>
      <c r="AP160" s="14"/>
      <c r="AQ160" s="14"/>
      <c r="AR160" s="14"/>
      <c r="AS160" s="14"/>
      <c r="AT160" s="14"/>
      <c r="AU160" s="47"/>
      <c r="AV160" s="14"/>
      <c r="AW160" s="62"/>
      <c r="AX160" s="19"/>
      <c r="AY160" s="59"/>
      <c r="AZ160" s="14"/>
      <c r="BA160" s="14"/>
      <c r="BB160" s="86" t="s">
        <v>145</v>
      </c>
      <c r="BC160" s="111">
        <f>COUNTIFS(S26_stakeholder_category,"NB",Response_26_CaseB,"&lt;&gt;0")</f>
        <v>2</v>
      </c>
      <c r="BD160" s="119">
        <f t="shared" si="109"/>
        <v>1</v>
      </c>
      <c r="BE160" s="14"/>
      <c r="BF160" s="14"/>
      <c r="BG160" s="14"/>
      <c r="BH160" s="14"/>
      <c r="BI160" s="14"/>
      <c r="BJ160" s="47"/>
      <c r="BK160" s="19"/>
      <c r="BL160" s="62"/>
      <c r="BM160" s="19"/>
      <c r="BN160" s="59"/>
      <c r="BO160" s="14"/>
      <c r="BP160" s="14"/>
      <c r="BQ160" s="86" t="s">
        <v>145</v>
      </c>
      <c r="BR160" s="111">
        <f>COUNTIFS(S26_stakeholder_category,"NB",Response_26_CaseC,"&lt;&gt;0")</f>
        <v>2</v>
      </c>
      <c r="BS160" s="119">
        <f t="shared" si="110"/>
        <v>1</v>
      </c>
      <c r="BT160" s="14"/>
      <c r="BU160" s="14"/>
      <c r="BV160" s="14"/>
      <c r="BW160" s="14"/>
      <c r="BX160" s="14"/>
      <c r="BY160" s="47"/>
      <c r="BZ160" s="14"/>
      <c r="CA160" s="14"/>
      <c r="CB160" s="21"/>
      <c r="CC160" s="21"/>
      <c r="CD160" s="180"/>
      <c r="CE160" s="181"/>
      <c r="CF160" s="31"/>
      <c r="CG160" s="52"/>
      <c r="CH160" s="52"/>
      <c r="CI160" s="99"/>
      <c r="CJ160" s="14"/>
      <c r="CK160" s="14"/>
      <c r="CL160" s="14"/>
      <c r="CM160" s="14"/>
      <c r="CN160" s="14"/>
      <c r="CO160" s="129"/>
      <c r="CP160" s="14"/>
      <c r="CQ160" s="47"/>
      <c r="CR160" s="14"/>
      <c r="CS160" s="14"/>
      <c r="CT160" s="14"/>
      <c r="CU160" s="14"/>
      <c r="CV160" s="180"/>
      <c r="CW160" s="190"/>
      <c r="CX160" s="191"/>
      <c r="CY160" s="52"/>
      <c r="CZ160" s="52"/>
      <c r="DA160" s="54"/>
      <c r="DB160" s="14"/>
      <c r="DC160" s="14"/>
      <c r="DD160" s="14"/>
      <c r="DE160" s="14"/>
      <c r="DF160" s="14"/>
      <c r="DG160" s="129"/>
      <c r="DH160" s="14"/>
      <c r="DI160" s="47"/>
      <c r="DJ160" s="14"/>
      <c r="DK160" s="62"/>
      <c r="DL160" s="19"/>
      <c r="DM160" s="59"/>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row>
    <row r="161" spans="1:142" s="135" customFormat="1" ht="15" customHeight="1" x14ac:dyDescent="0.25">
      <c r="A161" s="14"/>
      <c r="B161" s="13"/>
      <c r="C161" s="13"/>
      <c r="D161" s="21"/>
      <c r="E161" s="14"/>
      <c r="F161" s="14"/>
      <c r="G161" s="14"/>
      <c r="H161" s="21"/>
      <c r="I161" s="21"/>
      <c r="J161" s="14"/>
      <c r="K161" s="14"/>
      <c r="L161" s="14"/>
      <c r="M161" s="14"/>
      <c r="N161" s="14"/>
      <c r="O161" s="14"/>
      <c r="P161" s="14"/>
      <c r="Q161" s="47"/>
      <c r="R161" s="19"/>
      <c r="S161" s="13"/>
      <c r="T161" s="13"/>
      <c r="U161" s="21"/>
      <c r="V161" s="14"/>
      <c r="W161" s="14"/>
      <c r="X161" s="14"/>
      <c r="Y161" s="14"/>
      <c r="Z161" s="14"/>
      <c r="AA161" s="14"/>
      <c r="AB161" s="14"/>
      <c r="AC161" s="14"/>
      <c r="AD161" s="14"/>
      <c r="AE161" s="14"/>
      <c r="AF161" s="47"/>
      <c r="AG161" s="19"/>
      <c r="AH161" s="13"/>
      <c r="AI161" s="13"/>
      <c r="AJ161" s="21"/>
      <c r="AK161" s="14"/>
      <c r="AL161" s="14"/>
      <c r="AM161" s="14"/>
      <c r="AN161" s="14"/>
      <c r="AO161" s="14"/>
      <c r="AP161" s="14"/>
      <c r="AQ161" s="14"/>
      <c r="AR161" s="14"/>
      <c r="AS161" s="14"/>
      <c r="AT161" s="14"/>
      <c r="AU161" s="47"/>
      <c r="AV161" s="14"/>
      <c r="AW161" s="13"/>
      <c r="AX161" s="13"/>
      <c r="AY161" s="21"/>
      <c r="AZ161" s="14"/>
      <c r="BA161" s="14"/>
      <c r="BB161" s="14"/>
      <c r="BC161" s="14"/>
      <c r="BD161" s="14"/>
      <c r="BE161" s="14"/>
      <c r="BF161" s="14"/>
      <c r="BG161" s="14"/>
      <c r="BH161" s="14"/>
      <c r="BI161" s="14"/>
      <c r="BJ161" s="47"/>
      <c r="BK161" s="19"/>
      <c r="BL161" s="13"/>
      <c r="BM161" s="13"/>
      <c r="BN161" s="21"/>
      <c r="BO161" s="14"/>
      <c r="BP161" s="14"/>
      <c r="BQ161" s="14"/>
      <c r="BR161" s="14"/>
      <c r="BS161" s="14"/>
      <c r="BT161" s="14"/>
      <c r="BU161" s="14"/>
      <c r="BV161" s="14"/>
      <c r="BW161" s="14"/>
      <c r="BX161" s="14"/>
      <c r="BY161" s="47"/>
      <c r="BZ161" s="14"/>
      <c r="CA161" s="14"/>
      <c r="CB161" s="21"/>
      <c r="CC161" s="21"/>
      <c r="CD161" s="180"/>
      <c r="CE161" s="181"/>
      <c r="CF161" s="31"/>
      <c r="CG161" s="31"/>
      <c r="CH161" s="31"/>
      <c r="CI161" s="14"/>
      <c r="CJ161" s="14"/>
      <c r="CK161" s="14"/>
      <c r="CL161" s="14"/>
      <c r="CM161" s="14"/>
      <c r="CN161" s="14"/>
      <c r="CO161" s="129"/>
      <c r="CP161" s="14"/>
      <c r="CQ161" s="47"/>
      <c r="CR161" s="14"/>
      <c r="CS161" s="14"/>
      <c r="CT161" s="14"/>
      <c r="CU161" s="14"/>
      <c r="CV161" s="180"/>
      <c r="CW161" s="190"/>
      <c r="CX161" s="191"/>
      <c r="CY161" s="31"/>
      <c r="CZ161" s="31"/>
      <c r="DA161" s="14"/>
      <c r="DB161" s="14"/>
      <c r="DC161" s="14"/>
      <c r="DD161" s="14"/>
      <c r="DE161" s="14"/>
      <c r="DF161" s="14"/>
      <c r="DG161" s="129"/>
      <c r="DH161" s="14"/>
      <c r="DI161" s="47"/>
      <c r="DJ161" s="14"/>
      <c r="DK161" s="13"/>
      <c r="DL161" s="13"/>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row>
    <row r="162" spans="1:142" s="131" customFormat="1" x14ac:dyDescent="0.25">
      <c r="A162" s="78"/>
      <c r="B162" s="78" t="s">
        <v>153</v>
      </c>
      <c r="C162" s="78" t="s">
        <v>137</v>
      </c>
      <c r="D162" s="79"/>
      <c r="E162" s="78"/>
      <c r="F162" s="78"/>
      <c r="G162" s="78"/>
      <c r="H162" s="79"/>
      <c r="I162" s="79"/>
      <c r="J162" s="78"/>
      <c r="K162" s="78"/>
      <c r="L162" s="78"/>
      <c r="M162" s="78"/>
      <c r="N162" s="78"/>
      <c r="O162" s="78"/>
      <c r="P162" s="78"/>
      <c r="Q162" s="82"/>
      <c r="R162" s="83"/>
      <c r="S162" s="78" t="str">
        <f>$B162</f>
        <v>Policy makers and academia</v>
      </c>
      <c r="T162" s="78"/>
      <c r="U162" s="78"/>
      <c r="V162" s="78"/>
      <c r="W162" s="78"/>
      <c r="X162" s="78"/>
      <c r="Y162" s="78"/>
      <c r="Z162" s="78"/>
      <c r="AA162" s="78"/>
      <c r="AB162" s="78"/>
      <c r="AC162" s="78"/>
      <c r="AD162" s="78"/>
      <c r="AE162" s="78"/>
      <c r="AF162" s="82"/>
      <c r="AG162" s="83"/>
      <c r="AH162" s="78" t="str">
        <f>$B162</f>
        <v>Policy makers and academia</v>
      </c>
      <c r="AI162" s="78"/>
      <c r="AJ162" s="78"/>
      <c r="AK162" s="78"/>
      <c r="AL162" s="78"/>
      <c r="AM162" s="78"/>
      <c r="AN162" s="78"/>
      <c r="AO162" s="78"/>
      <c r="AP162" s="78"/>
      <c r="AQ162" s="78"/>
      <c r="AR162" s="78"/>
      <c r="AS162" s="78"/>
      <c r="AT162" s="78"/>
      <c r="AU162" s="82"/>
      <c r="AV162" s="78"/>
      <c r="AW162" s="78" t="str">
        <f>$B162</f>
        <v>Policy makers and academia</v>
      </c>
      <c r="AX162" s="78"/>
      <c r="AY162" s="78"/>
      <c r="AZ162" s="78"/>
      <c r="BA162" s="78"/>
      <c r="BB162" s="78"/>
      <c r="BC162" s="78"/>
      <c r="BD162" s="78"/>
      <c r="BE162" s="78"/>
      <c r="BF162" s="78"/>
      <c r="BG162" s="78"/>
      <c r="BH162" s="78"/>
      <c r="BI162" s="78"/>
      <c r="BJ162" s="82"/>
      <c r="BK162" s="83"/>
      <c r="BL162" s="78" t="str">
        <f>$B162</f>
        <v>Policy makers and academia</v>
      </c>
      <c r="BM162" s="78"/>
      <c r="BN162" s="78"/>
      <c r="BO162" s="78"/>
      <c r="BP162" s="78"/>
      <c r="BQ162" s="78"/>
      <c r="BR162" s="78"/>
      <c r="BS162" s="78"/>
      <c r="BT162" s="78"/>
      <c r="BU162" s="78"/>
      <c r="BV162" s="78"/>
      <c r="BW162" s="78"/>
      <c r="BX162" s="78"/>
      <c r="BY162" s="82"/>
      <c r="BZ162" s="78"/>
      <c r="CA162" s="78" t="str">
        <f>$B162</f>
        <v>Policy makers and academia</v>
      </c>
      <c r="CB162" s="79"/>
      <c r="CC162" s="79"/>
      <c r="CD162" s="182"/>
      <c r="CE162" s="182"/>
      <c r="CF162" s="79"/>
      <c r="CG162" s="78"/>
      <c r="CH162" s="78"/>
      <c r="CI162" s="78"/>
      <c r="CJ162" s="78"/>
      <c r="CK162" s="78"/>
      <c r="CL162" s="78"/>
      <c r="CM162" s="78"/>
      <c r="CN162" s="78"/>
      <c r="CO162" s="78"/>
      <c r="CP162" s="78"/>
      <c r="CQ162" s="82"/>
      <c r="CR162" s="78"/>
      <c r="CS162" s="78" t="str">
        <f>$B162</f>
        <v>Policy makers and academia</v>
      </c>
      <c r="CT162" s="78"/>
      <c r="CU162" s="78"/>
      <c r="CV162" s="182"/>
      <c r="CW162" s="192"/>
      <c r="CX162" s="192"/>
      <c r="CY162" s="78"/>
      <c r="CZ162" s="78"/>
      <c r="DA162" s="78"/>
      <c r="DB162" s="78"/>
      <c r="DC162" s="78"/>
      <c r="DD162" s="78"/>
      <c r="DE162" s="78"/>
      <c r="DF162" s="78"/>
      <c r="DG162" s="78"/>
      <c r="DH162" s="78"/>
      <c r="DI162" s="82"/>
      <c r="DJ162" s="78"/>
      <c r="DK162" s="78" t="str">
        <f>$B162</f>
        <v>Policy makers and academia</v>
      </c>
      <c r="DL162" s="78"/>
      <c r="DM162" s="78"/>
      <c r="DN162" s="78"/>
      <c r="DO162" s="78"/>
      <c r="DP162" s="78"/>
      <c r="DQ162" s="78"/>
      <c r="DR162" s="78"/>
      <c r="DS162" s="78"/>
      <c r="DT162" s="78"/>
      <c r="DU162" s="78"/>
      <c r="DV162" s="78"/>
      <c r="DW162" s="78"/>
      <c r="DX162" s="78"/>
      <c r="DY162" s="78"/>
      <c r="DZ162" s="78"/>
      <c r="EA162" s="78"/>
      <c r="EB162" s="78"/>
      <c r="EC162" s="78"/>
      <c r="ED162" s="78"/>
      <c r="EE162" s="78"/>
      <c r="EF162" s="78"/>
      <c r="EG162" s="78"/>
      <c r="EH162" s="78"/>
      <c r="EI162" s="78"/>
      <c r="EJ162" s="78"/>
      <c r="EK162" s="78"/>
      <c r="EL162" s="78"/>
    </row>
    <row r="163" spans="1:142" x14ac:dyDescent="0.25">
      <c r="A163" s="14"/>
      <c r="B163" s="84" t="s">
        <v>301</v>
      </c>
      <c r="C163" s="84"/>
      <c r="D163" s="85"/>
      <c r="E163" s="84"/>
      <c r="F163" s="14"/>
      <c r="G163" s="14"/>
      <c r="H163" s="21"/>
      <c r="I163" s="21"/>
      <c r="J163" s="14"/>
      <c r="K163" s="14"/>
      <c r="L163" s="14"/>
      <c r="M163" s="14"/>
      <c r="N163" s="14"/>
      <c r="O163" s="14"/>
      <c r="P163" s="14"/>
      <c r="Q163" s="47"/>
      <c r="R163" s="19"/>
      <c r="S163" s="84" t="s">
        <v>322</v>
      </c>
      <c r="T163" s="84"/>
      <c r="U163" s="85"/>
      <c r="V163" s="84"/>
      <c r="W163" s="14"/>
      <c r="X163" s="14"/>
      <c r="Y163" s="14"/>
      <c r="Z163" s="14"/>
      <c r="AA163" s="14"/>
      <c r="AB163" s="14"/>
      <c r="AC163" s="14"/>
      <c r="AD163" s="14"/>
      <c r="AE163" s="14"/>
      <c r="AF163" s="47"/>
      <c r="AG163" s="19"/>
      <c r="AH163" s="84" t="s">
        <v>328</v>
      </c>
      <c r="AI163" s="84"/>
      <c r="AJ163" s="85"/>
      <c r="AK163" s="84"/>
      <c r="AL163" s="84"/>
      <c r="AM163" s="14"/>
      <c r="AN163" s="14"/>
      <c r="AO163" s="14"/>
      <c r="AP163" s="14"/>
      <c r="AQ163" s="14"/>
      <c r="AR163" s="14"/>
      <c r="AS163" s="14"/>
      <c r="AT163" s="14"/>
      <c r="AU163" s="47"/>
      <c r="AV163" s="14"/>
      <c r="AW163" s="84" t="s">
        <v>347</v>
      </c>
      <c r="AX163" s="84"/>
      <c r="AY163" s="85"/>
      <c r="AZ163" s="84"/>
      <c r="BA163" s="84"/>
      <c r="BB163" s="14"/>
      <c r="BC163" s="14"/>
      <c r="BD163" s="14"/>
      <c r="BE163" s="14"/>
      <c r="BF163" s="14"/>
      <c r="BG163" s="14"/>
      <c r="BH163" s="14"/>
      <c r="BI163" s="14"/>
      <c r="BJ163" s="47"/>
      <c r="BK163" s="19"/>
      <c r="BL163" s="84" t="s">
        <v>348</v>
      </c>
      <c r="BM163" s="84"/>
      <c r="BN163" s="85"/>
      <c r="BO163" s="84"/>
      <c r="BP163" s="84"/>
      <c r="BQ163" s="14"/>
      <c r="BR163" s="14"/>
      <c r="BS163" s="14"/>
      <c r="BT163" s="14"/>
      <c r="BU163" s="14"/>
      <c r="BV163" s="14"/>
      <c r="BW163" s="14"/>
      <c r="BX163" s="14"/>
      <c r="BY163" s="47"/>
      <c r="BZ163" s="14"/>
      <c r="CA163" s="148" t="s">
        <v>303</v>
      </c>
      <c r="CB163" s="85"/>
      <c r="CC163" s="85"/>
      <c r="CD163" s="185"/>
      <c r="CE163" s="185"/>
      <c r="CF163" s="147"/>
      <c r="CG163" s="14"/>
      <c r="CH163" s="14"/>
      <c r="CI163" s="14"/>
      <c r="CJ163" s="14"/>
      <c r="CK163" s="14"/>
      <c r="CL163" s="14"/>
      <c r="CM163" s="14"/>
      <c r="CN163" s="14"/>
      <c r="CO163" s="129"/>
      <c r="CP163" s="14"/>
      <c r="CQ163" s="47"/>
      <c r="CR163" s="14"/>
      <c r="CS163" s="148" t="s">
        <v>304</v>
      </c>
      <c r="CT163" s="84"/>
      <c r="CU163" s="85"/>
      <c r="CV163" s="185"/>
      <c r="CW163" s="193"/>
      <c r="CX163" s="193"/>
      <c r="CY163" s="14"/>
      <c r="CZ163" s="14"/>
      <c r="DA163" s="14"/>
      <c r="DB163" s="14"/>
      <c r="DC163" s="14"/>
      <c r="DD163" s="14"/>
      <c r="DE163" s="14"/>
      <c r="DF163" s="14"/>
      <c r="DG163" s="129"/>
      <c r="DH163" s="14"/>
      <c r="DI163" s="47"/>
      <c r="DJ163" s="14"/>
      <c r="DK163" s="84" t="s">
        <v>305</v>
      </c>
      <c r="DL163" s="84"/>
      <c r="DM163" s="85"/>
      <c r="DN163" s="8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row>
    <row r="164" spans="1:142" x14ac:dyDescent="0.25">
      <c r="A164" s="14"/>
      <c r="B164" s="14"/>
      <c r="C164" s="14"/>
      <c r="D164" s="15"/>
      <c r="E164" s="14"/>
      <c r="F164" s="14"/>
      <c r="G164" s="14"/>
      <c r="H164" s="21"/>
      <c r="I164" s="21"/>
      <c r="J164" s="14"/>
      <c r="K164" s="19"/>
      <c r="L164" s="14"/>
      <c r="M164" s="14"/>
      <c r="N164" s="14"/>
      <c r="O164" s="14"/>
      <c r="P164" s="14"/>
      <c r="Q164" s="47"/>
      <c r="R164" s="19"/>
      <c r="S164" s="14"/>
      <c r="T164" s="14"/>
      <c r="U164" s="15"/>
      <c r="V164" s="14"/>
      <c r="W164" s="14"/>
      <c r="X164" s="14"/>
      <c r="Y164" s="14"/>
      <c r="Z164" s="14"/>
      <c r="AA164" s="14"/>
      <c r="AB164" s="14"/>
      <c r="AC164" s="14"/>
      <c r="AD164" s="14"/>
      <c r="AE164" s="14"/>
      <c r="AF164" s="47"/>
      <c r="AG164" s="19"/>
      <c r="AH164" s="14"/>
      <c r="AI164" s="14"/>
      <c r="AJ164" s="15"/>
      <c r="AK164" s="14"/>
      <c r="AL164" s="14"/>
      <c r="AM164" s="14"/>
      <c r="AN164" s="14"/>
      <c r="AO164" s="14"/>
      <c r="AP164" s="14"/>
      <c r="AQ164" s="14"/>
      <c r="AR164" s="14"/>
      <c r="AS164" s="14"/>
      <c r="AT164" s="14"/>
      <c r="AU164" s="47"/>
      <c r="AV164" s="14"/>
      <c r="AW164" s="14"/>
      <c r="AX164" s="14"/>
      <c r="AY164" s="15"/>
      <c r="AZ164" s="14"/>
      <c r="BA164" s="14"/>
      <c r="BB164" s="14"/>
      <c r="BC164" s="14"/>
      <c r="BD164" s="14"/>
      <c r="BE164" s="14"/>
      <c r="BF164" s="14"/>
      <c r="BG164" s="14"/>
      <c r="BH164" s="14"/>
      <c r="BI164" s="14"/>
      <c r="BJ164" s="47"/>
      <c r="BK164" s="19"/>
      <c r="BL164" s="14"/>
      <c r="BM164" s="14"/>
      <c r="BN164" s="15"/>
      <c r="BO164" s="14"/>
      <c r="BP164" s="14"/>
      <c r="BQ164" s="14"/>
      <c r="BR164" s="14"/>
      <c r="BS164" s="14"/>
      <c r="BT164" s="14"/>
      <c r="BU164" s="14"/>
      <c r="BV164" s="14"/>
      <c r="BW164" s="14"/>
      <c r="BX164" s="14"/>
      <c r="BY164" s="47"/>
      <c r="BZ164" s="14"/>
      <c r="CA164" s="14"/>
      <c r="CB164" s="21"/>
      <c r="CC164" s="21"/>
      <c r="CD164" s="180"/>
      <c r="CE164" s="180"/>
      <c r="CF164" s="21"/>
      <c r="CG164" s="14"/>
      <c r="CH164" s="14"/>
      <c r="CI164" s="14"/>
      <c r="CJ164" s="14"/>
      <c r="CK164" s="14"/>
      <c r="CL164" s="14"/>
      <c r="CM164" s="14"/>
      <c r="CN164" s="14"/>
      <c r="CO164" s="129"/>
      <c r="CP164" s="14"/>
      <c r="CQ164" s="47"/>
      <c r="CR164" s="14"/>
      <c r="CS164" s="14"/>
      <c r="CT164" s="14"/>
      <c r="CU164" s="14"/>
      <c r="CV164" s="180"/>
      <c r="CW164" s="189"/>
      <c r="CX164" s="189"/>
      <c r="CY164" s="14"/>
      <c r="CZ164" s="14"/>
      <c r="DA164" s="14"/>
      <c r="DB164" s="14"/>
      <c r="DC164" s="14"/>
      <c r="DD164" s="14"/>
      <c r="DE164" s="14"/>
      <c r="DF164" s="14"/>
      <c r="DG164" s="129"/>
      <c r="DH164" s="14"/>
      <c r="DI164" s="47"/>
      <c r="DJ164" s="14"/>
      <c r="DK164" s="14"/>
      <c r="DL164" s="14"/>
      <c r="DM164" s="15"/>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row>
    <row r="165" spans="1:142" ht="27.6" x14ac:dyDescent="0.25">
      <c r="A165" s="14"/>
      <c r="B165" s="112" t="s">
        <v>23</v>
      </c>
      <c r="C165" s="113" t="s">
        <v>24</v>
      </c>
      <c r="D165" s="113" t="s">
        <v>145</v>
      </c>
      <c r="E165" s="113" t="s">
        <v>300</v>
      </c>
      <c r="F165" s="14"/>
      <c r="G165" s="14"/>
      <c r="H165" s="21"/>
      <c r="I165" s="21"/>
      <c r="J165" s="14"/>
      <c r="K165" s="19"/>
      <c r="L165" s="51"/>
      <c r="M165" s="51"/>
      <c r="N165" s="51"/>
      <c r="O165" s="51"/>
      <c r="P165" s="51"/>
      <c r="Q165" s="47"/>
      <c r="R165" s="19"/>
      <c r="S165" s="112" t="s">
        <v>23</v>
      </c>
      <c r="T165" s="113" t="s">
        <v>24</v>
      </c>
      <c r="U165" s="113" t="s">
        <v>145</v>
      </c>
      <c r="V165" s="113" t="s">
        <v>300</v>
      </c>
      <c r="W165" s="14"/>
      <c r="X165" s="14"/>
      <c r="Y165" s="14"/>
      <c r="Z165" s="14"/>
      <c r="AA165" s="56"/>
      <c r="AB165" s="56"/>
      <c r="AC165" s="56"/>
      <c r="AD165" s="56"/>
      <c r="AE165" s="56"/>
      <c r="AF165" s="47"/>
      <c r="AG165" s="19"/>
      <c r="AH165" s="112" t="s">
        <v>23</v>
      </c>
      <c r="AI165" s="113" t="s">
        <v>24</v>
      </c>
      <c r="AJ165" s="113" t="s">
        <v>145</v>
      </c>
      <c r="AK165" s="113" t="s">
        <v>300</v>
      </c>
      <c r="AL165" s="14"/>
      <c r="AM165" s="14"/>
      <c r="AN165" s="14"/>
      <c r="AO165" s="14"/>
      <c r="AP165" s="56"/>
      <c r="AQ165" s="56"/>
      <c r="AR165" s="56"/>
      <c r="AS165" s="56"/>
      <c r="AT165" s="56"/>
      <c r="AU165" s="47"/>
      <c r="AV165" s="14"/>
      <c r="AW165" s="112" t="s">
        <v>23</v>
      </c>
      <c r="AX165" s="113" t="s">
        <v>24</v>
      </c>
      <c r="AY165" s="113" t="s">
        <v>145</v>
      </c>
      <c r="AZ165" s="113" t="s">
        <v>300</v>
      </c>
      <c r="BA165" s="14"/>
      <c r="BB165" s="14"/>
      <c r="BC165" s="14"/>
      <c r="BD165" s="14"/>
      <c r="BE165" s="56"/>
      <c r="BF165" s="56"/>
      <c r="BG165" s="56"/>
      <c r="BH165" s="56"/>
      <c r="BI165" s="56"/>
      <c r="BJ165" s="47"/>
      <c r="BK165" s="19"/>
      <c r="BL165" s="112" t="s">
        <v>23</v>
      </c>
      <c r="BM165" s="113" t="s">
        <v>24</v>
      </c>
      <c r="BN165" s="113" t="s">
        <v>145</v>
      </c>
      <c r="BO165" s="113" t="s">
        <v>300</v>
      </c>
      <c r="BP165" s="14"/>
      <c r="BQ165" s="14"/>
      <c r="BR165" s="14"/>
      <c r="BS165" s="14"/>
      <c r="BT165" s="56"/>
      <c r="BU165" s="56"/>
      <c r="BV165" s="56"/>
      <c r="BW165" s="56"/>
      <c r="BX165" s="56"/>
      <c r="BY165" s="47"/>
      <c r="BZ165" s="14"/>
      <c r="CA165" s="112" t="s">
        <v>23</v>
      </c>
      <c r="CB165" s="113" t="s">
        <v>145</v>
      </c>
      <c r="CC165" s="21"/>
      <c r="CD165" s="180"/>
      <c r="CE165" s="180"/>
      <c r="CF165" s="21"/>
      <c r="CG165" s="14"/>
      <c r="CH165" s="14"/>
      <c r="CI165" s="14"/>
      <c r="CJ165" s="14"/>
      <c r="CK165" s="14"/>
      <c r="CL165" s="14"/>
      <c r="CM165" s="14"/>
      <c r="CN165" s="14"/>
      <c r="CO165" s="129"/>
      <c r="CP165" s="17"/>
      <c r="CQ165" s="47"/>
      <c r="CR165" s="14"/>
      <c r="CS165" s="112" t="s">
        <v>23</v>
      </c>
      <c r="CT165" s="113" t="s">
        <v>145</v>
      </c>
      <c r="CU165" s="14"/>
      <c r="CV165" s="180"/>
      <c r="CW165" s="189"/>
      <c r="CX165" s="189"/>
      <c r="CY165" s="14"/>
      <c r="CZ165" s="14"/>
      <c r="DA165" s="14"/>
      <c r="DB165" s="14"/>
      <c r="DC165" s="14"/>
      <c r="DD165" s="14"/>
      <c r="DE165" s="14"/>
      <c r="DF165" s="14"/>
      <c r="DG165" s="129"/>
      <c r="DH165" s="17"/>
      <c r="DI165" s="47"/>
      <c r="DJ165" s="17"/>
      <c r="DK165" s="112" t="s">
        <v>23</v>
      </c>
      <c r="DL165" s="113" t="s">
        <v>24</v>
      </c>
      <c r="DM165" s="113" t="s">
        <v>145</v>
      </c>
      <c r="DN165" s="113" t="s">
        <v>300</v>
      </c>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row>
    <row r="166" spans="1:142" x14ac:dyDescent="0.25">
      <c r="A166" s="14"/>
      <c r="B166" s="57" t="s">
        <v>153</v>
      </c>
      <c r="C166" s="121" t="str">
        <f>IF(H185=0,"na",IF(COUNTIF(H180:H184,MAX(H180:H184))&gt;COUNTIF(G180:G184,"&lt;&gt;""")/2,"No clear choice of the most common response",INDEX(G180:G184,MATCH(MAX(H180:H184),H180:H184,0),1)))</f>
        <v>Definitely not</v>
      </c>
      <c r="D166" s="58">
        <f>COUNTIFS(S26_stakeholder_category,"PO",Response_Q156_1,"&lt;&gt;0")</f>
        <v>2</v>
      </c>
      <c r="E166" s="121">
        <f>COUNTIFS(S26_stakeholder_category,"PO",Response_Q156_1,"I don’t know")</f>
        <v>0</v>
      </c>
      <c r="F166" s="14"/>
      <c r="G166" s="14"/>
      <c r="H166" s="21"/>
      <c r="I166" s="21"/>
      <c r="J166" s="14"/>
      <c r="K166" s="19"/>
      <c r="L166" s="40"/>
      <c r="M166" s="40"/>
      <c r="N166" s="40"/>
      <c r="O166" s="40"/>
      <c r="P166" s="40"/>
      <c r="Q166" s="47"/>
      <c r="R166" s="19"/>
      <c r="S166" s="34" t="s">
        <v>153</v>
      </c>
      <c r="T166" s="37" t="str">
        <f>IF(Y187=0,"na",IF(COUNTIF(Y180:Y186,MAX(Y180:Y186))&gt;COUNTIF(X180:X186,"&lt;&gt;""")/2,"No clear choice of the most common response",INDEX(X180:X186,MATCH(MAX(Y180:Y186),Y180:Y186,0),1)))</f>
        <v>na</v>
      </c>
      <c r="U166" s="33">
        <f>COUNTIFS(S26_stakeholder_category,"PO",Response_Q160_1,"&lt;&gt;0")</f>
        <v>0</v>
      </c>
      <c r="V166" s="37">
        <f>COUNTIFS(S26_stakeholder_category,"PO",Response_Q160_1,"I don’t know")</f>
        <v>0</v>
      </c>
      <c r="W166" s="14"/>
      <c r="X166" s="14"/>
      <c r="Y166" s="14"/>
      <c r="Z166" s="14"/>
      <c r="AA166" s="19"/>
      <c r="AB166" s="19"/>
      <c r="AC166" s="19"/>
      <c r="AD166" s="19"/>
      <c r="AE166" s="19"/>
      <c r="AF166" s="47"/>
      <c r="AG166" s="19"/>
      <c r="AH166" s="57" t="s">
        <v>153</v>
      </c>
      <c r="AI166" s="121" t="str">
        <f>IF(AN187=0,"na",IF(COUNTIF(AN180:AN186,MAX(AN180:AN186))&gt;COUNTIF(AM180:AM186,"&lt;&gt;""")/2,"No clear choice of the most common response",INDEX(AM180:AM186,MATCH(MAX(AN180:AN186),AN180:AN186,0),1)))</f>
        <v>na</v>
      </c>
      <c r="AJ166" s="58">
        <f>COUNTIFS(S26_stakeholder_category,"PO",Response_26_CaseA,"&lt;&gt;0")</f>
        <v>0</v>
      </c>
      <c r="AK166" s="121">
        <f>COUNTIFS(S26_stakeholder_category,"PO",Response_26_CaseA,"I don’t know")</f>
        <v>0</v>
      </c>
      <c r="AL166" s="14"/>
      <c r="AM166" s="14"/>
      <c r="AN166" s="14"/>
      <c r="AO166" s="14"/>
      <c r="AP166" s="19"/>
      <c r="AQ166" s="19"/>
      <c r="AR166" s="19"/>
      <c r="AS166" s="19"/>
      <c r="AT166" s="19"/>
      <c r="AU166" s="47"/>
      <c r="AV166" s="14"/>
      <c r="AW166" s="57" t="s">
        <v>153</v>
      </c>
      <c r="AX166" s="121" t="str">
        <f>IF(BC187=0,"na",IF(COUNTIF(BC180:BC186,MAX(BC180:BC186))&gt;COUNTIF(BB180:BB186,"&lt;&gt;""")/2,"No clear choice of the most common response",INDEX(BB180:BB186,MATCH(MAX(BC180:BC186),BC180:BC186,0),1)))</f>
        <v>na</v>
      </c>
      <c r="AY166" s="58">
        <f>COUNTIFS(S26_stakeholder_category,"PO",Response_26_CaseB,"&lt;&gt;0")</f>
        <v>0</v>
      </c>
      <c r="AZ166" s="121">
        <f>COUNTIFS(S26_stakeholder_category,"PO",Response_26_CaseB,"I don’t know")</f>
        <v>0</v>
      </c>
      <c r="BA166" s="14"/>
      <c r="BB166" s="14"/>
      <c r="BC166" s="14"/>
      <c r="BD166" s="14"/>
      <c r="BE166" s="19"/>
      <c r="BF166" s="19"/>
      <c r="BG166" s="19"/>
      <c r="BH166" s="19"/>
      <c r="BI166" s="19"/>
      <c r="BJ166" s="47"/>
      <c r="BK166" s="19"/>
      <c r="BL166" s="57" t="s">
        <v>153</v>
      </c>
      <c r="BM166" s="121" t="str">
        <f>IF(BR187=0,"na",IF(COUNTIF(BR180:BR186,MAX(BR180:BR186))&gt;COUNTIF(BQ180:BQ186,"&lt;&gt;""")/2,"No clear choice of the most common response",INDEX(BQ180:BQ186,MATCH(MAX(BR180:BR186),BR180:BR186,0),1)))</f>
        <v>na</v>
      </c>
      <c r="BN166" s="58">
        <f>COUNTIFS(S26_stakeholder_category,"PO",Response_26_CaseC,"&lt;&gt;0")</f>
        <v>0</v>
      </c>
      <c r="BO166" s="121">
        <f>COUNTIFS(S26_stakeholder_category,"PO",Response_26_CaseC,"I don’t know")</f>
        <v>0</v>
      </c>
      <c r="BP166" s="14"/>
      <c r="BQ166" s="14"/>
      <c r="BR166" s="14"/>
      <c r="BS166" s="14"/>
      <c r="BT166" s="19"/>
      <c r="BU166" s="19"/>
      <c r="BV166" s="19"/>
      <c r="BW166" s="19"/>
      <c r="BX166" s="19"/>
      <c r="BY166" s="47"/>
      <c r="BZ166" s="14"/>
      <c r="CA166" s="34" t="s">
        <v>153</v>
      </c>
      <c r="CB166" s="37">
        <f>MAX(SUM(CC172:CC178),SUM(CD172:CD178),SUM(CE172:CE178))</f>
        <v>1</v>
      </c>
      <c r="CC166" s="21"/>
      <c r="CD166" s="180"/>
      <c r="CE166" s="180"/>
      <c r="CF166" s="21"/>
      <c r="CG166" s="14"/>
      <c r="CH166" s="14"/>
      <c r="CI166" s="14"/>
      <c r="CJ166" s="14"/>
      <c r="CK166" s="14"/>
      <c r="CL166" s="14"/>
      <c r="CM166" s="14"/>
      <c r="CN166" s="14"/>
      <c r="CO166" s="129"/>
      <c r="CP166" s="29"/>
      <c r="CQ166" s="47"/>
      <c r="CR166" s="14"/>
      <c r="CS166" s="34" t="s">
        <v>153</v>
      </c>
      <c r="CT166" s="37">
        <f>MAX(SUM(CU172:CU178),SUM(CV172:CV178),SUM(CW172:CW178))</f>
        <v>0</v>
      </c>
      <c r="CU166" s="14"/>
      <c r="CV166" s="180"/>
      <c r="CW166" s="189"/>
      <c r="CX166" s="189"/>
      <c r="CY166" s="14"/>
      <c r="CZ166" s="14"/>
      <c r="DA166" s="14"/>
      <c r="DB166" s="14"/>
      <c r="DC166" s="14"/>
      <c r="DD166" s="14"/>
      <c r="DE166" s="14"/>
      <c r="DF166" s="14"/>
      <c r="DG166" s="129"/>
      <c r="DH166" s="29"/>
      <c r="DI166" s="47"/>
      <c r="DJ166" s="29"/>
      <c r="DK166" s="34" t="s">
        <v>153</v>
      </c>
      <c r="DL166" s="37" t="str">
        <f>IF(DQ185=0,"na",IF(COUNTIF(DQ180:DQ184,MAX(DQ180:DQ184))&gt;COUNTIF(DP180:DP184,"&lt;&gt;""")/2,"No clear choice of the most common response",INDEX(DP180:DP184,MATCH(MAX(DQ180:DQ184),DQ180:DQ184,0),1)))</f>
        <v>Definitely not</v>
      </c>
      <c r="DM166" s="33">
        <f>COUNTIFS(S26_stakeholder_category,"PO",Response_Q156_1,"&lt;&gt;0",Response_Q156_1,"&lt;&gt;0")</f>
        <v>2</v>
      </c>
      <c r="DN166" s="37">
        <f>DQ184</f>
        <v>0</v>
      </c>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row>
    <row r="167" spans="1:142" x14ac:dyDescent="0.25">
      <c r="A167" s="14"/>
      <c r="B167" s="57"/>
      <c r="C167" s="121" t="str">
        <f ca="1">IF(H185=0,"",IF(COUNTIF(H180:H184,MAX(H180:H184))=1,"",IF(COUNTIF(H180:H184,MAX(H180:H184))&gt;COUNTIF(G180:G184,"&lt;&gt;""")/2,"",INDEX(OFFSET(G180,MATCH(C166,G180:G185,0),0):G184,MATCH(MAX(H180:H184),OFFSET(H180,MATCH(C166,G180:G185,0),0):H184,0),1))))</f>
        <v>Sometimes</v>
      </c>
      <c r="D167" s="58"/>
      <c r="E167" s="121"/>
      <c r="F167" s="14"/>
      <c r="G167" s="14"/>
      <c r="H167" s="21"/>
      <c r="I167" s="21"/>
      <c r="J167" s="14"/>
      <c r="K167" s="19"/>
      <c r="L167" s="40"/>
      <c r="M167" s="40"/>
      <c r="N167" s="40"/>
      <c r="O167" s="40"/>
      <c r="P167" s="40"/>
      <c r="Q167" s="47"/>
      <c r="R167" s="19"/>
      <c r="S167" s="34"/>
      <c r="T167" s="37" t="str">
        <f ca="1">IF(Y187=0,"",IF(COUNTIF(Y180:Y186,MAX(Y180:Y186))=1,"",IF(COUNTIF(Y180:Y186,MAX(Y180:Y186))&gt;COUNTIF(X180:X186,"&lt;&gt;""")/2,"",INDEX(OFFSET(X180,MATCH(T166,X180:X186,0),0):X186,MATCH(MAX(Y180:Y186),OFFSET(Y180,MATCH(T166,X180:X186,0),0):Y186,0),1))))</f>
        <v/>
      </c>
      <c r="U167" s="33"/>
      <c r="V167" s="37"/>
      <c r="W167" s="14"/>
      <c r="X167" s="14"/>
      <c r="Y167" s="14"/>
      <c r="Z167" s="14"/>
      <c r="AA167" s="19"/>
      <c r="AB167" s="19"/>
      <c r="AC167" s="19"/>
      <c r="AD167" s="19"/>
      <c r="AE167" s="19"/>
      <c r="AF167" s="47"/>
      <c r="AG167" s="19"/>
      <c r="AH167" s="57"/>
      <c r="AI167" s="121" t="str">
        <f ca="1">IF(AN187=0,"",IF(COUNTIF(AN180:AN186,MAX(AN180:AN186))=1,"",IF(COUNTIF(AN180:AN186,MAX(AN180:AN186))&gt;COUNTIF(AM180:AM186,"&lt;&gt;""")/2,"",INDEX(OFFSET(AM180,MATCH(AI166,AM180:AM186,0),0):AM186,MATCH(MAX(AN180:AN186),OFFSET(AN180,MATCH(AI166,AM180:AM186,0),0):AN186,0),1))))</f>
        <v/>
      </c>
      <c r="AJ167" s="58"/>
      <c r="AK167" s="121"/>
      <c r="AL167" s="14"/>
      <c r="AM167" s="14"/>
      <c r="AN167" s="14"/>
      <c r="AO167" s="14"/>
      <c r="AP167" s="19"/>
      <c r="AQ167" s="19"/>
      <c r="AR167" s="19"/>
      <c r="AS167" s="19"/>
      <c r="AT167" s="19"/>
      <c r="AU167" s="47"/>
      <c r="AV167" s="14"/>
      <c r="AW167" s="57"/>
      <c r="AX167" s="121" t="str">
        <f ca="1">IF(BC187=0,"",IF(COUNTIF(BC180:BC186,MAX(BC180:BC186))=1,"",IF(COUNTIF(BC180:BC186,MAX(BC180:BC186))&gt;COUNTIF(BB180:BB186,"&lt;&gt;""")/2,"",INDEX(OFFSET(BB180,MATCH(AX166,BB180:BB186,0),0):BB186,MATCH(MAX(BC180:BC186),OFFSET(BC180,MATCH(AX166,BB180:BB186,0),0):BC186,0),1))))</f>
        <v/>
      </c>
      <c r="AY167" s="58"/>
      <c r="AZ167" s="121"/>
      <c r="BA167" s="14"/>
      <c r="BB167" s="14"/>
      <c r="BC167" s="14"/>
      <c r="BD167" s="14"/>
      <c r="BE167" s="19"/>
      <c r="BF167" s="19"/>
      <c r="BG167" s="19"/>
      <c r="BH167" s="19"/>
      <c r="BI167" s="19"/>
      <c r="BJ167" s="47"/>
      <c r="BK167" s="19"/>
      <c r="BL167" s="57"/>
      <c r="BM167" s="121" t="str">
        <f ca="1">IF(BR187=0,"",IF(COUNTIF(BR180:BR186,MAX(BR180:BR186))=1,"",IF(COUNTIF(BR180:BR186,MAX(BR180:BR186))&gt;COUNTIF(BQ180:BQ186,"&lt;&gt;""")/2,"",INDEX(OFFSET(BQ180,MATCH(BM166,BQ180:BQ186,0),0):BQ186,MATCH(MAX(BR180:BR186),OFFSET(BR180,MATCH(BM166,BQ180:BQ186,0),0):BR186,0),1))))</f>
        <v/>
      </c>
      <c r="BN167" s="58"/>
      <c r="BO167" s="121"/>
      <c r="BP167" s="14"/>
      <c r="BQ167" s="14"/>
      <c r="BR167" s="14"/>
      <c r="BS167" s="14"/>
      <c r="BT167" s="19"/>
      <c r="BU167" s="19"/>
      <c r="BV167" s="19"/>
      <c r="BW167" s="19"/>
      <c r="BX167" s="19"/>
      <c r="BY167" s="47"/>
      <c r="BZ167" s="14"/>
      <c r="CA167" s="14"/>
      <c r="CB167" s="21"/>
      <c r="CC167" s="21"/>
      <c r="CD167" s="180"/>
      <c r="CE167" s="180"/>
      <c r="CF167" s="21"/>
      <c r="CG167" s="14"/>
      <c r="CH167" s="14"/>
      <c r="CI167" s="14"/>
      <c r="CJ167" s="14"/>
      <c r="CK167" s="14"/>
      <c r="CL167" s="14"/>
      <c r="CM167" s="14"/>
      <c r="CN167" s="14"/>
      <c r="CO167" s="129"/>
      <c r="CP167" s="29"/>
      <c r="CQ167" s="47"/>
      <c r="CR167" s="14"/>
      <c r="CS167" s="14"/>
      <c r="CT167" s="14"/>
      <c r="CU167" s="14"/>
      <c r="CV167" s="180"/>
      <c r="CW167" s="189"/>
      <c r="CX167" s="189"/>
      <c r="CY167" s="14"/>
      <c r="CZ167" s="14"/>
      <c r="DA167" s="14"/>
      <c r="DB167" s="14"/>
      <c r="DC167" s="14"/>
      <c r="DD167" s="14"/>
      <c r="DE167" s="14"/>
      <c r="DF167" s="14"/>
      <c r="DG167" s="129"/>
      <c r="DH167" s="29"/>
      <c r="DI167" s="47"/>
      <c r="DJ167" s="29"/>
      <c r="DK167" s="34"/>
      <c r="DL167" s="37" t="str">
        <f ca="1">IF(DQ185=0,"",IF(COUNTIF(DQ180:DQ184,MAX(DQ180:DQ184))=1,"",IF(COUNTIF(DQ180:DQ184,MAX(DQ180:DQ184))&gt;COUNTIF(DP180:DP184,"&lt;&gt;""")/2,"",INDEX(OFFSET(DP180,MATCH(DL166,DP180:DP185,0),0):DP184,MATCH(MAX(DQ180:DQ184),OFFSET(DQ180,MATCH(DL166,DP180:DP185,0),0):DQ184,0),1))))</f>
        <v>Sometimes</v>
      </c>
      <c r="DM167" s="33"/>
      <c r="DN167" s="37"/>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row>
    <row r="168" spans="1:142" x14ac:dyDescent="0.25">
      <c r="A168" s="14"/>
      <c r="B168" s="57"/>
      <c r="C168" s="121" t="str">
        <f ca="1" xml:space="preserve"> IF(H185=0,"", IF(COUNTIF(H180:H184,MAX(H180:H184))&lt;=2,"",IF(COUNTIF(H180:H184,MAX(H180:H184))&gt;COUNTIF(G180:G184,"&lt;&gt;""")/2,"", INDEX(OFFSET(G180,MATCH(C167,G180:G185,0),0):G184,         MATCH(MAX(H180:H184),        OFFSET(H180,MATCH(C167,G180:G185,0),0):H184,0),1))))</f>
        <v/>
      </c>
      <c r="D168" s="58"/>
      <c r="E168" s="121"/>
      <c r="F168" s="14"/>
      <c r="G168" s="14"/>
      <c r="H168" s="21"/>
      <c r="I168" s="21"/>
      <c r="J168" s="14"/>
      <c r="K168" s="19"/>
      <c r="L168" s="40"/>
      <c r="M168" s="40"/>
      <c r="N168" s="40"/>
      <c r="O168" s="40"/>
      <c r="P168" s="40"/>
      <c r="Q168" s="47"/>
      <c r="R168" s="19"/>
      <c r="S168" s="34"/>
      <c r="T168" s="121" t="str">
        <f ca="1" xml:space="preserve"> IF(Y187=0,"",IF(Y187=0,"", IF(COUNTIF(Y180:Y186,MAX(Y180:Y186))&lt;=2,"",IF(COUNTIF(Y180:Y186,MAX(Y180:Y186))&gt;COUNTIF(X180:X186,"&lt;&gt;""")/2,"", INDEX(OFFSET(X180,MATCH(T167,X180:X186,0),0):X186,         MATCH(MAX(Y180:Y186),        OFFSET(Y180,MATCH(T167,X180:X186,0),0):Y186,0),1)))))</f>
        <v/>
      </c>
      <c r="U168" s="33"/>
      <c r="V168" s="37"/>
      <c r="W168" s="14"/>
      <c r="X168" s="14"/>
      <c r="Y168" s="14"/>
      <c r="Z168" s="14"/>
      <c r="AA168" s="19"/>
      <c r="AB168" s="19"/>
      <c r="AC168" s="19"/>
      <c r="AD168" s="19"/>
      <c r="AE168" s="19"/>
      <c r="AF168" s="47"/>
      <c r="AG168" s="19"/>
      <c r="AH168" s="57"/>
      <c r="AI168" s="121" t="str">
        <f ca="1" xml:space="preserve"> IF(AN187=0,"",IF(AN187=0,"", IF(COUNTIF(AN180:AN186,MAX(AN180:AN186))&lt;=2,"",IF(COUNTIF(AN180:AN186,MAX(AN180:AN186))&gt;COUNTIF(AM180:AM186,"&lt;&gt;""")/2,"", INDEX(OFFSET(AM180,MATCH(AI167,AM180:AM186,0),0):AM186,         MATCH(MAX(AN180:AN186),        OFFSET(AN180,MATCH(AI167,AM180:AM186,0),0):AN186,0),1)))))</f>
        <v/>
      </c>
      <c r="AJ168" s="58"/>
      <c r="AK168" s="121"/>
      <c r="AL168" s="14"/>
      <c r="AM168" s="14"/>
      <c r="AN168" s="14"/>
      <c r="AO168" s="14"/>
      <c r="AP168" s="19"/>
      <c r="AQ168" s="19"/>
      <c r="AR168" s="19"/>
      <c r="AS168" s="19"/>
      <c r="AT168" s="19"/>
      <c r="AU168" s="47"/>
      <c r="AV168" s="14"/>
      <c r="AW168" s="57"/>
      <c r="AX168" s="121" t="str">
        <f ca="1" xml:space="preserve"> IF(BC187=0,"",IF(BC187=0,"", IF(COUNTIF(BC180:BC186,MAX(BC180:BC186))&lt;=2,"",IF(COUNTIF(BC180:BC186,MAX(BC180:BC186))&gt;COUNTIF(BB180:BB186,"&lt;&gt;""")/2,"", INDEX(OFFSET(BB180,MATCH(AX167,BB180:BB186,0),0):BB186,         MATCH(MAX(BC180:BC186),        OFFSET(BC180,MATCH(AX167,BB180:BB186,0),0):BC186,0),1)))))</f>
        <v/>
      </c>
      <c r="AY168" s="58"/>
      <c r="AZ168" s="121"/>
      <c r="BA168" s="14"/>
      <c r="BB168" s="14"/>
      <c r="BC168" s="14"/>
      <c r="BD168" s="14"/>
      <c r="BE168" s="19"/>
      <c r="BF168" s="19"/>
      <c r="BG168" s="19"/>
      <c r="BH168" s="19"/>
      <c r="BI168" s="19"/>
      <c r="BJ168" s="47"/>
      <c r="BK168" s="19"/>
      <c r="BL168" s="57"/>
      <c r="BM168" s="121" t="str">
        <f ca="1" xml:space="preserve"> IF(BR187=0,"",IF(BR187=0,"", IF(COUNTIF(BR180:BR186,MAX(BR180:BR186))&lt;=2,"",IF(COUNTIF(BR180:BR186,MAX(BR180:BR186))&gt;COUNTIF(BQ180:BQ186,"&lt;&gt;""")/2,"", INDEX(OFFSET(BQ180,MATCH(BM167,BQ180:BQ186,0),0):BQ186,         MATCH(MAX(BR180:BR186),        OFFSET(BR180,MATCH(BM167,BQ180:BQ186,0),0):BR186,0),1)))))</f>
        <v/>
      </c>
      <c r="BN168" s="58"/>
      <c r="BO168" s="121"/>
      <c r="BP168" s="14"/>
      <c r="BQ168" s="14"/>
      <c r="BR168" s="14"/>
      <c r="BS168" s="14"/>
      <c r="BT168" s="19"/>
      <c r="BU168" s="19"/>
      <c r="BV168" s="19"/>
      <c r="BW168" s="19"/>
      <c r="BX168" s="19"/>
      <c r="BY168" s="47"/>
      <c r="BZ168" s="14"/>
      <c r="CA168" s="14"/>
      <c r="CB168" s="21"/>
      <c r="CC168" s="21"/>
      <c r="CD168" s="180"/>
      <c r="CE168" s="180"/>
      <c r="CF168" s="21"/>
      <c r="CG168" s="14"/>
      <c r="CH168" s="14"/>
      <c r="CI168" s="14"/>
      <c r="CJ168" s="14"/>
      <c r="CK168" s="14"/>
      <c r="CL168" s="14"/>
      <c r="CM168" s="14"/>
      <c r="CN168" s="14"/>
      <c r="CO168" s="129"/>
      <c r="CP168" s="29"/>
      <c r="CQ168" s="47"/>
      <c r="CR168" s="14"/>
      <c r="CS168" s="14"/>
      <c r="CT168" s="14"/>
      <c r="CU168" s="14"/>
      <c r="CV168" s="180"/>
      <c r="CW168" s="189"/>
      <c r="CX168" s="189"/>
      <c r="CY168" s="14"/>
      <c r="CZ168" s="14"/>
      <c r="DA168" s="14"/>
      <c r="DB168" s="14"/>
      <c r="DC168" s="14"/>
      <c r="DD168" s="14"/>
      <c r="DE168" s="14"/>
      <c r="DF168" s="14"/>
      <c r="DG168" s="129"/>
      <c r="DH168" s="29"/>
      <c r="DI168" s="47"/>
      <c r="DJ168" s="29"/>
      <c r="DK168" s="34"/>
      <c r="DL168" s="37" t="str">
        <f ca="1">IF(DQ185=0,"",IF(COUNTIF(DQ180:DQ184,MAX(DQ180:DQ184))&lt;=2,"",IF(COUNTIF(DQ180:DQ184,MAX(DQ180:DQ184))&gt;COUNTIF(DP180:DP184,"&lt;&gt;""")/2,"",INDEX(OFFSET(DP180,MATCH(DL167,DP180:DP185,0),0):DP184,MATCH(MAX(DQ180:DQ184),OFFSET(DQ180,MATCH(DL167,DP180:DP185,0),0):DQ184,0),1))))</f>
        <v/>
      </c>
      <c r="DM168" s="33"/>
      <c r="DN168" s="37"/>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row>
    <row r="169" spans="1:142" x14ac:dyDescent="0.25">
      <c r="A169" s="14"/>
      <c r="B169" s="14"/>
      <c r="C169" s="14"/>
      <c r="D169" s="27"/>
      <c r="E169" s="14"/>
      <c r="F169" s="14"/>
      <c r="G169" s="14"/>
      <c r="H169" s="21"/>
      <c r="I169" s="21"/>
      <c r="J169" s="14"/>
      <c r="K169" s="19"/>
      <c r="L169" s="40"/>
      <c r="M169" s="40"/>
      <c r="N169" s="40"/>
      <c r="O169" s="40"/>
      <c r="P169" s="40"/>
      <c r="Q169" s="47"/>
      <c r="R169" s="19"/>
      <c r="S169" s="19"/>
      <c r="T169" s="19"/>
      <c r="U169" s="19"/>
      <c r="V169" s="19"/>
      <c r="W169" s="14"/>
      <c r="X169" s="14"/>
      <c r="Y169" s="14"/>
      <c r="Z169" s="14"/>
      <c r="AA169" s="19"/>
      <c r="AB169" s="19"/>
      <c r="AC169" s="19"/>
      <c r="AD169" s="19"/>
      <c r="AE169" s="19"/>
      <c r="AF169" s="47"/>
      <c r="AG169" s="19"/>
      <c r="AH169" s="19"/>
      <c r="AI169" s="19"/>
      <c r="AJ169" s="19"/>
      <c r="AK169" s="19"/>
      <c r="AL169" s="14"/>
      <c r="AM169" s="14"/>
      <c r="AN169" s="14"/>
      <c r="AO169" s="14"/>
      <c r="AP169" s="19"/>
      <c r="AQ169" s="19"/>
      <c r="AR169" s="19"/>
      <c r="AS169" s="19"/>
      <c r="AT169" s="19"/>
      <c r="AU169" s="47"/>
      <c r="AV169" s="14"/>
      <c r="AW169" s="19"/>
      <c r="AX169" s="19"/>
      <c r="AY169" s="19"/>
      <c r="AZ169" s="19"/>
      <c r="BA169" s="14"/>
      <c r="BB169" s="14"/>
      <c r="BC169" s="14"/>
      <c r="BD169" s="14"/>
      <c r="BE169" s="19"/>
      <c r="BF169" s="19"/>
      <c r="BG169" s="19"/>
      <c r="BH169" s="19"/>
      <c r="BI169" s="19"/>
      <c r="BJ169" s="47"/>
      <c r="BK169" s="19"/>
      <c r="BL169" s="19"/>
      <c r="BM169" s="19"/>
      <c r="BN169" s="19"/>
      <c r="BO169" s="19"/>
      <c r="BP169" s="14"/>
      <c r="BQ169" s="14"/>
      <c r="BR169" s="14"/>
      <c r="BS169" s="14"/>
      <c r="BT169" s="19"/>
      <c r="BU169" s="19"/>
      <c r="BV169" s="19"/>
      <c r="BW169" s="19"/>
      <c r="BX169" s="19"/>
      <c r="BY169" s="47"/>
      <c r="BZ169" s="14"/>
      <c r="CA169" s="14"/>
      <c r="CB169" s="21"/>
      <c r="CC169" s="21"/>
      <c r="CD169" s="180"/>
      <c r="CE169" s="180"/>
      <c r="CF169" s="21"/>
      <c r="CG169" s="14"/>
      <c r="CH169" s="14"/>
      <c r="CI169" s="14"/>
      <c r="CJ169" s="14"/>
      <c r="CK169" s="14"/>
      <c r="CL169" s="14"/>
      <c r="CM169" s="14"/>
      <c r="CN169" s="14"/>
      <c r="CO169" s="129"/>
      <c r="CP169" s="29"/>
      <c r="CQ169" s="47"/>
      <c r="CR169" s="14"/>
      <c r="CS169" s="14"/>
      <c r="CT169" s="14"/>
      <c r="CU169" s="14"/>
      <c r="CV169" s="180"/>
      <c r="CW169" s="189"/>
      <c r="CX169" s="189"/>
      <c r="CY169" s="14"/>
      <c r="CZ169" s="14"/>
      <c r="DA169" s="14"/>
      <c r="DB169" s="14"/>
      <c r="DC169" s="14"/>
      <c r="DD169" s="14"/>
      <c r="DE169" s="14"/>
      <c r="DF169" s="14"/>
      <c r="DG169" s="129"/>
      <c r="DH169" s="29"/>
      <c r="DI169" s="47"/>
      <c r="DJ169" s="29"/>
      <c r="DK169" s="14"/>
      <c r="DL169" s="14"/>
      <c r="DM169" s="27"/>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row>
    <row r="170" spans="1:142" x14ac:dyDescent="0.25">
      <c r="A170" s="14"/>
      <c r="B170" s="14"/>
      <c r="C170" s="14"/>
      <c r="D170" s="27"/>
      <c r="E170" s="14"/>
      <c r="F170" s="14"/>
      <c r="G170" s="14"/>
      <c r="H170" s="21"/>
      <c r="I170" s="21"/>
      <c r="J170" s="14"/>
      <c r="K170" s="19"/>
      <c r="L170" s="40"/>
      <c r="M170" s="40"/>
      <c r="N170" s="40"/>
      <c r="O170" s="40"/>
      <c r="P170" s="40"/>
      <c r="Q170" s="47"/>
      <c r="R170" s="19"/>
      <c r="S170" s="19"/>
      <c r="T170" s="19"/>
      <c r="U170" s="19"/>
      <c r="V170" s="19"/>
      <c r="W170" s="14"/>
      <c r="X170" s="14"/>
      <c r="Y170" s="14"/>
      <c r="Z170" s="14"/>
      <c r="AA170" s="19"/>
      <c r="AB170" s="19"/>
      <c r="AC170" s="19"/>
      <c r="AD170" s="19"/>
      <c r="AE170" s="19"/>
      <c r="AF170" s="47"/>
      <c r="AG170" s="19"/>
      <c r="AH170" s="19"/>
      <c r="AI170" s="19"/>
      <c r="AJ170" s="19"/>
      <c r="AK170" s="19"/>
      <c r="AL170" s="14"/>
      <c r="AM170" s="14"/>
      <c r="AN170" s="14"/>
      <c r="AO170" s="14"/>
      <c r="AP170" s="19"/>
      <c r="AQ170" s="19"/>
      <c r="AR170" s="19"/>
      <c r="AS170" s="19"/>
      <c r="AT170" s="19"/>
      <c r="AU170" s="47"/>
      <c r="AV170" s="14"/>
      <c r="AW170" s="19"/>
      <c r="AX170" s="19"/>
      <c r="AY170" s="19"/>
      <c r="AZ170" s="19"/>
      <c r="BA170" s="14"/>
      <c r="BB170" s="14"/>
      <c r="BC170" s="14"/>
      <c r="BD170" s="14"/>
      <c r="BE170" s="19"/>
      <c r="BF170" s="19"/>
      <c r="BG170" s="19"/>
      <c r="BH170" s="19"/>
      <c r="BI170" s="19"/>
      <c r="BJ170" s="47"/>
      <c r="BK170" s="19"/>
      <c r="BL170" s="19"/>
      <c r="BM170" s="19"/>
      <c r="BN170" s="19"/>
      <c r="BO170" s="19"/>
      <c r="BP170" s="14"/>
      <c r="BQ170" s="14"/>
      <c r="BR170" s="14"/>
      <c r="BS170" s="14"/>
      <c r="BT170" s="19"/>
      <c r="BU170" s="19"/>
      <c r="BV170" s="19"/>
      <c r="BW170" s="19"/>
      <c r="BX170" s="19"/>
      <c r="BY170" s="47"/>
      <c r="BZ170" s="14"/>
      <c r="CA170" s="14"/>
      <c r="CB170" s="21"/>
      <c r="CC170" s="21"/>
      <c r="CD170" s="180"/>
      <c r="CE170" s="180"/>
      <c r="CF170" s="21"/>
      <c r="CG170" s="14"/>
      <c r="CH170" s="14"/>
      <c r="CI170" s="14"/>
      <c r="CJ170" s="14"/>
      <c r="CK170" s="14"/>
      <c r="CL170" s="14"/>
      <c r="CM170" s="14"/>
      <c r="CN170" s="14"/>
      <c r="CO170" s="129"/>
      <c r="CP170" s="29"/>
      <c r="CQ170" s="47"/>
      <c r="CR170" s="14"/>
      <c r="CS170" s="14"/>
      <c r="CT170" s="14"/>
      <c r="CU170" s="14"/>
      <c r="CV170" s="180"/>
      <c r="CW170" s="189"/>
      <c r="CX170" s="189"/>
      <c r="CY170" s="14"/>
      <c r="CZ170" s="14"/>
      <c r="DA170" s="14"/>
      <c r="DB170" s="14"/>
      <c r="DC170" s="14"/>
      <c r="DD170" s="14"/>
      <c r="DE170" s="14"/>
      <c r="DF170" s="14"/>
      <c r="DG170" s="129"/>
      <c r="DH170" s="29"/>
      <c r="DI170" s="47"/>
      <c r="DJ170" s="29"/>
      <c r="DK170" s="14"/>
      <c r="DL170" s="14"/>
      <c r="DM170" s="27"/>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row>
    <row r="171" spans="1:142" ht="27.6" x14ac:dyDescent="0.25">
      <c r="A171" s="14"/>
      <c r="B171" s="14"/>
      <c r="C171" s="14"/>
      <c r="D171" s="27"/>
      <c r="E171" s="14"/>
      <c r="F171" s="14"/>
      <c r="G171" s="14"/>
      <c r="H171" s="21"/>
      <c r="I171" s="21"/>
      <c r="J171" s="14"/>
      <c r="K171" s="19"/>
      <c r="L171" s="40"/>
      <c r="M171" s="40"/>
      <c r="N171" s="40"/>
      <c r="O171" s="40"/>
      <c r="P171" s="40"/>
      <c r="Q171" s="47"/>
      <c r="R171" s="19"/>
      <c r="S171" s="19"/>
      <c r="T171" s="19"/>
      <c r="U171" s="19"/>
      <c r="V171" s="19"/>
      <c r="W171" s="14"/>
      <c r="X171" s="14"/>
      <c r="Y171" s="14"/>
      <c r="Z171" s="14"/>
      <c r="AA171" s="19"/>
      <c r="AB171" s="19"/>
      <c r="AC171" s="19"/>
      <c r="AD171" s="19"/>
      <c r="AE171" s="19"/>
      <c r="AF171" s="47"/>
      <c r="AG171" s="19"/>
      <c r="AH171" s="19"/>
      <c r="AI171" s="19"/>
      <c r="AJ171" s="19"/>
      <c r="AK171" s="19"/>
      <c r="AL171" s="14"/>
      <c r="AM171" s="14"/>
      <c r="AN171" s="14"/>
      <c r="AO171" s="14"/>
      <c r="AP171" s="19"/>
      <c r="AQ171" s="19"/>
      <c r="AR171" s="19"/>
      <c r="AS171" s="19"/>
      <c r="AT171" s="19"/>
      <c r="AU171" s="47"/>
      <c r="AV171" s="14"/>
      <c r="AW171" s="19"/>
      <c r="AX171" s="19"/>
      <c r="AY171" s="19"/>
      <c r="AZ171" s="19"/>
      <c r="BA171" s="14"/>
      <c r="BB171" s="14"/>
      <c r="BC171" s="14"/>
      <c r="BD171" s="14"/>
      <c r="BE171" s="19"/>
      <c r="BF171" s="19"/>
      <c r="BG171" s="19"/>
      <c r="BH171" s="19"/>
      <c r="BI171" s="19"/>
      <c r="BJ171" s="47"/>
      <c r="BK171" s="19"/>
      <c r="BL171" s="19"/>
      <c r="BM171" s="19"/>
      <c r="BN171" s="19"/>
      <c r="BO171" s="19"/>
      <c r="BP171" s="14"/>
      <c r="BQ171" s="14"/>
      <c r="BR171" s="14"/>
      <c r="BS171" s="14"/>
      <c r="BT171" s="19"/>
      <c r="BU171" s="19"/>
      <c r="BV171" s="19"/>
      <c r="BW171" s="19"/>
      <c r="BX171" s="19"/>
      <c r="BY171" s="47"/>
      <c r="BZ171" s="14"/>
      <c r="CA171" s="109" t="s">
        <v>14</v>
      </c>
      <c r="CB171" s="110" t="s">
        <v>164</v>
      </c>
      <c r="CC171" s="110" t="s">
        <v>149</v>
      </c>
      <c r="CD171" s="184" t="s">
        <v>150</v>
      </c>
      <c r="CE171" s="184" t="s">
        <v>151</v>
      </c>
      <c r="CF171" s="110" t="s">
        <v>152</v>
      </c>
      <c r="CG171" s="14"/>
      <c r="CH171" s="109"/>
      <c r="CI171" s="110" t="s">
        <v>5</v>
      </c>
      <c r="CJ171" s="110" t="s">
        <v>4</v>
      </c>
      <c r="CK171" s="110" t="s">
        <v>33</v>
      </c>
      <c r="CL171" s="110" t="s">
        <v>29</v>
      </c>
      <c r="CM171" s="110" t="s">
        <v>3</v>
      </c>
      <c r="CN171" s="110" t="s">
        <v>54</v>
      </c>
      <c r="CO171" s="328" t="s">
        <v>160</v>
      </c>
      <c r="CP171" s="29"/>
      <c r="CQ171" s="47"/>
      <c r="CR171" s="14"/>
      <c r="CS171" s="109" t="s">
        <v>14</v>
      </c>
      <c r="CT171" s="110" t="s">
        <v>164</v>
      </c>
      <c r="CU171" s="110" t="s">
        <v>149</v>
      </c>
      <c r="CV171" s="184" t="s">
        <v>150</v>
      </c>
      <c r="CW171" s="184" t="s">
        <v>151</v>
      </c>
      <c r="CX171" s="194" t="s">
        <v>152</v>
      </c>
      <c r="CY171" s="14"/>
      <c r="CZ171" s="109" t="s">
        <v>14</v>
      </c>
      <c r="DA171" s="110" t="s">
        <v>5</v>
      </c>
      <c r="DB171" s="110" t="s">
        <v>4</v>
      </c>
      <c r="DC171" s="110" t="s">
        <v>33</v>
      </c>
      <c r="DD171" s="110" t="s">
        <v>29</v>
      </c>
      <c r="DE171" s="110" t="s">
        <v>3</v>
      </c>
      <c r="DF171" s="110" t="s">
        <v>54</v>
      </c>
      <c r="DG171" s="328" t="s">
        <v>160</v>
      </c>
      <c r="DH171" s="29"/>
      <c r="DI171" s="47"/>
      <c r="DJ171" s="29"/>
      <c r="DK171" s="19"/>
      <c r="DL171" s="19"/>
      <c r="DM171" s="27"/>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row>
    <row r="172" spans="1:142" x14ac:dyDescent="0.25">
      <c r="A172" s="14"/>
      <c r="B172" s="14"/>
      <c r="C172" s="14"/>
      <c r="D172" s="21"/>
      <c r="E172" s="14"/>
      <c r="F172" s="14"/>
      <c r="G172" s="14"/>
      <c r="H172" s="21"/>
      <c r="I172" s="21"/>
      <c r="J172" s="14"/>
      <c r="K172" s="19"/>
      <c r="L172" s="14"/>
      <c r="M172" s="14"/>
      <c r="N172" s="14"/>
      <c r="O172" s="14"/>
      <c r="P172" s="14"/>
      <c r="Q172" s="47"/>
      <c r="R172" s="19"/>
      <c r="S172" s="19"/>
      <c r="T172" s="19"/>
      <c r="U172" s="19"/>
      <c r="V172" s="19"/>
      <c r="W172" s="14"/>
      <c r="X172" s="14"/>
      <c r="Y172" s="14"/>
      <c r="Z172" s="14"/>
      <c r="AA172" s="19"/>
      <c r="AB172" s="19"/>
      <c r="AC172" s="19"/>
      <c r="AD172" s="19"/>
      <c r="AE172" s="19"/>
      <c r="AF172" s="47"/>
      <c r="AG172" s="19"/>
      <c r="AH172" s="19"/>
      <c r="AI172" s="19"/>
      <c r="AJ172" s="19"/>
      <c r="AK172" s="19"/>
      <c r="AL172" s="14"/>
      <c r="AM172" s="14"/>
      <c r="AN172" s="14"/>
      <c r="AO172" s="14"/>
      <c r="AP172" s="19"/>
      <c r="AQ172" s="19"/>
      <c r="AR172" s="19"/>
      <c r="AS172" s="19"/>
      <c r="AT172" s="19"/>
      <c r="AU172" s="47"/>
      <c r="AV172" s="14"/>
      <c r="AW172" s="19"/>
      <c r="AX172" s="19"/>
      <c r="AY172" s="19"/>
      <c r="AZ172" s="19"/>
      <c r="BA172" s="14"/>
      <c r="BB172" s="14"/>
      <c r="BC172" s="14"/>
      <c r="BD172" s="14"/>
      <c r="BE172" s="19"/>
      <c r="BF172" s="19"/>
      <c r="BG172" s="19"/>
      <c r="BH172" s="19"/>
      <c r="BI172" s="19"/>
      <c r="BJ172" s="47"/>
      <c r="BK172" s="19"/>
      <c r="BL172" s="19"/>
      <c r="BM172" s="19"/>
      <c r="BN172" s="19"/>
      <c r="BO172" s="19"/>
      <c r="BP172" s="14"/>
      <c r="BQ172" s="14"/>
      <c r="BR172" s="14"/>
      <c r="BS172" s="14"/>
      <c r="BT172" s="19"/>
      <c r="BU172" s="19"/>
      <c r="BV172" s="19"/>
      <c r="BW172" s="19"/>
      <c r="BX172" s="19"/>
      <c r="BY172" s="47"/>
      <c r="BZ172" s="14"/>
      <c r="CA172" s="140" t="s">
        <v>461</v>
      </c>
      <c r="CB172" s="27">
        <f>COUNTIFS(S26_stakeholder_category,"PO",Response_Q161_1,"&lt;&gt;0",Response_Q156_1,"&lt;&gt;0")</f>
        <v>1</v>
      </c>
      <c r="CC172" s="37">
        <f>COUNTIFS(S26_stakeholder_category,"PO",Response_Q161_1,1,Response_Q156_1,"&lt;&gt;""0")</f>
        <v>1</v>
      </c>
      <c r="CD172" s="37">
        <f>COUNTIFS(S26_stakeholder_category,"PO",Response_Q161_1,2,Response_Q156_1,"&lt;&gt;""0")</f>
        <v>0</v>
      </c>
      <c r="CE172" s="37">
        <f>COUNTIFS(S26_stakeholder_category,"PO",Response_Q161_1,3,Response_Q156_1,"&lt;&gt;""0")</f>
        <v>0</v>
      </c>
      <c r="CF172" s="97">
        <f>IF(CB166=0,0,SUMPRODUCT(CC172:CE172,Rank_score)/$CB166)</f>
        <v>3</v>
      </c>
      <c r="CG172" s="14"/>
      <c r="CH172" s="140" t="s">
        <v>461</v>
      </c>
      <c r="CI172" s="27">
        <f t="shared" ref="CI172:CN172" si="111">COUNTIFS(S26_stakeholder_category,"PO",Response_Q161_1,"&lt;&gt;0",Response_Q161_2,CI$63,Response_Q156_1,"&lt;&gt;0")</f>
        <v>0</v>
      </c>
      <c r="CJ172" s="27">
        <f t="shared" si="111"/>
        <v>0</v>
      </c>
      <c r="CK172" s="27">
        <f t="shared" si="111"/>
        <v>1</v>
      </c>
      <c r="CL172" s="27">
        <f t="shared" si="111"/>
        <v>0</v>
      </c>
      <c r="CM172" s="27">
        <f t="shared" si="111"/>
        <v>0</v>
      </c>
      <c r="CN172" s="27">
        <f t="shared" si="111"/>
        <v>0</v>
      </c>
      <c r="CO172" s="141">
        <f t="shared" ref="CO172:CO178" si="112">IF(ISBLANK(CH172),"",IF(CF172=0,not_ranked,IF(SUM(CI172:CN172)=0,not_estimated,IFERROR(SUMPRODUCT(CI172:CN172,Likekihood_score)/SUM(CI172:CN172),0))))</f>
        <v>3</v>
      </c>
      <c r="CP172" s="29"/>
      <c r="CQ172" s="47"/>
      <c r="CR172" s="14"/>
      <c r="CS172" s="140" t="s">
        <v>373</v>
      </c>
      <c r="CT172" s="27">
        <f>COUNTIFS(S26_stakeholder_category,"PO",Response_Q162_1,"&lt;&gt;0",Response_Q157_1,"&lt;&gt;0")</f>
        <v>0</v>
      </c>
      <c r="CU172" s="37">
        <f>COUNTIFS(S26_stakeholder_category,"PO",Response_Q162_1,1,Response_Q157_1,"&lt;&gt;0")</f>
        <v>0</v>
      </c>
      <c r="CV172" s="37">
        <f>COUNTIFS(S26_stakeholder_category,"PO",Response_Q162_1,2,Response_Q157_1,"&lt;&gt;0")</f>
        <v>0</v>
      </c>
      <c r="CW172" s="37">
        <f>COUNTIFS(S26_stakeholder_category,"PO",Response_Q162_1,3,Response_Q157_1,"&lt;&gt;0")</f>
        <v>0</v>
      </c>
      <c r="CX172" s="37">
        <f>IF(CT166=0,0,SUMPRODUCT(CU172:CW172,Rank_score)/CT$58)</f>
        <v>0</v>
      </c>
      <c r="CY172" s="14"/>
      <c r="CZ172" s="140" t="s">
        <v>373</v>
      </c>
      <c r="DA172" s="27">
        <f t="shared" ref="DA172:DF172" si="113">COUNTIFS(S26_stakeholder_category,"PO",Response_Q162_1,"&lt;&gt;0",Response_Q162_2,DA$63,Response_Q157_1,"&lt;&gt;0")</f>
        <v>0</v>
      </c>
      <c r="DB172" s="27">
        <f t="shared" si="113"/>
        <v>0</v>
      </c>
      <c r="DC172" s="27">
        <f t="shared" si="113"/>
        <v>0</v>
      </c>
      <c r="DD172" s="27">
        <f t="shared" si="113"/>
        <v>0</v>
      </c>
      <c r="DE172" s="27">
        <f t="shared" si="113"/>
        <v>0</v>
      </c>
      <c r="DF172" s="27">
        <f t="shared" si="113"/>
        <v>0</v>
      </c>
      <c r="DG172" s="141" t="str">
        <f t="shared" ref="DG172:DG179" si="114">IF(ISBLANK(CZ172),"",IF(CX172=0,not_ranked,IF(SUM(DA172:DF172)=0,not_estimated,IFERROR(SUMPRODUCT(DA172:DF172,Likekihood_score)/SUM(DA172:DF172),0))))</f>
        <v>Factor not ranked</v>
      </c>
      <c r="DH172" s="29"/>
      <c r="DI172" s="47"/>
      <c r="DJ172" s="29"/>
      <c r="DK172" s="19"/>
      <c r="DL172" s="19"/>
      <c r="DM172" s="14"/>
      <c r="DN172" s="14"/>
      <c r="DO172" s="14"/>
      <c r="DP172" s="14"/>
      <c r="DQ172" s="14"/>
      <c r="DR172" s="13"/>
      <c r="DS172" s="13"/>
      <c r="DT172" s="14"/>
      <c r="DU172" s="14"/>
      <c r="DV172" s="14"/>
      <c r="DW172" s="14"/>
      <c r="DX172" s="14"/>
      <c r="DY172" s="14"/>
      <c r="DZ172" s="14"/>
      <c r="EA172" s="14"/>
      <c r="EB172" s="14"/>
      <c r="EC172" s="14"/>
      <c r="ED172" s="14"/>
      <c r="EE172" s="14"/>
      <c r="EF172" s="14"/>
      <c r="EG172" s="14"/>
      <c r="EH172" s="14"/>
      <c r="EI172" s="14"/>
      <c r="EJ172" s="14"/>
      <c r="EK172" s="14"/>
      <c r="EL172" s="14"/>
    </row>
    <row r="173" spans="1:142" ht="14.4" x14ac:dyDescent="0.25">
      <c r="A173" s="14"/>
      <c r="B173" s="60"/>
      <c r="C173" s="19"/>
      <c r="D173" s="59"/>
      <c r="E173" s="14"/>
      <c r="F173" s="14"/>
      <c r="G173" s="14"/>
      <c r="H173" s="21"/>
      <c r="I173" s="21"/>
      <c r="J173" s="14"/>
      <c r="K173" s="14"/>
      <c r="L173" s="14"/>
      <c r="M173" s="14"/>
      <c r="N173" s="14"/>
      <c r="O173" s="14"/>
      <c r="P173" s="14"/>
      <c r="Q173" s="47"/>
      <c r="R173" s="19"/>
      <c r="S173" s="19"/>
      <c r="T173" s="19"/>
      <c r="U173" s="19"/>
      <c r="V173" s="19"/>
      <c r="W173" s="14"/>
      <c r="X173" s="14"/>
      <c r="Y173" s="14"/>
      <c r="Z173" s="14"/>
      <c r="AA173" s="19"/>
      <c r="AB173" s="19"/>
      <c r="AC173" s="19"/>
      <c r="AD173" s="19"/>
      <c r="AE173" s="19"/>
      <c r="AF173" s="47"/>
      <c r="AG173" s="19"/>
      <c r="AH173" s="19"/>
      <c r="AI173" s="19"/>
      <c r="AJ173" s="19"/>
      <c r="AK173" s="19"/>
      <c r="AL173" s="14"/>
      <c r="AM173" s="14"/>
      <c r="AN173" s="14"/>
      <c r="AO173" s="14"/>
      <c r="AP173" s="19"/>
      <c r="AQ173" s="19"/>
      <c r="AR173" s="19"/>
      <c r="AS173" s="19"/>
      <c r="AT173" s="19"/>
      <c r="AU173" s="47"/>
      <c r="AV173" s="14"/>
      <c r="AW173" s="19"/>
      <c r="AX173" s="19"/>
      <c r="AY173" s="19"/>
      <c r="AZ173" s="19"/>
      <c r="BA173" s="14"/>
      <c r="BB173" s="14"/>
      <c r="BC173" s="14"/>
      <c r="BD173" s="14"/>
      <c r="BE173" s="19"/>
      <c r="BF173" s="19"/>
      <c r="BG173" s="19"/>
      <c r="BH173" s="19"/>
      <c r="BI173" s="19"/>
      <c r="BJ173" s="47"/>
      <c r="BK173" s="19"/>
      <c r="BL173" s="19"/>
      <c r="BM173" s="19"/>
      <c r="BN173" s="19"/>
      <c r="BO173" s="19"/>
      <c r="BP173" s="14"/>
      <c r="BQ173" s="14"/>
      <c r="BR173" s="14"/>
      <c r="BS173" s="14"/>
      <c r="BT173" s="19"/>
      <c r="BU173" s="19"/>
      <c r="BV173" s="19"/>
      <c r="BW173" s="19"/>
      <c r="BX173" s="19"/>
      <c r="BY173" s="47"/>
      <c r="BZ173" s="14"/>
      <c r="CA173" s="140" t="s">
        <v>338</v>
      </c>
      <c r="CB173" s="27">
        <f>COUNTIFS(S26_stakeholder_category,"PO",Response_Q161_3,"&lt;&gt;0",Response_Q156_1,"&lt;&gt;0")</f>
        <v>0</v>
      </c>
      <c r="CC173" s="37">
        <f>COUNTIFS(S26_stakeholder_category,"PO",Response_Q161_3,1,Response_Q156_1,"&lt;&gt;0")</f>
        <v>0</v>
      </c>
      <c r="CD173" s="37">
        <f>COUNTIFS(S26_stakeholder_category,"PO",Response_Q161_3,2,Response_Q156_1,"&lt;&gt;0")</f>
        <v>0</v>
      </c>
      <c r="CE173" s="37">
        <f>COUNTIFS(S26_stakeholder_category,"PO",Response_Q161_3,3,Response_Q156_1,"&lt;&gt;0")</f>
        <v>0</v>
      </c>
      <c r="CF173" s="97">
        <f>IF(CB166=0,0,SUMPRODUCT(CC173:CE173,Rank_score)/$CB166)</f>
        <v>0</v>
      </c>
      <c r="CG173" s="14"/>
      <c r="CH173" s="140" t="s">
        <v>338</v>
      </c>
      <c r="CI173" s="27">
        <f t="shared" ref="CI173:CN173" si="115">COUNTIFS(S26_stakeholder_category,"PO",Response_Q161_3,"&lt;&gt;0",Response_Q161_4,CI$63,Response_Q156_1,"&lt;&gt;0")</f>
        <v>0</v>
      </c>
      <c r="CJ173" s="27">
        <f t="shared" si="115"/>
        <v>0</v>
      </c>
      <c r="CK173" s="27">
        <f t="shared" si="115"/>
        <v>0</v>
      </c>
      <c r="CL173" s="27">
        <f t="shared" si="115"/>
        <v>0</v>
      </c>
      <c r="CM173" s="27">
        <f t="shared" si="115"/>
        <v>0</v>
      </c>
      <c r="CN173" s="27">
        <f t="shared" si="115"/>
        <v>0</v>
      </c>
      <c r="CO173" s="141" t="str">
        <f t="shared" si="112"/>
        <v>Factor not ranked</v>
      </c>
      <c r="CP173" s="14"/>
      <c r="CQ173" s="47"/>
      <c r="CR173" s="14"/>
      <c r="CS173" s="140" t="s">
        <v>338</v>
      </c>
      <c r="CT173" s="27">
        <f>COUNTIFS(S26_stakeholder_category,"PO",Response_Q162_3,"&lt;&gt;0",Response_Q157_1,"&lt;&gt;0")</f>
        <v>0</v>
      </c>
      <c r="CU173" s="37">
        <f>COUNTIFS(S26_stakeholder_category,"PO",Response_Q162_3,1,Response_Q157_1,"&lt;&gt;0")</f>
        <v>0</v>
      </c>
      <c r="CV173" s="37">
        <f>COUNTIFS(S26_stakeholder_category,"PO",Response_Q162_3,2,Response_Q157_1,"&lt;&gt;0")</f>
        <v>0</v>
      </c>
      <c r="CW173" s="37">
        <f>COUNTIFS(S26_stakeholder_category,"PO",Response_Q162_3,3,Response_Q157_1,"&lt;&gt;0")</f>
        <v>0</v>
      </c>
      <c r="CX173" s="37">
        <f>IF(CT166=0,0,SUMPRODUCT(CU173:CW173,Rank_score)/CT$58)</f>
        <v>0</v>
      </c>
      <c r="CY173" s="14"/>
      <c r="CZ173" s="140" t="s">
        <v>338</v>
      </c>
      <c r="DA173" s="27">
        <f t="shared" ref="DA173:DF173" si="116">COUNTIFS(S26_stakeholder_category,"PO",Response_Q162_3,"&lt;&gt;0",Response_Q162_4,DA$63,Response_Q157_1,"&lt;&gt;0")</f>
        <v>0</v>
      </c>
      <c r="DB173" s="27">
        <f t="shared" si="116"/>
        <v>0</v>
      </c>
      <c r="DC173" s="27">
        <f t="shared" si="116"/>
        <v>0</v>
      </c>
      <c r="DD173" s="27">
        <f t="shared" si="116"/>
        <v>0</v>
      </c>
      <c r="DE173" s="27">
        <f t="shared" si="116"/>
        <v>0</v>
      </c>
      <c r="DF173" s="27">
        <f t="shared" si="116"/>
        <v>0</v>
      </c>
      <c r="DG173" s="141" t="str">
        <f t="shared" si="114"/>
        <v>Factor not ranked</v>
      </c>
      <c r="DH173" s="14"/>
      <c r="DI173" s="47"/>
      <c r="DJ173" s="14"/>
      <c r="DK173" s="56"/>
      <c r="DL173" s="29"/>
      <c r="DM173" s="59"/>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row>
    <row r="174" spans="1:142" x14ac:dyDescent="0.25">
      <c r="A174" s="14"/>
      <c r="B174" s="62"/>
      <c r="C174" s="19"/>
      <c r="D174" s="59"/>
      <c r="E174" s="14"/>
      <c r="F174" s="14"/>
      <c r="G174" s="14"/>
      <c r="H174" s="21"/>
      <c r="I174" s="21"/>
      <c r="J174" s="14"/>
      <c r="K174" s="14"/>
      <c r="L174" s="14"/>
      <c r="M174" s="14"/>
      <c r="N174" s="14"/>
      <c r="O174" s="14"/>
      <c r="P174" s="14"/>
      <c r="Q174" s="47"/>
      <c r="R174" s="19"/>
      <c r="S174" s="19"/>
      <c r="T174" s="19"/>
      <c r="U174" s="19"/>
      <c r="V174" s="19"/>
      <c r="W174" s="14"/>
      <c r="X174" s="14"/>
      <c r="Y174" s="14"/>
      <c r="Z174" s="13"/>
      <c r="AA174" s="13"/>
      <c r="AB174" s="13"/>
      <c r="AC174" s="13"/>
      <c r="AD174" s="13"/>
      <c r="AE174" s="13"/>
      <c r="AF174" s="47"/>
      <c r="AG174" s="19"/>
      <c r="AH174" s="19"/>
      <c r="AI174" s="19"/>
      <c r="AJ174" s="19"/>
      <c r="AK174" s="19"/>
      <c r="AL174" s="14"/>
      <c r="AM174" s="14"/>
      <c r="AN174" s="14"/>
      <c r="AO174" s="13"/>
      <c r="AP174" s="13"/>
      <c r="AQ174" s="13"/>
      <c r="AR174" s="13"/>
      <c r="AS174" s="13"/>
      <c r="AT174" s="13"/>
      <c r="AU174" s="47"/>
      <c r="AV174" s="14"/>
      <c r="AW174" s="19"/>
      <c r="AX174" s="19"/>
      <c r="AY174" s="19"/>
      <c r="AZ174" s="19"/>
      <c r="BA174" s="14"/>
      <c r="BB174" s="14"/>
      <c r="BC174" s="14"/>
      <c r="BD174" s="13"/>
      <c r="BE174" s="13"/>
      <c r="BF174" s="13"/>
      <c r="BG174" s="13"/>
      <c r="BH174" s="13"/>
      <c r="BI174" s="13"/>
      <c r="BJ174" s="47"/>
      <c r="BK174" s="19"/>
      <c r="BL174" s="19"/>
      <c r="BM174" s="19"/>
      <c r="BN174" s="19"/>
      <c r="BO174" s="19"/>
      <c r="BP174" s="14"/>
      <c r="BQ174" s="14"/>
      <c r="BR174" s="14"/>
      <c r="BS174" s="13"/>
      <c r="BT174" s="13"/>
      <c r="BU174" s="13"/>
      <c r="BV174" s="13"/>
      <c r="BW174" s="13"/>
      <c r="BX174" s="13"/>
      <c r="BY174" s="47"/>
      <c r="BZ174" s="14"/>
      <c r="CA174" s="140" t="s">
        <v>340</v>
      </c>
      <c r="CB174" s="27">
        <f>COUNTIFS(S26_stakeholder_category,"PO",Response_Q161_5,"&lt;&gt;0",Response_Q156_1,"&lt;&gt;0")</f>
        <v>0</v>
      </c>
      <c r="CC174" s="37">
        <f>COUNTIFS(S26_stakeholder_category,"PO",Response_Q161_5,1,Response_Q156_1,"&lt;&gt;0")</f>
        <v>0</v>
      </c>
      <c r="CD174" s="37">
        <f>COUNTIFS(S26_stakeholder_category,"PO",Response_Q161_5,2,Response_Q156_1,"&lt;&gt;0")</f>
        <v>0</v>
      </c>
      <c r="CE174" s="37">
        <f>COUNTIFS(S26_stakeholder_category,"PO",Response_Q161_5,3,Response_Q156_1,"&lt;&gt;0")</f>
        <v>0</v>
      </c>
      <c r="CF174" s="97">
        <f>IF(CB166=0,0,SUMPRODUCT(CC174:CE174,Rank_score)/$CB166)</f>
        <v>0</v>
      </c>
      <c r="CG174" s="14"/>
      <c r="CH174" s="140" t="s">
        <v>340</v>
      </c>
      <c r="CI174" s="27">
        <f t="shared" ref="CI174:CN174" si="117">COUNTIFS(S26_stakeholder_category,"PO",Response_Q161_5,"&lt;&gt;0",Response_Q161_6,CI$63,Response_Q156_1,"&lt;&gt;0")</f>
        <v>0</v>
      </c>
      <c r="CJ174" s="27">
        <f t="shared" si="117"/>
        <v>0</v>
      </c>
      <c r="CK174" s="27">
        <f t="shared" si="117"/>
        <v>0</v>
      </c>
      <c r="CL174" s="27">
        <f t="shared" si="117"/>
        <v>0</v>
      </c>
      <c r="CM174" s="27">
        <f t="shared" si="117"/>
        <v>0</v>
      </c>
      <c r="CN174" s="27">
        <f t="shared" si="117"/>
        <v>0</v>
      </c>
      <c r="CO174" s="141" t="str">
        <f t="shared" si="112"/>
        <v>Factor not ranked</v>
      </c>
      <c r="CP174" s="14"/>
      <c r="CQ174" s="47"/>
      <c r="CR174" s="14"/>
      <c r="CS174" s="140" t="s">
        <v>159</v>
      </c>
      <c r="CT174" s="27">
        <f>COUNTIFS(S26_stakeholder_category,"PO",Response_Q162_5,"&lt;&gt;0",Response_Q157_1,"&lt;&gt;0")</f>
        <v>0</v>
      </c>
      <c r="CU174" s="37">
        <f>COUNTIFS(S26_stakeholder_category,"PO",Response_Q162_5,1,Response_Q157_1,"&lt;&gt;0")</f>
        <v>0</v>
      </c>
      <c r="CV174" s="37">
        <f>COUNTIFS(S26_stakeholder_category,"PO",Response_Q162_5,2,Response_Q157_1,"&lt;&gt;0")</f>
        <v>0</v>
      </c>
      <c r="CW174" s="37">
        <f>COUNTIFS(S26_stakeholder_category,"PO",Response_Q162_5,3,Response_Q157_1,"&lt;&gt;0")</f>
        <v>0</v>
      </c>
      <c r="CX174" s="37">
        <f>IF(CT166=0,0,SUMPRODUCT(CU174:CW174,Rank_score)/CT$58)</f>
        <v>0</v>
      </c>
      <c r="CY174" s="14"/>
      <c r="CZ174" s="140" t="s">
        <v>159</v>
      </c>
      <c r="DA174" s="27">
        <f t="shared" ref="DA174:DF174" si="118">COUNTIFS(S26_stakeholder_category,"PO",Response_Q162_5,"&lt;&gt;0",Response_Q162_6,DA$63,Response_Q157_1,"&lt;&gt;0")</f>
        <v>0</v>
      </c>
      <c r="DB174" s="27">
        <f t="shared" si="118"/>
        <v>0</v>
      </c>
      <c r="DC174" s="27">
        <f t="shared" si="118"/>
        <v>0</v>
      </c>
      <c r="DD174" s="27">
        <f t="shared" si="118"/>
        <v>0</v>
      </c>
      <c r="DE174" s="27">
        <f t="shared" si="118"/>
        <v>0</v>
      </c>
      <c r="DF174" s="27">
        <f t="shared" si="118"/>
        <v>0</v>
      </c>
      <c r="DG174" s="141" t="str">
        <f t="shared" si="114"/>
        <v>Factor not ranked</v>
      </c>
      <c r="DH174" s="14"/>
      <c r="DI174" s="47"/>
      <c r="DJ174" s="14"/>
      <c r="DK174" s="56"/>
      <c r="DL174" s="19"/>
      <c r="DM174" s="59"/>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row>
    <row r="175" spans="1:142" x14ac:dyDescent="0.25">
      <c r="A175" s="14"/>
      <c r="B175" s="62"/>
      <c r="C175" s="19"/>
      <c r="D175" s="59"/>
      <c r="E175" s="14"/>
      <c r="F175" s="14"/>
      <c r="G175" s="14"/>
      <c r="H175" s="21"/>
      <c r="I175" s="21"/>
      <c r="J175" s="14"/>
      <c r="K175" s="14"/>
      <c r="L175" s="14"/>
      <c r="M175" s="14"/>
      <c r="N175" s="14"/>
      <c r="O175" s="14"/>
      <c r="P175" s="14"/>
      <c r="Q175" s="47"/>
      <c r="R175" s="19"/>
      <c r="S175" s="19"/>
      <c r="T175" s="19"/>
      <c r="U175" s="59"/>
      <c r="V175" s="19"/>
      <c r="W175" s="14"/>
      <c r="X175" s="14"/>
      <c r="Y175" s="14"/>
      <c r="Z175" s="14"/>
      <c r="AA175" s="14"/>
      <c r="AB175" s="14"/>
      <c r="AC175" s="14"/>
      <c r="AD175" s="14"/>
      <c r="AE175" s="14"/>
      <c r="AF175" s="47"/>
      <c r="AG175" s="19"/>
      <c r="AH175" s="19"/>
      <c r="AI175" s="19"/>
      <c r="AJ175" s="59"/>
      <c r="AK175" s="19"/>
      <c r="AL175" s="14"/>
      <c r="AM175" s="14"/>
      <c r="AN175" s="14"/>
      <c r="AO175" s="14"/>
      <c r="AP175" s="14"/>
      <c r="AQ175" s="14"/>
      <c r="AR175" s="14"/>
      <c r="AS175" s="14"/>
      <c r="AT175" s="14"/>
      <c r="AU175" s="47"/>
      <c r="AV175" s="14"/>
      <c r="AW175" s="19"/>
      <c r="AX175" s="19"/>
      <c r="AY175" s="59"/>
      <c r="AZ175" s="19"/>
      <c r="BA175" s="14"/>
      <c r="BB175" s="14"/>
      <c r="BC175" s="14"/>
      <c r="BD175" s="14"/>
      <c r="BE175" s="14"/>
      <c r="BF175" s="14"/>
      <c r="BG175" s="14"/>
      <c r="BH175" s="14"/>
      <c r="BI175" s="14"/>
      <c r="BJ175" s="47"/>
      <c r="BK175" s="19"/>
      <c r="BL175" s="19"/>
      <c r="BM175" s="19"/>
      <c r="BN175" s="59"/>
      <c r="BO175" s="19"/>
      <c r="BP175" s="14"/>
      <c r="BQ175" s="14"/>
      <c r="BR175" s="14"/>
      <c r="BS175" s="14"/>
      <c r="BT175" s="14"/>
      <c r="BU175" s="14"/>
      <c r="BV175" s="14"/>
      <c r="BW175" s="14"/>
      <c r="BX175" s="14"/>
      <c r="BY175" s="47"/>
      <c r="BZ175" s="14"/>
      <c r="CA175" s="140" t="s">
        <v>341</v>
      </c>
      <c r="CB175" s="27">
        <f>COUNTIFS(S26_stakeholder_category,"PO",Response_Q161_7,"&lt;&gt;0",Response_Q156_1,"&lt;&gt;0")</f>
        <v>0</v>
      </c>
      <c r="CC175" s="37">
        <f>COUNTIFS(S26_stakeholder_category,"PO",Response_Q161_7,1,Response_Q156_1,"&lt;&gt;0")</f>
        <v>0</v>
      </c>
      <c r="CD175" s="37">
        <f>COUNTIFS(S26_stakeholder_category,"PO",Response_Q161_7,2,Response_Q156_1,"&lt;&gt;0")</f>
        <v>0</v>
      </c>
      <c r="CE175" s="37">
        <f>COUNTIFS(S26_stakeholder_category,"PO",Response_Q161_7,3,Response_Q156_1,"&lt;&gt;0")</f>
        <v>0</v>
      </c>
      <c r="CF175" s="97">
        <f>IF(CB166=0,0,SUMPRODUCT(CC175:CE175,Rank_score)/$CB166)</f>
        <v>0</v>
      </c>
      <c r="CG175" s="14"/>
      <c r="CH175" s="140" t="s">
        <v>341</v>
      </c>
      <c r="CI175" s="27">
        <f t="shared" ref="CI175:CN175" si="119">COUNTIFS(S26_stakeholder_category,"PO",Response_Q161_7,"&lt;&gt;0",Response_Q161_8,CI$63,Response_Q156_1,"&lt;&gt;0")</f>
        <v>0</v>
      </c>
      <c r="CJ175" s="27">
        <f t="shared" si="119"/>
        <v>0</v>
      </c>
      <c r="CK175" s="27">
        <f t="shared" si="119"/>
        <v>0</v>
      </c>
      <c r="CL175" s="27">
        <f t="shared" si="119"/>
        <v>0</v>
      </c>
      <c r="CM175" s="27">
        <f t="shared" si="119"/>
        <v>0</v>
      </c>
      <c r="CN175" s="27">
        <f t="shared" si="119"/>
        <v>0</v>
      </c>
      <c r="CO175" s="141" t="str">
        <f t="shared" si="112"/>
        <v>Factor not ranked</v>
      </c>
      <c r="CP175" s="14"/>
      <c r="CQ175" s="47"/>
      <c r="CR175" s="14"/>
      <c r="CS175" s="140" t="s">
        <v>345</v>
      </c>
      <c r="CT175" s="27">
        <f>COUNTIFS(S26_stakeholder_category,"PO",Response_Q162_7,"&lt;&gt;0",Response_Q157_1,"&lt;&gt;0")</f>
        <v>0</v>
      </c>
      <c r="CU175" s="37">
        <f>COUNTIFS(S26_stakeholder_category,"PO",Response_Q162_7,1,Response_Q157_1,"&lt;&gt;0")</f>
        <v>0</v>
      </c>
      <c r="CV175" s="37">
        <f>COUNTIFS(S26_stakeholder_category,"PO",Response_Q162_7,2,Response_Q157_1,"&lt;&gt;0")</f>
        <v>0</v>
      </c>
      <c r="CW175" s="37">
        <f>COUNTIFS(S26_stakeholder_category,"PO",Response_Q162_7,3,Response_Q157_1,"&lt;&gt;0")</f>
        <v>0</v>
      </c>
      <c r="CX175" s="37">
        <f>IF(CT166=0,0,SUMPRODUCT(CU175:CW175,Rank_score)/CT$58)</f>
        <v>0</v>
      </c>
      <c r="CY175" s="14"/>
      <c r="CZ175" s="140" t="s">
        <v>345</v>
      </c>
      <c r="DA175" s="27">
        <f t="shared" ref="DA175:DF175" si="120">COUNTIFS(S26_stakeholder_category,"PO",Response_Q162_7,"&lt;&gt;0",Response_Q162_8,DA$63,Response_Q157_1,"&lt;&gt;0")</f>
        <v>0</v>
      </c>
      <c r="DB175" s="27">
        <f t="shared" si="120"/>
        <v>0</v>
      </c>
      <c r="DC175" s="27">
        <f t="shared" si="120"/>
        <v>0</v>
      </c>
      <c r="DD175" s="27">
        <f t="shared" si="120"/>
        <v>0</v>
      </c>
      <c r="DE175" s="27">
        <f t="shared" si="120"/>
        <v>0</v>
      </c>
      <c r="DF175" s="27">
        <f t="shared" si="120"/>
        <v>0</v>
      </c>
      <c r="DG175" s="141" t="str">
        <f t="shared" si="114"/>
        <v>Factor not ranked</v>
      </c>
      <c r="DH175" s="14"/>
      <c r="DI175" s="47"/>
      <c r="DJ175" s="14"/>
      <c r="DK175" s="14"/>
      <c r="DL175" s="19"/>
      <c r="DM175" s="59"/>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row>
    <row r="176" spans="1:142" x14ac:dyDescent="0.25">
      <c r="A176" s="14"/>
      <c r="B176" s="19"/>
      <c r="C176" s="19"/>
      <c r="D176" s="59"/>
      <c r="E176" s="14"/>
      <c r="F176" s="14"/>
      <c r="G176" s="14"/>
      <c r="H176" s="21"/>
      <c r="I176" s="21"/>
      <c r="J176" s="14"/>
      <c r="K176" s="14"/>
      <c r="L176" s="14"/>
      <c r="M176" s="14"/>
      <c r="N176" s="14"/>
      <c r="O176" s="14"/>
      <c r="P176" s="14"/>
      <c r="Q176" s="47"/>
      <c r="R176" s="19"/>
      <c r="S176" s="19"/>
      <c r="T176" s="19"/>
      <c r="U176" s="59"/>
      <c r="V176" s="19"/>
      <c r="W176" s="14"/>
      <c r="X176" s="14"/>
      <c r="Y176" s="14"/>
      <c r="Z176" s="14"/>
      <c r="AA176" s="14"/>
      <c r="AB176" s="14"/>
      <c r="AC176" s="14"/>
      <c r="AD176" s="14"/>
      <c r="AE176" s="14"/>
      <c r="AF176" s="47"/>
      <c r="AG176" s="19"/>
      <c r="AH176" s="19"/>
      <c r="AI176" s="19"/>
      <c r="AJ176" s="59"/>
      <c r="AK176" s="19"/>
      <c r="AL176" s="14"/>
      <c r="AM176" s="14"/>
      <c r="AN176" s="14"/>
      <c r="AO176" s="14"/>
      <c r="AP176" s="14"/>
      <c r="AQ176" s="14"/>
      <c r="AR176" s="14"/>
      <c r="AS176" s="14"/>
      <c r="AT176" s="14"/>
      <c r="AU176" s="47"/>
      <c r="AV176" s="14"/>
      <c r="AW176" s="19"/>
      <c r="AX176" s="19"/>
      <c r="AY176" s="59"/>
      <c r="AZ176" s="19"/>
      <c r="BA176" s="14"/>
      <c r="BB176" s="14"/>
      <c r="BC176" s="14"/>
      <c r="BD176" s="14"/>
      <c r="BE176" s="14"/>
      <c r="BF176" s="14"/>
      <c r="BG176" s="14"/>
      <c r="BH176" s="14"/>
      <c r="BI176" s="14"/>
      <c r="BJ176" s="47"/>
      <c r="BK176" s="19"/>
      <c r="BL176" s="19"/>
      <c r="BM176" s="19"/>
      <c r="BN176" s="59"/>
      <c r="BO176" s="19"/>
      <c r="BP176" s="14"/>
      <c r="BQ176" s="14"/>
      <c r="BR176" s="14"/>
      <c r="BS176" s="14"/>
      <c r="BT176" s="14"/>
      <c r="BU176" s="14"/>
      <c r="BV176" s="14"/>
      <c r="BW176" s="14"/>
      <c r="BX176" s="14"/>
      <c r="BY176" s="47"/>
      <c r="BZ176" s="14"/>
      <c r="CA176" s="140" t="s">
        <v>462</v>
      </c>
      <c r="CB176" s="27">
        <f>COUNTIFS(S26_stakeholder_category,"PO",Response_Q161_9,"&lt;&gt;0",Response_Q156_1,"&lt;&gt;0")</f>
        <v>0</v>
      </c>
      <c r="CC176" s="37">
        <f>COUNTIFS(S26_stakeholder_category,"PO",Response_Q161_9,1,Response_Q156_1,"&lt;&gt;0")</f>
        <v>0</v>
      </c>
      <c r="CD176" s="37">
        <f>COUNTIFS(S26_stakeholder_category,"PO",Response_Q161_9,2,Response_Q156_1,"&lt;&gt;0")</f>
        <v>0</v>
      </c>
      <c r="CE176" s="37">
        <f>COUNTIFS(S26_stakeholder_category,"PO",Response_Q161_9,3,Response_Q156_1,"&lt;&gt;0")</f>
        <v>0</v>
      </c>
      <c r="CF176" s="97">
        <f>IF(CB166=0,0,SUMPRODUCT(CC176:CE176,Rank_score)/$CB166)</f>
        <v>0</v>
      </c>
      <c r="CG176" s="14"/>
      <c r="CH176" s="140" t="s">
        <v>462</v>
      </c>
      <c r="CI176" s="27">
        <f t="shared" ref="CI176:CN176" si="121">COUNTIFS(S26_stakeholder_category,"PO",Response_Q161_9,"&lt;&gt;0",Response_Q161_10,CI$63,Response_Q156_1,"&lt;&gt;0")</f>
        <v>0</v>
      </c>
      <c r="CJ176" s="27">
        <f t="shared" si="121"/>
        <v>0</v>
      </c>
      <c r="CK176" s="27">
        <f t="shared" si="121"/>
        <v>0</v>
      </c>
      <c r="CL176" s="27">
        <f t="shared" si="121"/>
        <v>0</v>
      </c>
      <c r="CM176" s="27">
        <f t="shared" si="121"/>
        <v>0</v>
      </c>
      <c r="CN176" s="27">
        <f t="shared" si="121"/>
        <v>0</v>
      </c>
      <c r="CO176" s="141" t="str">
        <f t="shared" si="112"/>
        <v>Factor not ranked</v>
      </c>
      <c r="CP176" s="14"/>
      <c r="CQ176" s="47"/>
      <c r="CR176" s="14"/>
      <c r="CS176" s="140" t="s">
        <v>342</v>
      </c>
      <c r="CT176" s="27">
        <f>COUNTIFS(S26_stakeholder_category,"PO",Response_Q162_9,"&lt;&gt;0",Response_Q157_1,"&lt;&gt;0")</f>
        <v>0</v>
      </c>
      <c r="CU176" s="37">
        <f>COUNTIFS(S26_stakeholder_category,"PO",Response_Q162_9,1,Response_Q157_1,"&lt;&gt;0")</f>
        <v>0</v>
      </c>
      <c r="CV176" s="37">
        <f>COUNTIFS(S26_stakeholder_category,"PO",Response_Q162_9,2,Response_Q157_1,"&lt;&gt;0")</f>
        <v>0</v>
      </c>
      <c r="CW176" s="37">
        <f>COUNTIFS(S26_stakeholder_category,"PO",Response_Q162_9,3,Response_Q157_1,"&lt;&gt;0")</f>
        <v>0</v>
      </c>
      <c r="CX176" s="37">
        <f>IF(CT166=0,0,SUMPRODUCT(CU176:CW176,Rank_score)/CT$58)</f>
        <v>0</v>
      </c>
      <c r="CY176" s="14"/>
      <c r="CZ176" s="140" t="s">
        <v>342</v>
      </c>
      <c r="DA176" s="27">
        <f t="shared" ref="DA176:DF176" si="122">COUNTIFS(S26_stakeholder_category,"PO",Response_Q162_9,"&lt;&gt;0",Response_Q162_10,DA$63,Response_Q157_1,"&lt;&gt;0")</f>
        <v>0</v>
      </c>
      <c r="DB176" s="27">
        <f t="shared" si="122"/>
        <v>0</v>
      </c>
      <c r="DC176" s="27">
        <f t="shared" si="122"/>
        <v>0</v>
      </c>
      <c r="DD176" s="27">
        <f t="shared" si="122"/>
        <v>0</v>
      </c>
      <c r="DE176" s="27">
        <f t="shared" si="122"/>
        <v>0</v>
      </c>
      <c r="DF176" s="27">
        <f t="shared" si="122"/>
        <v>0</v>
      </c>
      <c r="DG176" s="141" t="str">
        <f t="shared" si="114"/>
        <v>Factor not ranked</v>
      </c>
      <c r="DH176" s="14"/>
      <c r="DI176" s="47"/>
      <c r="DJ176" s="14"/>
      <c r="DK176" s="14"/>
      <c r="DL176" s="19"/>
      <c r="DM176" s="59"/>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row>
    <row r="177" spans="1:142" x14ac:dyDescent="0.25">
      <c r="A177" s="14"/>
      <c r="B177" s="19"/>
      <c r="C177" s="19"/>
      <c r="D177" s="59"/>
      <c r="E177" s="14"/>
      <c r="F177" s="14"/>
      <c r="G177" s="14"/>
      <c r="H177" s="21"/>
      <c r="I177" s="21"/>
      <c r="J177" s="14"/>
      <c r="K177" s="14"/>
      <c r="L177" s="14"/>
      <c r="M177" s="14"/>
      <c r="N177" s="14"/>
      <c r="O177" s="14"/>
      <c r="P177" s="14"/>
      <c r="Q177" s="47"/>
      <c r="R177" s="19"/>
      <c r="S177" s="56"/>
      <c r="T177" s="29"/>
      <c r="U177" s="27"/>
      <c r="V177" s="19"/>
      <c r="W177" s="14"/>
      <c r="X177" s="14"/>
      <c r="Y177" s="14"/>
      <c r="Z177" s="14"/>
      <c r="AA177" s="14"/>
      <c r="AB177" s="14"/>
      <c r="AC177" s="14"/>
      <c r="AD177" s="14"/>
      <c r="AE177" s="14"/>
      <c r="AF177" s="47"/>
      <c r="AG177" s="19"/>
      <c r="AH177" s="56"/>
      <c r="AI177" s="29"/>
      <c r="AJ177" s="27"/>
      <c r="AK177" s="19"/>
      <c r="AL177" s="14"/>
      <c r="AM177" s="14"/>
      <c r="AN177" s="14"/>
      <c r="AO177" s="14"/>
      <c r="AP177" s="14"/>
      <c r="AQ177" s="14"/>
      <c r="AR177" s="14"/>
      <c r="AS177" s="14"/>
      <c r="AT177" s="14"/>
      <c r="AU177" s="47"/>
      <c r="AV177" s="14"/>
      <c r="AW177" s="56"/>
      <c r="AX177" s="29"/>
      <c r="AY177" s="27"/>
      <c r="AZ177" s="19"/>
      <c r="BA177" s="14"/>
      <c r="BB177" s="14"/>
      <c r="BC177" s="14"/>
      <c r="BD177" s="14"/>
      <c r="BE177" s="14"/>
      <c r="BF177" s="14"/>
      <c r="BG177" s="14"/>
      <c r="BH177" s="14"/>
      <c r="BI177" s="14"/>
      <c r="BJ177" s="47"/>
      <c r="BK177" s="19"/>
      <c r="BL177" s="56"/>
      <c r="BM177" s="29"/>
      <c r="BN177" s="27"/>
      <c r="BO177" s="19"/>
      <c r="BP177" s="14"/>
      <c r="BQ177" s="14"/>
      <c r="BR177" s="14"/>
      <c r="BS177" s="14"/>
      <c r="BT177" s="14"/>
      <c r="BU177" s="14"/>
      <c r="BV177" s="14"/>
      <c r="BW177" s="14"/>
      <c r="BX177" s="14"/>
      <c r="BY177" s="47"/>
      <c r="BZ177" s="14"/>
      <c r="CA177" s="106" t="s">
        <v>49</v>
      </c>
      <c r="CB177" s="27">
        <f>COUNTIFS(S26_stakeholder_category,"PO",Response_Q161_11,"&lt;&gt;0",Response_Q156_1,"&lt;&gt;0")</f>
        <v>0</v>
      </c>
      <c r="CC177" s="37">
        <f>COUNTIFS(S26_stakeholder_category,"PO",Response_Q161_11,1,Response_Q156_1,"&lt;&gt;0")</f>
        <v>0</v>
      </c>
      <c r="CD177" s="37">
        <f>COUNTIFS(S26_stakeholder_category,"PO",Response_Q161_11,2,Response_Q156_1,"&lt;&gt;0")</f>
        <v>0</v>
      </c>
      <c r="CE177" s="37">
        <f>COUNTIFS(S26_stakeholder_category,"PO",Response_Q161_11,3,Response_Q156_1,"&lt;&gt;0")</f>
        <v>0</v>
      </c>
      <c r="CF177" s="97">
        <f>IF(CB166=0,0,SUMPRODUCT(CC177:CE177,Rank_score)/$CB166)</f>
        <v>0</v>
      </c>
      <c r="CG177" s="43"/>
      <c r="CH177" s="106" t="s">
        <v>49</v>
      </c>
      <c r="CI177" s="27">
        <f t="shared" ref="CI177:CN177" si="123">COUNTIFS(S26_stakeholder_category,"PO",Response_Q161_11,"&lt;&gt;0",Response_Q161_12,CI$63,Response_Q156_1,"&lt;&gt;0")</f>
        <v>0</v>
      </c>
      <c r="CJ177" s="27">
        <f t="shared" si="123"/>
        <v>0</v>
      </c>
      <c r="CK177" s="27">
        <f t="shared" si="123"/>
        <v>0</v>
      </c>
      <c r="CL177" s="27">
        <f t="shared" si="123"/>
        <v>0</v>
      </c>
      <c r="CM177" s="27">
        <f t="shared" si="123"/>
        <v>0</v>
      </c>
      <c r="CN177" s="27">
        <f t="shared" si="123"/>
        <v>0</v>
      </c>
      <c r="CO177" s="141" t="str">
        <f t="shared" si="112"/>
        <v>Factor not ranked</v>
      </c>
      <c r="CP177" s="14"/>
      <c r="CQ177" s="47"/>
      <c r="CR177" s="14"/>
      <c r="CS177" s="106" t="s">
        <v>49</v>
      </c>
      <c r="CT177" s="27">
        <f>COUNTIFS(S26_stakeholder_category,"PO",Response_Q162_11,"&lt;&gt;0",Response_Q157_1,"&lt;&gt;0")</f>
        <v>0</v>
      </c>
      <c r="CU177" s="37">
        <f>COUNTIFS(S26_stakeholder_category,"PO",Response_Q162_11,1,Response_Q157_1,"&lt;&gt;0")</f>
        <v>0</v>
      </c>
      <c r="CV177" s="37">
        <f>COUNTIFS(S26_stakeholder_category,"PO",Response_Q162_11,2,Response_Q157_1,"&lt;&gt;0")</f>
        <v>0</v>
      </c>
      <c r="CW177" s="37">
        <f>COUNTIFS(S26_stakeholder_category,"PO",Response_Q162_11,3,Response_Q157_1,"&lt;&gt;0")</f>
        <v>0</v>
      </c>
      <c r="CX177" s="37">
        <f>IF(CT166=0,0,SUMPRODUCT(CU177:CW177,Rank_score)/CT$58)</f>
        <v>0</v>
      </c>
      <c r="CY177" s="43"/>
      <c r="CZ177" s="106" t="s">
        <v>49</v>
      </c>
      <c r="DA177" s="27">
        <f t="shared" ref="DA177:DF177" si="124">COUNTIFS(S26_stakeholder_category,"PO",Response_Q162_11,"&lt;&gt;0",Response_Q162_12,DA$63,Response_Q157_1,"&lt;&gt;0")</f>
        <v>0</v>
      </c>
      <c r="DB177" s="27">
        <f t="shared" si="124"/>
        <v>0</v>
      </c>
      <c r="DC177" s="27">
        <f t="shared" si="124"/>
        <v>0</v>
      </c>
      <c r="DD177" s="27">
        <f t="shared" si="124"/>
        <v>0</v>
      </c>
      <c r="DE177" s="27">
        <f t="shared" si="124"/>
        <v>0</v>
      </c>
      <c r="DF177" s="27">
        <f t="shared" si="124"/>
        <v>0</v>
      </c>
      <c r="DG177" s="141" t="str">
        <f t="shared" si="114"/>
        <v>Factor not ranked</v>
      </c>
      <c r="DH177" s="14"/>
      <c r="DI177" s="47"/>
      <c r="DJ177" s="14"/>
      <c r="DK177" s="14"/>
      <c r="DL177" s="19"/>
      <c r="DM177" s="59"/>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row>
    <row r="178" spans="1:142" x14ac:dyDescent="0.25">
      <c r="A178" s="14"/>
      <c r="B178" s="56"/>
      <c r="C178" s="29"/>
      <c r="D178" s="59"/>
      <c r="E178" s="14"/>
      <c r="F178" s="14"/>
      <c r="G178" s="14"/>
      <c r="H178" s="21"/>
      <c r="I178" s="21"/>
      <c r="J178" s="14"/>
      <c r="K178" s="14"/>
      <c r="L178" s="14"/>
      <c r="M178" s="14"/>
      <c r="N178" s="14"/>
      <c r="O178" s="14"/>
      <c r="P178" s="14"/>
      <c r="Q178" s="47"/>
      <c r="R178" s="19"/>
      <c r="S178" s="56"/>
      <c r="T178" s="19"/>
      <c r="U178" s="27"/>
      <c r="V178" s="19"/>
      <c r="W178" s="14"/>
      <c r="X178" s="14"/>
      <c r="Y178" s="14"/>
      <c r="Z178" s="14"/>
      <c r="AA178" s="14"/>
      <c r="AB178" s="14"/>
      <c r="AC178" s="14"/>
      <c r="AD178" s="14"/>
      <c r="AE178" s="14"/>
      <c r="AF178" s="47"/>
      <c r="AG178" s="19"/>
      <c r="AH178" s="56"/>
      <c r="AI178" s="19"/>
      <c r="AJ178" s="27"/>
      <c r="AK178" s="19"/>
      <c r="AL178" s="14"/>
      <c r="AM178" s="14"/>
      <c r="AN178" s="14"/>
      <c r="AO178" s="14"/>
      <c r="AP178" s="14"/>
      <c r="AQ178" s="14"/>
      <c r="AR178" s="14"/>
      <c r="AS178" s="14"/>
      <c r="AT178" s="14"/>
      <c r="AU178" s="47"/>
      <c r="AV178" s="14"/>
      <c r="AW178" s="56"/>
      <c r="AX178" s="19"/>
      <c r="AY178" s="27"/>
      <c r="AZ178" s="19"/>
      <c r="BA178" s="14"/>
      <c r="BB178" s="14"/>
      <c r="BC178" s="14"/>
      <c r="BD178" s="14"/>
      <c r="BE178" s="14"/>
      <c r="BF178" s="14"/>
      <c r="BG178" s="14"/>
      <c r="BH178" s="14"/>
      <c r="BI178" s="14"/>
      <c r="BJ178" s="47"/>
      <c r="BK178" s="19"/>
      <c r="BL178" s="56"/>
      <c r="BM178" s="19"/>
      <c r="BN178" s="27"/>
      <c r="BO178" s="19"/>
      <c r="BP178" s="14"/>
      <c r="BQ178" s="14"/>
      <c r="BR178" s="14"/>
      <c r="BS178" s="14"/>
      <c r="BT178" s="14"/>
      <c r="BU178" s="14"/>
      <c r="BV178" s="14"/>
      <c r="BW178" s="14"/>
      <c r="BX178" s="14"/>
      <c r="BY178" s="47"/>
      <c r="BZ178" s="14"/>
      <c r="CA178" s="107"/>
      <c r="CB178" s="27"/>
      <c r="CC178" s="37"/>
      <c r="CD178" s="37"/>
      <c r="CE178" s="37"/>
      <c r="CF178" s="97"/>
      <c r="CG178" s="29"/>
      <c r="CH178" s="107"/>
      <c r="CI178" s="27"/>
      <c r="CJ178" s="27"/>
      <c r="CK178" s="27"/>
      <c r="CL178" s="27"/>
      <c r="CM178" s="27"/>
      <c r="CN178" s="27"/>
      <c r="CO178" s="141" t="str">
        <f t="shared" si="112"/>
        <v/>
      </c>
      <c r="CP178" s="14"/>
      <c r="CQ178" s="47"/>
      <c r="CR178" s="14"/>
      <c r="CS178" s="107"/>
      <c r="CT178" s="27"/>
      <c r="CU178" s="37"/>
      <c r="CV178" s="37"/>
      <c r="CW178" s="37"/>
      <c r="CX178" s="37"/>
      <c r="CY178" s="29"/>
      <c r="CZ178" s="106"/>
      <c r="DA178" s="27"/>
      <c r="DB178" s="27"/>
      <c r="DC178" s="27"/>
      <c r="DD178" s="27"/>
      <c r="DE178" s="27"/>
      <c r="DF178" s="27"/>
      <c r="DG178" s="141" t="str">
        <f t="shared" si="114"/>
        <v/>
      </c>
      <c r="DH178" s="14"/>
      <c r="DI178" s="47"/>
      <c r="DJ178" s="14"/>
      <c r="DK178" s="62"/>
      <c r="DL178" s="19"/>
      <c r="DM178" s="59"/>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row>
    <row r="179" spans="1:142" x14ac:dyDescent="0.25">
      <c r="A179" s="14"/>
      <c r="B179" s="56"/>
      <c r="C179" s="19"/>
      <c r="D179" s="59"/>
      <c r="E179" s="14"/>
      <c r="F179" s="14"/>
      <c r="G179" s="109" t="s">
        <v>14</v>
      </c>
      <c r="H179" s="110" t="s">
        <v>6</v>
      </c>
      <c r="I179" s="110" t="s">
        <v>7</v>
      </c>
      <c r="J179" s="14"/>
      <c r="K179" s="14"/>
      <c r="L179" s="14"/>
      <c r="M179" s="14"/>
      <c r="N179" s="14"/>
      <c r="O179" s="14"/>
      <c r="P179" s="14"/>
      <c r="Q179" s="47"/>
      <c r="R179" s="19"/>
      <c r="S179" s="19"/>
      <c r="T179" s="19"/>
      <c r="U179" s="27"/>
      <c r="V179" s="19"/>
      <c r="W179" s="14"/>
      <c r="X179" s="109" t="s">
        <v>14</v>
      </c>
      <c r="Y179" s="110" t="s">
        <v>6</v>
      </c>
      <c r="Z179" s="110" t="s">
        <v>7</v>
      </c>
      <c r="AA179" s="14"/>
      <c r="AB179" s="14"/>
      <c r="AC179" s="14"/>
      <c r="AD179" s="14"/>
      <c r="AE179" s="14"/>
      <c r="AF179" s="47"/>
      <c r="AG179" s="19"/>
      <c r="AH179" s="19"/>
      <c r="AI179" s="19"/>
      <c r="AJ179" s="27"/>
      <c r="AK179" s="19"/>
      <c r="AL179" s="14"/>
      <c r="AM179" s="109" t="s">
        <v>14</v>
      </c>
      <c r="AN179" s="110" t="s">
        <v>6</v>
      </c>
      <c r="AO179" s="110" t="s">
        <v>7</v>
      </c>
      <c r="AP179" s="14"/>
      <c r="AQ179" s="14"/>
      <c r="AR179" s="14"/>
      <c r="AS179" s="14"/>
      <c r="AT179" s="14"/>
      <c r="AU179" s="47"/>
      <c r="AV179" s="14"/>
      <c r="AW179" s="19"/>
      <c r="AX179" s="19"/>
      <c r="AY179" s="27"/>
      <c r="AZ179" s="19"/>
      <c r="BA179" s="14"/>
      <c r="BB179" s="109" t="s">
        <v>14</v>
      </c>
      <c r="BC179" s="110" t="s">
        <v>6</v>
      </c>
      <c r="BD179" s="110" t="s">
        <v>7</v>
      </c>
      <c r="BE179" s="14"/>
      <c r="BF179" s="14"/>
      <c r="BG179" s="14"/>
      <c r="BH179" s="14"/>
      <c r="BI179" s="14"/>
      <c r="BJ179" s="47"/>
      <c r="BK179" s="19"/>
      <c r="BL179" s="19"/>
      <c r="BM179" s="19"/>
      <c r="BN179" s="27"/>
      <c r="BO179" s="19"/>
      <c r="BP179" s="14"/>
      <c r="BQ179" s="109" t="s">
        <v>14</v>
      </c>
      <c r="BR179" s="110" t="s">
        <v>6</v>
      </c>
      <c r="BS179" s="110" t="s">
        <v>7</v>
      </c>
      <c r="BT179" s="14"/>
      <c r="BU179" s="14"/>
      <c r="BV179" s="14"/>
      <c r="BW179" s="14"/>
      <c r="BX179" s="14"/>
      <c r="BY179" s="47"/>
      <c r="BZ179" s="14"/>
      <c r="CA179" s="86"/>
      <c r="CB179" s="111"/>
      <c r="CC179" s="111"/>
      <c r="CD179" s="179"/>
      <c r="CE179" s="179"/>
      <c r="CF179" s="108"/>
      <c r="CG179" s="29"/>
      <c r="CH179" s="109"/>
      <c r="CI179" s="109"/>
      <c r="CJ179" s="109"/>
      <c r="CK179" s="109"/>
      <c r="CL179" s="109"/>
      <c r="CM179" s="109"/>
      <c r="CN179" s="109"/>
      <c r="CO179" s="329"/>
      <c r="CP179" s="14"/>
      <c r="CQ179" s="47"/>
      <c r="CR179" s="14"/>
      <c r="CS179" s="107"/>
      <c r="CT179" s="27"/>
      <c r="CU179" s="37"/>
      <c r="CV179" s="37"/>
      <c r="CW179" s="37"/>
      <c r="CX179" s="37"/>
      <c r="CY179" s="29"/>
      <c r="CZ179" s="106"/>
      <c r="DA179" s="27"/>
      <c r="DB179" s="27"/>
      <c r="DC179" s="27"/>
      <c r="DD179" s="27"/>
      <c r="DE179" s="27"/>
      <c r="DF179" s="27"/>
      <c r="DG179" s="141" t="str">
        <f t="shared" si="114"/>
        <v/>
      </c>
      <c r="DH179" s="14"/>
      <c r="DI179" s="47"/>
      <c r="DJ179" s="14"/>
      <c r="DK179" s="62"/>
      <c r="DL179" s="19"/>
      <c r="DM179" s="59"/>
      <c r="DN179" s="14"/>
      <c r="DO179" s="14"/>
      <c r="DP179" s="109" t="s">
        <v>14</v>
      </c>
      <c r="DQ179" s="110" t="s">
        <v>6</v>
      </c>
      <c r="DR179" s="110" t="s">
        <v>7</v>
      </c>
      <c r="DS179" s="14"/>
      <c r="DT179" s="14"/>
      <c r="DU179" s="14"/>
      <c r="DV179" s="14"/>
      <c r="DW179" s="14"/>
      <c r="DX179" s="14"/>
      <c r="DY179" s="14"/>
      <c r="DZ179" s="14"/>
      <c r="EA179" s="14"/>
      <c r="EB179" s="14"/>
      <c r="EC179" s="14"/>
      <c r="ED179" s="14"/>
      <c r="EE179" s="14"/>
      <c r="EF179" s="14"/>
      <c r="EG179" s="14"/>
      <c r="EH179" s="14"/>
      <c r="EI179" s="14"/>
      <c r="EJ179" s="14"/>
      <c r="EK179" s="14"/>
      <c r="EL179" s="14"/>
    </row>
    <row r="180" spans="1:142" x14ac:dyDescent="0.25">
      <c r="A180" s="14"/>
      <c r="B180" s="14"/>
      <c r="C180" s="19"/>
      <c r="D180" s="59"/>
      <c r="E180" s="14"/>
      <c r="F180" s="14"/>
      <c r="G180" s="107" t="s">
        <v>34</v>
      </c>
      <c r="H180" s="27">
        <f>COUNTIFS(S26_stakeholder_category,"PO",Response_Q156_1,G180)</f>
        <v>1</v>
      </c>
      <c r="I180" s="41">
        <f>IFERROR(H180/H$185,"")</f>
        <v>0.5</v>
      </c>
      <c r="J180" s="14"/>
      <c r="K180" s="14"/>
      <c r="L180" s="14"/>
      <c r="M180" s="14"/>
      <c r="N180" s="14"/>
      <c r="O180" s="14"/>
      <c r="P180" s="14"/>
      <c r="Q180" s="47"/>
      <c r="R180" s="19"/>
      <c r="S180" s="19"/>
      <c r="T180" s="19"/>
      <c r="U180" s="27"/>
      <c r="V180" s="19"/>
      <c r="W180" s="14"/>
      <c r="X180" s="107" t="s">
        <v>5</v>
      </c>
      <c r="Y180" s="27">
        <f t="shared" ref="Y180:Y186" si="125">COUNTIFS(S26_stakeholder_category,"PO",Response_Q160_1,X180)</f>
        <v>0</v>
      </c>
      <c r="Z180" s="41">
        <f t="shared" ref="Z180:Z186" si="126">IFERROR(Y180/Y$187,0)</f>
        <v>0</v>
      </c>
      <c r="AA180" s="14"/>
      <c r="AB180" s="14"/>
      <c r="AC180" s="14"/>
      <c r="AD180" s="14"/>
      <c r="AE180" s="14"/>
      <c r="AF180" s="47"/>
      <c r="AG180" s="19"/>
      <c r="AH180" s="19"/>
      <c r="AI180" s="19"/>
      <c r="AJ180" s="27"/>
      <c r="AK180" s="19"/>
      <c r="AL180" s="14"/>
      <c r="AM180" s="107" t="s">
        <v>5</v>
      </c>
      <c r="AN180" s="27">
        <f t="shared" ref="AN180:AN186" si="127">COUNTIFS(S26_stakeholder_category,"PO",Response_26_CaseA,AM180)</f>
        <v>0</v>
      </c>
      <c r="AO180" s="41">
        <f>IFERROR(AN180/AN$187,0)</f>
        <v>0</v>
      </c>
      <c r="AP180" s="14"/>
      <c r="AQ180" s="14"/>
      <c r="AR180" s="14"/>
      <c r="AS180" s="14"/>
      <c r="AT180" s="14"/>
      <c r="AU180" s="47"/>
      <c r="AV180" s="14"/>
      <c r="AW180" s="19"/>
      <c r="AX180" s="19"/>
      <c r="AY180" s="27"/>
      <c r="AZ180" s="19"/>
      <c r="BA180" s="14"/>
      <c r="BB180" s="107" t="s">
        <v>5</v>
      </c>
      <c r="BC180" s="27">
        <f t="shared" ref="BC180:BC186" si="128">COUNTIFS(S26_stakeholder_category,"PO",Response_26_CaseB,BB180)</f>
        <v>0</v>
      </c>
      <c r="BD180" s="41">
        <f>IFERROR(BC180/BC$187,0)</f>
        <v>0</v>
      </c>
      <c r="BE180" s="14"/>
      <c r="BF180" s="14"/>
      <c r="BG180" s="14"/>
      <c r="BH180" s="14"/>
      <c r="BI180" s="14"/>
      <c r="BJ180" s="47"/>
      <c r="BK180" s="19"/>
      <c r="BL180" s="19"/>
      <c r="BM180" s="19"/>
      <c r="BN180" s="27"/>
      <c r="BO180" s="19"/>
      <c r="BP180" s="14"/>
      <c r="BQ180" s="107" t="s">
        <v>5</v>
      </c>
      <c r="BR180" s="27">
        <f t="shared" ref="BR180:BR186" si="129">COUNTIFS(S26_stakeholder_category,"PO",Response_26_CaseC,BQ180)</f>
        <v>0</v>
      </c>
      <c r="BS180" s="41">
        <f>IFERROR(BR180/BR$187,0)</f>
        <v>0</v>
      </c>
      <c r="BT180" s="14"/>
      <c r="BU180" s="14"/>
      <c r="BV180" s="14"/>
      <c r="BW180" s="14"/>
      <c r="BX180" s="14"/>
      <c r="BY180" s="47"/>
      <c r="BZ180" s="14"/>
      <c r="CA180" s="14"/>
      <c r="CB180" s="21"/>
      <c r="CC180" s="21"/>
      <c r="CD180" s="180"/>
      <c r="CE180" s="181"/>
      <c r="CF180" s="31"/>
      <c r="CG180" s="52"/>
      <c r="CH180" s="52"/>
      <c r="CI180" s="99"/>
      <c r="CJ180" s="14"/>
      <c r="CK180" s="14"/>
      <c r="CL180" s="14"/>
      <c r="CM180" s="14"/>
      <c r="CN180" s="14"/>
      <c r="CO180" s="129"/>
      <c r="CP180" s="14"/>
      <c r="CQ180" s="47"/>
      <c r="CR180" s="14"/>
      <c r="CS180" s="86"/>
      <c r="CT180" s="111"/>
      <c r="CU180" s="86"/>
      <c r="CV180" s="179"/>
      <c r="CW180" s="188"/>
      <c r="CX180" s="179"/>
      <c r="CY180" s="29"/>
      <c r="CZ180" s="109"/>
      <c r="DA180" s="109"/>
      <c r="DB180" s="109"/>
      <c r="DC180" s="109"/>
      <c r="DD180" s="109"/>
      <c r="DE180" s="109"/>
      <c r="DF180" s="109"/>
      <c r="DG180" s="329"/>
      <c r="DH180" s="14"/>
      <c r="DI180" s="47"/>
      <c r="DJ180" s="14"/>
      <c r="DK180" s="62"/>
      <c r="DL180" s="19"/>
      <c r="DM180" s="59"/>
      <c r="DN180" s="14"/>
      <c r="DO180" s="14"/>
      <c r="DP180" s="107" t="s">
        <v>34</v>
      </c>
      <c r="DQ180" s="27">
        <f>COUNTIFS(S26_stakeholder_category,"PO",Response_Q156_1,DP180,Response_Q156_1,"&lt;&gt;0")</f>
        <v>1</v>
      </c>
      <c r="DR180" s="41">
        <f>IF(DQ185=0,"",DQ180/DQ185)</f>
        <v>0.5</v>
      </c>
      <c r="DS180" s="14"/>
      <c r="DT180" s="14"/>
      <c r="DU180" s="14"/>
      <c r="DV180" s="14"/>
      <c r="DW180" s="14"/>
      <c r="DX180" s="14"/>
      <c r="DY180" s="14"/>
      <c r="DZ180" s="14"/>
      <c r="EA180" s="14"/>
      <c r="EB180" s="14"/>
      <c r="EC180" s="14"/>
      <c r="ED180" s="14"/>
      <c r="EE180" s="14"/>
      <c r="EF180" s="14"/>
      <c r="EG180" s="14"/>
      <c r="EH180" s="14"/>
      <c r="EI180" s="14"/>
      <c r="EJ180" s="14"/>
      <c r="EK180" s="14"/>
      <c r="EL180" s="14"/>
    </row>
    <row r="181" spans="1:142" x14ac:dyDescent="0.25">
      <c r="A181" s="14"/>
      <c r="B181" s="14"/>
      <c r="C181" s="19"/>
      <c r="D181" s="59"/>
      <c r="E181" s="14"/>
      <c r="F181" s="14"/>
      <c r="G181" s="107" t="s">
        <v>35</v>
      </c>
      <c r="H181" s="27">
        <f>COUNTIFS(S26_stakeholder_category,"PO",Response_Q156_1,G181)</f>
        <v>1</v>
      </c>
      <c r="I181" s="41">
        <f t="shared" ref="I181:I185" si="130">IFERROR(H181/H$185,"")</f>
        <v>0.5</v>
      </c>
      <c r="J181" s="14"/>
      <c r="K181" s="14"/>
      <c r="L181" s="14"/>
      <c r="M181" s="14"/>
      <c r="N181" s="14"/>
      <c r="O181" s="14"/>
      <c r="P181" s="14"/>
      <c r="Q181" s="47"/>
      <c r="R181" s="19"/>
      <c r="S181" s="19"/>
      <c r="T181" s="19"/>
      <c r="U181" s="27"/>
      <c r="V181" s="19"/>
      <c r="W181" s="14"/>
      <c r="X181" s="107" t="s">
        <v>4</v>
      </c>
      <c r="Y181" s="27">
        <f t="shared" si="125"/>
        <v>0</v>
      </c>
      <c r="Z181" s="41">
        <f t="shared" si="126"/>
        <v>0</v>
      </c>
      <c r="AA181" s="14"/>
      <c r="AB181" s="14"/>
      <c r="AC181" s="14"/>
      <c r="AD181" s="14"/>
      <c r="AE181" s="14"/>
      <c r="AF181" s="47"/>
      <c r="AG181" s="19"/>
      <c r="AH181" s="19"/>
      <c r="AI181" s="19"/>
      <c r="AJ181" s="27"/>
      <c r="AK181" s="19"/>
      <c r="AL181" s="14"/>
      <c r="AM181" s="107" t="s">
        <v>4</v>
      </c>
      <c r="AN181" s="27">
        <f t="shared" si="127"/>
        <v>0</v>
      </c>
      <c r="AO181" s="41">
        <f t="shared" ref="AO181:AO186" si="131">IFERROR(AN181/AN$187,0)</f>
        <v>0</v>
      </c>
      <c r="AP181" s="14"/>
      <c r="AQ181" s="14"/>
      <c r="AR181" s="14"/>
      <c r="AS181" s="14"/>
      <c r="AT181" s="14"/>
      <c r="AU181" s="47"/>
      <c r="AV181" s="14"/>
      <c r="AW181" s="19"/>
      <c r="AX181" s="19"/>
      <c r="AY181" s="27"/>
      <c r="AZ181" s="19"/>
      <c r="BA181" s="14"/>
      <c r="BB181" s="107" t="s">
        <v>4</v>
      </c>
      <c r="BC181" s="27">
        <f t="shared" si="128"/>
        <v>0</v>
      </c>
      <c r="BD181" s="41">
        <f t="shared" ref="BD181:BD186" si="132">IFERROR(BC181/BC$187,0)</f>
        <v>0</v>
      </c>
      <c r="BE181" s="14"/>
      <c r="BF181" s="14"/>
      <c r="BG181" s="14"/>
      <c r="BH181" s="14"/>
      <c r="BI181" s="14"/>
      <c r="BJ181" s="47"/>
      <c r="BK181" s="19"/>
      <c r="BL181" s="19"/>
      <c r="BM181" s="19"/>
      <c r="BN181" s="27"/>
      <c r="BO181" s="19"/>
      <c r="BP181" s="14"/>
      <c r="BQ181" s="107" t="s">
        <v>4</v>
      </c>
      <c r="BR181" s="27">
        <f t="shared" si="129"/>
        <v>0</v>
      </c>
      <c r="BS181" s="41">
        <f t="shared" ref="BS181:BS186" si="133">IFERROR(BR181/BR$187,0)</f>
        <v>0</v>
      </c>
      <c r="BT181" s="14"/>
      <c r="BU181" s="14"/>
      <c r="BV181" s="14"/>
      <c r="BW181" s="14"/>
      <c r="BX181" s="14"/>
      <c r="BY181" s="47"/>
      <c r="BZ181" s="14"/>
      <c r="CA181" s="14"/>
      <c r="CB181" s="21"/>
      <c r="CC181" s="21"/>
      <c r="CD181" s="180"/>
      <c r="CE181" s="181"/>
      <c r="CF181" s="31"/>
      <c r="CG181" s="52"/>
      <c r="CH181" s="52"/>
      <c r="CI181" s="99"/>
      <c r="CJ181" s="14"/>
      <c r="CK181" s="14"/>
      <c r="CL181" s="14"/>
      <c r="CM181" s="14"/>
      <c r="CN181" s="14"/>
      <c r="CO181" s="129"/>
      <c r="CP181" s="14"/>
      <c r="CQ181" s="47"/>
      <c r="CR181" s="14"/>
      <c r="CS181" s="14"/>
      <c r="CT181" s="14"/>
      <c r="CU181" s="14"/>
      <c r="CV181" s="180"/>
      <c r="CW181" s="190"/>
      <c r="CX181" s="191"/>
      <c r="CY181" s="52"/>
      <c r="CZ181" s="52"/>
      <c r="DA181" s="54"/>
      <c r="DB181" s="14"/>
      <c r="DC181" s="14"/>
      <c r="DD181" s="14"/>
      <c r="DE181" s="14"/>
      <c r="DF181" s="14"/>
      <c r="DG181" s="129"/>
      <c r="DH181" s="14"/>
      <c r="DI181" s="47"/>
      <c r="DJ181" s="14"/>
      <c r="DK181" s="62"/>
      <c r="DL181" s="19"/>
      <c r="DM181" s="59"/>
      <c r="DN181" s="14"/>
      <c r="DO181" s="14"/>
      <c r="DP181" s="107" t="s">
        <v>35</v>
      </c>
      <c r="DQ181" s="27">
        <f>COUNTIFS(S26_stakeholder_category,"PO",Response_Q156_1,DP181,Response_Q156_1,"&lt;&gt;0")</f>
        <v>1</v>
      </c>
      <c r="DR181" s="41">
        <f>IF(DQ185=0,"",DQ181/DQ185)</f>
        <v>0.5</v>
      </c>
      <c r="DS181" s="14"/>
      <c r="DT181" s="14"/>
      <c r="DU181" s="14"/>
      <c r="DV181" s="14"/>
      <c r="DW181" s="14"/>
      <c r="DX181" s="14"/>
      <c r="DY181" s="14"/>
      <c r="DZ181" s="14"/>
      <c r="EA181" s="14"/>
      <c r="EB181" s="14"/>
      <c r="EC181" s="14"/>
      <c r="ED181" s="14"/>
      <c r="EE181" s="14"/>
      <c r="EF181" s="14"/>
      <c r="EG181" s="14"/>
      <c r="EH181" s="14"/>
      <c r="EI181" s="14"/>
      <c r="EJ181" s="14"/>
      <c r="EK181" s="14"/>
      <c r="EL181" s="14"/>
    </row>
    <row r="182" spans="1:142" x14ac:dyDescent="0.25">
      <c r="A182" s="14"/>
      <c r="B182" s="14"/>
      <c r="C182" s="19"/>
      <c r="D182" s="59"/>
      <c r="E182" s="14"/>
      <c r="F182" s="14"/>
      <c r="G182" s="107" t="s">
        <v>36</v>
      </c>
      <c r="H182" s="27">
        <f>COUNTIFS(S26_stakeholder_category,"PO",Response_Q156_1,G182)</f>
        <v>0</v>
      </c>
      <c r="I182" s="41">
        <f t="shared" si="130"/>
        <v>0</v>
      </c>
      <c r="J182" s="14"/>
      <c r="K182" s="14"/>
      <c r="L182" s="14"/>
      <c r="M182" s="14"/>
      <c r="N182" s="14"/>
      <c r="O182" s="14"/>
      <c r="P182" s="14"/>
      <c r="Q182" s="47"/>
      <c r="R182" s="19"/>
      <c r="S182" s="19"/>
      <c r="T182" s="19"/>
      <c r="U182" s="27"/>
      <c r="V182" s="19"/>
      <c r="W182" s="14"/>
      <c r="X182" s="107" t="s">
        <v>33</v>
      </c>
      <c r="Y182" s="27">
        <f t="shared" si="125"/>
        <v>0</v>
      </c>
      <c r="Z182" s="41">
        <f t="shared" si="126"/>
        <v>0</v>
      </c>
      <c r="AA182" s="14"/>
      <c r="AB182" s="14"/>
      <c r="AC182" s="14"/>
      <c r="AD182" s="14"/>
      <c r="AE182" s="14"/>
      <c r="AF182" s="47"/>
      <c r="AG182" s="19"/>
      <c r="AH182" s="19"/>
      <c r="AI182" s="19"/>
      <c r="AJ182" s="27"/>
      <c r="AK182" s="19"/>
      <c r="AL182" s="14"/>
      <c r="AM182" s="107" t="s">
        <v>33</v>
      </c>
      <c r="AN182" s="27">
        <f t="shared" si="127"/>
        <v>0</v>
      </c>
      <c r="AO182" s="41">
        <f t="shared" si="131"/>
        <v>0</v>
      </c>
      <c r="AP182" s="14"/>
      <c r="AQ182" s="14"/>
      <c r="AR182" s="14"/>
      <c r="AS182" s="14"/>
      <c r="AT182" s="14"/>
      <c r="AU182" s="47"/>
      <c r="AV182" s="14"/>
      <c r="AW182" s="19"/>
      <c r="AX182" s="19"/>
      <c r="AY182" s="27"/>
      <c r="AZ182" s="19"/>
      <c r="BA182" s="14"/>
      <c r="BB182" s="107" t="s">
        <v>33</v>
      </c>
      <c r="BC182" s="27">
        <f t="shared" si="128"/>
        <v>0</v>
      </c>
      <c r="BD182" s="41">
        <f t="shared" si="132"/>
        <v>0</v>
      </c>
      <c r="BE182" s="14"/>
      <c r="BF182" s="14"/>
      <c r="BG182" s="14"/>
      <c r="BH182" s="14"/>
      <c r="BI182" s="14"/>
      <c r="BJ182" s="47"/>
      <c r="BK182" s="19"/>
      <c r="BL182" s="19"/>
      <c r="BM182" s="19"/>
      <c r="BN182" s="27"/>
      <c r="BO182" s="19"/>
      <c r="BP182" s="14"/>
      <c r="BQ182" s="107" t="s">
        <v>33</v>
      </c>
      <c r="BR182" s="27">
        <f t="shared" si="129"/>
        <v>0</v>
      </c>
      <c r="BS182" s="41">
        <f t="shared" si="133"/>
        <v>0</v>
      </c>
      <c r="BT182" s="14"/>
      <c r="BU182" s="14"/>
      <c r="BV182" s="14"/>
      <c r="BW182" s="14"/>
      <c r="BX182" s="14"/>
      <c r="BY182" s="47"/>
      <c r="BZ182" s="14"/>
      <c r="CA182" s="14"/>
      <c r="CB182" s="21"/>
      <c r="CC182" s="21"/>
      <c r="CD182" s="180"/>
      <c r="CE182" s="181"/>
      <c r="CF182" s="31"/>
      <c r="CG182" s="52"/>
      <c r="CH182" s="52"/>
      <c r="CI182" s="99"/>
      <c r="CJ182" s="14"/>
      <c r="CK182" s="14"/>
      <c r="CL182" s="14"/>
      <c r="CM182" s="14"/>
      <c r="CN182" s="14"/>
      <c r="CO182" s="129"/>
      <c r="CP182" s="14"/>
      <c r="CQ182" s="47"/>
      <c r="CR182" s="14"/>
      <c r="CS182" s="14"/>
      <c r="CT182" s="14"/>
      <c r="CU182" s="14"/>
      <c r="CV182" s="180"/>
      <c r="CW182" s="190"/>
      <c r="CX182" s="191"/>
      <c r="CY182" s="52"/>
      <c r="CZ182" s="52"/>
      <c r="DA182" s="54"/>
      <c r="DB182" s="14"/>
      <c r="DC182" s="14"/>
      <c r="DD182" s="14"/>
      <c r="DE182" s="14"/>
      <c r="DF182" s="14"/>
      <c r="DG182" s="129"/>
      <c r="DH182" s="14"/>
      <c r="DI182" s="47"/>
      <c r="DJ182" s="14"/>
      <c r="DK182" s="62"/>
      <c r="DL182" s="19"/>
      <c r="DM182" s="59"/>
      <c r="DN182" s="14"/>
      <c r="DO182" s="14"/>
      <c r="DP182" s="107" t="s">
        <v>36</v>
      </c>
      <c r="DQ182" s="27">
        <f>COUNTIFS(S26_stakeholder_category,"PO",Response_Q156_1,DP182,Response_Q156_1,"&lt;&gt;0")</f>
        <v>0</v>
      </c>
      <c r="DR182" s="41">
        <f>IF(DQ185=0,"",DQ182/DQ185)</f>
        <v>0</v>
      </c>
      <c r="DS182" s="14"/>
      <c r="DT182" s="14"/>
      <c r="DU182" s="14"/>
      <c r="DV182" s="14"/>
      <c r="DW182" s="14"/>
      <c r="DX182" s="14"/>
      <c r="DY182" s="14"/>
      <c r="DZ182" s="14"/>
      <c r="EA182" s="14"/>
      <c r="EB182" s="14"/>
      <c r="EC182" s="14"/>
      <c r="ED182" s="14"/>
      <c r="EE182" s="14"/>
      <c r="EF182" s="14"/>
      <c r="EG182" s="14"/>
      <c r="EH182" s="14"/>
      <c r="EI182" s="14"/>
      <c r="EJ182" s="14"/>
      <c r="EK182" s="14"/>
      <c r="EL182" s="14"/>
    </row>
    <row r="183" spans="1:142" ht="14.4" x14ac:dyDescent="0.25">
      <c r="A183" s="14"/>
      <c r="B183" s="62"/>
      <c r="C183" s="19"/>
      <c r="D183" s="59"/>
      <c r="E183" s="14"/>
      <c r="F183" s="14"/>
      <c r="G183" s="107" t="s">
        <v>38</v>
      </c>
      <c r="H183" s="27">
        <f>COUNTIFS(S26_stakeholder_category,"PO",Response_Q156_1,G183)</f>
        <v>0</v>
      </c>
      <c r="I183" s="41">
        <f t="shared" si="130"/>
        <v>0</v>
      </c>
      <c r="J183" s="14"/>
      <c r="K183" s="14"/>
      <c r="L183" s="14"/>
      <c r="M183" s="14"/>
      <c r="N183" s="14"/>
      <c r="O183" s="14"/>
      <c r="P183" s="14"/>
      <c r="Q183" s="47"/>
      <c r="R183" s="19"/>
      <c r="S183" s="60"/>
      <c r="T183" s="19"/>
      <c r="U183" s="59"/>
      <c r="V183" s="19"/>
      <c r="W183" s="14"/>
      <c r="X183" s="107" t="s">
        <v>29</v>
      </c>
      <c r="Y183" s="27">
        <f t="shared" si="125"/>
        <v>0</v>
      </c>
      <c r="Z183" s="41">
        <f t="shared" si="126"/>
        <v>0</v>
      </c>
      <c r="AA183" s="14"/>
      <c r="AB183" s="14"/>
      <c r="AC183" s="14"/>
      <c r="AD183" s="14"/>
      <c r="AE183" s="14"/>
      <c r="AF183" s="47"/>
      <c r="AG183" s="19"/>
      <c r="AH183" s="60"/>
      <c r="AI183" s="19"/>
      <c r="AJ183" s="59"/>
      <c r="AK183" s="19"/>
      <c r="AL183" s="14"/>
      <c r="AM183" s="107" t="s">
        <v>29</v>
      </c>
      <c r="AN183" s="27">
        <f t="shared" si="127"/>
        <v>0</v>
      </c>
      <c r="AO183" s="41">
        <f t="shared" si="131"/>
        <v>0</v>
      </c>
      <c r="AP183" s="14"/>
      <c r="AQ183" s="14"/>
      <c r="AR183" s="14"/>
      <c r="AS183" s="14"/>
      <c r="AT183" s="14"/>
      <c r="AU183" s="47"/>
      <c r="AV183" s="14"/>
      <c r="AW183" s="60"/>
      <c r="AX183" s="19"/>
      <c r="AY183" s="59"/>
      <c r="AZ183" s="19"/>
      <c r="BA183" s="14"/>
      <c r="BB183" s="107" t="s">
        <v>29</v>
      </c>
      <c r="BC183" s="27">
        <f t="shared" si="128"/>
        <v>0</v>
      </c>
      <c r="BD183" s="41">
        <f t="shared" si="132"/>
        <v>0</v>
      </c>
      <c r="BE183" s="14"/>
      <c r="BF183" s="14"/>
      <c r="BG183" s="14"/>
      <c r="BH183" s="14"/>
      <c r="BI183" s="14"/>
      <c r="BJ183" s="47"/>
      <c r="BK183" s="19"/>
      <c r="BL183" s="60"/>
      <c r="BM183" s="19"/>
      <c r="BN183" s="59"/>
      <c r="BO183" s="19"/>
      <c r="BP183" s="14"/>
      <c r="BQ183" s="107" t="s">
        <v>29</v>
      </c>
      <c r="BR183" s="27">
        <f t="shared" si="129"/>
        <v>0</v>
      </c>
      <c r="BS183" s="41">
        <f t="shared" si="133"/>
        <v>0</v>
      </c>
      <c r="BT183" s="14"/>
      <c r="BU183" s="14"/>
      <c r="BV183" s="14"/>
      <c r="BW183" s="14"/>
      <c r="BX183" s="14"/>
      <c r="BY183" s="47"/>
      <c r="BZ183" s="14"/>
      <c r="CA183" s="14"/>
      <c r="CB183" s="21"/>
      <c r="CC183" s="21"/>
      <c r="CD183" s="180"/>
      <c r="CE183" s="181"/>
      <c r="CF183" s="31"/>
      <c r="CG183" s="52"/>
      <c r="CH183" s="52"/>
      <c r="CI183" s="99"/>
      <c r="CJ183" s="14"/>
      <c r="CK183" s="14"/>
      <c r="CL183" s="14"/>
      <c r="CM183" s="14"/>
      <c r="CN183" s="14"/>
      <c r="CO183" s="129"/>
      <c r="CP183" s="14"/>
      <c r="CQ183" s="47"/>
      <c r="CR183" s="14"/>
      <c r="CS183" s="14"/>
      <c r="CT183" s="14"/>
      <c r="CU183" s="14"/>
      <c r="CV183" s="180"/>
      <c r="CW183" s="190"/>
      <c r="CX183" s="191"/>
      <c r="CY183" s="52"/>
      <c r="CZ183" s="52"/>
      <c r="DA183" s="54"/>
      <c r="DB183" s="14"/>
      <c r="DC183" s="14"/>
      <c r="DD183" s="14"/>
      <c r="DE183" s="14"/>
      <c r="DF183" s="14"/>
      <c r="DG183" s="129"/>
      <c r="DH183" s="14"/>
      <c r="DI183" s="47"/>
      <c r="DJ183" s="14"/>
      <c r="DK183" s="62"/>
      <c r="DL183" s="19"/>
      <c r="DM183" s="59"/>
      <c r="DN183" s="14"/>
      <c r="DO183" s="14"/>
      <c r="DP183" s="107" t="s">
        <v>38</v>
      </c>
      <c r="DQ183" s="27">
        <f>COUNTIFS(S26_stakeholder_category,"PO",Response_Q156_1,DP183,Response_Q156_1,"&lt;&gt;0")</f>
        <v>0</v>
      </c>
      <c r="DR183" s="41">
        <f>IF(DQ185=0,"",DQ183/DQ185)</f>
        <v>0</v>
      </c>
      <c r="DS183" s="14"/>
      <c r="DT183" s="14"/>
      <c r="DU183" s="14"/>
      <c r="DV183" s="14"/>
      <c r="DW183" s="14"/>
      <c r="DX183" s="14"/>
      <c r="DY183" s="14"/>
      <c r="DZ183" s="14"/>
      <c r="EA183" s="14"/>
      <c r="EB183" s="14"/>
      <c r="EC183" s="14"/>
      <c r="ED183" s="14"/>
      <c r="EE183" s="14"/>
      <c r="EF183" s="14"/>
      <c r="EG183" s="14"/>
      <c r="EH183" s="14"/>
      <c r="EI183" s="14"/>
      <c r="EJ183" s="14"/>
      <c r="EK183" s="14"/>
      <c r="EL183" s="14"/>
    </row>
    <row r="184" spans="1:142" ht="14.4" x14ac:dyDescent="0.25">
      <c r="A184" s="14"/>
      <c r="B184" s="62"/>
      <c r="C184" s="19"/>
      <c r="D184" s="59"/>
      <c r="E184" s="14"/>
      <c r="F184" s="14"/>
      <c r="G184" s="107" t="s">
        <v>39</v>
      </c>
      <c r="H184" s="27">
        <f>COUNTIFS(S26_stakeholder_category,"PO",Response_Q156_1,G184)</f>
        <v>0</v>
      </c>
      <c r="I184" s="41">
        <f t="shared" si="130"/>
        <v>0</v>
      </c>
      <c r="J184" s="14"/>
      <c r="K184" s="14"/>
      <c r="L184" s="14"/>
      <c r="M184" s="14"/>
      <c r="N184" s="14"/>
      <c r="O184" s="14"/>
      <c r="P184" s="14"/>
      <c r="Q184" s="47"/>
      <c r="R184" s="19"/>
      <c r="S184" s="61"/>
      <c r="T184" s="19"/>
      <c r="U184" s="59"/>
      <c r="V184" s="19"/>
      <c r="W184" s="14"/>
      <c r="X184" s="107" t="s">
        <v>3</v>
      </c>
      <c r="Y184" s="27">
        <f t="shared" si="125"/>
        <v>0</v>
      </c>
      <c r="Z184" s="41">
        <f t="shared" si="126"/>
        <v>0</v>
      </c>
      <c r="AA184" s="14"/>
      <c r="AB184" s="14"/>
      <c r="AC184" s="14"/>
      <c r="AD184" s="14"/>
      <c r="AE184" s="14"/>
      <c r="AF184" s="47"/>
      <c r="AG184" s="19"/>
      <c r="AH184" s="61"/>
      <c r="AI184" s="19"/>
      <c r="AJ184" s="59"/>
      <c r="AK184" s="19"/>
      <c r="AL184" s="14"/>
      <c r="AM184" s="107" t="s">
        <v>3</v>
      </c>
      <c r="AN184" s="27">
        <f t="shared" si="127"/>
        <v>0</v>
      </c>
      <c r="AO184" s="41">
        <f t="shared" si="131"/>
        <v>0</v>
      </c>
      <c r="AP184" s="14"/>
      <c r="AQ184" s="14"/>
      <c r="AR184" s="14"/>
      <c r="AS184" s="14"/>
      <c r="AT184" s="14"/>
      <c r="AU184" s="47"/>
      <c r="AV184" s="14"/>
      <c r="AW184" s="61"/>
      <c r="AX184" s="19"/>
      <c r="AY184" s="59"/>
      <c r="AZ184" s="19"/>
      <c r="BA184" s="14"/>
      <c r="BB184" s="107" t="s">
        <v>3</v>
      </c>
      <c r="BC184" s="27">
        <f t="shared" si="128"/>
        <v>0</v>
      </c>
      <c r="BD184" s="41">
        <f t="shared" si="132"/>
        <v>0</v>
      </c>
      <c r="BE184" s="14"/>
      <c r="BF184" s="14"/>
      <c r="BG184" s="14"/>
      <c r="BH184" s="14"/>
      <c r="BI184" s="14"/>
      <c r="BJ184" s="47"/>
      <c r="BK184" s="19"/>
      <c r="BL184" s="61"/>
      <c r="BM184" s="19"/>
      <c r="BN184" s="59"/>
      <c r="BO184" s="19"/>
      <c r="BP184" s="14"/>
      <c r="BQ184" s="107" t="s">
        <v>3</v>
      </c>
      <c r="BR184" s="27">
        <f t="shared" si="129"/>
        <v>0</v>
      </c>
      <c r="BS184" s="41">
        <f t="shared" si="133"/>
        <v>0</v>
      </c>
      <c r="BT184" s="14"/>
      <c r="BU184" s="14"/>
      <c r="BV184" s="14"/>
      <c r="BW184" s="14"/>
      <c r="BX184" s="14"/>
      <c r="BY184" s="47"/>
      <c r="BZ184" s="14"/>
      <c r="CA184" s="14"/>
      <c r="CB184" s="21"/>
      <c r="CC184" s="21"/>
      <c r="CD184" s="180"/>
      <c r="CE184" s="181"/>
      <c r="CF184" s="31"/>
      <c r="CG184" s="52"/>
      <c r="CH184" s="52"/>
      <c r="CI184" s="99"/>
      <c r="CJ184" s="14"/>
      <c r="CK184" s="14"/>
      <c r="CL184" s="14"/>
      <c r="CM184" s="14"/>
      <c r="CN184" s="14"/>
      <c r="CO184" s="129"/>
      <c r="CP184" s="14"/>
      <c r="CQ184" s="47"/>
      <c r="CR184" s="14"/>
      <c r="CS184" s="14"/>
      <c r="CT184" s="14"/>
      <c r="CU184" s="14"/>
      <c r="CV184" s="180"/>
      <c r="CW184" s="190"/>
      <c r="CX184" s="191"/>
      <c r="CY184" s="52"/>
      <c r="CZ184" s="52"/>
      <c r="DA184" s="54"/>
      <c r="DB184" s="14"/>
      <c r="DC184" s="14"/>
      <c r="DD184" s="14"/>
      <c r="DE184" s="14"/>
      <c r="DF184" s="14"/>
      <c r="DG184" s="129"/>
      <c r="DH184" s="14"/>
      <c r="DI184" s="47"/>
      <c r="DJ184" s="14"/>
      <c r="DK184" s="62"/>
      <c r="DL184" s="19"/>
      <c r="DM184" s="59"/>
      <c r="DN184" s="14"/>
      <c r="DO184" s="14"/>
      <c r="DP184" s="107" t="s">
        <v>39</v>
      </c>
      <c r="DQ184" s="27">
        <f>COUNTIFS(S26_stakeholder_category,"PO",Response_Q156_1,DP184,Response_Q156_1,"&lt;&gt;0")</f>
        <v>0</v>
      </c>
      <c r="DR184" s="41">
        <f>IF(DQ185=0,"",DQ184/DQ185)</f>
        <v>0</v>
      </c>
      <c r="DS184" s="14"/>
      <c r="DT184" s="14"/>
      <c r="DU184" s="14"/>
      <c r="DV184" s="14"/>
      <c r="DW184" s="14"/>
      <c r="DX184" s="14"/>
      <c r="DY184" s="14"/>
      <c r="DZ184" s="14"/>
      <c r="EA184" s="14"/>
      <c r="EB184" s="14"/>
      <c r="EC184" s="14"/>
      <c r="ED184" s="14"/>
      <c r="EE184" s="14"/>
      <c r="EF184" s="14"/>
      <c r="EG184" s="14"/>
      <c r="EH184" s="14"/>
      <c r="EI184" s="14"/>
      <c r="EJ184" s="14"/>
      <c r="EK184" s="14"/>
      <c r="EL184" s="14"/>
    </row>
    <row r="185" spans="1:142" x14ac:dyDescent="0.25">
      <c r="A185" s="14"/>
      <c r="B185" s="62"/>
      <c r="C185" s="19"/>
      <c r="D185" s="59"/>
      <c r="E185" s="14"/>
      <c r="F185" s="14"/>
      <c r="G185" s="86" t="s">
        <v>145</v>
      </c>
      <c r="H185" s="111">
        <f>COUNTIFS(S26_stakeholder_category,"PO",Response_Q156_1,"&lt;&gt;0")</f>
        <v>2</v>
      </c>
      <c r="I185" s="119">
        <f t="shared" si="130"/>
        <v>1</v>
      </c>
      <c r="J185" s="14"/>
      <c r="K185" s="14"/>
      <c r="L185" s="14"/>
      <c r="M185" s="14"/>
      <c r="N185" s="14"/>
      <c r="O185" s="14"/>
      <c r="P185" s="14"/>
      <c r="Q185" s="47"/>
      <c r="R185" s="19"/>
      <c r="S185" s="62"/>
      <c r="T185" s="19"/>
      <c r="U185" s="59"/>
      <c r="V185" s="19"/>
      <c r="W185" s="14"/>
      <c r="X185" s="107" t="s">
        <v>54</v>
      </c>
      <c r="Y185" s="27">
        <f t="shared" si="125"/>
        <v>0</v>
      </c>
      <c r="Z185" s="41">
        <f t="shared" si="126"/>
        <v>0</v>
      </c>
      <c r="AA185" s="14"/>
      <c r="AB185" s="14"/>
      <c r="AC185" s="14"/>
      <c r="AD185" s="14"/>
      <c r="AE185" s="14"/>
      <c r="AF185" s="47"/>
      <c r="AG185" s="19"/>
      <c r="AH185" s="62"/>
      <c r="AI185" s="19"/>
      <c r="AJ185" s="59"/>
      <c r="AK185" s="19"/>
      <c r="AL185" s="14"/>
      <c r="AM185" s="107" t="s">
        <v>54</v>
      </c>
      <c r="AN185" s="27">
        <f t="shared" si="127"/>
        <v>0</v>
      </c>
      <c r="AO185" s="41">
        <f t="shared" si="131"/>
        <v>0</v>
      </c>
      <c r="AP185" s="14"/>
      <c r="AQ185" s="14"/>
      <c r="AR185" s="14"/>
      <c r="AS185" s="14"/>
      <c r="AT185" s="14"/>
      <c r="AU185" s="47"/>
      <c r="AV185" s="14"/>
      <c r="AW185" s="62"/>
      <c r="AX185" s="19"/>
      <c r="AY185" s="59"/>
      <c r="AZ185" s="19"/>
      <c r="BA185" s="14"/>
      <c r="BB185" s="107" t="s">
        <v>54</v>
      </c>
      <c r="BC185" s="27">
        <f t="shared" si="128"/>
        <v>0</v>
      </c>
      <c r="BD185" s="41">
        <f t="shared" si="132"/>
        <v>0</v>
      </c>
      <c r="BE185" s="14"/>
      <c r="BF185" s="14"/>
      <c r="BG185" s="14"/>
      <c r="BH185" s="14"/>
      <c r="BI185" s="14"/>
      <c r="BJ185" s="47"/>
      <c r="BK185" s="19"/>
      <c r="BL185" s="62"/>
      <c r="BM185" s="19"/>
      <c r="BN185" s="59"/>
      <c r="BO185" s="19"/>
      <c r="BP185" s="14"/>
      <c r="BQ185" s="107" t="s">
        <v>54</v>
      </c>
      <c r="BR185" s="27">
        <f t="shared" si="129"/>
        <v>0</v>
      </c>
      <c r="BS185" s="41">
        <f t="shared" si="133"/>
        <v>0</v>
      </c>
      <c r="BT185" s="14"/>
      <c r="BU185" s="14"/>
      <c r="BV185" s="14"/>
      <c r="BW185" s="14"/>
      <c r="BX185" s="14"/>
      <c r="BY185" s="47"/>
      <c r="BZ185" s="14"/>
      <c r="CA185" s="14"/>
      <c r="CB185" s="21"/>
      <c r="CC185" s="21"/>
      <c r="CD185" s="180"/>
      <c r="CE185" s="181"/>
      <c r="CF185" s="31"/>
      <c r="CG185" s="52"/>
      <c r="CH185" s="52"/>
      <c r="CI185" s="99"/>
      <c r="CJ185" s="14"/>
      <c r="CK185" s="14"/>
      <c r="CL185" s="14"/>
      <c r="CM185" s="14"/>
      <c r="CN185" s="14"/>
      <c r="CO185" s="129"/>
      <c r="CP185" s="14"/>
      <c r="CQ185" s="47"/>
      <c r="CR185" s="14"/>
      <c r="CS185" s="14"/>
      <c r="CT185" s="14"/>
      <c r="CU185" s="14"/>
      <c r="CV185" s="180"/>
      <c r="CW185" s="190"/>
      <c r="CX185" s="191"/>
      <c r="CY185" s="52"/>
      <c r="CZ185" s="52"/>
      <c r="DA185" s="54"/>
      <c r="DB185" s="14"/>
      <c r="DC185" s="14"/>
      <c r="DD185" s="14"/>
      <c r="DE185" s="14"/>
      <c r="DF185" s="14"/>
      <c r="DG185" s="129"/>
      <c r="DH185" s="14"/>
      <c r="DI185" s="47"/>
      <c r="DJ185" s="14"/>
      <c r="DK185" s="62"/>
      <c r="DL185" s="19"/>
      <c r="DM185" s="59"/>
      <c r="DN185" s="14"/>
      <c r="DO185" s="14"/>
      <c r="DP185" s="86" t="s">
        <v>145</v>
      </c>
      <c r="DQ185" s="111">
        <f>COUNTIFS(S26_stakeholder_category,"PO",Response_Q156_1,"&lt;&gt;0",Response_Q156_1,"&lt;&gt;0")</f>
        <v>2</v>
      </c>
      <c r="DR185" s="119">
        <f>IF(DQ185=0,"",DQ185/DQ185)</f>
        <v>1</v>
      </c>
      <c r="DS185" s="14"/>
      <c r="DT185" s="14"/>
      <c r="DU185" s="14"/>
      <c r="DV185" s="14"/>
      <c r="DW185" s="14"/>
      <c r="DX185" s="14"/>
      <c r="DY185" s="14"/>
      <c r="DZ185" s="14"/>
      <c r="EA185" s="14"/>
      <c r="EB185" s="14"/>
      <c r="EC185" s="14"/>
      <c r="ED185" s="14"/>
      <c r="EE185" s="14"/>
      <c r="EF185" s="14"/>
      <c r="EG185" s="14"/>
      <c r="EH185" s="14"/>
      <c r="EI185" s="14"/>
      <c r="EJ185" s="14"/>
      <c r="EK185" s="14"/>
      <c r="EL185" s="14"/>
    </row>
    <row r="186" spans="1:142" x14ac:dyDescent="0.25">
      <c r="A186" s="14"/>
      <c r="B186" s="62"/>
      <c r="C186" s="19"/>
      <c r="D186" s="59"/>
      <c r="E186" s="14"/>
      <c r="F186" s="14"/>
      <c r="G186" s="14"/>
      <c r="H186" s="21"/>
      <c r="I186" s="21"/>
      <c r="J186" s="14"/>
      <c r="K186" s="14"/>
      <c r="L186" s="14"/>
      <c r="M186" s="14"/>
      <c r="N186" s="14"/>
      <c r="O186" s="14"/>
      <c r="P186" s="14"/>
      <c r="Q186" s="47"/>
      <c r="R186" s="19"/>
      <c r="S186" s="62"/>
      <c r="T186" s="19"/>
      <c r="U186" s="59"/>
      <c r="V186" s="19"/>
      <c r="W186" s="14"/>
      <c r="X186" s="107" t="s">
        <v>39</v>
      </c>
      <c r="Y186" s="27">
        <f t="shared" si="125"/>
        <v>0</v>
      </c>
      <c r="Z186" s="41">
        <f t="shared" si="126"/>
        <v>0</v>
      </c>
      <c r="AA186" s="14"/>
      <c r="AB186" s="14"/>
      <c r="AC186" s="14"/>
      <c r="AD186" s="14"/>
      <c r="AE186" s="14"/>
      <c r="AF186" s="47"/>
      <c r="AG186" s="19"/>
      <c r="AH186" s="62"/>
      <c r="AI186" s="19"/>
      <c r="AJ186" s="59"/>
      <c r="AK186" s="19"/>
      <c r="AL186" s="14"/>
      <c r="AM186" s="107" t="s">
        <v>39</v>
      </c>
      <c r="AN186" s="27">
        <f t="shared" si="127"/>
        <v>0</v>
      </c>
      <c r="AO186" s="41">
        <f t="shared" si="131"/>
        <v>0</v>
      </c>
      <c r="AP186" s="14"/>
      <c r="AQ186" s="14"/>
      <c r="AR186" s="14"/>
      <c r="AS186" s="14"/>
      <c r="AT186" s="14"/>
      <c r="AU186" s="47"/>
      <c r="AV186" s="14"/>
      <c r="AW186" s="62"/>
      <c r="AX186" s="19"/>
      <c r="AY186" s="59"/>
      <c r="AZ186" s="19"/>
      <c r="BA186" s="14"/>
      <c r="BB186" s="107" t="s">
        <v>39</v>
      </c>
      <c r="BC186" s="27">
        <f t="shared" si="128"/>
        <v>0</v>
      </c>
      <c r="BD186" s="41">
        <f t="shared" si="132"/>
        <v>0</v>
      </c>
      <c r="BE186" s="14"/>
      <c r="BF186" s="14"/>
      <c r="BG186" s="14"/>
      <c r="BH186" s="14"/>
      <c r="BI186" s="14"/>
      <c r="BJ186" s="47"/>
      <c r="BK186" s="19"/>
      <c r="BL186" s="62"/>
      <c r="BM186" s="19"/>
      <c r="BN186" s="59"/>
      <c r="BO186" s="19"/>
      <c r="BP186" s="14"/>
      <c r="BQ186" s="107" t="s">
        <v>39</v>
      </c>
      <c r="BR186" s="27">
        <f t="shared" si="129"/>
        <v>0</v>
      </c>
      <c r="BS186" s="41">
        <f t="shared" si="133"/>
        <v>0</v>
      </c>
      <c r="BT186" s="14"/>
      <c r="BU186" s="14"/>
      <c r="BV186" s="14"/>
      <c r="BW186" s="14"/>
      <c r="BX186" s="14"/>
      <c r="BY186" s="47"/>
      <c r="BZ186" s="14"/>
      <c r="CA186" s="14"/>
      <c r="CB186" s="21"/>
      <c r="CC186" s="21"/>
      <c r="CD186" s="180"/>
      <c r="CE186" s="181"/>
      <c r="CF186" s="31"/>
      <c r="CG186" s="52"/>
      <c r="CH186" s="52"/>
      <c r="CI186" s="99"/>
      <c r="CJ186" s="14"/>
      <c r="CK186" s="14"/>
      <c r="CL186" s="14"/>
      <c r="CM186" s="14"/>
      <c r="CN186" s="14"/>
      <c r="CO186" s="129"/>
      <c r="CP186" s="14"/>
      <c r="CQ186" s="47"/>
      <c r="CR186" s="14"/>
      <c r="CS186" s="14"/>
      <c r="CT186" s="14"/>
      <c r="CU186" s="14"/>
      <c r="CV186" s="180"/>
      <c r="CW186" s="190"/>
      <c r="CX186" s="191"/>
      <c r="CY186" s="52"/>
      <c r="CZ186" s="52"/>
      <c r="DA186" s="54"/>
      <c r="DB186" s="14"/>
      <c r="DC186" s="14"/>
      <c r="DD186" s="14"/>
      <c r="DE186" s="14"/>
      <c r="DF186" s="14"/>
      <c r="DG186" s="129"/>
      <c r="DH186" s="14"/>
      <c r="DI186" s="47"/>
      <c r="DJ186" s="14"/>
      <c r="DK186" s="62"/>
      <c r="DL186" s="19"/>
      <c r="DM186" s="59"/>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row>
    <row r="187" spans="1:142" x14ac:dyDescent="0.25">
      <c r="A187" s="14"/>
      <c r="B187" s="62"/>
      <c r="C187" s="19"/>
      <c r="D187" s="59"/>
      <c r="E187" s="14"/>
      <c r="F187" s="14"/>
      <c r="G187" s="14"/>
      <c r="H187" s="21"/>
      <c r="I187" s="21"/>
      <c r="J187" s="14"/>
      <c r="K187" s="14"/>
      <c r="L187" s="14"/>
      <c r="M187" s="14"/>
      <c r="N187" s="14"/>
      <c r="O187" s="14"/>
      <c r="P187" s="14"/>
      <c r="Q187" s="47"/>
      <c r="R187" s="19"/>
      <c r="S187" s="62"/>
      <c r="T187" s="19"/>
      <c r="U187" s="59"/>
      <c r="V187" s="19"/>
      <c r="W187" s="14"/>
      <c r="X187" s="86" t="s">
        <v>145</v>
      </c>
      <c r="Y187" s="111">
        <f>COUNTIFS(S26_stakeholder_category,"PO",Response_Q160_1,"&lt;&gt;0")</f>
        <v>0</v>
      </c>
      <c r="Z187" s="119">
        <f>SUM(Z180:Z186)</f>
        <v>0</v>
      </c>
      <c r="AA187" s="14"/>
      <c r="AB187" s="14"/>
      <c r="AC187" s="14"/>
      <c r="AD187" s="14"/>
      <c r="AE187" s="14"/>
      <c r="AF187" s="47"/>
      <c r="AG187" s="19"/>
      <c r="AH187" s="62"/>
      <c r="AI187" s="19"/>
      <c r="AJ187" s="59"/>
      <c r="AK187" s="19"/>
      <c r="AL187" s="14"/>
      <c r="AM187" s="86" t="s">
        <v>145</v>
      </c>
      <c r="AN187" s="111">
        <f>COUNTIFS(S26_stakeholder_category,"PO",Response_26_CaseA,"&lt;&gt;0")</f>
        <v>0</v>
      </c>
      <c r="AO187" s="119">
        <f>SUM(AO180:AO186)</f>
        <v>0</v>
      </c>
      <c r="AP187" s="14"/>
      <c r="AQ187" s="14"/>
      <c r="AR187" s="14"/>
      <c r="AS187" s="14"/>
      <c r="AT187" s="14"/>
      <c r="AU187" s="47"/>
      <c r="AV187" s="14"/>
      <c r="AW187" s="62"/>
      <c r="AX187" s="19"/>
      <c r="AY187" s="59"/>
      <c r="AZ187" s="19"/>
      <c r="BA187" s="14"/>
      <c r="BB187" s="86" t="s">
        <v>145</v>
      </c>
      <c r="BC187" s="111">
        <f>COUNTIFS(S26_stakeholder_category,"PO",Response_26_CaseB,"&lt;&gt;0")</f>
        <v>0</v>
      </c>
      <c r="BD187" s="119">
        <f>SUM(BD180:BD186)</f>
        <v>0</v>
      </c>
      <c r="BE187" s="14"/>
      <c r="BF187" s="14"/>
      <c r="BG187" s="14"/>
      <c r="BH187" s="14"/>
      <c r="BI187" s="14"/>
      <c r="BJ187" s="47"/>
      <c r="BK187" s="19"/>
      <c r="BL187" s="62"/>
      <c r="BM187" s="19"/>
      <c r="BN187" s="59"/>
      <c r="BO187" s="19"/>
      <c r="BP187" s="14"/>
      <c r="BQ187" s="86" t="s">
        <v>145</v>
      </c>
      <c r="BR187" s="111">
        <f>COUNTIFS(S26_stakeholder_category,"PO",Response_26_CaseC,"&lt;&gt;0")</f>
        <v>0</v>
      </c>
      <c r="BS187" s="119">
        <f>SUM(BS180:BS186)</f>
        <v>0</v>
      </c>
      <c r="BT187" s="14"/>
      <c r="BU187" s="14"/>
      <c r="BV187" s="14"/>
      <c r="BW187" s="14"/>
      <c r="BX187" s="14"/>
      <c r="BY187" s="47"/>
      <c r="BZ187" s="14"/>
      <c r="CA187" s="14"/>
      <c r="CB187" s="21"/>
      <c r="CC187" s="21"/>
      <c r="CD187" s="180"/>
      <c r="CE187" s="181"/>
      <c r="CF187" s="31"/>
      <c r="CG187" s="52"/>
      <c r="CH187" s="52"/>
      <c r="CI187" s="99"/>
      <c r="CJ187" s="14"/>
      <c r="CK187" s="14"/>
      <c r="CL187" s="14"/>
      <c r="CM187" s="14"/>
      <c r="CN187" s="14"/>
      <c r="CO187" s="129"/>
      <c r="CP187" s="14"/>
      <c r="CQ187" s="47"/>
      <c r="CR187" s="14"/>
      <c r="CS187" s="14"/>
      <c r="CT187" s="14"/>
      <c r="CU187" s="14"/>
      <c r="CV187" s="180"/>
      <c r="CW187" s="190"/>
      <c r="CX187" s="191"/>
      <c r="CY187" s="52"/>
      <c r="CZ187" s="52"/>
      <c r="DA187" s="54"/>
      <c r="DB187" s="14"/>
      <c r="DC187" s="14"/>
      <c r="DD187" s="14"/>
      <c r="DE187" s="14"/>
      <c r="DF187" s="14"/>
      <c r="DG187" s="129"/>
      <c r="DH187" s="14"/>
      <c r="DI187" s="47"/>
      <c r="DJ187" s="14"/>
      <c r="DK187" s="62"/>
      <c r="DL187" s="19"/>
      <c r="DM187" s="59"/>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row>
    <row r="188" spans="1:142" s="135" customFormat="1" ht="15" customHeight="1" x14ac:dyDescent="0.25">
      <c r="A188" s="14"/>
      <c r="B188" s="13"/>
      <c r="C188" s="13"/>
      <c r="D188" s="21"/>
      <c r="E188" s="14"/>
      <c r="F188" s="14"/>
      <c r="G188" s="14"/>
      <c r="H188" s="21"/>
      <c r="I188" s="21"/>
      <c r="J188" s="14"/>
      <c r="K188" s="14"/>
      <c r="L188" s="14"/>
      <c r="M188" s="14"/>
      <c r="N188" s="14"/>
      <c r="O188" s="14"/>
      <c r="P188" s="14"/>
      <c r="Q188" s="47"/>
      <c r="R188" s="19"/>
      <c r="S188" s="13"/>
      <c r="T188" s="13"/>
      <c r="U188" s="21"/>
      <c r="V188" s="14"/>
      <c r="W188" s="14"/>
      <c r="X188" s="14"/>
      <c r="Y188" s="14"/>
      <c r="Z188" s="14"/>
      <c r="AA188" s="14"/>
      <c r="AB188" s="14"/>
      <c r="AC188" s="14"/>
      <c r="AD188" s="14"/>
      <c r="AE188" s="14"/>
      <c r="AF188" s="47"/>
      <c r="AG188" s="19"/>
      <c r="AH188" s="13"/>
      <c r="AI188" s="13"/>
      <c r="AJ188" s="21"/>
      <c r="AK188" s="14"/>
      <c r="AL188" s="14"/>
      <c r="AM188" s="14"/>
      <c r="AN188" s="14"/>
      <c r="AO188" s="14"/>
      <c r="AP188" s="14"/>
      <c r="AQ188" s="14"/>
      <c r="AR188" s="14"/>
      <c r="AS188" s="14"/>
      <c r="AT188" s="14"/>
      <c r="AU188" s="47"/>
      <c r="AV188" s="14"/>
      <c r="AW188" s="13"/>
      <c r="AX188" s="13"/>
      <c r="AY188" s="21"/>
      <c r="AZ188" s="14"/>
      <c r="BA188" s="14"/>
      <c r="BB188" s="14"/>
      <c r="BC188" s="14"/>
      <c r="BD188" s="14"/>
      <c r="BE188" s="14"/>
      <c r="BF188" s="14"/>
      <c r="BG188" s="14"/>
      <c r="BH188" s="14"/>
      <c r="BI188" s="14"/>
      <c r="BJ188" s="47"/>
      <c r="BK188" s="19"/>
      <c r="BL188" s="13"/>
      <c r="BM188" s="13"/>
      <c r="BN188" s="21"/>
      <c r="BO188" s="14"/>
      <c r="BP188" s="14"/>
      <c r="BQ188" s="14"/>
      <c r="BR188" s="14"/>
      <c r="BS188" s="14"/>
      <c r="BT188" s="14"/>
      <c r="BU188" s="14"/>
      <c r="BV188" s="14"/>
      <c r="BW188" s="14"/>
      <c r="BX188" s="14"/>
      <c r="BY188" s="47"/>
      <c r="BZ188" s="14"/>
      <c r="CA188" s="14"/>
      <c r="CB188" s="21"/>
      <c r="CC188" s="21"/>
      <c r="CD188" s="180"/>
      <c r="CE188" s="181"/>
      <c r="CF188" s="31"/>
      <c r="CG188" s="31"/>
      <c r="CH188" s="31"/>
      <c r="CI188" s="14"/>
      <c r="CJ188" s="14"/>
      <c r="CK188" s="14"/>
      <c r="CL188" s="14"/>
      <c r="CM188" s="14"/>
      <c r="CN188" s="14"/>
      <c r="CO188" s="129"/>
      <c r="CP188" s="14"/>
      <c r="CQ188" s="47"/>
      <c r="CR188" s="14"/>
      <c r="CS188" s="14"/>
      <c r="CT188" s="14"/>
      <c r="CU188" s="14"/>
      <c r="CV188" s="180"/>
      <c r="CW188" s="190"/>
      <c r="CX188" s="191"/>
      <c r="CY188" s="31"/>
      <c r="CZ188" s="31"/>
      <c r="DA188" s="14"/>
      <c r="DB188" s="14"/>
      <c r="DC188" s="14"/>
      <c r="DD188" s="14"/>
      <c r="DE188" s="14"/>
      <c r="DF188" s="14"/>
      <c r="DG188" s="129"/>
      <c r="DH188" s="14"/>
      <c r="DI188" s="47"/>
      <c r="DJ188" s="14"/>
      <c r="DK188" s="13"/>
      <c r="DL188" s="13"/>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row>
    <row r="189" spans="1:142" s="131" customFormat="1" x14ac:dyDescent="0.25">
      <c r="A189" s="78"/>
      <c r="B189" s="78" t="s">
        <v>154</v>
      </c>
      <c r="C189" s="78" t="s">
        <v>116</v>
      </c>
      <c r="D189" s="79"/>
      <c r="E189" s="78"/>
      <c r="F189" s="78"/>
      <c r="G189" s="78"/>
      <c r="H189" s="79"/>
      <c r="I189" s="79"/>
      <c r="J189" s="78"/>
      <c r="K189" s="78"/>
      <c r="L189" s="78"/>
      <c r="M189" s="78"/>
      <c r="N189" s="78"/>
      <c r="O189" s="78"/>
      <c r="P189" s="78"/>
      <c r="Q189" s="82"/>
      <c r="R189" s="83"/>
      <c r="S189" s="78" t="str">
        <f>$B189</f>
        <v>NGOs</v>
      </c>
      <c r="T189" s="78"/>
      <c r="U189" s="78"/>
      <c r="V189" s="78"/>
      <c r="W189" s="78"/>
      <c r="X189" s="78"/>
      <c r="Y189" s="78"/>
      <c r="Z189" s="78"/>
      <c r="AA189" s="78"/>
      <c r="AB189" s="78"/>
      <c r="AC189" s="78"/>
      <c r="AD189" s="78"/>
      <c r="AE189" s="78"/>
      <c r="AF189" s="82"/>
      <c r="AG189" s="83"/>
      <c r="AH189" s="78" t="str">
        <f>$B189</f>
        <v>NGOs</v>
      </c>
      <c r="AI189" s="78"/>
      <c r="AJ189" s="78"/>
      <c r="AK189" s="78"/>
      <c r="AL189" s="78"/>
      <c r="AM189" s="78"/>
      <c r="AN189" s="78"/>
      <c r="AO189" s="78"/>
      <c r="AP189" s="78"/>
      <c r="AQ189" s="78"/>
      <c r="AR189" s="78"/>
      <c r="AS189" s="78"/>
      <c r="AT189" s="78"/>
      <c r="AU189" s="82"/>
      <c r="AV189" s="78"/>
      <c r="AW189" s="78" t="str">
        <f>$B189</f>
        <v>NGOs</v>
      </c>
      <c r="AX189" s="78"/>
      <c r="AY189" s="78"/>
      <c r="AZ189" s="78"/>
      <c r="BA189" s="78"/>
      <c r="BB189" s="78"/>
      <c r="BC189" s="78"/>
      <c r="BD189" s="78"/>
      <c r="BE189" s="78"/>
      <c r="BF189" s="78"/>
      <c r="BG189" s="78"/>
      <c r="BH189" s="78"/>
      <c r="BI189" s="78"/>
      <c r="BJ189" s="82"/>
      <c r="BK189" s="83"/>
      <c r="BL189" s="78" t="str">
        <f>$B189</f>
        <v>NGOs</v>
      </c>
      <c r="BM189" s="78"/>
      <c r="BN189" s="78"/>
      <c r="BO189" s="78"/>
      <c r="BP189" s="78"/>
      <c r="BQ189" s="78"/>
      <c r="BR189" s="78"/>
      <c r="BS189" s="78"/>
      <c r="BT189" s="78"/>
      <c r="BU189" s="78"/>
      <c r="BV189" s="78"/>
      <c r="BW189" s="78"/>
      <c r="BX189" s="78"/>
      <c r="BY189" s="82"/>
      <c r="BZ189" s="78"/>
      <c r="CA189" s="78" t="str">
        <f>$B189</f>
        <v>NGOs</v>
      </c>
      <c r="CB189" s="79"/>
      <c r="CC189" s="79"/>
      <c r="CD189" s="182"/>
      <c r="CE189" s="182"/>
      <c r="CF189" s="79"/>
      <c r="CG189" s="78"/>
      <c r="CH189" s="78"/>
      <c r="CI189" s="78"/>
      <c r="CJ189" s="78"/>
      <c r="CK189" s="78"/>
      <c r="CL189" s="78"/>
      <c r="CM189" s="78"/>
      <c r="CN189" s="78"/>
      <c r="CO189" s="78"/>
      <c r="CP189" s="78"/>
      <c r="CQ189" s="82"/>
      <c r="CR189" s="78"/>
      <c r="CS189" s="78" t="str">
        <f>$B189</f>
        <v>NGOs</v>
      </c>
      <c r="CT189" s="78"/>
      <c r="CU189" s="78"/>
      <c r="CV189" s="182"/>
      <c r="CW189" s="192"/>
      <c r="CX189" s="192"/>
      <c r="CY189" s="78"/>
      <c r="CZ189" s="78"/>
      <c r="DA189" s="78"/>
      <c r="DB189" s="78"/>
      <c r="DC189" s="78"/>
      <c r="DD189" s="78"/>
      <c r="DE189" s="78"/>
      <c r="DF189" s="78"/>
      <c r="DG189" s="78"/>
      <c r="DH189" s="78"/>
      <c r="DI189" s="82"/>
      <c r="DJ189" s="78"/>
      <c r="DK189" s="78" t="str">
        <f>$B189</f>
        <v>NGOs</v>
      </c>
      <c r="DL189" s="78"/>
      <c r="DM189" s="78"/>
      <c r="DN189" s="78"/>
      <c r="DO189" s="78"/>
      <c r="DP189" s="78"/>
      <c r="DQ189" s="78"/>
      <c r="DR189" s="78"/>
      <c r="DS189" s="78"/>
      <c r="DT189" s="78"/>
      <c r="DU189" s="78"/>
      <c r="DV189" s="78"/>
      <c r="DW189" s="78"/>
      <c r="DX189" s="78"/>
      <c r="DY189" s="78"/>
      <c r="DZ189" s="78"/>
      <c r="EA189" s="78"/>
      <c r="EB189" s="78"/>
      <c r="EC189" s="78"/>
      <c r="ED189" s="78"/>
      <c r="EE189" s="78"/>
      <c r="EF189" s="78"/>
      <c r="EG189" s="78"/>
      <c r="EH189" s="78"/>
      <c r="EI189" s="78"/>
      <c r="EJ189" s="78"/>
      <c r="EK189" s="78"/>
      <c r="EL189" s="78"/>
    </row>
    <row r="190" spans="1:142" x14ac:dyDescent="0.25">
      <c r="A190" s="14"/>
      <c r="B190" s="84" t="s">
        <v>301</v>
      </c>
      <c r="C190" s="84"/>
      <c r="D190" s="85"/>
      <c r="E190" s="84"/>
      <c r="F190" s="14"/>
      <c r="G190" s="14"/>
      <c r="H190" s="21"/>
      <c r="I190" s="21"/>
      <c r="J190" s="14"/>
      <c r="K190" s="14"/>
      <c r="L190" s="14"/>
      <c r="M190" s="14"/>
      <c r="N190" s="14"/>
      <c r="O190" s="14"/>
      <c r="P190" s="14"/>
      <c r="Q190" s="47"/>
      <c r="R190" s="19"/>
      <c r="S190" s="84" t="s">
        <v>322</v>
      </c>
      <c r="T190" s="84"/>
      <c r="U190" s="85"/>
      <c r="V190" s="84"/>
      <c r="W190" s="14"/>
      <c r="X190" s="14"/>
      <c r="Y190" s="14"/>
      <c r="Z190" s="14"/>
      <c r="AA190" s="14"/>
      <c r="AB190" s="14"/>
      <c r="AC190" s="14"/>
      <c r="AD190" s="14"/>
      <c r="AE190" s="14"/>
      <c r="AF190" s="47"/>
      <c r="AG190" s="19"/>
      <c r="AH190" s="84" t="s">
        <v>328</v>
      </c>
      <c r="AI190" s="84"/>
      <c r="AJ190" s="85"/>
      <c r="AK190" s="84"/>
      <c r="AL190" s="84"/>
      <c r="AM190" s="14"/>
      <c r="AN190" s="14"/>
      <c r="AO190" s="14"/>
      <c r="AP190" s="14"/>
      <c r="AQ190" s="14"/>
      <c r="AR190" s="14"/>
      <c r="AS190" s="14"/>
      <c r="AT190" s="14"/>
      <c r="AU190" s="47"/>
      <c r="AV190" s="14"/>
      <c r="AW190" s="84" t="s">
        <v>347</v>
      </c>
      <c r="AX190" s="84"/>
      <c r="AY190" s="85"/>
      <c r="AZ190" s="84"/>
      <c r="BA190" s="84"/>
      <c r="BB190" s="14"/>
      <c r="BC190" s="14"/>
      <c r="BD190" s="14"/>
      <c r="BE190" s="14"/>
      <c r="BF190" s="14"/>
      <c r="BG190" s="14"/>
      <c r="BH190" s="14"/>
      <c r="BI190" s="14"/>
      <c r="BJ190" s="47"/>
      <c r="BK190" s="19"/>
      <c r="BL190" s="84" t="s">
        <v>348</v>
      </c>
      <c r="BM190" s="84"/>
      <c r="BN190" s="85"/>
      <c r="BO190" s="84"/>
      <c r="BP190" s="84"/>
      <c r="BQ190" s="14"/>
      <c r="BR190" s="14"/>
      <c r="BS190" s="14"/>
      <c r="BT190" s="14"/>
      <c r="BU190" s="14"/>
      <c r="BV190" s="14"/>
      <c r="BW190" s="14"/>
      <c r="BX190" s="14"/>
      <c r="BY190" s="47"/>
      <c r="BZ190" s="14"/>
      <c r="CA190" s="148" t="s">
        <v>303</v>
      </c>
      <c r="CB190" s="85"/>
      <c r="CC190" s="85"/>
      <c r="CD190" s="185"/>
      <c r="CE190" s="185"/>
      <c r="CF190" s="147"/>
      <c r="CG190" s="14"/>
      <c r="CH190" s="14"/>
      <c r="CI190" s="14"/>
      <c r="CJ190" s="14"/>
      <c r="CK190" s="14"/>
      <c r="CL190" s="14"/>
      <c r="CM190" s="14"/>
      <c r="CN190" s="14"/>
      <c r="CO190" s="129"/>
      <c r="CP190" s="14"/>
      <c r="CQ190" s="47"/>
      <c r="CR190" s="14"/>
      <c r="CS190" s="148" t="s">
        <v>304</v>
      </c>
      <c r="CT190" s="84"/>
      <c r="CU190" s="85"/>
      <c r="CV190" s="185"/>
      <c r="CW190" s="193"/>
      <c r="CX190" s="193"/>
      <c r="CY190" s="14"/>
      <c r="CZ190" s="14"/>
      <c r="DA190" s="14"/>
      <c r="DB190" s="14"/>
      <c r="DC190" s="14"/>
      <c r="DD190" s="14"/>
      <c r="DE190" s="14"/>
      <c r="DF190" s="14"/>
      <c r="DG190" s="129"/>
      <c r="DH190" s="14"/>
      <c r="DI190" s="47"/>
      <c r="DJ190" s="14"/>
      <c r="DK190" s="84" t="s">
        <v>305</v>
      </c>
      <c r="DL190" s="84"/>
      <c r="DM190" s="85"/>
      <c r="DN190" s="8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row>
    <row r="191" spans="1:142" x14ac:dyDescent="0.25">
      <c r="A191" s="14"/>
      <c r="B191" s="14"/>
      <c r="C191" s="14"/>
      <c r="D191" s="15"/>
      <c r="E191" s="14"/>
      <c r="F191" s="14"/>
      <c r="G191" s="14"/>
      <c r="H191" s="21"/>
      <c r="I191" s="21"/>
      <c r="J191" s="14"/>
      <c r="K191" s="19"/>
      <c r="L191" s="14"/>
      <c r="M191" s="14"/>
      <c r="N191" s="14"/>
      <c r="O191" s="14"/>
      <c r="P191" s="14"/>
      <c r="Q191" s="47"/>
      <c r="R191" s="19"/>
      <c r="S191" s="14"/>
      <c r="T191" s="14"/>
      <c r="U191" s="15"/>
      <c r="V191" s="14"/>
      <c r="W191" s="14"/>
      <c r="X191" s="14"/>
      <c r="Y191" s="14"/>
      <c r="Z191" s="14"/>
      <c r="AA191" s="14"/>
      <c r="AB191" s="14"/>
      <c r="AC191" s="14"/>
      <c r="AD191" s="14"/>
      <c r="AE191" s="14"/>
      <c r="AF191" s="47"/>
      <c r="AG191" s="19"/>
      <c r="AH191" s="14"/>
      <c r="AI191" s="14"/>
      <c r="AJ191" s="15"/>
      <c r="AK191" s="14"/>
      <c r="AL191" s="14"/>
      <c r="AM191" s="14"/>
      <c r="AN191" s="14"/>
      <c r="AO191" s="14"/>
      <c r="AP191" s="14"/>
      <c r="AQ191" s="14"/>
      <c r="AR191" s="14"/>
      <c r="AS191" s="14"/>
      <c r="AT191" s="14"/>
      <c r="AU191" s="47"/>
      <c r="AV191" s="14"/>
      <c r="AW191" s="14"/>
      <c r="AX191" s="14"/>
      <c r="AY191" s="15"/>
      <c r="AZ191" s="14"/>
      <c r="BA191" s="14"/>
      <c r="BB191" s="14"/>
      <c r="BC191" s="14"/>
      <c r="BD191" s="14"/>
      <c r="BE191" s="14"/>
      <c r="BF191" s="14"/>
      <c r="BG191" s="14"/>
      <c r="BH191" s="14"/>
      <c r="BI191" s="14"/>
      <c r="BJ191" s="47"/>
      <c r="BK191" s="19"/>
      <c r="BL191" s="14"/>
      <c r="BM191" s="14"/>
      <c r="BN191" s="15"/>
      <c r="BO191" s="14"/>
      <c r="BP191" s="14"/>
      <c r="BQ191" s="14"/>
      <c r="BR191" s="14"/>
      <c r="BS191" s="14"/>
      <c r="BT191" s="14"/>
      <c r="BU191" s="14"/>
      <c r="BV191" s="14"/>
      <c r="BW191" s="14"/>
      <c r="BX191" s="14"/>
      <c r="BY191" s="47"/>
      <c r="BZ191" s="14"/>
      <c r="CA191" s="14"/>
      <c r="CB191" s="21"/>
      <c r="CC191" s="21"/>
      <c r="CD191" s="180"/>
      <c r="CE191" s="180"/>
      <c r="CF191" s="21"/>
      <c r="CG191" s="14"/>
      <c r="CH191" s="14"/>
      <c r="CI191" s="14"/>
      <c r="CJ191" s="14"/>
      <c r="CK191" s="14"/>
      <c r="CL191" s="14"/>
      <c r="CM191" s="14"/>
      <c r="CN191" s="14"/>
      <c r="CO191" s="129"/>
      <c r="CP191" s="14"/>
      <c r="CQ191" s="47"/>
      <c r="CR191" s="14"/>
      <c r="CS191" s="14"/>
      <c r="CT191" s="14"/>
      <c r="CU191" s="14"/>
      <c r="CV191" s="180"/>
      <c r="CW191" s="189"/>
      <c r="CX191" s="189"/>
      <c r="CY191" s="14"/>
      <c r="CZ191" s="14"/>
      <c r="DA191" s="14"/>
      <c r="DB191" s="14"/>
      <c r="DC191" s="14"/>
      <c r="DD191" s="14"/>
      <c r="DE191" s="14"/>
      <c r="DF191" s="14"/>
      <c r="DG191" s="129"/>
      <c r="DH191" s="14"/>
      <c r="DI191" s="47"/>
      <c r="DJ191" s="14"/>
      <c r="DK191" s="14"/>
      <c r="DL191" s="14"/>
      <c r="DM191" s="15"/>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row>
    <row r="192" spans="1:142" ht="27.6" x14ac:dyDescent="0.25">
      <c r="A192" s="14"/>
      <c r="B192" s="112" t="s">
        <v>23</v>
      </c>
      <c r="C192" s="113" t="s">
        <v>24</v>
      </c>
      <c r="D192" s="113" t="s">
        <v>145</v>
      </c>
      <c r="E192" s="113" t="s">
        <v>300</v>
      </c>
      <c r="F192" s="14"/>
      <c r="G192" s="14"/>
      <c r="H192" s="21"/>
      <c r="I192" s="21"/>
      <c r="J192" s="14"/>
      <c r="K192" s="19"/>
      <c r="L192" s="51"/>
      <c r="M192" s="51"/>
      <c r="N192" s="51"/>
      <c r="O192" s="51"/>
      <c r="P192" s="51"/>
      <c r="Q192" s="47"/>
      <c r="R192" s="19"/>
      <c r="S192" s="112" t="s">
        <v>23</v>
      </c>
      <c r="T192" s="113" t="s">
        <v>24</v>
      </c>
      <c r="U192" s="113" t="s">
        <v>145</v>
      </c>
      <c r="V192" s="113" t="s">
        <v>300</v>
      </c>
      <c r="W192" s="14"/>
      <c r="X192" s="14"/>
      <c r="Y192" s="14"/>
      <c r="Z192" s="14"/>
      <c r="AA192" s="56"/>
      <c r="AB192" s="56"/>
      <c r="AC192" s="56"/>
      <c r="AD192" s="56"/>
      <c r="AE192" s="56"/>
      <c r="AF192" s="47"/>
      <c r="AG192" s="19"/>
      <c r="AH192" s="112" t="s">
        <v>23</v>
      </c>
      <c r="AI192" s="113" t="s">
        <v>24</v>
      </c>
      <c r="AJ192" s="113" t="s">
        <v>145</v>
      </c>
      <c r="AK192" s="113" t="s">
        <v>300</v>
      </c>
      <c r="AL192" s="14"/>
      <c r="AM192" s="14"/>
      <c r="AN192" s="14"/>
      <c r="AO192" s="14"/>
      <c r="AP192" s="56"/>
      <c r="AQ192" s="56"/>
      <c r="AR192" s="56"/>
      <c r="AS192" s="56"/>
      <c r="AT192" s="56"/>
      <c r="AU192" s="47"/>
      <c r="AV192" s="14"/>
      <c r="AW192" s="112" t="s">
        <v>23</v>
      </c>
      <c r="AX192" s="113" t="s">
        <v>24</v>
      </c>
      <c r="AY192" s="113" t="s">
        <v>145</v>
      </c>
      <c r="AZ192" s="113" t="s">
        <v>300</v>
      </c>
      <c r="BA192" s="14"/>
      <c r="BB192" s="14"/>
      <c r="BC192" s="14"/>
      <c r="BD192" s="14"/>
      <c r="BE192" s="56"/>
      <c r="BF192" s="56"/>
      <c r="BG192" s="56"/>
      <c r="BH192" s="56"/>
      <c r="BI192" s="56"/>
      <c r="BJ192" s="47"/>
      <c r="BK192" s="19"/>
      <c r="BL192" s="112" t="s">
        <v>23</v>
      </c>
      <c r="BM192" s="113" t="s">
        <v>24</v>
      </c>
      <c r="BN192" s="113" t="s">
        <v>145</v>
      </c>
      <c r="BO192" s="113" t="s">
        <v>300</v>
      </c>
      <c r="BP192" s="14"/>
      <c r="BQ192" s="14"/>
      <c r="BR192" s="14"/>
      <c r="BS192" s="14"/>
      <c r="BT192" s="56"/>
      <c r="BU192" s="56"/>
      <c r="BV192" s="56"/>
      <c r="BW192" s="56"/>
      <c r="BX192" s="56"/>
      <c r="BY192" s="47"/>
      <c r="BZ192" s="14"/>
      <c r="CA192" s="112" t="s">
        <v>23</v>
      </c>
      <c r="CB192" s="113" t="s">
        <v>145</v>
      </c>
      <c r="CC192" s="21"/>
      <c r="CD192" s="180"/>
      <c r="CE192" s="180"/>
      <c r="CF192" s="21"/>
      <c r="CG192" s="14"/>
      <c r="CH192" s="14"/>
      <c r="CI192" s="14"/>
      <c r="CJ192" s="14"/>
      <c r="CK192" s="14"/>
      <c r="CL192" s="14"/>
      <c r="CM192" s="14"/>
      <c r="CN192" s="14"/>
      <c r="CO192" s="129"/>
      <c r="CP192" s="17"/>
      <c r="CQ192" s="47"/>
      <c r="CR192" s="14"/>
      <c r="CS192" s="112" t="s">
        <v>23</v>
      </c>
      <c r="CT192" s="113" t="s">
        <v>145</v>
      </c>
      <c r="CU192" s="14"/>
      <c r="CV192" s="180"/>
      <c r="CW192" s="189"/>
      <c r="CX192" s="189"/>
      <c r="CY192" s="14"/>
      <c r="CZ192" s="14"/>
      <c r="DA192" s="14"/>
      <c r="DB192" s="14"/>
      <c r="DC192" s="14"/>
      <c r="DD192" s="14"/>
      <c r="DE192" s="14"/>
      <c r="DF192" s="14"/>
      <c r="DG192" s="129"/>
      <c r="DH192" s="17"/>
      <c r="DI192" s="47"/>
      <c r="DJ192" s="17"/>
      <c r="DK192" s="112" t="s">
        <v>23</v>
      </c>
      <c r="DL192" s="113" t="s">
        <v>24</v>
      </c>
      <c r="DM192" s="113" t="s">
        <v>145</v>
      </c>
      <c r="DN192" s="113" t="s">
        <v>300</v>
      </c>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row>
    <row r="193" spans="1:142" x14ac:dyDescent="0.25">
      <c r="A193" s="14"/>
      <c r="B193" s="57" t="s">
        <v>154</v>
      </c>
      <c r="C193" s="121" t="str">
        <f>IF(H212=0,"na",IF(COUNTIF(H207:H211,MAX(H207:H211))&gt;COUNTIF(G207:G211,"&lt;&gt;""")/2,"No clear choice of the most common response",INDEX(G207:G211,MATCH(MAX(H207:H211),H207:H211,0),1)))</f>
        <v>na</v>
      </c>
      <c r="D193" s="58">
        <f>COUNTIFS(S26_stakeholder_category,"NGO",Response_Q156_1,"&lt;&gt;0")</f>
        <v>0</v>
      </c>
      <c r="E193" s="121">
        <f>COUNTIFS(S26_stakeholder_category,"NGO",Response_Q156_1,"I don’t know")</f>
        <v>0</v>
      </c>
      <c r="F193" s="14"/>
      <c r="G193" s="14"/>
      <c r="H193" s="21"/>
      <c r="I193" s="21"/>
      <c r="J193" s="14"/>
      <c r="K193" s="19"/>
      <c r="L193" s="40"/>
      <c r="M193" s="40"/>
      <c r="N193" s="40"/>
      <c r="O193" s="40"/>
      <c r="P193" s="40"/>
      <c r="Q193" s="47"/>
      <c r="R193" s="19"/>
      <c r="S193" s="34" t="s">
        <v>154</v>
      </c>
      <c r="T193" s="37" t="str">
        <f>IF(Y214=0,"na",IF(COUNTIF(Y207:Y213,MAX(Y207:Y213))&gt;COUNTIF(X207:X213,"&lt;&gt;""")/2,"No clear choice of the most common response",INDEX(X207:X213,MATCH(MAX(Y207:Y213),Y207:Y213,0),1)))</f>
        <v>na</v>
      </c>
      <c r="U193" s="33">
        <f>COUNTIFS(S26_stakeholder_category,"NGO",Response_Q160_1,"&lt;&gt;0")</f>
        <v>0</v>
      </c>
      <c r="V193" s="37">
        <f>COUNTIFS(S26_stakeholder_category,"NGO",Response_Q160_1,"I don’t know")</f>
        <v>0</v>
      </c>
      <c r="W193" s="14"/>
      <c r="X193" s="14"/>
      <c r="Y193" s="14"/>
      <c r="Z193" s="14"/>
      <c r="AA193" s="19"/>
      <c r="AB193" s="19"/>
      <c r="AC193" s="19"/>
      <c r="AD193" s="19"/>
      <c r="AE193" s="19"/>
      <c r="AF193" s="47"/>
      <c r="AG193" s="19"/>
      <c r="AH193" s="57" t="s">
        <v>154</v>
      </c>
      <c r="AI193" s="121" t="str">
        <f>IF(AN214=0,"na",IF(COUNTIF(AN207:AN213,MAX(AN207:AN213))&gt;COUNTIF(AM207:AM213,"&lt;&gt;""")/2,"No clear choice of the most common response",INDEX(AM207:AM213,MATCH(MAX(AN207:AN213),AN207:AN213,0),1)))</f>
        <v>Moderately unlikely</v>
      </c>
      <c r="AJ193" s="58">
        <f>COUNTIFS(S26_stakeholder_category,"NGO",Response_26_CaseA,"&lt;&gt;0")</f>
        <v>4</v>
      </c>
      <c r="AK193" s="121">
        <f>COUNTIFS(S26_stakeholder_category,"NGO",Response_26_CaseA,"I don’t know")</f>
        <v>0</v>
      </c>
      <c r="AL193" s="14"/>
      <c r="AM193" s="14"/>
      <c r="AN193" s="14"/>
      <c r="AO193" s="14"/>
      <c r="AP193" s="19"/>
      <c r="AQ193" s="19"/>
      <c r="AR193" s="19"/>
      <c r="AS193" s="19"/>
      <c r="AT193" s="19"/>
      <c r="AU193" s="47"/>
      <c r="AV193" s="14"/>
      <c r="AW193" s="57" t="s">
        <v>154</v>
      </c>
      <c r="AX193" s="121" t="str">
        <f>IF(BC214=0,"na",IF(COUNTIF(BC207:BC213,MAX(BC207:BC213))&gt;COUNTIF(BB207:BB213,"&lt;&gt;""")/2,"No clear choice of the most common response",INDEX(BB207:BB213,MATCH(MAX(BC207:BC213),BC207:BC213,0),1)))</f>
        <v>Moderately likely</v>
      </c>
      <c r="AY193" s="58">
        <f>COUNTIFS(S26_stakeholder_category,"NGO",Response_26_CaseB,"&lt;&gt;0")</f>
        <v>4</v>
      </c>
      <c r="AZ193" s="121">
        <f>COUNTIFS(S26_stakeholder_category,"NGO",Response_26_CaseB,"I don’t know")</f>
        <v>0</v>
      </c>
      <c r="BA193" s="14"/>
      <c r="BB193" s="14"/>
      <c r="BC193" s="14"/>
      <c r="BD193" s="14"/>
      <c r="BE193" s="19"/>
      <c r="BF193" s="19"/>
      <c r="BG193" s="19"/>
      <c r="BH193" s="19"/>
      <c r="BI193" s="19"/>
      <c r="BJ193" s="47"/>
      <c r="BK193" s="19"/>
      <c r="BL193" s="57" t="s">
        <v>154</v>
      </c>
      <c r="BM193" s="121" t="str">
        <f>IF(BR214=0,"na",IF(COUNTIF(BR207:BR213,MAX(BR207:BR213))&gt;COUNTIF(BQ207:BQ213,"&lt;&gt;""")/2,"No clear choice of the most common response",INDEX(BQ207:BQ213,MATCH(MAX(BR207:BR213),BR207:BR213,0),1)))</f>
        <v>Moderately likely</v>
      </c>
      <c r="BN193" s="58">
        <f>COUNTIFS(S26_stakeholder_category,"NGO",Response_26_CaseC,"&lt;&gt;0")</f>
        <v>4</v>
      </c>
      <c r="BO193" s="121">
        <f>COUNTIFS(S26_stakeholder_category,"NGO",Response_26_CaseC,"I don’t know")</f>
        <v>0</v>
      </c>
      <c r="BP193" s="14"/>
      <c r="BQ193" s="14"/>
      <c r="BR193" s="14"/>
      <c r="BS193" s="14"/>
      <c r="BT193" s="19"/>
      <c r="BU193" s="19"/>
      <c r="BV193" s="19"/>
      <c r="BW193" s="19"/>
      <c r="BX193" s="19"/>
      <c r="BY193" s="47"/>
      <c r="BZ193" s="14"/>
      <c r="CA193" s="34" t="s">
        <v>154</v>
      </c>
      <c r="CB193" s="37">
        <f>MAX(SUM(CC199:CC205),SUM(CD199:CD205),SUM(CE199:CE205))</f>
        <v>0</v>
      </c>
      <c r="CC193" s="21"/>
      <c r="CD193" s="180"/>
      <c r="CE193" s="180"/>
      <c r="CF193" s="21"/>
      <c r="CG193" s="14"/>
      <c r="CH193" s="14"/>
      <c r="CI193" s="14"/>
      <c r="CJ193" s="14"/>
      <c r="CK193" s="14"/>
      <c r="CL193" s="14"/>
      <c r="CM193" s="14"/>
      <c r="CN193" s="14"/>
      <c r="CO193" s="129"/>
      <c r="CP193" s="29"/>
      <c r="CQ193" s="47"/>
      <c r="CR193" s="14"/>
      <c r="CS193" s="34" t="s">
        <v>154</v>
      </c>
      <c r="CT193" s="37">
        <f>MAX(SUM(CU199:CU205),SUM(CV199:CV205),SUM(CW199:CW205))</f>
        <v>0</v>
      </c>
      <c r="CU193" s="14"/>
      <c r="CV193" s="180"/>
      <c r="CW193" s="189"/>
      <c r="CX193" s="189"/>
      <c r="CY193" s="14"/>
      <c r="CZ193" s="14"/>
      <c r="DA193" s="14"/>
      <c r="DB193" s="14"/>
      <c r="DC193" s="14"/>
      <c r="DD193" s="14"/>
      <c r="DE193" s="14"/>
      <c r="DF193" s="14"/>
      <c r="DG193" s="129"/>
      <c r="DH193" s="29"/>
      <c r="DI193" s="47"/>
      <c r="DJ193" s="29"/>
      <c r="DK193" s="34" t="s">
        <v>154</v>
      </c>
      <c r="DL193" s="37" t="str">
        <f>IF(DQ212=0,"na",IF(COUNTIF(DQ207:DQ211,MAX(DQ207:DQ211))&gt;COUNTIF(DP207:DP211,"&lt;&gt;""")/2,"No clear choice of the most common response",INDEX(DP207:DP211,MATCH(MAX(DQ207:DQ211),DQ207:DQ211,0),1)))</f>
        <v>na</v>
      </c>
      <c r="DM193" s="33">
        <f>COUNTIFS(S26_stakeholder_category,"NGO",Response_Q156_1,"&lt;&gt;0",Response_Q156_1,"&lt;&gt;0")</f>
        <v>0</v>
      </c>
      <c r="DN193" s="37">
        <f>DQ211</f>
        <v>0</v>
      </c>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row>
    <row r="194" spans="1:142" x14ac:dyDescent="0.25">
      <c r="A194" s="14"/>
      <c r="B194" s="57"/>
      <c r="C194" s="121" t="str">
        <f ca="1">IF(H212=0,"",IF(COUNTIF(H207:H211,MAX(H207:H211))=1,"",IF(COUNTIF(H207:H211,MAX(H207:H211))&gt;COUNTIF(G207:G211,"&lt;&gt;""")/2,"",INDEX(OFFSET(G207,MATCH(C193,G207:G212,0),0):G211,MATCH(MAX(H207:H211),OFFSET(H207,MATCH(C193,G207:G212,0),0):H211,0),1))))</f>
        <v/>
      </c>
      <c r="D194" s="58"/>
      <c r="E194" s="121"/>
      <c r="F194" s="14"/>
      <c r="G194" s="14"/>
      <c r="H194" s="21"/>
      <c r="I194" s="21"/>
      <c r="J194" s="14"/>
      <c r="K194" s="19"/>
      <c r="L194" s="40"/>
      <c r="M194" s="40"/>
      <c r="N194" s="40"/>
      <c r="O194" s="40"/>
      <c r="P194" s="40"/>
      <c r="Q194" s="47"/>
      <c r="R194" s="19"/>
      <c r="S194" s="34"/>
      <c r="T194" s="37" t="str">
        <f ca="1">IF(Y214=0,"",IF(COUNTIF(Y207:Y213,MAX(Y207:Y213))=1,"",IF(COUNTIF(Y207:Y213,MAX(Y207:Y213))&gt;COUNTIF(X207:X213,"&lt;&gt;""")/2,"",INDEX(OFFSET(X207,MATCH(T193,X207:X213,0),0):X213,MATCH(MAX(Y207:Y213),OFFSET(Y207,MATCH(T193,X207:X213,0),0):Y213,0),1))))</f>
        <v/>
      </c>
      <c r="U194" s="33"/>
      <c r="V194" s="37"/>
      <c r="W194" s="14"/>
      <c r="X194" s="14"/>
      <c r="Y194" s="14"/>
      <c r="Z194" s="14"/>
      <c r="AA194" s="19"/>
      <c r="AB194" s="19"/>
      <c r="AC194" s="19"/>
      <c r="AD194" s="19"/>
      <c r="AE194" s="19"/>
      <c r="AF194" s="47"/>
      <c r="AG194" s="19"/>
      <c r="AH194" s="57"/>
      <c r="AI194" s="121" t="str">
        <f ca="1">IF(AN214=0,"",IF(COUNTIF(AN207:AN213,MAX(AN207:AN213))=1,"",IF(COUNTIF(AN207:AN213,MAX(AN207:AN213))&gt;COUNTIF(AM207:AM213,"&lt;&gt;""")/2,"",INDEX(OFFSET(AM207,MATCH(AI193,AM207:AM213,0),0):AM213,MATCH(MAX(AN207:AN213),OFFSET(AN207,MATCH(AI193,AM207:AM213,0),0):AN213,0),1))))</f>
        <v/>
      </c>
      <c r="AJ194" s="58"/>
      <c r="AK194" s="121"/>
      <c r="AL194" s="14"/>
      <c r="AM194" s="14"/>
      <c r="AN194" s="14"/>
      <c r="AO194" s="14"/>
      <c r="AP194" s="19"/>
      <c r="AQ194" s="19"/>
      <c r="AR194" s="19"/>
      <c r="AS194" s="19"/>
      <c r="AT194" s="19"/>
      <c r="AU194" s="47"/>
      <c r="AV194" s="14"/>
      <c r="AW194" s="57"/>
      <c r="AX194" s="121" t="str">
        <f ca="1">IF(BC214=0,"",IF(COUNTIF(BC207:BC213,MAX(BC207:BC213))=1,"",IF(COUNTIF(BC207:BC213,MAX(BC207:BC213))&gt;COUNTIF(BB207:BB213,"&lt;&gt;""")/2,"",INDEX(OFFSET(BB207,MATCH(AX193,BB207:BB213,0),0):BB213,MATCH(MAX(BC207:BC213),OFFSET(BC207,MATCH(AX193,BB207:BB213,0),0):BC213,0),1))))</f>
        <v/>
      </c>
      <c r="AY194" s="58"/>
      <c r="AZ194" s="121"/>
      <c r="BA194" s="14"/>
      <c r="BB194" s="14"/>
      <c r="BC194" s="14"/>
      <c r="BD194" s="14"/>
      <c r="BE194" s="19"/>
      <c r="BF194" s="19"/>
      <c r="BG194" s="19"/>
      <c r="BH194" s="19"/>
      <c r="BI194" s="19"/>
      <c r="BJ194" s="47"/>
      <c r="BK194" s="19"/>
      <c r="BL194" s="57"/>
      <c r="BM194" s="121" t="str">
        <f ca="1">IF(BR214=0,"",IF(COUNTIF(BR207:BR213,MAX(BR207:BR213))=1,"",IF(COUNTIF(BR207:BR213,MAX(BR207:BR213))&gt;COUNTIF(BQ207:BQ213,"&lt;&gt;""")/2,"",INDEX(OFFSET(BQ207,MATCH(BM193,BQ207:BQ213,0),0):BQ213,MATCH(MAX(BR207:BR213),OFFSET(BR207,MATCH(BM193,BQ207:BQ213,0),0):BR213,0),1))))</f>
        <v/>
      </c>
      <c r="BN194" s="58"/>
      <c r="BO194" s="121"/>
      <c r="BP194" s="14"/>
      <c r="BQ194" s="14"/>
      <c r="BR194" s="14"/>
      <c r="BS194" s="14"/>
      <c r="BT194" s="19"/>
      <c r="BU194" s="19"/>
      <c r="BV194" s="19"/>
      <c r="BW194" s="19"/>
      <c r="BX194" s="19"/>
      <c r="BY194" s="47"/>
      <c r="BZ194" s="14"/>
      <c r="CA194" s="14"/>
      <c r="CB194" s="21"/>
      <c r="CC194" s="21"/>
      <c r="CD194" s="180"/>
      <c r="CE194" s="180"/>
      <c r="CF194" s="21"/>
      <c r="CG194" s="14"/>
      <c r="CH194" s="14"/>
      <c r="CI194" s="14"/>
      <c r="CJ194" s="14"/>
      <c r="CK194" s="14"/>
      <c r="CL194" s="14"/>
      <c r="CM194" s="14"/>
      <c r="CN194" s="14"/>
      <c r="CO194" s="129"/>
      <c r="CP194" s="29"/>
      <c r="CQ194" s="47"/>
      <c r="CR194" s="14"/>
      <c r="CS194" s="14"/>
      <c r="CT194" s="14"/>
      <c r="CU194" s="14"/>
      <c r="CV194" s="180"/>
      <c r="CW194" s="189"/>
      <c r="CX194" s="189"/>
      <c r="CY194" s="14"/>
      <c r="CZ194" s="14"/>
      <c r="DA194" s="14"/>
      <c r="DB194" s="14"/>
      <c r="DC194" s="14"/>
      <c r="DD194" s="14"/>
      <c r="DE194" s="14"/>
      <c r="DF194" s="14"/>
      <c r="DG194" s="129"/>
      <c r="DH194" s="29"/>
      <c r="DI194" s="47"/>
      <c r="DJ194" s="29"/>
      <c r="DK194" s="34"/>
      <c r="DL194" s="37" t="str">
        <f ca="1">IF(DQ212=0,"",IF(COUNTIF(DQ207:DQ211,MAX(DQ207:DQ211))=1,"",IF(COUNTIF(DQ207:DQ211,MAX(DQ207:DQ211))&gt;COUNTIF(DP207:DP211,"&lt;&gt;""")/2,"",INDEX(OFFSET(DP207,MATCH(DL193,DP207:DP212,0),0):DP211,MATCH(MAX(DQ207:DQ211),OFFSET(DQ207,MATCH(DL193,DP207:DP212,0),0):DQ211,0),1))))</f>
        <v/>
      </c>
      <c r="DM194" s="33"/>
      <c r="DN194" s="37"/>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row>
    <row r="195" spans="1:142" x14ac:dyDescent="0.25">
      <c r="A195" s="14"/>
      <c r="B195" s="57"/>
      <c r="C195" s="121" t="str">
        <f ca="1" xml:space="preserve"> IF(H212=0,"", IF(COUNTIF(H207:H211,MAX(H207:H211))&lt;=2,"",IF(COUNTIF(H207:H211,MAX(H207:H211))&gt;COUNTIF(G207:G211,"&lt;&gt;""")/2,"", INDEX(OFFSET(G207,MATCH(C194,G207:G212,0),0):G211,         MATCH(MAX(H207:H211),        OFFSET(H207,MATCH(C194,G207:G212,0),0):H211,0),1))))</f>
        <v/>
      </c>
      <c r="D195" s="58"/>
      <c r="E195" s="121"/>
      <c r="F195" s="14"/>
      <c r="G195" s="14"/>
      <c r="H195" s="21"/>
      <c r="I195" s="21"/>
      <c r="J195" s="14"/>
      <c r="K195" s="19"/>
      <c r="L195" s="40"/>
      <c r="M195" s="40"/>
      <c r="N195" s="40"/>
      <c r="O195" s="40"/>
      <c r="P195" s="40"/>
      <c r="Q195" s="47"/>
      <c r="R195" s="19"/>
      <c r="S195" s="34"/>
      <c r="T195" s="121" t="str">
        <f ca="1" xml:space="preserve"> IF(Y214=0,"",IF(Y214=0,"", IF(COUNTIF(Y207:Y213,MAX(Y207:Y213))&lt;=2,"",IF(COUNTIF(Y207:Y213,MAX(Y207:Y213))&gt;COUNTIF(X207:X213,"&lt;&gt;""")/2,"", INDEX(OFFSET(X207,MATCH(T194,X207:X213,0),0):X213,         MATCH(MAX(Y207:Y213),        OFFSET(Y207,MATCH(T194,X207:X213,0),0):Y213,0),1)))))</f>
        <v/>
      </c>
      <c r="U195" s="33"/>
      <c r="V195" s="37"/>
      <c r="W195" s="14"/>
      <c r="X195" s="14"/>
      <c r="Y195" s="14"/>
      <c r="Z195" s="14"/>
      <c r="AA195" s="19"/>
      <c r="AB195" s="19"/>
      <c r="AC195" s="19"/>
      <c r="AD195" s="19"/>
      <c r="AE195" s="19"/>
      <c r="AF195" s="47"/>
      <c r="AG195" s="19"/>
      <c r="AH195" s="57"/>
      <c r="AI195" s="121" t="str">
        <f ca="1" xml:space="preserve"> IF(AN214=0,"",IF(AN214=0,"", IF(COUNTIF(AN207:AN213,MAX(AN207:AN213))&lt;=2,"",IF(COUNTIF(AN207:AN213,MAX(AN207:AN213))&gt;COUNTIF(AM207:AM213,"&lt;&gt;""")/2,"", INDEX(OFFSET(AM207,MATCH(AI194,AM207:AM213,0),0):AM213,         MATCH(MAX(AN207:AN213),        OFFSET(AN207,MATCH(AI194,AM207:AM213,0),0):AN213,0),1)))))</f>
        <v/>
      </c>
      <c r="AJ195" s="58"/>
      <c r="AK195" s="121"/>
      <c r="AL195" s="14"/>
      <c r="AM195" s="14"/>
      <c r="AN195" s="14"/>
      <c r="AO195" s="14"/>
      <c r="AP195" s="19"/>
      <c r="AQ195" s="19"/>
      <c r="AR195" s="19"/>
      <c r="AS195" s="19"/>
      <c r="AT195" s="19"/>
      <c r="AU195" s="47"/>
      <c r="AV195" s="14"/>
      <c r="AW195" s="57"/>
      <c r="AX195" s="121" t="str">
        <f ca="1" xml:space="preserve"> IF(BC214=0,"",IF(BC214=0,"", IF(COUNTIF(BC207:BC213,MAX(BC207:BC213))&lt;=2,"",IF(COUNTIF(BC207:BC213,MAX(BC207:BC213))&gt;COUNTIF(BB207:BB213,"&lt;&gt;""")/2,"", INDEX(OFFSET(BB207,MATCH(AX194,BB207:BB213,0),0):BB213,         MATCH(MAX(BC207:BC213),        OFFSET(BC207,MATCH(AX194,BB207:BB213,0),0):BC213,0),1)))))</f>
        <v/>
      </c>
      <c r="AY195" s="58"/>
      <c r="AZ195" s="121"/>
      <c r="BA195" s="14"/>
      <c r="BB195" s="14"/>
      <c r="BC195" s="14"/>
      <c r="BD195" s="14"/>
      <c r="BE195" s="19"/>
      <c r="BF195" s="19"/>
      <c r="BG195" s="19"/>
      <c r="BH195" s="19"/>
      <c r="BI195" s="19"/>
      <c r="BJ195" s="47"/>
      <c r="BK195" s="19"/>
      <c r="BL195" s="57"/>
      <c r="BM195" s="121" t="str">
        <f ca="1" xml:space="preserve"> IF(BR214=0,"",IF(BR214=0,"", IF(COUNTIF(BR207:BR213,MAX(BR207:BR213))&lt;=2,"",IF(COUNTIF(BR207:BR213,MAX(BR207:BR213))&gt;COUNTIF(BQ207:BQ213,"&lt;&gt;""")/2,"", INDEX(OFFSET(BQ207,MATCH(BM194,BQ207:BQ213,0),0):BQ213,         MATCH(MAX(BR207:BR213),        OFFSET(BR207,MATCH(BM194,BQ207:BQ213,0),0):BR213,0),1)))))</f>
        <v/>
      </c>
      <c r="BN195" s="58"/>
      <c r="BO195" s="121"/>
      <c r="BP195" s="14"/>
      <c r="BQ195" s="14"/>
      <c r="BR195" s="14"/>
      <c r="BS195" s="14"/>
      <c r="BT195" s="19"/>
      <c r="BU195" s="19"/>
      <c r="BV195" s="19"/>
      <c r="BW195" s="19"/>
      <c r="BX195" s="19"/>
      <c r="BY195" s="47"/>
      <c r="BZ195" s="14"/>
      <c r="CA195" s="14"/>
      <c r="CB195" s="21"/>
      <c r="CC195" s="21"/>
      <c r="CD195" s="180"/>
      <c r="CE195" s="180"/>
      <c r="CF195" s="21"/>
      <c r="CG195" s="14"/>
      <c r="CH195" s="14"/>
      <c r="CI195" s="14"/>
      <c r="CJ195" s="14"/>
      <c r="CK195" s="14"/>
      <c r="CL195" s="14"/>
      <c r="CM195" s="14"/>
      <c r="CN195" s="14"/>
      <c r="CO195" s="129"/>
      <c r="CP195" s="29"/>
      <c r="CQ195" s="47"/>
      <c r="CR195" s="14"/>
      <c r="CS195" s="14"/>
      <c r="CT195" s="14"/>
      <c r="CU195" s="14"/>
      <c r="CV195" s="180"/>
      <c r="CW195" s="189"/>
      <c r="CX195" s="189"/>
      <c r="CY195" s="14"/>
      <c r="CZ195" s="14"/>
      <c r="DA195" s="14"/>
      <c r="DB195" s="14"/>
      <c r="DC195" s="14"/>
      <c r="DD195" s="14"/>
      <c r="DE195" s="14"/>
      <c r="DF195" s="14"/>
      <c r="DG195" s="129"/>
      <c r="DH195" s="29"/>
      <c r="DI195" s="47"/>
      <c r="DJ195" s="29"/>
      <c r="DK195" s="34"/>
      <c r="DL195" s="37" t="str">
        <f ca="1">IF(DQ212=0,"",IF(COUNTIF(DQ207:DQ211,MAX(DQ207:DQ211))&lt;=2,"",IF(COUNTIF(DQ207:DQ211,MAX(DQ207:DQ211))&gt;COUNTIF(DP207:DP211,"&lt;&gt;""")/2,"",INDEX(OFFSET(DP207,MATCH(DL194,DP207:DP212,0),0):DP211,MATCH(MAX(DQ207:DQ211),OFFSET(DQ207,MATCH(DL194,DP207:DP212,0),0):DQ211,0),1))))</f>
        <v/>
      </c>
      <c r="DM195" s="33"/>
      <c r="DN195" s="37"/>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row>
    <row r="196" spans="1:142" x14ac:dyDescent="0.25">
      <c r="A196" s="14"/>
      <c r="B196" s="14"/>
      <c r="C196" s="14"/>
      <c r="D196" s="27"/>
      <c r="E196" s="14"/>
      <c r="F196" s="14"/>
      <c r="G196" s="14"/>
      <c r="H196" s="27"/>
      <c r="I196" s="21"/>
      <c r="J196" s="14"/>
      <c r="K196" s="19"/>
      <c r="L196" s="40"/>
      <c r="M196" s="40"/>
      <c r="N196" s="40"/>
      <c r="O196" s="40"/>
      <c r="P196" s="40"/>
      <c r="Q196" s="47"/>
      <c r="R196" s="19"/>
      <c r="S196" s="19"/>
      <c r="T196" s="62"/>
      <c r="U196" s="27"/>
      <c r="V196" s="14"/>
      <c r="W196" s="14"/>
      <c r="X196" s="14"/>
      <c r="Y196" s="14"/>
      <c r="Z196" s="14"/>
      <c r="AA196" s="19"/>
      <c r="AB196" s="19"/>
      <c r="AC196" s="19"/>
      <c r="AD196" s="19"/>
      <c r="AE196" s="19"/>
      <c r="AF196" s="47"/>
      <c r="AG196" s="19"/>
      <c r="AH196" s="19"/>
      <c r="AI196" s="62"/>
      <c r="AJ196" s="27"/>
      <c r="AK196" s="14"/>
      <c r="AL196" s="14"/>
      <c r="AM196" s="14"/>
      <c r="AN196" s="14"/>
      <c r="AO196" s="14"/>
      <c r="AP196" s="19"/>
      <c r="AQ196" s="19"/>
      <c r="AR196" s="19"/>
      <c r="AS196" s="19"/>
      <c r="AT196" s="19"/>
      <c r="AU196" s="47"/>
      <c r="AV196" s="14"/>
      <c r="AW196" s="19"/>
      <c r="AX196" s="62"/>
      <c r="AY196" s="27"/>
      <c r="AZ196" s="14"/>
      <c r="BA196" s="14"/>
      <c r="BB196" s="14"/>
      <c r="BC196" s="14"/>
      <c r="BD196" s="14"/>
      <c r="BE196" s="19"/>
      <c r="BF196" s="19"/>
      <c r="BG196" s="19"/>
      <c r="BH196" s="19"/>
      <c r="BI196" s="19"/>
      <c r="BJ196" s="47"/>
      <c r="BK196" s="19"/>
      <c r="BL196" s="19"/>
      <c r="BM196" s="62"/>
      <c r="BN196" s="27"/>
      <c r="BO196" s="14"/>
      <c r="BP196" s="14"/>
      <c r="BQ196" s="14"/>
      <c r="BR196" s="14"/>
      <c r="BS196" s="14"/>
      <c r="BT196" s="19"/>
      <c r="BU196" s="19"/>
      <c r="BV196" s="19"/>
      <c r="BW196" s="19"/>
      <c r="BX196" s="19"/>
      <c r="BY196" s="47"/>
      <c r="BZ196" s="14"/>
      <c r="CA196" s="14"/>
      <c r="CB196" s="21"/>
      <c r="CC196" s="21"/>
      <c r="CD196" s="180"/>
      <c r="CE196" s="180"/>
      <c r="CF196" s="21"/>
      <c r="CG196" s="14"/>
      <c r="CH196" s="14"/>
      <c r="CI196" s="14"/>
      <c r="CJ196" s="14"/>
      <c r="CK196" s="14"/>
      <c r="CL196" s="14"/>
      <c r="CM196" s="14"/>
      <c r="CN196" s="14"/>
      <c r="CO196" s="129"/>
      <c r="CP196" s="29"/>
      <c r="CQ196" s="47"/>
      <c r="CR196" s="14"/>
      <c r="CS196" s="14"/>
      <c r="CT196" s="14"/>
      <c r="CU196" s="14"/>
      <c r="CV196" s="180"/>
      <c r="CW196" s="189"/>
      <c r="CX196" s="189"/>
      <c r="CY196" s="14"/>
      <c r="CZ196" s="14"/>
      <c r="DA196" s="14"/>
      <c r="DB196" s="14"/>
      <c r="DC196" s="14"/>
      <c r="DD196" s="14"/>
      <c r="DE196" s="14"/>
      <c r="DF196" s="14"/>
      <c r="DG196" s="129"/>
      <c r="DH196" s="29"/>
      <c r="DI196" s="47"/>
      <c r="DJ196" s="29"/>
      <c r="DK196" s="14"/>
      <c r="DL196" s="14"/>
      <c r="DM196" s="27"/>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row>
    <row r="197" spans="1:142" x14ac:dyDescent="0.25">
      <c r="A197" s="14"/>
      <c r="B197" s="14"/>
      <c r="C197" s="14"/>
      <c r="D197" s="27"/>
      <c r="E197" s="14"/>
      <c r="F197" s="14"/>
      <c r="G197" s="14"/>
      <c r="H197" s="21"/>
      <c r="I197" s="21"/>
      <c r="J197" s="14"/>
      <c r="K197" s="19"/>
      <c r="L197" s="40"/>
      <c r="M197" s="40"/>
      <c r="N197" s="40"/>
      <c r="O197" s="40"/>
      <c r="P197" s="40"/>
      <c r="Q197" s="47"/>
      <c r="R197" s="19"/>
      <c r="S197" s="19"/>
      <c r="T197" s="14"/>
      <c r="U197" s="27"/>
      <c r="V197" s="14"/>
      <c r="W197" s="14"/>
      <c r="X197" s="14"/>
      <c r="Y197" s="14"/>
      <c r="Z197" s="14"/>
      <c r="AA197" s="19"/>
      <c r="AB197" s="19"/>
      <c r="AC197" s="19"/>
      <c r="AD197" s="19"/>
      <c r="AE197" s="19"/>
      <c r="AF197" s="47"/>
      <c r="AG197" s="19"/>
      <c r="AH197" s="19"/>
      <c r="AI197" s="14"/>
      <c r="AJ197" s="27"/>
      <c r="AK197" s="14"/>
      <c r="AL197" s="14"/>
      <c r="AM197" s="14"/>
      <c r="AN197" s="14"/>
      <c r="AO197" s="14"/>
      <c r="AP197" s="19"/>
      <c r="AQ197" s="19"/>
      <c r="AR197" s="19"/>
      <c r="AS197" s="19"/>
      <c r="AT197" s="19"/>
      <c r="AU197" s="47"/>
      <c r="AV197" s="14"/>
      <c r="AW197" s="19"/>
      <c r="AX197" s="14"/>
      <c r="AY197" s="27"/>
      <c r="AZ197" s="14"/>
      <c r="BA197" s="14"/>
      <c r="BB197" s="14"/>
      <c r="BC197" s="14"/>
      <c r="BD197" s="14"/>
      <c r="BE197" s="19"/>
      <c r="BF197" s="19"/>
      <c r="BG197" s="19"/>
      <c r="BH197" s="19"/>
      <c r="BI197" s="19"/>
      <c r="BJ197" s="47"/>
      <c r="BK197" s="19"/>
      <c r="BL197" s="19"/>
      <c r="BM197" s="14"/>
      <c r="BN197" s="27"/>
      <c r="BO197" s="14"/>
      <c r="BP197" s="14"/>
      <c r="BQ197" s="14"/>
      <c r="BR197" s="14"/>
      <c r="BS197" s="14"/>
      <c r="BT197" s="19"/>
      <c r="BU197" s="19"/>
      <c r="BV197" s="19"/>
      <c r="BW197" s="19"/>
      <c r="BX197" s="19"/>
      <c r="BY197" s="47"/>
      <c r="BZ197" s="14"/>
      <c r="CA197" s="14"/>
      <c r="CB197" s="21"/>
      <c r="CC197" s="21"/>
      <c r="CD197" s="180"/>
      <c r="CE197" s="180"/>
      <c r="CF197" s="21"/>
      <c r="CG197" s="14"/>
      <c r="CH197" s="14"/>
      <c r="CI197" s="14"/>
      <c r="CJ197" s="14"/>
      <c r="CK197" s="14"/>
      <c r="CL197" s="14"/>
      <c r="CM197" s="14"/>
      <c r="CN197" s="14"/>
      <c r="CO197" s="129"/>
      <c r="CP197" s="29"/>
      <c r="CQ197" s="47"/>
      <c r="CR197" s="14"/>
      <c r="CS197" s="14"/>
      <c r="CT197" s="14"/>
      <c r="CU197" s="14"/>
      <c r="CV197" s="180"/>
      <c r="CW197" s="189"/>
      <c r="CX197" s="189"/>
      <c r="CY197" s="14"/>
      <c r="CZ197" s="14"/>
      <c r="DA197" s="14"/>
      <c r="DB197" s="14"/>
      <c r="DC197" s="14"/>
      <c r="DD197" s="14"/>
      <c r="DE197" s="14"/>
      <c r="DF197" s="14"/>
      <c r="DG197" s="129"/>
      <c r="DH197" s="29"/>
      <c r="DI197" s="47"/>
      <c r="DJ197" s="29"/>
      <c r="DK197" s="14"/>
      <c r="DL197" s="14"/>
      <c r="DM197" s="27"/>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row>
    <row r="198" spans="1:142" ht="27.6" x14ac:dyDescent="0.25">
      <c r="A198" s="14"/>
      <c r="B198" s="14"/>
      <c r="C198" s="14"/>
      <c r="D198" s="27"/>
      <c r="E198" s="14"/>
      <c r="F198" s="14"/>
      <c r="G198" s="14"/>
      <c r="H198" s="21"/>
      <c r="I198" s="21"/>
      <c r="J198" s="14"/>
      <c r="K198" s="19"/>
      <c r="L198" s="40"/>
      <c r="M198" s="40"/>
      <c r="N198" s="40"/>
      <c r="O198" s="40"/>
      <c r="P198" s="40"/>
      <c r="Q198" s="47"/>
      <c r="R198" s="19"/>
      <c r="S198" s="19"/>
      <c r="T198" s="14"/>
      <c r="U198" s="27"/>
      <c r="V198" s="14"/>
      <c r="W198" s="14"/>
      <c r="X198" s="14"/>
      <c r="Y198" s="14"/>
      <c r="Z198" s="14"/>
      <c r="AA198" s="19"/>
      <c r="AB198" s="19"/>
      <c r="AC198" s="19"/>
      <c r="AD198" s="19"/>
      <c r="AE198" s="19"/>
      <c r="AF198" s="47"/>
      <c r="AG198" s="19"/>
      <c r="AH198" s="19"/>
      <c r="AI198" s="14"/>
      <c r="AJ198" s="27"/>
      <c r="AK198" s="14"/>
      <c r="AL198" s="14"/>
      <c r="AM198" s="14"/>
      <c r="AN198" s="14"/>
      <c r="AO198" s="14"/>
      <c r="AP198" s="19"/>
      <c r="AQ198" s="19"/>
      <c r="AR198" s="19"/>
      <c r="AS198" s="19"/>
      <c r="AT198" s="19"/>
      <c r="AU198" s="47"/>
      <c r="AV198" s="14"/>
      <c r="AW198" s="19"/>
      <c r="AX198" s="14"/>
      <c r="AY198" s="27"/>
      <c r="AZ198" s="14"/>
      <c r="BA198" s="14"/>
      <c r="BB198" s="14"/>
      <c r="BC198" s="14"/>
      <c r="BD198" s="14"/>
      <c r="BE198" s="19"/>
      <c r="BF198" s="19"/>
      <c r="BG198" s="19"/>
      <c r="BH198" s="19"/>
      <c r="BI198" s="19"/>
      <c r="BJ198" s="47"/>
      <c r="BK198" s="19"/>
      <c r="BL198" s="19"/>
      <c r="BM198" s="14"/>
      <c r="BN198" s="27"/>
      <c r="BO198" s="14"/>
      <c r="BP198" s="14"/>
      <c r="BQ198" s="14"/>
      <c r="BR198" s="14"/>
      <c r="BS198" s="14"/>
      <c r="BT198" s="19"/>
      <c r="BU198" s="19"/>
      <c r="BV198" s="19"/>
      <c r="BW198" s="19"/>
      <c r="BX198" s="19"/>
      <c r="BY198" s="47"/>
      <c r="BZ198" s="14"/>
      <c r="CA198" s="109" t="s">
        <v>14</v>
      </c>
      <c r="CB198" s="110" t="s">
        <v>164</v>
      </c>
      <c r="CC198" s="110" t="s">
        <v>149</v>
      </c>
      <c r="CD198" s="184" t="s">
        <v>150</v>
      </c>
      <c r="CE198" s="184" t="s">
        <v>151</v>
      </c>
      <c r="CF198" s="110" t="s">
        <v>152</v>
      </c>
      <c r="CG198" s="14"/>
      <c r="CH198" s="109"/>
      <c r="CI198" s="110" t="s">
        <v>5</v>
      </c>
      <c r="CJ198" s="110" t="s">
        <v>4</v>
      </c>
      <c r="CK198" s="110" t="s">
        <v>33</v>
      </c>
      <c r="CL198" s="110" t="s">
        <v>29</v>
      </c>
      <c r="CM198" s="110" t="s">
        <v>3</v>
      </c>
      <c r="CN198" s="110" t="s">
        <v>54</v>
      </c>
      <c r="CO198" s="328" t="s">
        <v>160</v>
      </c>
      <c r="CP198" s="29"/>
      <c r="CQ198" s="47"/>
      <c r="CR198" s="14"/>
      <c r="CS198" s="109" t="s">
        <v>14</v>
      </c>
      <c r="CT198" s="110" t="s">
        <v>164</v>
      </c>
      <c r="CU198" s="110" t="s">
        <v>149</v>
      </c>
      <c r="CV198" s="184" t="s">
        <v>150</v>
      </c>
      <c r="CW198" s="184" t="s">
        <v>151</v>
      </c>
      <c r="CX198" s="194" t="s">
        <v>152</v>
      </c>
      <c r="CY198" s="14"/>
      <c r="CZ198" s="109" t="s">
        <v>14</v>
      </c>
      <c r="DA198" s="110" t="s">
        <v>5</v>
      </c>
      <c r="DB198" s="110" t="s">
        <v>4</v>
      </c>
      <c r="DC198" s="110" t="s">
        <v>33</v>
      </c>
      <c r="DD198" s="110" t="s">
        <v>29</v>
      </c>
      <c r="DE198" s="110" t="s">
        <v>3</v>
      </c>
      <c r="DF198" s="110" t="s">
        <v>54</v>
      </c>
      <c r="DG198" s="328" t="s">
        <v>160</v>
      </c>
      <c r="DH198" s="29"/>
      <c r="DI198" s="47"/>
      <c r="DJ198" s="29"/>
      <c r="DK198" s="14"/>
      <c r="DL198" s="14"/>
      <c r="DM198" s="27"/>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row>
    <row r="199" spans="1:142" x14ac:dyDescent="0.25">
      <c r="A199" s="14"/>
      <c r="B199" s="14"/>
      <c r="C199" s="14"/>
      <c r="D199" s="21"/>
      <c r="E199" s="14"/>
      <c r="F199" s="14"/>
      <c r="G199" s="14"/>
      <c r="H199" s="21"/>
      <c r="I199" s="21"/>
      <c r="J199" s="14"/>
      <c r="K199" s="19"/>
      <c r="L199" s="14"/>
      <c r="M199" s="14"/>
      <c r="N199" s="14"/>
      <c r="O199" s="14"/>
      <c r="P199" s="14"/>
      <c r="Q199" s="47"/>
      <c r="R199" s="19"/>
      <c r="S199" s="14"/>
      <c r="T199" s="14"/>
      <c r="U199" s="21"/>
      <c r="V199" s="14"/>
      <c r="W199" s="14"/>
      <c r="X199" s="14"/>
      <c r="Y199" s="14"/>
      <c r="Z199" s="14"/>
      <c r="AA199" s="19"/>
      <c r="AB199" s="19"/>
      <c r="AC199" s="19"/>
      <c r="AD199" s="19"/>
      <c r="AE199" s="19"/>
      <c r="AF199" s="47"/>
      <c r="AG199" s="19"/>
      <c r="AH199" s="14"/>
      <c r="AI199" s="14"/>
      <c r="AJ199" s="21"/>
      <c r="AK199" s="14"/>
      <c r="AL199" s="14"/>
      <c r="AM199" s="14"/>
      <c r="AN199" s="14"/>
      <c r="AO199" s="14"/>
      <c r="AP199" s="19"/>
      <c r="AQ199" s="19"/>
      <c r="AR199" s="19"/>
      <c r="AS199" s="19"/>
      <c r="AT199" s="19"/>
      <c r="AU199" s="47"/>
      <c r="AV199" s="14"/>
      <c r="AW199" s="14"/>
      <c r="AX199" s="14"/>
      <c r="AY199" s="21"/>
      <c r="AZ199" s="14"/>
      <c r="BA199" s="14"/>
      <c r="BB199" s="14"/>
      <c r="BC199" s="14"/>
      <c r="BD199" s="14"/>
      <c r="BE199" s="19"/>
      <c r="BF199" s="19"/>
      <c r="BG199" s="19"/>
      <c r="BH199" s="19"/>
      <c r="BI199" s="19"/>
      <c r="BJ199" s="47"/>
      <c r="BK199" s="19"/>
      <c r="BL199" s="14"/>
      <c r="BM199" s="14"/>
      <c r="BN199" s="21"/>
      <c r="BO199" s="14"/>
      <c r="BP199" s="14"/>
      <c r="BQ199" s="14"/>
      <c r="BR199" s="14"/>
      <c r="BS199" s="14"/>
      <c r="BT199" s="19"/>
      <c r="BU199" s="19"/>
      <c r="BV199" s="19"/>
      <c r="BW199" s="19"/>
      <c r="BX199" s="19"/>
      <c r="BY199" s="47"/>
      <c r="BZ199" s="14"/>
      <c r="CA199" s="140" t="s">
        <v>461</v>
      </c>
      <c r="CB199" s="27">
        <f>COUNTIFS(S26_stakeholder_category,"NGO",Response_Q161_1,"&lt;&gt;0",Response_Q156_1,"&lt;&gt;0")</f>
        <v>0</v>
      </c>
      <c r="CC199" s="37">
        <f>COUNTIFS(S26_stakeholder_category,"NGO",Response_Q161_1,1,Response_Q156_1,"&lt;&gt;""0")</f>
        <v>0</v>
      </c>
      <c r="CD199" s="37">
        <f>COUNTIFS(S26_stakeholder_category,"NGO",Response_Q161_1,2,Response_Q156_1,"&lt;&gt;""0")</f>
        <v>0</v>
      </c>
      <c r="CE199" s="37">
        <f>COUNTIFS(S26_stakeholder_category,"NGO",Response_Q161_1,3,Response_Q156_1,"&lt;&gt;""0")</f>
        <v>0</v>
      </c>
      <c r="CF199" s="97">
        <f>IF(CB193=0,0,SUMPRODUCT(CC199:CE199,Rank_score)/$CB193)</f>
        <v>0</v>
      </c>
      <c r="CG199" s="14"/>
      <c r="CH199" s="140" t="s">
        <v>461</v>
      </c>
      <c r="CI199" s="27">
        <f t="shared" ref="CI199:CN199" si="134">COUNTIFS(S26_stakeholder_category,"NGO",Response_Q161_1,"&lt;&gt;0",Response_Q161_2,CI$63,Response_Q156_1,"&lt;&gt;0")</f>
        <v>0</v>
      </c>
      <c r="CJ199" s="27">
        <f t="shared" si="134"/>
        <v>0</v>
      </c>
      <c r="CK199" s="27">
        <f t="shared" si="134"/>
        <v>0</v>
      </c>
      <c r="CL199" s="27">
        <f t="shared" si="134"/>
        <v>0</v>
      </c>
      <c r="CM199" s="27">
        <f t="shared" si="134"/>
        <v>0</v>
      </c>
      <c r="CN199" s="27">
        <f t="shared" si="134"/>
        <v>0</v>
      </c>
      <c r="CO199" s="141" t="str">
        <f t="shared" ref="CO199:CO205" si="135">IF(ISBLANK(CH199),"",IF(CF199=0,not_ranked,IF(SUM(CI199:CN199)=0,not_estimated,IFERROR(SUMPRODUCT(CI199:CN199,Likekihood_score)/SUM(CI199:CN199),0))))</f>
        <v>Factor not ranked</v>
      </c>
      <c r="CP199" s="29"/>
      <c r="CQ199" s="47"/>
      <c r="CR199" s="14"/>
      <c r="CS199" s="140" t="s">
        <v>373</v>
      </c>
      <c r="CT199" s="27">
        <f>COUNTIFS(S26_stakeholder_category,"NGO",Response_Q162_1,"&lt;&gt;0",Response_Q157_1,"&lt;&gt;0")</f>
        <v>0</v>
      </c>
      <c r="CU199" s="37">
        <f>COUNTIFS(S26_stakeholder_category,"NGO",Response_Q162_1,1,Response_Q157_1,"&lt;&gt;0")</f>
        <v>0</v>
      </c>
      <c r="CV199" s="37">
        <f>COUNTIFS(S26_stakeholder_category,"NGO",Response_Q162_1,2,Response_Q157_1,"&lt;&gt;0")</f>
        <v>0</v>
      </c>
      <c r="CW199" s="37">
        <f>COUNTIFS(S26_stakeholder_category,"NGO",Response_Q162_1,3,Response_Q157_1,"&lt;&gt;0")</f>
        <v>0</v>
      </c>
      <c r="CX199" s="37">
        <f>IF(CT193=0,0,SUMPRODUCT(CU199:CW199,Rank_score)/CT$58)</f>
        <v>0</v>
      </c>
      <c r="CY199" s="14"/>
      <c r="CZ199" s="140" t="s">
        <v>373</v>
      </c>
      <c r="DA199" s="27">
        <f t="shared" ref="DA199:DF199" si="136">COUNTIFS(S26_stakeholder_category,"NGO",Response_Q162_1,"&lt;&gt;0",Response_Q162_2,DA$63,Response_Q157_1,"&lt;&gt;0")</f>
        <v>0</v>
      </c>
      <c r="DB199" s="27">
        <f t="shared" si="136"/>
        <v>0</v>
      </c>
      <c r="DC199" s="27">
        <f t="shared" si="136"/>
        <v>0</v>
      </c>
      <c r="DD199" s="27">
        <f t="shared" si="136"/>
        <v>0</v>
      </c>
      <c r="DE199" s="27">
        <f t="shared" si="136"/>
        <v>0</v>
      </c>
      <c r="DF199" s="27">
        <f t="shared" si="136"/>
        <v>0</v>
      </c>
      <c r="DG199" s="141" t="str">
        <f t="shared" ref="DG199:DG206" si="137">IF(ISBLANK(CZ199),"",IF(CX199=0,not_ranked,IF(SUM(DA199:DF199)=0,not_estimated,IFERROR(SUMPRODUCT(DA199:DF199,Likekihood_score)/SUM(DA199:DF199),0))))</f>
        <v>Factor not ranked</v>
      </c>
      <c r="DH199" s="29"/>
      <c r="DI199" s="47"/>
      <c r="DJ199" s="29"/>
      <c r="DK199" s="14"/>
      <c r="DL199" s="14"/>
      <c r="DM199" s="14"/>
      <c r="DN199" s="14"/>
      <c r="DO199" s="14"/>
      <c r="DP199" s="14"/>
      <c r="DQ199" s="14"/>
      <c r="DR199" s="13"/>
      <c r="DS199" s="13"/>
      <c r="DT199" s="14"/>
      <c r="DU199" s="14"/>
      <c r="DV199" s="14"/>
      <c r="DW199" s="14"/>
      <c r="DX199" s="14"/>
      <c r="DY199" s="14"/>
      <c r="DZ199" s="14"/>
      <c r="EA199" s="14"/>
      <c r="EB199" s="14"/>
      <c r="EC199" s="14"/>
      <c r="ED199" s="14"/>
      <c r="EE199" s="14"/>
      <c r="EF199" s="14"/>
      <c r="EG199" s="14"/>
      <c r="EH199" s="14"/>
      <c r="EI199" s="14"/>
      <c r="EJ199" s="14"/>
      <c r="EK199" s="14"/>
      <c r="EL199" s="14"/>
    </row>
    <row r="200" spans="1:142" ht="14.4" x14ac:dyDescent="0.25">
      <c r="A200" s="14"/>
      <c r="B200" s="60"/>
      <c r="C200" s="19"/>
      <c r="D200" s="59"/>
      <c r="E200" s="14"/>
      <c r="F200" s="14"/>
      <c r="G200" s="14"/>
      <c r="H200" s="21"/>
      <c r="I200" s="21"/>
      <c r="J200" s="14"/>
      <c r="K200" s="14"/>
      <c r="L200" s="14"/>
      <c r="M200" s="14"/>
      <c r="N200" s="14"/>
      <c r="O200" s="14"/>
      <c r="P200" s="14"/>
      <c r="Q200" s="47"/>
      <c r="R200" s="19"/>
      <c r="S200" s="60"/>
      <c r="T200" s="19"/>
      <c r="U200" s="59"/>
      <c r="V200" s="14"/>
      <c r="W200" s="14"/>
      <c r="X200" s="14"/>
      <c r="Y200" s="14"/>
      <c r="Z200" s="14"/>
      <c r="AA200" s="19"/>
      <c r="AB200" s="19"/>
      <c r="AC200" s="19"/>
      <c r="AD200" s="19"/>
      <c r="AE200" s="19"/>
      <c r="AF200" s="47"/>
      <c r="AG200" s="19"/>
      <c r="AH200" s="60"/>
      <c r="AI200" s="19"/>
      <c r="AJ200" s="59"/>
      <c r="AK200" s="14"/>
      <c r="AL200" s="14"/>
      <c r="AM200" s="14"/>
      <c r="AN200" s="14"/>
      <c r="AO200" s="14"/>
      <c r="AP200" s="19"/>
      <c r="AQ200" s="19"/>
      <c r="AR200" s="19"/>
      <c r="AS200" s="19"/>
      <c r="AT200" s="19"/>
      <c r="AU200" s="47"/>
      <c r="AV200" s="14"/>
      <c r="AW200" s="60"/>
      <c r="AX200" s="19"/>
      <c r="AY200" s="59"/>
      <c r="AZ200" s="14"/>
      <c r="BA200" s="14"/>
      <c r="BB200" s="14"/>
      <c r="BC200" s="14"/>
      <c r="BD200" s="14"/>
      <c r="BE200" s="19"/>
      <c r="BF200" s="19"/>
      <c r="BG200" s="19"/>
      <c r="BH200" s="19"/>
      <c r="BI200" s="19"/>
      <c r="BJ200" s="47"/>
      <c r="BK200" s="19"/>
      <c r="BL200" s="60"/>
      <c r="BM200" s="19"/>
      <c r="BN200" s="59"/>
      <c r="BO200" s="14"/>
      <c r="BP200" s="14"/>
      <c r="BQ200" s="14"/>
      <c r="BR200" s="14"/>
      <c r="BS200" s="14"/>
      <c r="BT200" s="19"/>
      <c r="BU200" s="19"/>
      <c r="BV200" s="19"/>
      <c r="BW200" s="19"/>
      <c r="BX200" s="19"/>
      <c r="BY200" s="47"/>
      <c r="BZ200" s="14"/>
      <c r="CA200" s="140" t="s">
        <v>338</v>
      </c>
      <c r="CB200" s="27">
        <f>COUNTIFS(S26_stakeholder_category,"NGO",Response_Q161_3,"&lt;&gt;0",Response_Q156_1,"&lt;&gt;0")</f>
        <v>0</v>
      </c>
      <c r="CC200" s="37">
        <f>COUNTIFS(S26_stakeholder_category,"NGO",Response_Q161_3,1,Response_Q156_1,"&lt;&gt;0")</f>
        <v>0</v>
      </c>
      <c r="CD200" s="37">
        <f>COUNTIFS(S26_stakeholder_category,"NGO",Response_Q161_3,2,Response_Q156_1,"&lt;&gt;0")</f>
        <v>0</v>
      </c>
      <c r="CE200" s="37">
        <f>COUNTIFS(S26_stakeholder_category,"NGO",Response_Q161_3,3,Response_Q156_1,"&lt;&gt;0")</f>
        <v>0</v>
      </c>
      <c r="CF200" s="97">
        <f>IF(CB193=0,0,SUMPRODUCT(CC200:CE200,Rank_score)/$CB193)</f>
        <v>0</v>
      </c>
      <c r="CG200" s="14"/>
      <c r="CH200" s="140" t="s">
        <v>338</v>
      </c>
      <c r="CI200" s="27">
        <f t="shared" ref="CI200:CN200" si="138">COUNTIFS(S26_stakeholder_category,"NGO",Response_Q161_3,"&lt;&gt;0",Response_Q161_4,CI$63,Response_Q156_1,"&lt;&gt;0")</f>
        <v>0</v>
      </c>
      <c r="CJ200" s="27">
        <f t="shared" si="138"/>
        <v>0</v>
      </c>
      <c r="CK200" s="27">
        <f t="shared" si="138"/>
        <v>0</v>
      </c>
      <c r="CL200" s="27">
        <f t="shared" si="138"/>
        <v>0</v>
      </c>
      <c r="CM200" s="27">
        <f t="shared" si="138"/>
        <v>0</v>
      </c>
      <c r="CN200" s="27">
        <f t="shared" si="138"/>
        <v>0</v>
      </c>
      <c r="CO200" s="141" t="str">
        <f t="shared" si="135"/>
        <v>Factor not ranked</v>
      </c>
      <c r="CP200" s="14"/>
      <c r="CQ200" s="47"/>
      <c r="CR200" s="14"/>
      <c r="CS200" s="140" t="s">
        <v>338</v>
      </c>
      <c r="CT200" s="27">
        <f>COUNTIFS(S26_stakeholder_category,"NGO",Response_Q162_3,"&lt;&gt;0",Response_Q157_1,"&lt;&gt;0")</f>
        <v>0</v>
      </c>
      <c r="CU200" s="37">
        <f>COUNTIFS(S26_stakeholder_category,"NGO",Response_Q162_3,1,Response_Q157_1,"&lt;&gt;0")</f>
        <v>0</v>
      </c>
      <c r="CV200" s="37">
        <f>COUNTIFS(S26_stakeholder_category,"NGO",Response_Q162_3,2,Response_Q157_1,"&lt;&gt;0")</f>
        <v>0</v>
      </c>
      <c r="CW200" s="37">
        <f>COUNTIFS(S26_stakeholder_category,"NGO",Response_Q162_3,3,Response_Q157_1,"&lt;&gt;0")</f>
        <v>0</v>
      </c>
      <c r="CX200" s="37">
        <f>IF(CT193=0,0,SUMPRODUCT(CU200:CW200,Rank_score)/CT$58)</f>
        <v>0</v>
      </c>
      <c r="CY200" s="14"/>
      <c r="CZ200" s="140" t="s">
        <v>338</v>
      </c>
      <c r="DA200" s="27">
        <f t="shared" ref="DA200:DF200" si="139">COUNTIFS(S26_stakeholder_category,"NGO",Response_Q162_3,"&lt;&gt;0",Response_Q162_4,DA$63,Response_Q157_1,"&lt;&gt;0")</f>
        <v>0</v>
      </c>
      <c r="DB200" s="27">
        <f t="shared" si="139"/>
        <v>0</v>
      </c>
      <c r="DC200" s="27">
        <f t="shared" si="139"/>
        <v>0</v>
      </c>
      <c r="DD200" s="27">
        <f t="shared" si="139"/>
        <v>0</v>
      </c>
      <c r="DE200" s="27">
        <f t="shared" si="139"/>
        <v>0</v>
      </c>
      <c r="DF200" s="27">
        <f t="shared" si="139"/>
        <v>0</v>
      </c>
      <c r="DG200" s="141" t="str">
        <f t="shared" si="137"/>
        <v>Factor not ranked</v>
      </c>
      <c r="DH200" s="14"/>
      <c r="DI200" s="47"/>
      <c r="DJ200" s="14"/>
      <c r="DK200" s="19"/>
      <c r="DL200" s="19"/>
      <c r="DM200" s="59"/>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row>
    <row r="201" spans="1:142" ht="14.4" x14ac:dyDescent="0.25">
      <c r="A201" s="14"/>
      <c r="B201" s="62"/>
      <c r="C201" s="19"/>
      <c r="D201" s="59"/>
      <c r="E201" s="14"/>
      <c r="F201" s="14"/>
      <c r="G201" s="14"/>
      <c r="H201" s="21"/>
      <c r="I201" s="21"/>
      <c r="J201" s="14"/>
      <c r="K201" s="14"/>
      <c r="L201" s="14"/>
      <c r="M201" s="14"/>
      <c r="N201" s="14"/>
      <c r="O201" s="14"/>
      <c r="P201" s="14"/>
      <c r="Q201" s="47"/>
      <c r="R201" s="19"/>
      <c r="S201" s="61"/>
      <c r="T201" s="19"/>
      <c r="U201" s="59"/>
      <c r="V201" s="14"/>
      <c r="W201" s="14"/>
      <c r="X201" s="14"/>
      <c r="Y201" s="14"/>
      <c r="Z201" s="13"/>
      <c r="AA201" s="30"/>
      <c r="AB201" s="30"/>
      <c r="AC201" s="30"/>
      <c r="AD201" s="30"/>
      <c r="AE201" s="30"/>
      <c r="AF201" s="47"/>
      <c r="AG201" s="19"/>
      <c r="AH201" s="61"/>
      <c r="AI201" s="19"/>
      <c r="AJ201" s="59"/>
      <c r="AK201" s="14"/>
      <c r="AL201" s="14"/>
      <c r="AM201" s="14"/>
      <c r="AN201" s="14"/>
      <c r="AO201" s="13"/>
      <c r="AP201" s="30"/>
      <c r="AQ201" s="30"/>
      <c r="AR201" s="30"/>
      <c r="AS201" s="30"/>
      <c r="AT201" s="30"/>
      <c r="AU201" s="47"/>
      <c r="AV201" s="14"/>
      <c r="AW201" s="61"/>
      <c r="AX201" s="19"/>
      <c r="AY201" s="59"/>
      <c r="AZ201" s="14"/>
      <c r="BA201" s="14"/>
      <c r="BB201" s="14"/>
      <c r="BC201" s="14"/>
      <c r="BD201" s="13"/>
      <c r="BE201" s="30"/>
      <c r="BF201" s="30"/>
      <c r="BG201" s="30"/>
      <c r="BH201" s="30"/>
      <c r="BI201" s="30"/>
      <c r="BJ201" s="47"/>
      <c r="BK201" s="19"/>
      <c r="BL201" s="61"/>
      <c r="BM201" s="19"/>
      <c r="BN201" s="59"/>
      <c r="BO201" s="14"/>
      <c r="BP201" s="14"/>
      <c r="BQ201" s="14"/>
      <c r="BR201" s="14"/>
      <c r="BS201" s="13"/>
      <c r="BT201" s="30"/>
      <c r="BU201" s="30"/>
      <c r="BV201" s="30"/>
      <c r="BW201" s="30"/>
      <c r="BX201" s="30"/>
      <c r="BY201" s="47"/>
      <c r="BZ201" s="14"/>
      <c r="CA201" s="140" t="s">
        <v>340</v>
      </c>
      <c r="CB201" s="27">
        <f>COUNTIFS(S26_stakeholder_category,"NGO",Response_Q161_5,"&lt;&gt;0",Response_Q156_1,"&lt;&gt;0")</f>
        <v>0</v>
      </c>
      <c r="CC201" s="37">
        <f>COUNTIFS(S26_stakeholder_category,"NGO",Response_Q161_5,1,Response_Q156_1,"&lt;&gt;0")</f>
        <v>0</v>
      </c>
      <c r="CD201" s="37">
        <f>COUNTIFS(S26_stakeholder_category,"NGO",Response_Q161_5,2,Response_Q156_1,"&lt;&gt;0")</f>
        <v>0</v>
      </c>
      <c r="CE201" s="37">
        <f>COUNTIFS(S26_stakeholder_category,"NGO",Response_Q161_5,3,Response_Q156_1,"&lt;&gt;0")</f>
        <v>0</v>
      </c>
      <c r="CF201" s="97">
        <f>IF(CB193=0,0,SUMPRODUCT(CC201:CE201,Rank_score)/$CB193)</f>
        <v>0</v>
      </c>
      <c r="CG201" s="14"/>
      <c r="CH201" s="140" t="s">
        <v>340</v>
      </c>
      <c r="CI201" s="27">
        <f t="shared" ref="CI201:CN201" si="140">COUNTIFS(S26_stakeholder_category,"NGO",Response_Q161_5,"&lt;&gt;0",Response_Q161_6,CI$63,Response_Q156_1,"&lt;&gt;0")</f>
        <v>0</v>
      </c>
      <c r="CJ201" s="27">
        <f t="shared" si="140"/>
        <v>0</v>
      </c>
      <c r="CK201" s="27">
        <f t="shared" si="140"/>
        <v>0</v>
      </c>
      <c r="CL201" s="27">
        <f t="shared" si="140"/>
        <v>0</v>
      </c>
      <c r="CM201" s="27">
        <f t="shared" si="140"/>
        <v>0</v>
      </c>
      <c r="CN201" s="27">
        <f t="shared" si="140"/>
        <v>0</v>
      </c>
      <c r="CO201" s="141" t="str">
        <f t="shared" si="135"/>
        <v>Factor not ranked</v>
      </c>
      <c r="CP201" s="14"/>
      <c r="CQ201" s="47"/>
      <c r="CR201" s="14"/>
      <c r="CS201" s="140" t="s">
        <v>159</v>
      </c>
      <c r="CT201" s="27">
        <f>COUNTIFS(S26_stakeholder_category,"NGO",Response_Q162_5,"&lt;&gt;0",Response_Q157_1,"&lt;&gt;0")</f>
        <v>0</v>
      </c>
      <c r="CU201" s="37">
        <f>COUNTIFS(S26_stakeholder_category,"NGO",Response_Q162_5,1,Response_Q157_1,"&lt;&gt;0")</f>
        <v>0</v>
      </c>
      <c r="CV201" s="37">
        <f>COUNTIFS(S26_stakeholder_category,"NGO",Response_Q162_5,2,Response_Q157_1,"&lt;&gt;0")</f>
        <v>0</v>
      </c>
      <c r="CW201" s="37">
        <f>COUNTIFS(S26_stakeholder_category,"NGO",Response_Q162_5,3,Response_Q157_1,"&lt;&gt;0")</f>
        <v>0</v>
      </c>
      <c r="CX201" s="37">
        <f>IF(CT193=0,0,SUMPRODUCT(CU201:CW201,Rank_score)/CT$58)</f>
        <v>0</v>
      </c>
      <c r="CY201" s="14"/>
      <c r="CZ201" s="140" t="s">
        <v>159</v>
      </c>
      <c r="DA201" s="27">
        <f t="shared" ref="DA201:DF201" si="141">COUNTIFS(S26_stakeholder_category,"NGO",Response_Q162_5,"&lt;&gt;0",Response_Q162_6,DA$63,Response_Q157_1,"&lt;&gt;0")</f>
        <v>0</v>
      </c>
      <c r="DB201" s="27">
        <f t="shared" si="141"/>
        <v>0</v>
      </c>
      <c r="DC201" s="27">
        <f t="shared" si="141"/>
        <v>0</v>
      </c>
      <c r="DD201" s="27">
        <f t="shared" si="141"/>
        <v>0</v>
      </c>
      <c r="DE201" s="27">
        <f t="shared" si="141"/>
        <v>0</v>
      </c>
      <c r="DF201" s="27">
        <f t="shared" si="141"/>
        <v>0</v>
      </c>
      <c r="DG201" s="141" t="str">
        <f t="shared" si="137"/>
        <v>Factor not ranked</v>
      </c>
      <c r="DH201" s="14"/>
      <c r="DI201" s="47"/>
      <c r="DJ201" s="14"/>
      <c r="DK201" s="19"/>
      <c r="DL201" s="19"/>
      <c r="DM201" s="59"/>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row>
    <row r="202" spans="1:142" x14ac:dyDescent="0.25">
      <c r="A202" s="14"/>
      <c r="B202" s="62"/>
      <c r="C202" s="19"/>
      <c r="D202" s="59"/>
      <c r="E202" s="14"/>
      <c r="F202" s="14"/>
      <c r="G202" s="14"/>
      <c r="H202" s="21"/>
      <c r="I202" s="21"/>
      <c r="J202" s="14"/>
      <c r="K202" s="14"/>
      <c r="L202" s="14"/>
      <c r="M202" s="14"/>
      <c r="N202" s="14"/>
      <c r="O202" s="14"/>
      <c r="P202" s="14"/>
      <c r="Q202" s="47"/>
      <c r="R202" s="19"/>
      <c r="S202" s="62"/>
      <c r="T202" s="19"/>
      <c r="U202" s="59"/>
      <c r="V202" s="14"/>
      <c r="W202" s="14"/>
      <c r="X202" s="14"/>
      <c r="Y202" s="14"/>
      <c r="Z202" s="14"/>
      <c r="AA202" s="14"/>
      <c r="AB202" s="14"/>
      <c r="AC202" s="14"/>
      <c r="AD202" s="14"/>
      <c r="AE202" s="14"/>
      <c r="AF202" s="47"/>
      <c r="AG202" s="19"/>
      <c r="AH202" s="62"/>
      <c r="AI202" s="19"/>
      <c r="AJ202" s="59"/>
      <c r="AK202" s="14"/>
      <c r="AL202" s="14"/>
      <c r="AM202" s="14"/>
      <c r="AN202" s="14"/>
      <c r="AO202" s="14"/>
      <c r="AP202" s="14"/>
      <c r="AQ202" s="14"/>
      <c r="AR202" s="14"/>
      <c r="AS202" s="14"/>
      <c r="AT202" s="14"/>
      <c r="AU202" s="47"/>
      <c r="AV202" s="14"/>
      <c r="AW202" s="62"/>
      <c r="AX202" s="19"/>
      <c r="AY202" s="59"/>
      <c r="AZ202" s="14"/>
      <c r="BA202" s="14"/>
      <c r="BB202" s="14"/>
      <c r="BC202" s="14"/>
      <c r="BD202" s="14"/>
      <c r="BE202" s="14"/>
      <c r="BF202" s="14"/>
      <c r="BG202" s="14"/>
      <c r="BH202" s="14"/>
      <c r="BI202" s="14"/>
      <c r="BJ202" s="47"/>
      <c r="BK202" s="19"/>
      <c r="BL202" s="62"/>
      <c r="BM202" s="19"/>
      <c r="BN202" s="59"/>
      <c r="BO202" s="14"/>
      <c r="BP202" s="14"/>
      <c r="BQ202" s="14"/>
      <c r="BR202" s="14"/>
      <c r="BS202" s="14"/>
      <c r="BT202" s="14"/>
      <c r="BU202" s="14"/>
      <c r="BV202" s="14"/>
      <c r="BW202" s="14"/>
      <c r="BX202" s="14"/>
      <c r="BY202" s="47"/>
      <c r="BZ202" s="14"/>
      <c r="CA202" s="140" t="s">
        <v>341</v>
      </c>
      <c r="CB202" s="27">
        <f>COUNTIFS(S26_stakeholder_category,"NGO",Response_Q161_7,"&lt;&gt;0",Response_Q156_1,"&lt;&gt;0")</f>
        <v>0</v>
      </c>
      <c r="CC202" s="37">
        <f>COUNTIFS(S26_stakeholder_category,"NGO",Response_Q161_7,1,Response_Q156_1,"&lt;&gt;0")</f>
        <v>0</v>
      </c>
      <c r="CD202" s="37">
        <f>COUNTIFS(S26_stakeholder_category,"NGO",Response_Q161_7,2,Response_Q156_1,"&lt;&gt;0")</f>
        <v>0</v>
      </c>
      <c r="CE202" s="37">
        <f>COUNTIFS(S26_stakeholder_category,"NGO",Response_Q161_7,3,Response_Q156_1,"&lt;&gt;0")</f>
        <v>0</v>
      </c>
      <c r="CF202" s="97">
        <f>IF(CB193=0,0,SUMPRODUCT(CC202:CE202,Rank_score)/$CB193)</f>
        <v>0</v>
      </c>
      <c r="CG202" s="14"/>
      <c r="CH202" s="140" t="s">
        <v>341</v>
      </c>
      <c r="CI202" s="27">
        <f t="shared" ref="CI202:CN202" si="142">COUNTIFS(S26_stakeholder_category,"NGO",Response_Q161_7,"&lt;&gt;0",Response_Q161_8,CI$63,Response_Q156_1,"&lt;&gt;0")</f>
        <v>0</v>
      </c>
      <c r="CJ202" s="27">
        <f t="shared" si="142"/>
        <v>0</v>
      </c>
      <c r="CK202" s="27">
        <f t="shared" si="142"/>
        <v>0</v>
      </c>
      <c r="CL202" s="27">
        <f t="shared" si="142"/>
        <v>0</v>
      </c>
      <c r="CM202" s="27">
        <f t="shared" si="142"/>
        <v>0</v>
      </c>
      <c r="CN202" s="27">
        <f t="shared" si="142"/>
        <v>0</v>
      </c>
      <c r="CO202" s="141" t="str">
        <f t="shared" si="135"/>
        <v>Factor not ranked</v>
      </c>
      <c r="CP202" s="14"/>
      <c r="CQ202" s="47"/>
      <c r="CR202" s="14"/>
      <c r="CS202" s="140" t="s">
        <v>345</v>
      </c>
      <c r="CT202" s="27">
        <f>COUNTIFS(S26_stakeholder_category,"NGO",Response_Q162_7,"&lt;&gt;0",Response_Q157_1,"&lt;&gt;0")</f>
        <v>0</v>
      </c>
      <c r="CU202" s="37">
        <f>COUNTIFS(S26_stakeholder_category,"NGO",Response_Q162_7,1,Response_Q157_1,"&lt;&gt;0")</f>
        <v>0</v>
      </c>
      <c r="CV202" s="37">
        <f>COUNTIFS(S26_stakeholder_category,"NGO",Response_Q162_7,2,Response_Q157_1,"&lt;&gt;0")</f>
        <v>0</v>
      </c>
      <c r="CW202" s="37">
        <f>COUNTIFS(S26_stakeholder_category,"NGO",Response_Q162_7,3,Response_Q157_1,"&lt;&gt;0")</f>
        <v>0</v>
      </c>
      <c r="CX202" s="37">
        <f>IF(CT193=0,0,SUMPRODUCT(CU202:CW202,Rank_score)/CT$58)</f>
        <v>0</v>
      </c>
      <c r="CY202" s="14"/>
      <c r="CZ202" s="140" t="s">
        <v>345</v>
      </c>
      <c r="DA202" s="27">
        <f t="shared" ref="DA202:DF202" si="143">COUNTIFS(S26_stakeholder_category,"NGO",Response_Q162_7,"&lt;&gt;0",Response_Q162_8,DA$63,Response_Q157_1,"&lt;&gt;0")</f>
        <v>0</v>
      </c>
      <c r="DB202" s="27">
        <f t="shared" si="143"/>
        <v>0</v>
      </c>
      <c r="DC202" s="27">
        <f t="shared" si="143"/>
        <v>0</v>
      </c>
      <c r="DD202" s="27">
        <f t="shared" si="143"/>
        <v>0</v>
      </c>
      <c r="DE202" s="27">
        <f t="shared" si="143"/>
        <v>0</v>
      </c>
      <c r="DF202" s="27">
        <f t="shared" si="143"/>
        <v>0</v>
      </c>
      <c r="DG202" s="141" t="str">
        <f t="shared" si="137"/>
        <v>Factor not ranked</v>
      </c>
      <c r="DH202" s="14"/>
      <c r="DI202" s="47"/>
      <c r="DJ202" s="14"/>
      <c r="DK202" s="56"/>
      <c r="DL202" s="29"/>
      <c r="DM202" s="59"/>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row>
    <row r="203" spans="1:142" x14ac:dyDescent="0.25">
      <c r="A203" s="14"/>
      <c r="B203" s="62"/>
      <c r="C203" s="19"/>
      <c r="D203" s="59"/>
      <c r="E203" s="14"/>
      <c r="F203" s="14"/>
      <c r="G203" s="14"/>
      <c r="H203" s="21"/>
      <c r="I203" s="21"/>
      <c r="J203" s="14"/>
      <c r="K203" s="14"/>
      <c r="L203" s="14"/>
      <c r="M203" s="14"/>
      <c r="N203" s="14"/>
      <c r="O203" s="14"/>
      <c r="P203" s="14"/>
      <c r="Q203" s="47"/>
      <c r="R203" s="19"/>
      <c r="S203" s="62"/>
      <c r="T203" s="19"/>
      <c r="U203" s="59"/>
      <c r="V203" s="14"/>
      <c r="W203" s="14"/>
      <c r="X203" s="14"/>
      <c r="Y203" s="14"/>
      <c r="Z203" s="14"/>
      <c r="AA203" s="14"/>
      <c r="AB203" s="14"/>
      <c r="AC203" s="14"/>
      <c r="AD203" s="14"/>
      <c r="AE203" s="14"/>
      <c r="AF203" s="47"/>
      <c r="AG203" s="19"/>
      <c r="AH203" s="62"/>
      <c r="AI203" s="19"/>
      <c r="AJ203" s="59"/>
      <c r="AK203" s="14"/>
      <c r="AL203" s="14"/>
      <c r="AM203" s="14"/>
      <c r="AN203" s="14"/>
      <c r="AO203" s="14"/>
      <c r="AP203" s="14"/>
      <c r="AQ203" s="14"/>
      <c r="AR203" s="14"/>
      <c r="AS203" s="14"/>
      <c r="AT203" s="14"/>
      <c r="AU203" s="47"/>
      <c r="AV203" s="14"/>
      <c r="AW203" s="62"/>
      <c r="AX203" s="19"/>
      <c r="AY203" s="59"/>
      <c r="AZ203" s="14"/>
      <c r="BA203" s="14"/>
      <c r="BB203" s="14"/>
      <c r="BC203" s="14"/>
      <c r="BD203" s="14"/>
      <c r="BE203" s="14"/>
      <c r="BF203" s="14"/>
      <c r="BG203" s="14"/>
      <c r="BH203" s="14"/>
      <c r="BI203" s="14"/>
      <c r="BJ203" s="47"/>
      <c r="BK203" s="19"/>
      <c r="BL203" s="62"/>
      <c r="BM203" s="19"/>
      <c r="BN203" s="59"/>
      <c r="BO203" s="14"/>
      <c r="BP203" s="14"/>
      <c r="BQ203" s="14"/>
      <c r="BR203" s="14"/>
      <c r="BS203" s="14"/>
      <c r="BT203" s="14"/>
      <c r="BU203" s="14"/>
      <c r="BV203" s="14"/>
      <c r="BW203" s="14"/>
      <c r="BX203" s="14"/>
      <c r="BY203" s="47"/>
      <c r="BZ203" s="14"/>
      <c r="CA203" s="140" t="s">
        <v>462</v>
      </c>
      <c r="CB203" s="27">
        <f>COUNTIFS(S26_stakeholder_category,"NGO",Response_Q161_9,"&lt;&gt;0",Response_Q156_1,"&lt;&gt;0")</f>
        <v>0</v>
      </c>
      <c r="CC203" s="37">
        <f>COUNTIFS(S26_stakeholder_category,"NGO",Response_Q161_9,1,Response_Q156_1,"&lt;&gt;0")</f>
        <v>0</v>
      </c>
      <c r="CD203" s="37">
        <f>COUNTIFS(S26_stakeholder_category,"NGO",Response_Q161_9,2,Response_Q156_1,"&lt;&gt;0")</f>
        <v>0</v>
      </c>
      <c r="CE203" s="37">
        <f>COUNTIFS(S26_stakeholder_category,"NGO",Response_Q161_9,3,Response_Q156_1,"&lt;&gt;0")</f>
        <v>0</v>
      </c>
      <c r="CF203" s="97">
        <f>IF(CB193=0,0,SUMPRODUCT(CC203:CE203,Rank_score)/$CB193)</f>
        <v>0</v>
      </c>
      <c r="CG203" s="14"/>
      <c r="CH203" s="140" t="s">
        <v>462</v>
      </c>
      <c r="CI203" s="27">
        <f t="shared" ref="CI203:CN203" si="144">COUNTIFS(S26_stakeholder_category,"NGO",Response_Q161_9,"&lt;&gt;0",Response_Q161_10,CI$63,Response_Q156_1,"&lt;&gt;0")</f>
        <v>0</v>
      </c>
      <c r="CJ203" s="27">
        <f t="shared" si="144"/>
        <v>0</v>
      </c>
      <c r="CK203" s="27">
        <f t="shared" si="144"/>
        <v>0</v>
      </c>
      <c r="CL203" s="27">
        <f t="shared" si="144"/>
        <v>0</v>
      </c>
      <c r="CM203" s="27">
        <f t="shared" si="144"/>
        <v>0</v>
      </c>
      <c r="CN203" s="27">
        <f t="shared" si="144"/>
        <v>0</v>
      </c>
      <c r="CO203" s="141" t="str">
        <f t="shared" si="135"/>
        <v>Factor not ranked</v>
      </c>
      <c r="CP203" s="14"/>
      <c r="CQ203" s="47"/>
      <c r="CR203" s="14"/>
      <c r="CS203" s="140" t="s">
        <v>342</v>
      </c>
      <c r="CT203" s="27">
        <f>COUNTIFS(S26_stakeholder_category,"NGO",Response_Q162_9,"&lt;&gt;0",Response_Q157_1,"&lt;&gt;0")</f>
        <v>0</v>
      </c>
      <c r="CU203" s="37">
        <f>COUNTIFS(S26_stakeholder_category,"NGO",Response_Q162_9,1,Response_Q157_1,"&lt;&gt;0")</f>
        <v>0</v>
      </c>
      <c r="CV203" s="37">
        <f>COUNTIFS(S26_stakeholder_category,"NGO",Response_Q162_9,2,Response_Q157_1,"&lt;&gt;0")</f>
        <v>0</v>
      </c>
      <c r="CW203" s="37">
        <f>COUNTIFS(S26_stakeholder_category,"NGO",Response_Q162_9,3,Response_Q157_1,"&lt;&gt;0")</f>
        <v>0</v>
      </c>
      <c r="CX203" s="37">
        <f>IF(CT193=0,0,SUMPRODUCT(CU203:CW203,Rank_score)/CT$58)</f>
        <v>0</v>
      </c>
      <c r="CY203" s="14"/>
      <c r="CZ203" s="140" t="s">
        <v>342</v>
      </c>
      <c r="DA203" s="27">
        <f t="shared" ref="DA203:DF203" si="145">COUNTIFS(S26_stakeholder_category,"NGO",Response_Q162_9,"&lt;&gt;0",Response_Q162_10,DA$63,Response_Q157_1,"&lt;&gt;0")</f>
        <v>0</v>
      </c>
      <c r="DB203" s="27">
        <f t="shared" si="145"/>
        <v>0</v>
      </c>
      <c r="DC203" s="27">
        <f t="shared" si="145"/>
        <v>0</v>
      </c>
      <c r="DD203" s="27">
        <f t="shared" si="145"/>
        <v>0</v>
      </c>
      <c r="DE203" s="27">
        <f t="shared" si="145"/>
        <v>0</v>
      </c>
      <c r="DF203" s="27">
        <f t="shared" si="145"/>
        <v>0</v>
      </c>
      <c r="DG203" s="141" t="str">
        <f t="shared" si="137"/>
        <v>Factor not ranked</v>
      </c>
      <c r="DH203" s="14"/>
      <c r="DI203" s="47"/>
      <c r="DJ203" s="14"/>
      <c r="DK203" s="56"/>
      <c r="DL203" s="19"/>
      <c r="DM203" s="59"/>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row>
    <row r="204" spans="1:142" ht="15" x14ac:dyDescent="0.25">
      <c r="A204" s="14"/>
      <c r="B204" s="62"/>
      <c r="C204" s="19"/>
      <c r="D204" s="59"/>
      <c r="E204" s="14"/>
      <c r="F204" s="14"/>
      <c r="G204" s="14"/>
      <c r="H204" s="21"/>
      <c r="I204" s="21"/>
      <c r="J204" s="14"/>
      <c r="K204" s="14"/>
      <c r="L204" s="14"/>
      <c r="M204" s="14"/>
      <c r="N204" s="14"/>
      <c r="O204" s="14"/>
      <c r="P204" s="14"/>
      <c r="Q204" s="47"/>
      <c r="R204" s="19"/>
      <c r="S204" s="62"/>
      <c r="T204" s="19"/>
      <c r="U204" s="59"/>
      <c r="V204" s="14"/>
      <c r="W204" s="14"/>
      <c r="X204" s="14"/>
      <c r="Y204" s="14"/>
      <c r="Z204" s="14"/>
      <c r="AA204" s="14"/>
      <c r="AB204" s="95"/>
      <c r="AC204" s="14"/>
      <c r="AD204" s="14"/>
      <c r="AE204" s="14"/>
      <c r="AF204" s="47"/>
      <c r="AG204" s="19"/>
      <c r="AH204" s="62"/>
      <c r="AI204" s="19"/>
      <c r="AJ204" s="59"/>
      <c r="AK204" s="14"/>
      <c r="AL204" s="14"/>
      <c r="AM204" s="14"/>
      <c r="AN204" s="14"/>
      <c r="AO204" s="14"/>
      <c r="AP204" s="14"/>
      <c r="AQ204" s="95"/>
      <c r="AR204" s="14"/>
      <c r="AS204" s="14"/>
      <c r="AT204" s="14"/>
      <c r="AU204" s="47"/>
      <c r="AV204" s="14"/>
      <c r="AW204" s="62"/>
      <c r="AX204" s="19"/>
      <c r="AY204" s="59"/>
      <c r="AZ204" s="14"/>
      <c r="BA204" s="14"/>
      <c r="BB204" s="14"/>
      <c r="BC204" s="14"/>
      <c r="BD204" s="14"/>
      <c r="BE204" s="14"/>
      <c r="BF204" s="95"/>
      <c r="BG204" s="14"/>
      <c r="BH204" s="14"/>
      <c r="BI204" s="14"/>
      <c r="BJ204" s="47"/>
      <c r="BK204" s="19"/>
      <c r="BL204" s="62"/>
      <c r="BM204" s="19"/>
      <c r="BN204" s="59"/>
      <c r="BO204" s="14"/>
      <c r="BP204" s="14"/>
      <c r="BQ204" s="14"/>
      <c r="BR204" s="14"/>
      <c r="BS204" s="14"/>
      <c r="BT204" s="14"/>
      <c r="BU204" s="95"/>
      <c r="BV204" s="14"/>
      <c r="BW204" s="14"/>
      <c r="BX204" s="14"/>
      <c r="BY204" s="47"/>
      <c r="BZ204" s="14"/>
      <c r="CA204" s="106" t="s">
        <v>49</v>
      </c>
      <c r="CB204" s="27">
        <f>COUNTIFS(S26_stakeholder_category,"NGO",Response_Q161_11,"&lt;&gt;0",Response_Q156_1,"&lt;&gt;0")</f>
        <v>0</v>
      </c>
      <c r="CC204" s="37">
        <f>COUNTIFS(S26_stakeholder_category,"NGO",Response_Q161_11,1,Response_Q156_1,"&lt;&gt;0")</f>
        <v>0</v>
      </c>
      <c r="CD204" s="37">
        <f>COUNTIFS(S26_stakeholder_category,"NGO",Response_Q161_11,2,Response_Q156_1,"&lt;&gt;0")</f>
        <v>0</v>
      </c>
      <c r="CE204" s="37">
        <f>COUNTIFS(S26_stakeholder_category,"NGO",Response_Q161_11,3,Response_Q156_1,"&lt;&gt;0")</f>
        <v>0</v>
      </c>
      <c r="CF204" s="97">
        <f>IF(CB193=0,0,SUMPRODUCT(CC204:CE204,Rank_score)/$CB193)</f>
        <v>0</v>
      </c>
      <c r="CG204" s="43"/>
      <c r="CH204" s="106" t="s">
        <v>49</v>
      </c>
      <c r="CI204" s="27">
        <f t="shared" ref="CI204:CN204" si="146">COUNTIFS(S26_stakeholder_category,"NGO",Response_Q161_11,"&lt;&gt;0",Response_Q161_12,CI$63,Response_Q156_1,"&lt;&gt;0")</f>
        <v>0</v>
      </c>
      <c r="CJ204" s="27">
        <f t="shared" si="146"/>
        <v>0</v>
      </c>
      <c r="CK204" s="27">
        <f t="shared" si="146"/>
        <v>0</v>
      </c>
      <c r="CL204" s="27">
        <f t="shared" si="146"/>
        <v>0</v>
      </c>
      <c r="CM204" s="27">
        <f t="shared" si="146"/>
        <v>0</v>
      </c>
      <c r="CN204" s="27">
        <f t="shared" si="146"/>
        <v>0</v>
      </c>
      <c r="CO204" s="141" t="str">
        <f t="shared" si="135"/>
        <v>Factor not ranked</v>
      </c>
      <c r="CP204" s="14"/>
      <c r="CQ204" s="47"/>
      <c r="CR204" s="14"/>
      <c r="CS204" s="106" t="s">
        <v>49</v>
      </c>
      <c r="CT204" s="27">
        <f>COUNTIFS(S26_stakeholder_category,"NGO",Response_Q162_11,"&lt;&gt;0",Response_Q157_1,"&lt;&gt;0")</f>
        <v>0</v>
      </c>
      <c r="CU204" s="37">
        <f>COUNTIFS(S26_stakeholder_category,"NGO",Response_Q162_11,1,Response_Q157_1,"&lt;&gt;0")</f>
        <v>0</v>
      </c>
      <c r="CV204" s="37">
        <f>COUNTIFS(S26_stakeholder_category,"NGO",Response_Q162_11,2,Response_Q157_1,"&lt;&gt;0")</f>
        <v>0</v>
      </c>
      <c r="CW204" s="37">
        <f>COUNTIFS(S26_stakeholder_category,"NGO",Response_Q162_11,3,Response_Q157_1,"&lt;&gt;0")</f>
        <v>0</v>
      </c>
      <c r="CX204" s="37">
        <f>IF(CT193=0,0,SUMPRODUCT(CU204:CW204,Rank_score)/CT$58)</f>
        <v>0</v>
      </c>
      <c r="CY204" s="43"/>
      <c r="CZ204" s="106" t="s">
        <v>49</v>
      </c>
      <c r="DA204" s="27">
        <f t="shared" ref="DA204:DF204" si="147">COUNTIFS(S26_stakeholder_category,"NGO",Response_Q162_11,"&lt;&gt;0",Response_Q162_12,DA$63,Response_Q157_1,"&lt;&gt;0")</f>
        <v>0</v>
      </c>
      <c r="DB204" s="27">
        <f t="shared" si="147"/>
        <v>0</v>
      </c>
      <c r="DC204" s="27">
        <f t="shared" si="147"/>
        <v>0</v>
      </c>
      <c r="DD204" s="27">
        <f t="shared" si="147"/>
        <v>0</v>
      </c>
      <c r="DE204" s="27">
        <f t="shared" si="147"/>
        <v>0</v>
      </c>
      <c r="DF204" s="27">
        <f t="shared" si="147"/>
        <v>0</v>
      </c>
      <c r="DG204" s="141" t="str">
        <f t="shared" si="137"/>
        <v>Factor not ranked</v>
      </c>
      <c r="DH204" s="14"/>
      <c r="DI204" s="47"/>
      <c r="DJ204" s="14"/>
      <c r="DK204" s="14"/>
      <c r="DL204" s="19"/>
      <c r="DM204" s="59"/>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row>
    <row r="205" spans="1:142" x14ac:dyDescent="0.25">
      <c r="A205" s="14"/>
      <c r="B205" s="62"/>
      <c r="C205" s="19"/>
      <c r="D205" s="59"/>
      <c r="E205" s="14"/>
      <c r="F205" s="14"/>
      <c r="G205" s="14"/>
      <c r="H205" s="21"/>
      <c r="I205" s="21"/>
      <c r="J205" s="14"/>
      <c r="K205" s="14"/>
      <c r="L205" s="14"/>
      <c r="M205" s="14"/>
      <c r="N205" s="14"/>
      <c r="O205" s="14"/>
      <c r="P205" s="14"/>
      <c r="Q205" s="47"/>
      <c r="R205" s="19"/>
      <c r="S205" s="19"/>
      <c r="T205" s="19"/>
      <c r="U205" s="59"/>
      <c r="V205" s="14"/>
      <c r="W205" s="14"/>
      <c r="X205" s="14"/>
      <c r="Y205" s="14"/>
      <c r="Z205" s="14"/>
      <c r="AA205" s="14"/>
      <c r="AB205" s="14"/>
      <c r="AC205" s="14"/>
      <c r="AD205" s="14"/>
      <c r="AE205" s="14"/>
      <c r="AF205" s="47"/>
      <c r="AG205" s="19"/>
      <c r="AH205" s="19"/>
      <c r="AI205" s="19"/>
      <c r="AJ205" s="59"/>
      <c r="AK205" s="14"/>
      <c r="AL205" s="14"/>
      <c r="AM205" s="14"/>
      <c r="AN205" s="14"/>
      <c r="AO205" s="14"/>
      <c r="AP205" s="14"/>
      <c r="AQ205" s="14"/>
      <c r="AR205" s="14"/>
      <c r="AS205" s="14"/>
      <c r="AT205" s="14"/>
      <c r="AU205" s="47"/>
      <c r="AV205" s="14"/>
      <c r="AW205" s="19"/>
      <c r="AX205" s="19"/>
      <c r="AY205" s="59"/>
      <c r="AZ205" s="14"/>
      <c r="BA205" s="14"/>
      <c r="BB205" s="14"/>
      <c r="BC205" s="14"/>
      <c r="BD205" s="14"/>
      <c r="BE205" s="14"/>
      <c r="BF205" s="14"/>
      <c r="BG205" s="14"/>
      <c r="BH205" s="14"/>
      <c r="BI205" s="14"/>
      <c r="BJ205" s="47"/>
      <c r="BK205" s="19"/>
      <c r="BL205" s="19"/>
      <c r="BM205" s="19"/>
      <c r="BN205" s="59"/>
      <c r="BO205" s="14"/>
      <c r="BP205" s="14"/>
      <c r="BQ205" s="14"/>
      <c r="BR205" s="14"/>
      <c r="BS205" s="14"/>
      <c r="BT205" s="14"/>
      <c r="BU205" s="14"/>
      <c r="BV205" s="14"/>
      <c r="BW205" s="14"/>
      <c r="BX205" s="14"/>
      <c r="BY205" s="47"/>
      <c r="BZ205" s="14"/>
      <c r="CA205" s="107"/>
      <c r="CB205" s="27"/>
      <c r="CC205" s="37"/>
      <c r="CD205" s="37"/>
      <c r="CE205" s="37"/>
      <c r="CF205" s="97"/>
      <c r="CG205" s="29"/>
      <c r="CH205" s="107"/>
      <c r="CI205" s="27"/>
      <c r="CJ205" s="27"/>
      <c r="CK205" s="27"/>
      <c r="CL205" s="27"/>
      <c r="CM205" s="27"/>
      <c r="CN205" s="27"/>
      <c r="CO205" s="141" t="str">
        <f t="shared" si="135"/>
        <v/>
      </c>
      <c r="CP205" s="14"/>
      <c r="CQ205" s="47"/>
      <c r="CR205" s="14"/>
      <c r="CS205" s="107"/>
      <c r="CT205" s="27"/>
      <c r="CU205" s="37"/>
      <c r="CV205" s="37"/>
      <c r="CW205" s="37"/>
      <c r="CX205" s="37"/>
      <c r="CY205" s="29"/>
      <c r="CZ205" s="106"/>
      <c r="DA205" s="27"/>
      <c r="DB205" s="27"/>
      <c r="DC205" s="27"/>
      <c r="DD205" s="27"/>
      <c r="DE205" s="27"/>
      <c r="DF205" s="27"/>
      <c r="DG205" s="141" t="str">
        <f t="shared" si="137"/>
        <v/>
      </c>
      <c r="DH205" s="14"/>
      <c r="DI205" s="47"/>
      <c r="DJ205" s="14"/>
      <c r="DK205" s="14"/>
      <c r="DL205" s="19"/>
      <c r="DM205" s="59"/>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row>
    <row r="206" spans="1:142" x14ac:dyDescent="0.25">
      <c r="A206" s="14"/>
      <c r="B206" s="19"/>
      <c r="C206" s="19"/>
      <c r="D206" s="59"/>
      <c r="E206" s="14"/>
      <c r="F206" s="14"/>
      <c r="G206" s="109" t="s">
        <v>14</v>
      </c>
      <c r="H206" s="110" t="s">
        <v>6</v>
      </c>
      <c r="I206" s="110" t="s">
        <v>7</v>
      </c>
      <c r="J206" s="14"/>
      <c r="K206" s="14"/>
      <c r="L206" s="14"/>
      <c r="M206" s="14"/>
      <c r="N206" s="14"/>
      <c r="O206" s="14"/>
      <c r="P206" s="14"/>
      <c r="Q206" s="47"/>
      <c r="R206" s="19"/>
      <c r="S206" s="19"/>
      <c r="T206" s="19"/>
      <c r="U206" s="59"/>
      <c r="V206" s="14"/>
      <c r="W206" s="14"/>
      <c r="X206" s="109" t="s">
        <v>14</v>
      </c>
      <c r="Y206" s="110" t="s">
        <v>6</v>
      </c>
      <c r="Z206" s="110" t="s">
        <v>7</v>
      </c>
      <c r="AA206" s="14"/>
      <c r="AB206" s="14"/>
      <c r="AC206" s="14"/>
      <c r="AD206" s="14"/>
      <c r="AE206" s="14"/>
      <c r="AF206" s="47"/>
      <c r="AG206" s="19"/>
      <c r="AH206" s="19"/>
      <c r="AI206" s="19"/>
      <c r="AJ206" s="59"/>
      <c r="AK206" s="14"/>
      <c r="AL206" s="14"/>
      <c r="AM206" s="109" t="s">
        <v>14</v>
      </c>
      <c r="AN206" s="110" t="s">
        <v>6</v>
      </c>
      <c r="AO206" s="110" t="s">
        <v>7</v>
      </c>
      <c r="AP206" s="14"/>
      <c r="AQ206" s="14"/>
      <c r="AR206" s="14"/>
      <c r="AS206" s="14"/>
      <c r="AT206" s="14"/>
      <c r="AU206" s="47"/>
      <c r="AV206" s="14"/>
      <c r="AW206" s="19"/>
      <c r="AX206" s="19"/>
      <c r="AY206" s="59"/>
      <c r="AZ206" s="14"/>
      <c r="BA206" s="14"/>
      <c r="BB206" s="109" t="s">
        <v>14</v>
      </c>
      <c r="BC206" s="110" t="s">
        <v>6</v>
      </c>
      <c r="BD206" s="110" t="s">
        <v>7</v>
      </c>
      <c r="BE206" s="14"/>
      <c r="BF206" s="14"/>
      <c r="BG206" s="14"/>
      <c r="BH206" s="14"/>
      <c r="BI206" s="14"/>
      <c r="BJ206" s="47"/>
      <c r="BK206" s="19"/>
      <c r="BL206" s="19"/>
      <c r="BM206" s="19"/>
      <c r="BN206" s="59"/>
      <c r="BO206" s="14"/>
      <c r="BP206" s="14"/>
      <c r="BQ206" s="109" t="s">
        <v>14</v>
      </c>
      <c r="BR206" s="110" t="s">
        <v>6</v>
      </c>
      <c r="BS206" s="110" t="s">
        <v>7</v>
      </c>
      <c r="BT206" s="14"/>
      <c r="BU206" s="14"/>
      <c r="BV206" s="14"/>
      <c r="BW206" s="14"/>
      <c r="BX206" s="14"/>
      <c r="BY206" s="47"/>
      <c r="BZ206" s="14"/>
      <c r="CA206" s="86"/>
      <c r="CB206" s="111"/>
      <c r="CC206" s="111"/>
      <c r="CD206" s="179"/>
      <c r="CE206" s="179"/>
      <c r="CF206" s="108"/>
      <c r="CG206" s="29"/>
      <c r="CH206" s="109"/>
      <c r="CI206" s="109"/>
      <c r="CJ206" s="109"/>
      <c r="CK206" s="109"/>
      <c r="CL206" s="109"/>
      <c r="CM206" s="109"/>
      <c r="CN206" s="109"/>
      <c r="CO206" s="329"/>
      <c r="CP206" s="14"/>
      <c r="CQ206" s="47"/>
      <c r="CR206" s="14"/>
      <c r="CS206" s="107"/>
      <c r="CT206" s="27"/>
      <c r="CU206" s="37"/>
      <c r="CV206" s="37"/>
      <c r="CW206" s="37"/>
      <c r="CX206" s="37"/>
      <c r="CY206" s="29"/>
      <c r="CZ206" s="106"/>
      <c r="DA206" s="27"/>
      <c r="DB206" s="27"/>
      <c r="DC206" s="27"/>
      <c r="DD206" s="27"/>
      <c r="DE206" s="27"/>
      <c r="DF206" s="27"/>
      <c r="DG206" s="141" t="str">
        <f t="shared" si="137"/>
        <v/>
      </c>
      <c r="DH206" s="14"/>
      <c r="DI206" s="47"/>
      <c r="DJ206" s="14"/>
      <c r="DK206" s="14"/>
      <c r="DL206" s="19"/>
      <c r="DM206" s="59"/>
      <c r="DN206" s="14"/>
      <c r="DO206" s="14"/>
      <c r="DP206" s="109" t="s">
        <v>14</v>
      </c>
      <c r="DQ206" s="110" t="s">
        <v>6</v>
      </c>
      <c r="DR206" s="110" t="s">
        <v>7</v>
      </c>
      <c r="DS206" s="14"/>
      <c r="DT206" s="14"/>
      <c r="DU206" s="14"/>
      <c r="DV206" s="14"/>
      <c r="DW206" s="14"/>
      <c r="DX206" s="14"/>
      <c r="DY206" s="14"/>
      <c r="DZ206" s="14"/>
      <c r="EA206" s="14"/>
      <c r="EB206" s="14"/>
      <c r="EC206" s="14"/>
      <c r="ED206" s="14"/>
      <c r="EE206" s="14"/>
      <c r="EF206" s="14"/>
      <c r="EG206" s="14"/>
      <c r="EH206" s="14"/>
      <c r="EI206" s="14"/>
      <c r="EJ206" s="14"/>
      <c r="EK206" s="14"/>
      <c r="EL206" s="14"/>
    </row>
    <row r="207" spans="1:142" x14ac:dyDescent="0.25">
      <c r="A207" s="14"/>
      <c r="B207" s="19"/>
      <c r="C207" s="19"/>
      <c r="D207" s="59"/>
      <c r="E207" s="14"/>
      <c r="F207" s="14"/>
      <c r="G207" s="107" t="s">
        <v>34</v>
      </c>
      <c r="H207" s="27">
        <f>COUNTIFS(S26_stakeholder_category,"NGO",Response_Q156_1,G207)</f>
        <v>0</v>
      </c>
      <c r="I207" s="41" t="str">
        <f>IFERROR(H207/H$212,"")</f>
        <v/>
      </c>
      <c r="J207" s="14"/>
      <c r="K207" s="14"/>
      <c r="L207" s="14"/>
      <c r="M207" s="14"/>
      <c r="N207" s="14"/>
      <c r="O207" s="14"/>
      <c r="P207" s="14"/>
      <c r="Q207" s="47"/>
      <c r="R207" s="19"/>
      <c r="S207" s="56"/>
      <c r="T207" s="29"/>
      <c r="U207" s="59"/>
      <c r="V207" s="14"/>
      <c r="W207" s="14"/>
      <c r="X207" s="107" t="s">
        <v>5</v>
      </c>
      <c r="Y207" s="27">
        <f t="shared" ref="Y207:Y213" si="148">COUNTIFS(S26_stakeholder_category,"NGO",Response_Q160_1,X207)</f>
        <v>0</v>
      </c>
      <c r="Z207" s="41">
        <f t="shared" ref="Z207:Z214" si="149">IFERROR(Y207/Y$214,0)</f>
        <v>0</v>
      </c>
      <c r="AA207" s="14"/>
      <c r="AB207" s="14"/>
      <c r="AC207" s="14"/>
      <c r="AD207" s="14"/>
      <c r="AE207" s="14"/>
      <c r="AF207" s="47"/>
      <c r="AG207" s="19"/>
      <c r="AH207" s="56"/>
      <c r="AI207" s="29"/>
      <c r="AJ207" s="59"/>
      <c r="AK207" s="14"/>
      <c r="AL207" s="14"/>
      <c r="AM207" s="107" t="s">
        <v>5</v>
      </c>
      <c r="AN207" s="27">
        <f t="shared" ref="AN207:AN213" si="150">COUNTIFS(S26_stakeholder_category,"NGO",Response_26_CaseA,AM207)</f>
        <v>0</v>
      </c>
      <c r="AO207" s="41">
        <f>IFERROR(AN207/AN$214,0)</f>
        <v>0</v>
      </c>
      <c r="AP207" s="14"/>
      <c r="AQ207" s="14"/>
      <c r="AR207" s="14"/>
      <c r="AS207" s="14"/>
      <c r="AT207" s="14"/>
      <c r="AU207" s="47"/>
      <c r="AV207" s="14"/>
      <c r="AW207" s="56"/>
      <c r="AX207" s="29"/>
      <c r="AY207" s="59"/>
      <c r="AZ207" s="14"/>
      <c r="BA207" s="14"/>
      <c r="BB207" s="107" t="s">
        <v>5</v>
      </c>
      <c r="BC207" s="27">
        <f t="shared" ref="BC207:BC213" si="151">COUNTIFS(S26_stakeholder_category,"NGO",Response_26_CaseB,BB207)</f>
        <v>0</v>
      </c>
      <c r="BD207" s="41">
        <f>IFERROR(BC207/BC$214,0)</f>
        <v>0</v>
      </c>
      <c r="BE207" s="14"/>
      <c r="BF207" s="14"/>
      <c r="BG207" s="14"/>
      <c r="BH207" s="14"/>
      <c r="BI207" s="14"/>
      <c r="BJ207" s="47"/>
      <c r="BK207" s="19"/>
      <c r="BL207" s="56"/>
      <c r="BM207" s="29"/>
      <c r="BN207" s="59"/>
      <c r="BO207" s="14"/>
      <c r="BP207" s="14"/>
      <c r="BQ207" s="107" t="s">
        <v>5</v>
      </c>
      <c r="BR207" s="27">
        <f t="shared" ref="BR207:BR213" si="152">COUNTIFS(S26_stakeholder_category,"NGO",Response_26_CaseC,BQ207)</f>
        <v>0</v>
      </c>
      <c r="BS207" s="41">
        <f>IFERROR(BR207/BR$214,0)</f>
        <v>0</v>
      </c>
      <c r="BT207" s="14"/>
      <c r="BU207" s="14"/>
      <c r="BV207" s="14"/>
      <c r="BW207" s="14"/>
      <c r="BX207" s="14"/>
      <c r="BY207" s="47"/>
      <c r="BZ207" s="14"/>
      <c r="CA207" s="14"/>
      <c r="CB207" s="21"/>
      <c r="CC207" s="21"/>
      <c r="CD207" s="180"/>
      <c r="CE207" s="181"/>
      <c r="CF207" s="31"/>
      <c r="CG207" s="52"/>
      <c r="CH207" s="52"/>
      <c r="CI207" s="99"/>
      <c r="CJ207" s="14"/>
      <c r="CK207" s="14"/>
      <c r="CL207" s="14"/>
      <c r="CM207" s="14"/>
      <c r="CN207" s="14"/>
      <c r="CO207" s="129"/>
      <c r="CP207" s="14"/>
      <c r="CQ207" s="47"/>
      <c r="CR207" s="14"/>
      <c r="CS207" s="86"/>
      <c r="CT207" s="111"/>
      <c r="CU207" s="86"/>
      <c r="CV207" s="179"/>
      <c r="CW207" s="188"/>
      <c r="CX207" s="179"/>
      <c r="CY207" s="29"/>
      <c r="CZ207" s="109"/>
      <c r="DA207" s="109"/>
      <c r="DB207" s="109"/>
      <c r="DC207" s="109"/>
      <c r="DD207" s="109"/>
      <c r="DE207" s="109"/>
      <c r="DF207" s="109"/>
      <c r="DG207" s="329"/>
      <c r="DH207" s="14"/>
      <c r="DI207" s="47"/>
      <c r="DJ207" s="14"/>
      <c r="DK207" s="62"/>
      <c r="DL207" s="19"/>
      <c r="DM207" s="59"/>
      <c r="DN207" s="14"/>
      <c r="DO207" s="14"/>
      <c r="DP207" s="107" t="s">
        <v>34</v>
      </c>
      <c r="DQ207" s="27">
        <f>COUNTIFS(S26_stakeholder_category,"NGO",Response_Q156_1,DP207,Response_Q156_1,"&lt;&gt;0")</f>
        <v>0</v>
      </c>
      <c r="DR207" s="41" t="str">
        <f>IF(DQ212=0,"",DQ207/DQ212)</f>
        <v/>
      </c>
      <c r="DS207" s="14"/>
      <c r="DT207" s="14"/>
      <c r="DU207" s="14"/>
      <c r="DV207" s="14"/>
      <c r="DW207" s="14"/>
      <c r="DX207" s="14"/>
      <c r="DY207" s="14"/>
      <c r="DZ207" s="14"/>
      <c r="EA207" s="14"/>
      <c r="EB207" s="14"/>
      <c r="EC207" s="14"/>
      <c r="ED207" s="14"/>
      <c r="EE207" s="14"/>
      <c r="EF207" s="14"/>
      <c r="EG207" s="14"/>
      <c r="EH207" s="14"/>
      <c r="EI207" s="14"/>
      <c r="EJ207" s="14"/>
      <c r="EK207" s="14"/>
      <c r="EL207" s="14"/>
    </row>
    <row r="208" spans="1:142" x14ac:dyDescent="0.25">
      <c r="A208" s="14"/>
      <c r="B208" s="56"/>
      <c r="C208" s="29"/>
      <c r="D208" s="59"/>
      <c r="E208" s="14"/>
      <c r="F208" s="14"/>
      <c r="G208" s="107" t="s">
        <v>35</v>
      </c>
      <c r="H208" s="27">
        <f>COUNTIFS(S26_stakeholder_category,"NGO",Response_Q156_1,G208)</f>
        <v>0</v>
      </c>
      <c r="I208" s="41" t="str">
        <f t="shared" ref="I208:I212" si="153">IFERROR(H208/H$212,"")</f>
        <v/>
      </c>
      <c r="J208" s="14"/>
      <c r="K208" s="14"/>
      <c r="L208" s="14"/>
      <c r="M208" s="14"/>
      <c r="N208" s="14"/>
      <c r="O208" s="14"/>
      <c r="P208" s="14"/>
      <c r="Q208" s="47"/>
      <c r="R208" s="19"/>
      <c r="S208" s="56"/>
      <c r="T208" s="19"/>
      <c r="U208" s="59"/>
      <c r="V208" s="14"/>
      <c r="W208" s="14"/>
      <c r="X208" s="107" t="s">
        <v>4</v>
      </c>
      <c r="Y208" s="27">
        <f t="shared" si="148"/>
        <v>0</v>
      </c>
      <c r="Z208" s="41">
        <f t="shared" si="149"/>
        <v>0</v>
      </c>
      <c r="AA208" s="14"/>
      <c r="AB208" s="14"/>
      <c r="AC208" s="14"/>
      <c r="AD208" s="14"/>
      <c r="AE208" s="14"/>
      <c r="AF208" s="47"/>
      <c r="AG208" s="19"/>
      <c r="AH208" s="56"/>
      <c r="AI208" s="19"/>
      <c r="AJ208" s="59"/>
      <c r="AK208" s="14"/>
      <c r="AL208" s="14"/>
      <c r="AM208" s="107" t="s">
        <v>4</v>
      </c>
      <c r="AN208" s="27">
        <f t="shared" si="150"/>
        <v>0</v>
      </c>
      <c r="AO208" s="41">
        <f t="shared" ref="AO208:AO214" si="154">IFERROR(AN208/AN$214,0)</f>
        <v>0</v>
      </c>
      <c r="AP208" s="14"/>
      <c r="AQ208" s="14"/>
      <c r="AR208" s="14"/>
      <c r="AS208" s="14"/>
      <c r="AT208" s="14"/>
      <c r="AU208" s="47"/>
      <c r="AV208" s="14"/>
      <c r="AW208" s="56"/>
      <c r="AX208" s="19"/>
      <c r="AY208" s="59"/>
      <c r="AZ208" s="14"/>
      <c r="BA208" s="14"/>
      <c r="BB208" s="107" t="s">
        <v>4</v>
      </c>
      <c r="BC208" s="27">
        <f t="shared" si="151"/>
        <v>0</v>
      </c>
      <c r="BD208" s="41">
        <f t="shared" ref="BD208:BD214" si="155">IFERROR(BC208/BC$214,0)</f>
        <v>0</v>
      </c>
      <c r="BE208" s="14"/>
      <c r="BF208" s="14"/>
      <c r="BG208" s="14"/>
      <c r="BH208" s="14"/>
      <c r="BI208" s="14"/>
      <c r="BJ208" s="47"/>
      <c r="BK208" s="19"/>
      <c r="BL208" s="56"/>
      <c r="BM208" s="19"/>
      <c r="BN208" s="59"/>
      <c r="BO208" s="14"/>
      <c r="BP208" s="14"/>
      <c r="BQ208" s="107" t="s">
        <v>4</v>
      </c>
      <c r="BR208" s="27">
        <f t="shared" si="152"/>
        <v>0</v>
      </c>
      <c r="BS208" s="41">
        <f t="shared" ref="BS208:BS214" si="156">IFERROR(BR208/BR$214,0)</f>
        <v>0</v>
      </c>
      <c r="BT208" s="14"/>
      <c r="BU208" s="14"/>
      <c r="BV208" s="14"/>
      <c r="BW208" s="14"/>
      <c r="BX208" s="14"/>
      <c r="BY208" s="47"/>
      <c r="BZ208" s="14"/>
      <c r="CA208" s="14"/>
      <c r="CB208" s="21"/>
      <c r="CC208" s="21"/>
      <c r="CD208" s="180"/>
      <c r="CE208" s="181"/>
      <c r="CF208" s="31"/>
      <c r="CG208" s="52"/>
      <c r="CH208" s="52"/>
      <c r="CI208" s="99"/>
      <c r="CJ208" s="14"/>
      <c r="CK208" s="14"/>
      <c r="CL208" s="14"/>
      <c r="CM208" s="14"/>
      <c r="CN208" s="14"/>
      <c r="CO208" s="129"/>
      <c r="CP208" s="14"/>
      <c r="CQ208" s="47"/>
      <c r="CR208" s="14"/>
      <c r="CS208" s="14"/>
      <c r="CT208" s="14"/>
      <c r="CU208" s="14"/>
      <c r="CV208" s="180"/>
      <c r="CW208" s="190"/>
      <c r="CX208" s="191"/>
      <c r="CY208" s="52"/>
      <c r="CZ208" s="52"/>
      <c r="DA208" s="54"/>
      <c r="DB208" s="14"/>
      <c r="DC208" s="14"/>
      <c r="DD208" s="14"/>
      <c r="DE208" s="14"/>
      <c r="DF208" s="14"/>
      <c r="DG208" s="129"/>
      <c r="DH208" s="14"/>
      <c r="DI208" s="47"/>
      <c r="DJ208" s="14"/>
      <c r="DK208" s="62"/>
      <c r="DL208" s="19"/>
      <c r="DM208" s="59"/>
      <c r="DN208" s="14"/>
      <c r="DO208" s="14"/>
      <c r="DP208" s="107" t="s">
        <v>35</v>
      </c>
      <c r="DQ208" s="27">
        <f>COUNTIFS(S26_stakeholder_category,"NGO",Response_Q156_1,DP208,Response_Q156_1,"&lt;&gt;0")</f>
        <v>0</v>
      </c>
      <c r="DR208" s="41" t="str">
        <f>IF(DQ212=0,"",DQ208/DQ212)</f>
        <v/>
      </c>
      <c r="DS208" s="14"/>
      <c r="DT208" s="14"/>
      <c r="DU208" s="14"/>
      <c r="DV208" s="14"/>
      <c r="DW208" s="14"/>
      <c r="DX208" s="14"/>
      <c r="DY208" s="14"/>
      <c r="DZ208" s="14"/>
      <c r="EA208" s="14"/>
      <c r="EB208" s="14"/>
      <c r="EC208" s="14"/>
      <c r="ED208" s="14"/>
      <c r="EE208" s="14"/>
      <c r="EF208" s="14"/>
      <c r="EG208" s="14"/>
      <c r="EH208" s="14"/>
      <c r="EI208" s="14"/>
      <c r="EJ208" s="14"/>
      <c r="EK208" s="14"/>
      <c r="EL208" s="14"/>
    </row>
    <row r="209" spans="1:142" x14ac:dyDescent="0.25">
      <c r="A209" s="14"/>
      <c r="B209" s="56"/>
      <c r="C209" s="19"/>
      <c r="D209" s="59"/>
      <c r="E209" s="14"/>
      <c r="F209" s="14"/>
      <c r="G209" s="107" t="s">
        <v>36</v>
      </c>
      <c r="H209" s="27">
        <f>COUNTIFS(S26_stakeholder_category,"NGO",Response_Q156_1,G209)</f>
        <v>0</v>
      </c>
      <c r="I209" s="41" t="str">
        <f t="shared" si="153"/>
        <v/>
      </c>
      <c r="J209" s="14"/>
      <c r="K209" s="14"/>
      <c r="L209" s="14"/>
      <c r="M209" s="14"/>
      <c r="N209" s="14"/>
      <c r="O209" s="14"/>
      <c r="P209" s="14"/>
      <c r="Q209" s="47"/>
      <c r="R209" s="19"/>
      <c r="S209" s="19"/>
      <c r="T209" s="19"/>
      <c r="U209" s="59"/>
      <c r="V209" s="14"/>
      <c r="W209" s="14"/>
      <c r="X209" s="107" t="s">
        <v>33</v>
      </c>
      <c r="Y209" s="27">
        <f t="shared" si="148"/>
        <v>0</v>
      </c>
      <c r="Z209" s="41">
        <f t="shared" si="149"/>
        <v>0</v>
      </c>
      <c r="AA209" s="14"/>
      <c r="AB209" s="14"/>
      <c r="AC209" s="14"/>
      <c r="AD209" s="14"/>
      <c r="AE209" s="14"/>
      <c r="AF209" s="47"/>
      <c r="AG209" s="19"/>
      <c r="AH209" s="19"/>
      <c r="AI209" s="19"/>
      <c r="AJ209" s="59"/>
      <c r="AK209" s="14"/>
      <c r="AL209" s="14"/>
      <c r="AM209" s="107" t="s">
        <v>33</v>
      </c>
      <c r="AN209" s="27">
        <f t="shared" si="150"/>
        <v>3</v>
      </c>
      <c r="AO209" s="41">
        <f t="shared" si="154"/>
        <v>0.75</v>
      </c>
      <c r="AP209" s="14"/>
      <c r="AQ209" s="14"/>
      <c r="AR209" s="14"/>
      <c r="AS209" s="14"/>
      <c r="AT209" s="14"/>
      <c r="AU209" s="47"/>
      <c r="AV209" s="14"/>
      <c r="AW209" s="19"/>
      <c r="AX209" s="19"/>
      <c r="AY209" s="59"/>
      <c r="AZ209" s="14"/>
      <c r="BA209" s="14"/>
      <c r="BB209" s="107" t="s">
        <v>33</v>
      </c>
      <c r="BC209" s="27">
        <f t="shared" si="151"/>
        <v>0</v>
      </c>
      <c r="BD209" s="41">
        <f t="shared" si="155"/>
        <v>0</v>
      </c>
      <c r="BE209" s="14"/>
      <c r="BF209" s="14"/>
      <c r="BG209" s="14"/>
      <c r="BH209" s="14"/>
      <c r="BI209" s="14"/>
      <c r="BJ209" s="47"/>
      <c r="BK209" s="19"/>
      <c r="BL209" s="19"/>
      <c r="BM209" s="19"/>
      <c r="BN209" s="59"/>
      <c r="BO209" s="14"/>
      <c r="BP209" s="14"/>
      <c r="BQ209" s="107" t="s">
        <v>33</v>
      </c>
      <c r="BR209" s="27">
        <f t="shared" si="152"/>
        <v>0</v>
      </c>
      <c r="BS209" s="41">
        <f t="shared" si="156"/>
        <v>0</v>
      </c>
      <c r="BT209" s="14"/>
      <c r="BU209" s="14"/>
      <c r="BV209" s="14"/>
      <c r="BW209" s="14"/>
      <c r="BX209" s="14"/>
      <c r="BY209" s="47"/>
      <c r="BZ209" s="14"/>
      <c r="CA209" s="14"/>
      <c r="CB209" s="21"/>
      <c r="CC209" s="21"/>
      <c r="CD209" s="180"/>
      <c r="CE209" s="181"/>
      <c r="CF209" s="31"/>
      <c r="CG209" s="52"/>
      <c r="CH209" s="52"/>
      <c r="CI209" s="99"/>
      <c r="CJ209" s="14"/>
      <c r="CK209" s="14"/>
      <c r="CL209" s="14"/>
      <c r="CM209" s="14"/>
      <c r="CN209" s="14"/>
      <c r="CO209" s="129"/>
      <c r="CP209" s="14"/>
      <c r="CQ209" s="47"/>
      <c r="CR209" s="14"/>
      <c r="CS209" s="14"/>
      <c r="CT209" s="14"/>
      <c r="CU209" s="14"/>
      <c r="CV209" s="180"/>
      <c r="CW209" s="190"/>
      <c r="CX209" s="191"/>
      <c r="CY209" s="52"/>
      <c r="CZ209" s="52"/>
      <c r="DA209" s="54"/>
      <c r="DB209" s="14"/>
      <c r="DC209" s="14"/>
      <c r="DD209" s="14"/>
      <c r="DE209" s="14"/>
      <c r="DF209" s="14"/>
      <c r="DG209" s="129"/>
      <c r="DH209" s="14"/>
      <c r="DI209" s="47"/>
      <c r="DJ209" s="14"/>
      <c r="DK209" s="62"/>
      <c r="DL209" s="19"/>
      <c r="DM209" s="59"/>
      <c r="DN209" s="14"/>
      <c r="DO209" s="14"/>
      <c r="DP209" s="107" t="s">
        <v>36</v>
      </c>
      <c r="DQ209" s="27">
        <f>COUNTIFS(S26_stakeholder_category,"NGO",Response_Q156_1,DP209,Response_Q156_1,"&lt;&gt;0")</f>
        <v>0</v>
      </c>
      <c r="DR209" s="41" t="str">
        <f>IF(DQ212=0,"",DQ209/DQ212)</f>
        <v/>
      </c>
      <c r="DS209" s="14"/>
      <c r="DT209" s="14"/>
      <c r="DU209" s="14"/>
      <c r="DV209" s="14"/>
      <c r="DW209" s="14"/>
      <c r="DX209" s="14"/>
      <c r="DY209" s="14"/>
      <c r="DZ209" s="14"/>
      <c r="EA209" s="14"/>
      <c r="EB209" s="14"/>
      <c r="EC209" s="14"/>
      <c r="ED209" s="14"/>
      <c r="EE209" s="14"/>
      <c r="EF209" s="14"/>
      <c r="EG209" s="14"/>
      <c r="EH209" s="14"/>
      <c r="EI209" s="14"/>
      <c r="EJ209" s="14"/>
      <c r="EK209" s="14"/>
      <c r="EL209" s="14"/>
    </row>
    <row r="210" spans="1:142" x14ac:dyDescent="0.25">
      <c r="A210" s="14"/>
      <c r="B210" s="14"/>
      <c r="C210" s="19"/>
      <c r="D210" s="59"/>
      <c r="E210" s="14"/>
      <c r="F210" s="14"/>
      <c r="G210" s="107" t="s">
        <v>38</v>
      </c>
      <c r="H210" s="27">
        <f>COUNTIFS(S26_stakeholder_category,"NGO",Response_Q156_1,G210)</f>
        <v>0</v>
      </c>
      <c r="I210" s="41" t="str">
        <f t="shared" si="153"/>
        <v/>
      </c>
      <c r="J210" s="14"/>
      <c r="K210" s="14"/>
      <c r="L210" s="14"/>
      <c r="M210" s="14"/>
      <c r="N210" s="14"/>
      <c r="O210" s="14"/>
      <c r="P210" s="14"/>
      <c r="Q210" s="47"/>
      <c r="R210" s="19"/>
      <c r="S210" s="14"/>
      <c r="T210" s="19"/>
      <c r="U210" s="59"/>
      <c r="V210" s="14"/>
      <c r="W210" s="14"/>
      <c r="X210" s="107" t="s">
        <v>29</v>
      </c>
      <c r="Y210" s="27">
        <f t="shared" si="148"/>
        <v>0</v>
      </c>
      <c r="Z210" s="41">
        <f t="shared" si="149"/>
        <v>0</v>
      </c>
      <c r="AA210" s="14"/>
      <c r="AB210" s="14"/>
      <c r="AC210" s="14"/>
      <c r="AD210" s="14"/>
      <c r="AE210" s="14"/>
      <c r="AF210" s="47"/>
      <c r="AG210" s="19"/>
      <c r="AH210" s="14"/>
      <c r="AI210" s="19"/>
      <c r="AJ210" s="59"/>
      <c r="AK210" s="14"/>
      <c r="AL210" s="14"/>
      <c r="AM210" s="107" t="s">
        <v>29</v>
      </c>
      <c r="AN210" s="27">
        <f t="shared" si="150"/>
        <v>1</v>
      </c>
      <c r="AO210" s="41">
        <f t="shared" si="154"/>
        <v>0.25</v>
      </c>
      <c r="AP210" s="14"/>
      <c r="AQ210" s="14"/>
      <c r="AR210" s="14"/>
      <c r="AS210" s="14"/>
      <c r="AT210" s="14"/>
      <c r="AU210" s="47"/>
      <c r="AV210" s="14"/>
      <c r="AW210" s="14"/>
      <c r="AX210" s="19"/>
      <c r="AY210" s="59"/>
      <c r="AZ210" s="14"/>
      <c r="BA210" s="14"/>
      <c r="BB210" s="107" t="s">
        <v>29</v>
      </c>
      <c r="BC210" s="27">
        <f t="shared" si="151"/>
        <v>4</v>
      </c>
      <c r="BD210" s="41">
        <f t="shared" si="155"/>
        <v>1</v>
      </c>
      <c r="BE210" s="14"/>
      <c r="BF210" s="14"/>
      <c r="BG210" s="14"/>
      <c r="BH210" s="14"/>
      <c r="BI210" s="14"/>
      <c r="BJ210" s="47"/>
      <c r="BK210" s="19"/>
      <c r="BL210" s="14"/>
      <c r="BM210" s="19"/>
      <c r="BN210" s="59"/>
      <c r="BO210" s="14"/>
      <c r="BP210" s="14"/>
      <c r="BQ210" s="107" t="s">
        <v>29</v>
      </c>
      <c r="BR210" s="27">
        <f t="shared" si="152"/>
        <v>4</v>
      </c>
      <c r="BS210" s="41">
        <f t="shared" si="156"/>
        <v>1</v>
      </c>
      <c r="BT210" s="14"/>
      <c r="BU210" s="14"/>
      <c r="BV210" s="14"/>
      <c r="BW210" s="14"/>
      <c r="BX210" s="14"/>
      <c r="BY210" s="47"/>
      <c r="BZ210" s="14"/>
      <c r="CA210" s="14"/>
      <c r="CB210" s="21"/>
      <c r="CC210" s="21"/>
      <c r="CD210" s="180"/>
      <c r="CE210" s="181"/>
      <c r="CF210" s="31"/>
      <c r="CG210" s="52"/>
      <c r="CH210" s="52"/>
      <c r="CI210" s="99"/>
      <c r="CJ210" s="14"/>
      <c r="CK210" s="14"/>
      <c r="CL210" s="14"/>
      <c r="CM210" s="14"/>
      <c r="CN210" s="14"/>
      <c r="CO210" s="129"/>
      <c r="CP210" s="14"/>
      <c r="CQ210" s="47"/>
      <c r="CR210" s="14"/>
      <c r="CS210" s="14"/>
      <c r="CT210" s="14"/>
      <c r="CU210" s="14"/>
      <c r="CV210" s="180"/>
      <c r="CW210" s="190"/>
      <c r="CX210" s="191"/>
      <c r="CY210" s="52"/>
      <c r="CZ210" s="52"/>
      <c r="DA210" s="54"/>
      <c r="DB210" s="14"/>
      <c r="DC210" s="14"/>
      <c r="DD210" s="14"/>
      <c r="DE210" s="14"/>
      <c r="DF210" s="14"/>
      <c r="DG210" s="129"/>
      <c r="DH210" s="14"/>
      <c r="DI210" s="47"/>
      <c r="DJ210" s="14"/>
      <c r="DK210" s="62"/>
      <c r="DL210" s="19"/>
      <c r="DM210" s="59"/>
      <c r="DN210" s="14"/>
      <c r="DO210" s="14"/>
      <c r="DP210" s="107" t="s">
        <v>38</v>
      </c>
      <c r="DQ210" s="27">
        <f>COUNTIFS(S26_stakeholder_category,"NGO",Response_Q156_1,DP210,Response_Q156_1,"&lt;&gt;0")</f>
        <v>0</v>
      </c>
      <c r="DR210" s="41" t="str">
        <f>IF(DQ212=0,"",DQ210/DQ212)</f>
        <v/>
      </c>
      <c r="DS210" s="14"/>
      <c r="DT210" s="14"/>
      <c r="DU210" s="14"/>
      <c r="DV210" s="14"/>
      <c r="DW210" s="14"/>
      <c r="DX210" s="14"/>
      <c r="DY210" s="14"/>
      <c r="DZ210" s="14"/>
      <c r="EA210" s="14"/>
      <c r="EB210" s="14"/>
      <c r="EC210" s="14"/>
      <c r="ED210" s="14"/>
      <c r="EE210" s="14"/>
      <c r="EF210" s="14"/>
      <c r="EG210" s="14"/>
      <c r="EH210" s="14"/>
      <c r="EI210" s="14"/>
      <c r="EJ210" s="14"/>
      <c r="EK210" s="14"/>
      <c r="EL210" s="14"/>
    </row>
    <row r="211" spans="1:142" x14ac:dyDescent="0.25">
      <c r="A211" s="14"/>
      <c r="B211" s="14"/>
      <c r="C211" s="19"/>
      <c r="D211" s="59"/>
      <c r="E211" s="14"/>
      <c r="F211" s="14"/>
      <c r="G211" s="107" t="s">
        <v>39</v>
      </c>
      <c r="H211" s="27">
        <f>COUNTIFS(S26_stakeholder_category,"NGO",Response_Q156_1,G211)</f>
        <v>0</v>
      </c>
      <c r="I211" s="41" t="str">
        <f t="shared" si="153"/>
        <v/>
      </c>
      <c r="J211" s="14"/>
      <c r="K211" s="14"/>
      <c r="L211" s="14"/>
      <c r="M211" s="14"/>
      <c r="N211" s="14"/>
      <c r="O211" s="14"/>
      <c r="P211" s="14"/>
      <c r="Q211" s="47"/>
      <c r="R211" s="19"/>
      <c r="S211" s="14"/>
      <c r="T211" s="19"/>
      <c r="U211" s="59"/>
      <c r="V211" s="14"/>
      <c r="W211" s="14"/>
      <c r="X211" s="107" t="s">
        <v>3</v>
      </c>
      <c r="Y211" s="27">
        <f t="shared" si="148"/>
        <v>0</v>
      </c>
      <c r="Z211" s="41">
        <f t="shared" si="149"/>
        <v>0</v>
      </c>
      <c r="AA211" s="14"/>
      <c r="AB211" s="14"/>
      <c r="AC211" s="14"/>
      <c r="AD211" s="14"/>
      <c r="AE211" s="14"/>
      <c r="AF211" s="47"/>
      <c r="AG211" s="19"/>
      <c r="AH211" s="14"/>
      <c r="AI211" s="19"/>
      <c r="AJ211" s="59"/>
      <c r="AK211" s="14"/>
      <c r="AL211" s="14"/>
      <c r="AM211" s="107" t="s">
        <v>3</v>
      </c>
      <c r="AN211" s="27">
        <f t="shared" si="150"/>
        <v>0</v>
      </c>
      <c r="AO211" s="41">
        <f t="shared" si="154"/>
        <v>0</v>
      </c>
      <c r="AP211" s="14"/>
      <c r="AQ211" s="14"/>
      <c r="AR211" s="14"/>
      <c r="AS211" s="14"/>
      <c r="AT211" s="14"/>
      <c r="AU211" s="47"/>
      <c r="AV211" s="14"/>
      <c r="AW211" s="14"/>
      <c r="AX211" s="19"/>
      <c r="AY211" s="59"/>
      <c r="AZ211" s="14"/>
      <c r="BA211" s="14"/>
      <c r="BB211" s="107" t="s">
        <v>3</v>
      </c>
      <c r="BC211" s="27">
        <f t="shared" si="151"/>
        <v>0</v>
      </c>
      <c r="BD211" s="41">
        <f t="shared" si="155"/>
        <v>0</v>
      </c>
      <c r="BE211" s="14"/>
      <c r="BF211" s="14"/>
      <c r="BG211" s="14"/>
      <c r="BH211" s="14"/>
      <c r="BI211" s="14"/>
      <c r="BJ211" s="47"/>
      <c r="BK211" s="19"/>
      <c r="BL211" s="14"/>
      <c r="BM211" s="19"/>
      <c r="BN211" s="59"/>
      <c r="BO211" s="14"/>
      <c r="BP211" s="14"/>
      <c r="BQ211" s="107" t="s">
        <v>3</v>
      </c>
      <c r="BR211" s="27">
        <f t="shared" si="152"/>
        <v>0</v>
      </c>
      <c r="BS211" s="41">
        <f t="shared" si="156"/>
        <v>0</v>
      </c>
      <c r="BT211" s="14"/>
      <c r="BU211" s="14"/>
      <c r="BV211" s="14"/>
      <c r="BW211" s="14"/>
      <c r="BX211" s="14"/>
      <c r="BY211" s="47"/>
      <c r="BZ211" s="14"/>
      <c r="CA211" s="14"/>
      <c r="CB211" s="21"/>
      <c r="CC211" s="21"/>
      <c r="CD211" s="180"/>
      <c r="CE211" s="181"/>
      <c r="CF211" s="31"/>
      <c r="CG211" s="52"/>
      <c r="CH211" s="52"/>
      <c r="CI211" s="99"/>
      <c r="CJ211" s="14"/>
      <c r="CK211" s="14"/>
      <c r="CL211" s="14"/>
      <c r="CM211" s="14"/>
      <c r="CN211" s="14"/>
      <c r="CO211" s="129"/>
      <c r="CP211" s="14"/>
      <c r="CQ211" s="47"/>
      <c r="CR211" s="14"/>
      <c r="CS211" s="14"/>
      <c r="CT211" s="14"/>
      <c r="CU211" s="14"/>
      <c r="CV211" s="180"/>
      <c r="CW211" s="190"/>
      <c r="CX211" s="191"/>
      <c r="CY211" s="52"/>
      <c r="CZ211" s="52"/>
      <c r="DA211" s="54"/>
      <c r="DB211" s="14"/>
      <c r="DC211" s="14"/>
      <c r="DD211" s="14"/>
      <c r="DE211" s="14"/>
      <c r="DF211" s="14"/>
      <c r="DG211" s="129"/>
      <c r="DH211" s="14"/>
      <c r="DI211" s="47"/>
      <c r="DJ211" s="14"/>
      <c r="DK211" s="62"/>
      <c r="DL211" s="19"/>
      <c r="DM211" s="59"/>
      <c r="DN211" s="14"/>
      <c r="DO211" s="14"/>
      <c r="DP211" s="107" t="s">
        <v>39</v>
      </c>
      <c r="DQ211" s="27">
        <f>COUNTIFS(S26_stakeholder_category,"NGO",Response_Q156_1,DP211,Response_Q156_1,"&lt;&gt;0")</f>
        <v>0</v>
      </c>
      <c r="DR211" s="41" t="str">
        <f>IF(DQ212=0,"",DQ211/DQ212)</f>
        <v/>
      </c>
      <c r="DS211" s="14"/>
      <c r="DT211" s="14"/>
      <c r="DU211" s="14"/>
      <c r="DV211" s="14"/>
      <c r="DW211" s="14"/>
      <c r="DX211" s="14"/>
      <c r="DY211" s="14"/>
      <c r="DZ211" s="14"/>
      <c r="EA211" s="14"/>
      <c r="EB211" s="14"/>
      <c r="EC211" s="14"/>
      <c r="ED211" s="14"/>
      <c r="EE211" s="14"/>
      <c r="EF211" s="14"/>
      <c r="EG211" s="14"/>
      <c r="EH211" s="14"/>
      <c r="EI211" s="14"/>
      <c r="EJ211" s="14"/>
      <c r="EK211" s="14"/>
      <c r="EL211" s="14"/>
    </row>
    <row r="212" spans="1:142" x14ac:dyDescent="0.25">
      <c r="A212" s="14"/>
      <c r="B212" s="14"/>
      <c r="C212" s="19"/>
      <c r="D212" s="59"/>
      <c r="E212" s="14"/>
      <c r="F212" s="14"/>
      <c r="G212" s="86" t="s">
        <v>145</v>
      </c>
      <c r="H212" s="111">
        <f>COUNTIFS(S26_stakeholder_category,"NGO",Response_Q156_1,"&lt;&gt;0")</f>
        <v>0</v>
      </c>
      <c r="I212" s="119" t="str">
        <f t="shared" si="153"/>
        <v/>
      </c>
      <c r="J212" s="14"/>
      <c r="K212" s="14"/>
      <c r="L212" s="14"/>
      <c r="M212" s="14"/>
      <c r="N212" s="14"/>
      <c r="O212" s="14"/>
      <c r="P212" s="14"/>
      <c r="Q212" s="47"/>
      <c r="R212" s="19"/>
      <c r="S212" s="14"/>
      <c r="T212" s="19"/>
      <c r="U212" s="59"/>
      <c r="V212" s="14"/>
      <c r="W212" s="14"/>
      <c r="X212" s="107" t="s">
        <v>54</v>
      </c>
      <c r="Y212" s="27">
        <f t="shared" si="148"/>
        <v>0</v>
      </c>
      <c r="Z212" s="41">
        <f t="shared" si="149"/>
        <v>0</v>
      </c>
      <c r="AA212" s="14"/>
      <c r="AB212" s="14"/>
      <c r="AC212" s="14"/>
      <c r="AD212" s="14"/>
      <c r="AE212" s="14"/>
      <c r="AF212" s="47"/>
      <c r="AG212" s="19"/>
      <c r="AH212" s="14"/>
      <c r="AI212" s="19"/>
      <c r="AJ212" s="59"/>
      <c r="AK212" s="14"/>
      <c r="AL212" s="14"/>
      <c r="AM212" s="107" t="s">
        <v>54</v>
      </c>
      <c r="AN212" s="27">
        <f t="shared" si="150"/>
        <v>0</v>
      </c>
      <c r="AO212" s="41">
        <f t="shared" si="154"/>
        <v>0</v>
      </c>
      <c r="AP212" s="14"/>
      <c r="AQ212" s="14"/>
      <c r="AR212" s="14"/>
      <c r="AS212" s="14"/>
      <c r="AT212" s="14"/>
      <c r="AU212" s="47"/>
      <c r="AV212" s="14"/>
      <c r="AW212" s="14"/>
      <c r="AX212" s="19"/>
      <c r="AY212" s="59"/>
      <c r="AZ212" s="14"/>
      <c r="BA212" s="14"/>
      <c r="BB212" s="107" t="s">
        <v>54</v>
      </c>
      <c r="BC212" s="27">
        <f t="shared" si="151"/>
        <v>0</v>
      </c>
      <c r="BD212" s="41">
        <f t="shared" si="155"/>
        <v>0</v>
      </c>
      <c r="BE212" s="14"/>
      <c r="BF212" s="14"/>
      <c r="BG212" s="14"/>
      <c r="BH212" s="14"/>
      <c r="BI212" s="14"/>
      <c r="BJ212" s="47"/>
      <c r="BK212" s="19"/>
      <c r="BL212" s="14"/>
      <c r="BM212" s="19"/>
      <c r="BN212" s="59"/>
      <c r="BO212" s="14"/>
      <c r="BP212" s="14"/>
      <c r="BQ212" s="107" t="s">
        <v>54</v>
      </c>
      <c r="BR212" s="27">
        <f t="shared" si="152"/>
        <v>0</v>
      </c>
      <c r="BS212" s="41">
        <f t="shared" si="156"/>
        <v>0</v>
      </c>
      <c r="BT212" s="14"/>
      <c r="BU212" s="14"/>
      <c r="BV212" s="14"/>
      <c r="BW212" s="14"/>
      <c r="BX212" s="14"/>
      <c r="BY212" s="47"/>
      <c r="BZ212" s="14"/>
      <c r="CA212" s="14"/>
      <c r="CB212" s="21"/>
      <c r="CC212" s="21"/>
      <c r="CD212" s="180"/>
      <c r="CE212" s="181"/>
      <c r="CF212" s="31"/>
      <c r="CG212" s="52"/>
      <c r="CH212" s="52"/>
      <c r="CI212" s="99"/>
      <c r="CJ212" s="14"/>
      <c r="CK212" s="14"/>
      <c r="CL212" s="14"/>
      <c r="CM212" s="14"/>
      <c r="CN212" s="14"/>
      <c r="CO212" s="129"/>
      <c r="CP212" s="14"/>
      <c r="CQ212" s="47"/>
      <c r="CR212" s="14"/>
      <c r="CS212" s="14"/>
      <c r="CT212" s="14"/>
      <c r="CU212" s="14"/>
      <c r="CV212" s="180"/>
      <c r="CW212" s="190"/>
      <c r="CX212" s="191"/>
      <c r="CY212" s="52"/>
      <c r="CZ212" s="52"/>
      <c r="DA212" s="54"/>
      <c r="DB212" s="14"/>
      <c r="DC212" s="14"/>
      <c r="DD212" s="14"/>
      <c r="DE212" s="14"/>
      <c r="DF212" s="14"/>
      <c r="DG212" s="129"/>
      <c r="DH212" s="14"/>
      <c r="DI212" s="47"/>
      <c r="DJ212" s="14"/>
      <c r="DK212" s="62"/>
      <c r="DL212" s="19"/>
      <c r="DM212" s="59"/>
      <c r="DN212" s="14"/>
      <c r="DO212" s="14"/>
      <c r="DP212" s="86" t="s">
        <v>145</v>
      </c>
      <c r="DQ212" s="111">
        <f>COUNTIFS(S26_stakeholder_category,"NGO",Response_Q156_1,"&lt;&gt;0",Response_Q156_1,"&lt;&gt;0")</f>
        <v>0</v>
      </c>
      <c r="DR212" s="119" t="str">
        <f>IF(DQ212=0,"",DQ212/DQ212)</f>
        <v/>
      </c>
      <c r="DS212" s="14"/>
      <c r="DT212" s="14"/>
      <c r="DU212" s="14"/>
      <c r="DV212" s="14"/>
      <c r="DW212" s="14"/>
      <c r="DX212" s="14"/>
      <c r="DY212" s="14"/>
      <c r="DZ212" s="14"/>
      <c r="EA212" s="14"/>
      <c r="EB212" s="14"/>
      <c r="EC212" s="14"/>
      <c r="ED212" s="14"/>
      <c r="EE212" s="14"/>
      <c r="EF212" s="14"/>
      <c r="EG212" s="14"/>
      <c r="EH212" s="14"/>
      <c r="EI212" s="14"/>
      <c r="EJ212" s="14"/>
      <c r="EK212" s="14"/>
      <c r="EL212" s="14"/>
    </row>
    <row r="213" spans="1:142" x14ac:dyDescent="0.25">
      <c r="A213" s="14"/>
      <c r="B213" s="62"/>
      <c r="C213" s="19"/>
      <c r="D213" s="59"/>
      <c r="E213" s="14"/>
      <c r="F213" s="14"/>
      <c r="G213" s="14"/>
      <c r="H213" s="21"/>
      <c r="I213" s="21"/>
      <c r="J213" s="14"/>
      <c r="K213" s="14"/>
      <c r="L213" s="14"/>
      <c r="M213" s="14"/>
      <c r="N213" s="14"/>
      <c r="O213" s="14"/>
      <c r="P213" s="14"/>
      <c r="Q213" s="47"/>
      <c r="R213" s="19"/>
      <c r="S213" s="62"/>
      <c r="T213" s="19"/>
      <c r="U213" s="59"/>
      <c r="V213" s="14"/>
      <c r="W213" s="14"/>
      <c r="X213" s="107" t="s">
        <v>39</v>
      </c>
      <c r="Y213" s="27">
        <f t="shared" si="148"/>
        <v>0</v>
      </c>
      <c r="Z213" s="41">
        <f t="shared" si="149"/>
        <v>0</v>
      </c>
      <c r="AA213" s="14"/>
      <c r="AB213" s="14"/>
      <c r="AC213" s="14"/>
      <c r="AD213" s="14"/>
      <c r="AE213" s="14"/>
      <c r="AF213" s="47"/>
      <c r="AG213" s="19"/>
      <c r="AH213" s="62"/>
      <c r="AI213" s="19"/>
      <c r="AJ213" s="59"/>
      <c r="AK213" s="14"/>
      <c r="AL213" s="14"/>
      <c r="AM213" s="107" t="s">
        <v>39</v>
      </c>
      <c r="AN213" s="27">
        <f t="shared" si="150"/>
        <v>0</v>
      </c>
      <c r="AO213" s="41">
        <f t="shared" si="154"/>
        <v>0</v>
      </c>
      <c r="AP213" s="14"/>
      <c r="AQ213" s="14"/>
      <c r="AR213" s="14"/>
      <c r="AS213" s="14"/>
      <c r="AT213" s="14"/>
      <c r="AU213" s="47"/>
      <c r="AV213" s="14"/>
      <c r="AW213" s="62"/>
      <c r="AX213" s="19"/>
      <c r="AY213" s="59"/>
      <c r="AZ213" s="14"/>
      <c r="BA213" s="14"/>
      <c r="BB213" s="107" t="s">
        <v>39</v>
      </c>
      <c r="BC213" s="27">
        <f t="shared" si="151"/>
        <v>0</v>
      </c>
      <c r="BD213" s="41">
        <f t="shared" si="155"/>
        <v>0</v>
      </c>
      <c r="BE213" s="14"/>
      <c r="BF213" s="14"/>
      <c r="BG213" s="14"/>
      <c r="BH213" s="14"/>
      <c r="BI213" s="14"/>
      <c r="BJ213" s="47"/>
      <c r="BK213" s="19"/>
      <c r="BL213" s="62"/>
      <c r="BM213" s="19"/>
      <c r="BN213" s="59"/>
      <c r="BO213" s="14"/>
      <c r="BP213" s="14"/>
      <c r="BQ213" s="107" t="s">
        <v>39</v>
      </c>
      <c r="BR213" s="27">
        <f t="shared" si="152"/>
        <v>0</v>
      </c>
      <c r="BS213" s="41">
        <f t="shared" si="156"/>
        <v>0</v>
      </c>
      <c r="BT213" s="14"/>
      <c r="BU213" s="14"/>
      <c r="BV213" s="14"/>
      <c r="BW213" s="14"/>
      <c r="BX213" s="14"/>
      <c r="BY213" s="47"/>
      <c r="BZ213" s="14"/>
      <c r="CA213" s="14"/>
      <c r="CB213" s="21"/>
      <c r="CC213" s="21"/>
      <c r="CD213" s="180"/>
      <c r="CE213" s="181"/>
      <c r="CF213" s="31"/>
      <c r="CG213" s="52"/>
      <c r="CH213" s="52"/>
      <c r="CI213" s="99"/>
      <c r="CJ213" s="14"/>
      <c r="CK213" s="14"/>
      <c r="CL213" s="14"/>
      <c r="CM213" s="14"/>
      <c r="CN213" s="14"/>
      <c r="CO213" s="129"/>
      <c r="CP213" s="14"/>
      <c r="CQ213" s="47"/>
      <c r="CR213" s="14"/>
      <c r="CS213" s="14"/>
      <c r="CT213" s="14"/>
      <c r="CU213" s="14"/>
      <c r="CV213" s="180"/>
      <c r="CW213" s="190"/>
      <c r="CX213" s="191"/>
      <c r="CY213" s="52"/>
      <c r="CZ213" s="52"/>
      <c r="DA213" s="54"/>
      <c r="DB213" s="14"/>
      <c r="DC213" s="14"/>
      <c r="DD213" s="14"/>
      <c r="DE213" s="14"/>
      <c r="DF213" s="14"/>
      <c r="DG213" s="129"/>
      <c r="DH213" s="14"/>
      <c r="DI213" s="47"/>
      <c r="DJ213" s="14"/>
      <c r="DK213" s="62"/>
      <c r="DL213" s="19"/>
      <c r="DM213" s="59"/>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row>
    <row r="214" spans="1:142" x14ac:dyDescent="0.25">
      <c r="A214" s="14"/>
      <c r="B214" s="62"/>
      <c r="C214" s="19"/>
      <c r="D214" s="59"/>
      <c r="E214" s="14"/>
      <c r="F214" s="14"/>
      <c r="G214" s="14"/>
      <c r="H214" s="21"/>
      <c r="I214" s="21"/>
      <c r="J214" s="14"/>
      <c r="K214" s="14"/>
      <c r="L214" s="14"/>
      <c r="M214" s="14"/>
      <c r="N214" s="14"/>
      <c r="O214" s="14"/>
      <c r="P214" s="14"/>
      <c r="Q214" s="47"/>
      <c r="R214" s="19"/>
      <c r="S214" s="62"/>
      <c r="T214" s="19"/>
      <c r="U214" s="59"/>
      <c r="V214" s="14"/>
      <c r="W214" s="14"/>
      <c r="X214" s="86" t="s">
        <v>145</v>
      </c>
      <c r="Y214" s="111">
        <f>COUNTIFS(S26_stakeholder_category,"NGO",Response_Q160_1,"&lt;&gt;0")</f>
        <v>0</v>
      </c>
      <c r="Z214" s="119">
        <f t="shared" si="149"/>
        <v>0</v>
      </c>
      <c r="AA214" s="14"/>
      <c r="AB214" s="14"/>
      <c r="AC214" s="14"/>
      <c r="AD214" s="14"/>
      <c r="AE214" s="14"/>
      <c r="AF214" s="47"/>
      <c r="AG214" s="19"/>
      <c r="AH214" s="62"/>
      <c r="AI214" s="19"/>
      <c r="AJ214" s="59"/>
      <c r="AK214" s="14"/>
      <c r="AL214" s="14"/>
      <c r="AM214" s="86" t="s">
        <v>145</v>
      </c>
      <c r="AN214" s="111">
        <f>COUNTIFS(S26_stakeholder_category,"NGO",Response_26_CaseA,"&lt;&gt;0")</f>
        <v>4</v>
      </c>
      <c r="AO214" s="119">
        <f t="shared" si="154"/>
        <v>1</v>
      </c>
      <c r="AP214" s="14"/>
      <c r="AQ214" s="14"/>
      <c r="AR214" s="14"/>
      <c r="AS214" s="14"/>
      <c r="AT214" s="14"/>
      <c r="AU214" s="47"/>
      <c r="AV214" s="14"/>
      <c r="AW214" s="62"/>
      <c r="AX214" s="19"/>
      <c r="AY214" s="59"/>
      <c r="AZ214" s="14"/>
      <c r="BA214" s="14"/>
      <c r="BB214" s="86" t="s">
        <v>145</v>
      </c>
      <c r="BC214" s="111">
        <f>COUNTIFS(S26_stakeholder_category,"NGO",Response_26_CaseB,"&lt;&gt;0")</f>
        <v>4</v>
      </c>
      <c r="BD214" s="119">
        <f t="shared" si="155"/>
        <v>1</v>
      </c>
      <c r="BE214" s="14"/>
      <c r="BF214" s="14"/>
      <c r="BG214" s="14"/>
      <c r="BH214" s="14"/>
      <c r="BI214" s="14"/>
      <c r="BJ214" s="47"/>
      <c r="BK214" s="19"/>
      <c r="BL214" s="62"/>
      <c r="BM214" s="19"/>
      <c r="BN214" s="59"/>
      <c r="BO214" s="14"/>
      <c r="BP214" s="14"/>
      <c r="BQ214" s="86" t="s">
        <v>145</v>
      </c>
      <c r="BR214" s="111">
        <f>COUNTIFS(S26_stakeholder_category,"NGO",Response_26_CaseC,"&lt;&gt;0")</f>
        <v>4</v>
      </c>
      <c r="BS214" s="119">
        <f t="shared" si="156"/>
        <v>1</v>
      </c>
      <c r="BT214" s="14"/>
      <c r="BU214" s="14"/>
      <c r="BV214" s="14"/>
      <c r="BW214" s="14"/>
      <c r="BX214" s="14"/>
      <c r="BY214" s="47"/>
      <c r="BZ214" s="14"/>
      <c r="CA214" s="14"/>
      <c r="CB214" s="21"/>
      <c r="CC214" s="21"/>
      <c r="CD214" s="180"/>
      <c r="CE214" s="181"/>
      <c r="CF214" s="31"/>
      <c r="CG214" s="52"/>
      <c r="CH214" s="52"/>
      <c r="CI214" s="99"/>
      <c r="CJ214" s="14"/>
      <c r="CK214" s="14"/>
      <c r="CL214" s="14"/>
      <c r="CM214" s="14"/>
      <c r="CN214" s="14"/>
      <c r="CO214" s="129"/>
      <c r="CP214" s="14"/>
      <c r="CQ214" s="47"/>
      <c r="CR214" s="14"/>
      <c r="CS214" s="14"/>
      <c r="CT214" s="14"/>
      <c r="CU214" s="14"/>
      <c r="CV214" s="180"/>
      <c r="CW214" s="190"/>
      <c r="CX214" s="191"/>
      <c r="CY214" s="52"/>
      <c r="CZ214" s="52"/>
      <c r="DA214" s="54"/>
      <c r="DB214" s="14"/>
      <c r="DC214" s="14"/>
      <c r="DD214" s="14"/>
      <c r="DE214" s="14"/>
      <c r="DF214" s="14"/>
      <c r="DG214" s="129"/>
      <c r="DH214" s="14"/>
      <c r="DI214" s="47"/>
      <c r="DJ214" s="14"/>
      <c r="DK214" s="62"/>
      <c r="DL214" s="19"/>
      <c r="DM214" s="59"/>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row>
    <row r="215" spans="1:142" s="135" customFormat="1" ht="15" customHeight="1" x14ac:dyDescent="0.25">
      <c r="A215" s="14"/>
      <c r="B215" s="13"/>
      <c r="C215" s="13"/>
      <c r="D215" s="21"/>
      <c r="E215" s="14"/>
      <c r="F215" s="14"/>
      <c r="G215" s="14"/>
      <c r="H215" s="21"/>
      <c r="I215" s="21"/>
      <c r="J215" s="14"/>
      <c r="K215" s="14"/>
      <c r="L215" s="14"/>
      <c r="M215" s="14"/>
      <c r="N215" s="14"/>
      <c r="O215" s="14"/>
      <c r="P215" s="14"/>
      <c r="Q215" s="47"/>
      <c r="R215" s="19"/>
      <c r="S215" s="13"/>
      <c r="T215" s="13"/>
      <c r="U215" s="14"/>
      <c r="V215" s="14"/>
      <c r="W215" s="14"/>
      <c r="X215" s="14"/>
      <c r="Y215" s="14"/>
      <c r="Z215" s="14"/>
      <c r="AA215" s="14"/>
      <c r="AB215" s="14"/>
      <c r="AC215" s="14"/>
      <c r="AD215" s="14"/>
      <c r="AE215" s="14"/>
      <c r="AF215" s="47"/>
      <c r="AG215" s="19"/>
      <c r="AH215" s="13"/>
      <c r="AI215" s="13"/>
      <c r="AJ215" s="14"/>
      <c r="AK215" s="14"/>
      <c r="AL215" s="14"/>
      <c r="AM215" s="14"/>
      <c r="AN215" s="14"/>
      <c r="AO215" s="14"/>
      <c r="AP215" s="14"/>
      <c r="AQ215" s="14"/>
      <c r="AR215" s="14"/>
      <c r="AS215" s="14"/>
      <c r="AT215" s="14"/>
      <c r="AU215" s="47"/>
      <c r="AV215" s="14"/>
      <c r="AW215" s="13"/>
      <c r="AX215" s="13"/>
      <c r="AY215" s="14"/>
      <c r="AZ215" s="14"/>
      <c r="BA215" s="14"/>
      <c r="BB215" s="14"/>
      <c r="BC215" s="14"/>
      <c r="BD215" s="14"/>
      <c r="BE215" s="14"/>
      <c r="BF215" s="14"/>
      <c r="BG215" s="14"/>
      <c r="BH215" s="14"/>
      <c r="BI215" s="14"/>
      <c r="BJ215" s="47"/>
      <c r="BK215" s="19"/>
      <c r="BL215" s="13"/>
      <c r="BM215" s="13"/>
      <c r="BN215" s="14"/>
      <c r="BO215" s="14"/>
      <c r="BP215" s="14"/>
      <c r="BQ215" s="14"/>
      <c r="BR215" s="14"/>
      <c r="BS215" s="14"/>
      <c r="BT215" s="14"/>
      <c r="BU215" s="14"/>
      <c r="BV215" s="14"/>
      <c r="BW215" s="14"/>
      <c r="BX215" s="14"/>
      <c r="BY215" s="47"/>
      <c r="BZ215" s="14"/>
      <c r="CA215" s="14"/>
      <c r="CB215" s="21"/>
      <c r="CC215" s="21"/>
      <c r="CD215" s="180"/>
      <c r="CE215" s="181"/>
      <c r="CF215" s="31"/>
      <c r="CG215" s="31"/>
      <c r="CH215" s="31"/>
      <c r="CI215" s="14"/>
      <c r="CJ215" s="14"/>
      <c r="CK215" s="14"/>
      <c r="CL215" s="14"/>
      <c r="CM215" s="14"/>
      <c r="CN215" s="14"/>
      <c r="CO215" s="129"/>
      <c r="CP215" s="14"/>
      <c r="CQ215" s="47"/>
      <c r="CR215" s="14"/>
      <c r="CS215" s="14"/>
      <c r="CT215" s="14"/>
      <c r="CU215" s="14"/>
      <c r="CV215" s="180"/>
      <c r="CW215" s="190"/>
      <c r="CX215" s="191"/>
      <c r="CY215" s="31"/>
      <c r="CZ215" s="31"/>
      <c r="DA215" s="14"/>
      <c r="DB215" s="14"/>
      <c r="DC215" s="14"/>
      <c r="DD215" s="14"/>
      <c r="DE215" s="14"/>
      <c r="DF215" s="14"/>
      <c r="DG215" s="129"/>
      <c r="DH215" s="14"/>
      <c r="DI215" s="47"/>
      <c r="DJ215" s="14"/>
      <c r="DK215" s="13"/>
      <c r="DL215" s="13"/>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row>
    <row r="216" spans="1:142" s="131" customFormat="1" x14ac:dyDescent="0.25">
      <c r="A216" s="78"/>
      <c r="B216" s="78" t="s">
        <v>302</v>
      </c>
      <c r="C216" s="78"/>
      <c r="D216" s="79"/>
      <c r="E216" s="78"/>
      <c r="F216" s="78"/>
      <c r="G216" s="78"/>
      <c r="H216" s="79"/>
      <c r="I216" s="79"/>
      <c r="J216" s="78"/>
      <c r="K216" s="78"/>
      <c r="L216" s="78"/>
      <c r="M216" s="78"/>
      <c r="N216" s="78"/>
      <c r="O216" s="78"/>
      <c r="P216" s="78"/>
      <c r="Q216" s="82"/>
      <c r="R216" s="83"/>
      <c r="S216" s="78" t="str">
        <f>$B216</f>
        <v>Combined total responses</v>
      </c>
      <c r="T216" s="78"/>
      <c r="U216" s="78"/>
      <c r="V216" s="78"/>
      <c r="W216" s="78"/>
      <c r="X216" s="78"/>
      <c r="Y216" s="78"/>
      <c r="Z216" s="78"/>
      <c r="AA216" s="78"/>
      <c r="AB216" s="78"/>
      <c r="AC216" s="78"/>
      <c r="AD216" s="78"/>
      <c r="AE216" s="78"/>
      <c r="AF216" s="82"/>
      <c r="AG216" s="83"/>
      <c r="AH216" s="78" t="str">
        <f>$B216</f>
        <v>Combined total responses</v>
      </c>
      <c r="AI216" s="78"/>
      <c r="AJ216" s="78"/>
      <c r="AK216" s="78"/>
      <c r="AL216" s="78"/>
      <c r="AM216" s="78"/>
      <c r="AN216" s="78"/>
      <c r="AO216" s="78"/>
      <c r="AP216" s="78"/>
      <c r="AQ216" s="78"/>
      <c r="AR216" s="78"/>
      <c r="AS216" s="78"/>
      <c r="AT216" s="78"/>
      <c r="AU216" s="82"/>
      <c r="AV216" s="78"/>
      <c r="AW216" s="78" t="str">
        <f>$B216</f>
        <v>Combined total responses</v>
      </c>
      <c r="AX216" s="78"/>
      <c r="AY216" s="78"/>
      <c r="AZ216" s="78"/>
      <c r="BA216" s="78"/>
      <c r="BB216" s="78"/>
      <c r="BC216" s="78"/>
      <c r="BD216" s="78"/>
      <c r="BE216" s="78"/>
      <c r="BF216" s="78"/>
      <c r="BG216" s="78"/>
      <c r="BH216" s="78"/>
      <c r="BI216" s="78"/>
      <c r="BJ216" s="82"/>
      <c r="BK216" s="83"/>
      <c r="BL216" s="78" t="str">
        <f>$B216</f>
        <v>Combined total responses</v>
      </c>
      <c r="BM216" s="78"/>
      <c r="BN216" s="78"/>
      <c r="BO216" s="78"/>
      <c r="BP216" s="78"/>
      <c r="BQ216" s="78"/>
      <c r="BR216" s="78"/>
      <c r="BS216" s="78"/>
      <c r="BT216" s="78"/>
      <c r="BU216" s="78"/>
      <c r="BV216" s="78"/>
      <c r="BW216" s="78"/>
      <c r="BX216" s="78"/>
      <c r="BY216" s="82"/>
      <c r="BZ216" s="78"/>
      <c r="CA216" s="78" t="str">
        <f>$B216</f>
        <v>Combined total responses</v>
      </c>
      <c r="CB216" s="79"/>
      <c r="CC216" s="79"/>
      <c r="CD216" s="182"/>
      <c r="CE216" s="182"/>
      <c r="CF216" s="79"/>
      <c r="CG216" s="78"/>
      <c r="CH216" s="78"/>
      <c r="CI216" s="78"/>
      <c r="CJ216" s="78"/>
      <c r="CK216" s="78"/>
      <c r="CL216" s="78"/>
      <c r="CM216" s="78"/>
      <c r="CN216" s="78"/>
      <c r="CO216" s="78"/>
      <c r="CP216" s="78"/>
      <c r="CQ216" s="82"/>
      <c r="CR216" s="78"/>
      <c r="CS216" s="78" t="str">
        <f>$B216</f>
        <v>Combined total responses</v>
      </c>
      <c r="CT216" s="78"/>
      <c r="CU216" s="78"/>
      <c r="CV216" s="182"/>
      <c r="CW216" s="192"/>
      <c r="CX216" s="192"/>
      <c r="CY216" s="78"/>
      <c r="CZ216" s="78"/>
      <c r="DA216" s="78"/>
      <c r="DB216" s="78"/>
      <c r="DC216" s="78"/>
      <c r="DD216" s="78"/>
      <c r="DE216" s="78"/>
      <c r="DF216" s="78"/>
      <c r="DG216" s="78"/>
      <c r="DH216" s="78"/>
      <c r="DI216" s="82"/>
      <c r="DJ216" s="78"/>
      <c r="DK216" s="78" t="str">
        <f>$B216</f>
        <v>Combined total responses</v>
      </c>
      <c r="DL216" s="78"/>
      <c r="DM216" s="78"/>
      <c r="DN216" s="78"/>
      <c r="DO216" s="78"/>
      <c r="DP216" s="78"/>
      <c r="DQ216" s="78"/>
      <c r="DR216" s="78"/>
      <c r="DS216" s="78"/>
      <c r="DT216" s="78"/>
      <c r="DU216" s="78"/>
      <c r="DV216" s="78"/>
      <c r="DW216" s="78"/>
      <c r="DX216" s="78"/>
      <c r="DY216" s="78"/>
      <c r="DZ216" s="78"/>
      <c r="EA216" s="78"/>
      <c r="EB216" s="78"/>
      <c r="EC216" s="78"/>
      <c r="ED216" s="78"/>
      <c r="EE216" s="78"/>
      <c r="EF216" s="78"/>
      <c r="EG216" s="78"/>
      <c r="EH216" s="78"/>
      <c r="EI216" s="78"/>
      <c r="EJ216" s="78"/>
      <c r="EK216" s="78"/>
      <c r="EL216" s="78"/>
    </row>
    <row r="217" spans="1:142" x14ac:dyDescent="0.25">
      <c r="A217" s="14"/>
      <c r="B217" s="84" t="s">
        <v>301</v>
      </c>
      <c r="C217" s="84"/>
      <c r="D217" s="85"/>
      <c r="E217" s="84"/>
      <c r="F217" s="14"/>
      <c r="G217" s="14"/>
      <c r="H217" s="21"/>
      <c r="I217" s="21"/>
      <c r="J217" s="14"/>
      <c r="K217" s="14"/>
      <c r="L217" s="14"/>
      <c r="M217" s="14"/>
      <c r="N217" s="14"/>
      <c r="O217" s="14"/>
      <c r="P217" s="14"/>
      <c r="Q217" s="47"/>
      <c r="R217" s="19"/>
      <c r="S217" s="84" t="s">
        <v>322</v>
      </c>
      <c r="T217" s="84"/>
      <c r="U217" s="85"/>
      <c r="V217" s="84"/>
      <c r="W217" s="14"/>
      <c r="X217" s="14"/>
      <c r="Y217" s="14"/>
      <c r="Z217" s="14"/>
      <c r="AA217" s="14"/>
      <c r="AB217" s="14"/>
      <c r="AC217" s="14"/>
      <c r="AD217" s="14"/>
      <c r="AE217" s="14"/>
      <c r="AF217" s="47"/>
      <c r="AG217" s="19"/>
      <c r="AH217" s="84" t="s">
        <v>328</v>
      </c>
      <c r="AI217" s="84"/>
      <c r="AJ217" s="85"/>
      <c r="AK217" s="84"/>
      <c r="AL217" s="84"/>
      <c r="AM217" s="14"/>
      <c r="AN217" s="14"/>
      <c r="AO217" s="14"/>
      <c r="AP217" s="14"/>
      <c r="AQ217" s="14"/>
      <c r="AR217" s="14"/>
      <c r="AS217" s="14"/>
      <c r="AT217" s="14"/>
      <c r="AU217" s="47"/>
      <c r="AV217" s="14"/>
      <c r="AW217" s="84" t="s">
        <v>347</v>
      </c>
      <c r="AX217" s="84"/>
      <c r="AY217" s="85"/>
      <c r="AZ217" s="84"/>
      <c r="BA217" s="84"/>
      <c r="BB217" s="14"/>
      <c r="BC217" s="14"/>
      <c r="BD217" s="14"/>
      <c r="BE217" s="14"/>
      <c r="BF217" s="14"/>
      <c r="BG217" s="14"/>
      <c r="BH217" s="14"/>
      <c r="BI217" s="14"/>
      <c r="BJ217" s="47"/>
      <c r="BK217" s="19"/>
      <c r="BL217" s="84" t="s">
        <v>348</v>
      </c>
      <c r="BM217" s="84"/>
      <c r="BN217" s="85"/>
      <c r="BO217" s="84"/>
      <c r="BP217" s="84"/>
      <c r="BQ217" s="14"/>
      <c r="BR217" s="14"/>
      <c r="BS217" s="14"/>
      <c r="BT217" s="14"/>
      <c r="BU217" s="14"/>
      <c r="BV217" s="14"/>
      <c r="BW217" s="14"/>
      <c r="BX217" s="14"/>
      <c r="BY217" s="47"/>
      <c r="BZ217" s="14"/>
      <c r="CA217" s="148" t="s">
        <v>303</v>
      </c>
      <c r="CB217" s="85"/>
      <c r="CC217" s="85"/>
      <c r="CD217" s="185"/>
      <c r="CE217" s="185"/>
      <c r="CF217" s="147"/>
      <c r="CG217" s="14"/>
      <c r="CH217" s="14"/>
      <c r="CI217" s="14"/>
      <c r="CJ217" s="14"/>
      <c r="CK217" s="14"/>
      <c r="CL217" s="14"/>
      <c r="CM217" s="14"/>
      <c r="CN217" s="14"/>
      <c r="CO217" s="129"/>
      <c r="CP217" s="14"/>
      <c r="CQ217" s="47"/>
      <c r="CR217" s="14"/>
      <c r="CS217" s="148" t="s">
        <v>304</v>
      </c>
      <c r="CT217" s="84"/>
      <c r="CU217" s="85"/>
      <c r="CV217" s="185"/>
      <c r="CW217" s="193"/>
      <c r="CX217" s="193"/>
      <c r="CY217" s="14"/>
      <c r="CZ217" s="14"/>
      <c r="DA217" s="14"/>
      <c r="DB217" s="14"/>
      <c r="DC217" s="14"/>
      <c r="DD217" s="14"/>
      <c r="DE217" s="14"/>
      <c r="DF217" s="14"/>
      <c r="DG217" s="129"/>
      <c r="DH217" s="14"/>
      <c r="DI217" s="47"/>
      <c r="DJ217" s="14"/>
      <c r="DK217" s="84" t="s">
        <v>305</v>
      </c>
      <c r="DL217" s="84"/>
      <c r="DM217" s="85"/>
      <c r="DN217" s="8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row>
    <row r="218" spans="1:142" x14ac:dyDescent="0.25">
      <c r="A218" s="14"/>
      <c r="B218" s="14"/>
      <c r="C218" s="14"/>
      <c r="D218" s="27"/>
      <c r="E218" s="19"/>
      <c r="F218" s="19"/>
      <c r="G218" s="14"/>
      <c r="H218" s="21"/>
      <c r="I218" s="21"/>
      <c r="J218" s="14"/>
      <c r="K218" s="14"/>
      <c r="L218" s="14"/>
      <c r="M218" s="14"/>
      <c r="N218" s="14"/>
      <c r="O218" s="14"/>
      <c r="P218" s="14"/>
      <c r="Q218" s="47"/>
      <c r="R218" s="19"/>
      <c r="S218" s="14"/>
      <c r="T218" s="14"/>
      <c r="U218" s="14"/>
      <c r="V218" s="14"/>
      <c r="W218" s="14"/>
      <c r="X218" s="14"/>
      <c r="Y218" s="14"/>
      <c r="Z218" s="14"/>
      <c r="AA218" s="14"/>
      <c r="AB218" s="14"/>
      <c r="AC218" s="14"/>
      <c r="AD218" s="14"/>
      <c r="AE218" s="14"/>
      <c r="AF218" s="47"/>
      <c r="AG218" s="19"/>
      <c r="AH218" s="14"/>
      <c r="AI218" s="14"/>
      <c r="AJ218" s="14"/>
      <c r="AK218" s="14"/>
      <c r="AL218" s="14"/>
      <c r="AM218" s="14"/>
      <c r="AN218" s="14"/>
      <c r="AO218" s="14"/>
      <c r="AP218" s="14"/>
      <c r="AQ218" s="14"/>
      <c r="AR218" s="14"/>
      <c r="AS218" s="14"/>
      <c r="AT218" s="14"/>
      <c r="AU218" s="47"/>
      <c r="AV218" s="14"/>
      <c r="AW218" s="14"/>
      <c r="AX218" s="14"/>
      <c r="AY218" s="14"/>
      <c r="AZ218" s="14"/>
      <c r="BA218" s="14"/>
      <c r="BB218" s="14"/>
      <c r="BC218" s="14"/>
      <c r="BD218" s="14"/>
      <c r="BE218" s="14"/>
      <c r="BF218" s="14"/>
      <c r="BG218" s="14"/>
      <c r="BH218" s="14"/>
      <c r="BI218" s="14"/>
      <c r="BJ218" s="47"/>
      <c r="BK218" s="19"/>
      <c r="BL218" s="14"/>
      <c r="BM218" s="14"/>
      <c r="BN218" s="14"/>
      <c r="BO218" s="14"/>
      <c r="BP218" s="14"/>
      <c r="BQ218" s="14"/>
      <c r="BR218" s="14"/>
      <c r="BS218" s="14"/>
      <c r="BT218" s="14"/>
      <c r="BU218" s="14"/>
      <c r="BV218" s="14"/>
      <c r="BW218" s="14"/>
      <c r="BX218" s="14"/>
      <c r="BY218" s="47"/>
      <c r="BZ218" s="14"/>
      <c r="CA218" s="14"/>
      <c r="CB218" s="21"/>
      <c r="CC218" s="21"/>
      <c r="CD218" s="180"/>
      <c r="CE218" s="180"/>
      <c r="CF218" s="21"/>
      <c r="CG218" s="14"/>
      <c r="CH218" s="14"/>
      <c r="CI218" s="14"/>
      <c r="CJ218" s="14"/>
      <c r="CK218" s="14"/>
      <c r="CL218" s="14"/>
      <c r="CM218" s="14"/>
      <c r="CN218" s="14"/>
      <c r="CO218" s="129"/>
      <c r="CP218" s="14"/>
      <c r="CQ218" s="47"/>
      <c r="CR218" s="14"/>
      <c r="CS218" s="14"/>
      <c r="CT218" s="14"/>
      <c r="CU218" s="14"/>
      <c r="CV218" s="180"/>
      <c r="CW218" s="189"/>
      <c r="CX218" s="189"/>
      <c r="CY218" s="14"/>
      <c r="CZ218" s="14"/>
      <c r="DA218" s="14"/>
      <c r="DB218" s="14"/>
      <c r="DC218" s="14"/>
      <c r="DD218" s="14"/>
      <c r="DE218" s="14"/>
      <c r="DF218" s="14"/>
      <c r="DG218" s="129"/>
      <c r="DH218" s="14"/>
      <c r="DI218" s="47"/>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row>
    <row r="219" spans="1:142" ht="28.5" customHeight="1" x14ac:dyDescent="0.25">
      <c r="A219" s="14"/>
      <c r="B219" s="112" t="s">
        <v>23</v>
      </c>
      <c r="C219" s="113" t="s">
        <v>24</v>
      </c>
      <c r="D219" s="113" t="s">
        <v>145</v>
      </c>
      <c r="E219" s="113" t="s">
        <v>300</v>
      </c>
      <c r="F219" s="19"/>
      <c r="G219" s="14"/>
      <c r="H219" s="21"/>
      <c r="I219" s="21"/>
      <c r="J219" s="14"/>
      <c r="K219" s="19"/>
      <c r="L219" s="51"/>
      <c r="M219" s="51"/>
      <c r="N219" s="51"/>
      <c r="O219" s="51"/>
      <c r="P219" s="51"/>
      <c r="Q219" s="47"/>
      <c r="R219" s="19"/>
      <c r="S219" s="112" t="s">
        <v>23</v>
      </c>
      <c r="T219" s="113" t="s">
        <v>24</v>
      </c>
      <c r="U219" s="113" t="s">
        <v>145</v>
      </c>
      <c r="V219" s="113" t="s">
        <v>300</v>
      </c>
      <c r="W219" s="14"/>
      <c r="X219" s="14"/>
      <c r="Y219" s="14"/>
      <c r="Z219" s="14"/>
      <c r="AA219" s="56"/>
      <c r="AB219" s="56"/>
      <c r="AC219" s="56"/>
      <c r="AD219" s="56"/>
      <c r="AE219" s="56"/>
      <c r="AF219" s="47"/>
      <c r="AG219" s="19"/>
      <c r="AH219" s="112" t="s">
        <v>23</v>
      </c>
      <c r="AI219" s="113" t="s">
        <v>24</v>
      </c>
      <c r="AJ219" s="113" t="s">
        <v>145</v>
      </c>
      <c r="AK219" s="113" t="s">
        <v>300</v>
      </c>
      <c r="AL219" s="14"/>
      <c r="AM219" s="14"/>
      <c r="AN219" s="14"/>
      <c r="AO219" s="14"/>
      <c r="AP219" s="56"/>
      <c r="AQ219" s="56"/>
      <c r="AR219" s="56"/>
      <c r="AS219" s="56"/>
      <c r="AT219" s="56"/>
      <c r="AU219" s="47"/>
      <c r="AV219" s="14"/>
      <c r="AW219" s="112" t="s">
        <v>23</v>
      </c>
      <c r="AX219" s="113" t="s">
        <v>24</v>
      </c>
      <c r="AY219" s="113" t="s">
        <v>145</v>
      </c>
      <c r="AZ219" s="113" t="s">
        <v>300</v>
      </c>
      <c r="BA219" s="14"/>
      <c r="BB219" s="14"/>
      <c r="BC219" s="14"/>
      <c r="BD219" s="14"/>
      <c r="BE219" s="56"/>
      <c r="BF219" s="56"/>
      <c r="BG219" s="56"/>
      <c r="BH219" s="56"/>
      <c r="BI219" s="56"/>
      <c r="BJ219" s="47"/>
      <c r="BK219" s="19"/>
      <c r="BL219" s="112" t="s">
        <v>23</v>
      </c>
      <c r="BM219" s="113" t="s">
        <v>24</v>
      </c>
      <c r="BN219" s="113" t="s">
        <v>145</v>
      </c>
      <c r="BO219" s="113" t="s">
        <v>300</v>
      </c>
      <c r="BP219" s="14"/>
      <c r="BQ219" s="14"/>
      <c r="BR219" s="14"/>
      <c r="BS219" s="14"/>
      <c r="BT219" s="56"/>
      <c r="BU219" s="56"/>
      <c r="BV219" s="56"/>
      <c r="BW219" s="56"/>
      <c r="BX219" s="56"/>
      <c r="BY219" s="47"/>
      <c r="BZ219" s="14"/>
      <c r="CA219" s="112" t="s">
        <v>23</v>
      </c>
      <c r="CB219" s="113" t="s">
        <v>145</v>
      </c>
      <c r="CC219" s="21"/>
      <c r="CD219" s="180"/>
      <c r="CE219" s="180"/>
      <c r="CF219" s="21"/>
      <c r="CG219" s="17"/>
      <c r="CH219" s="17"/>
      <c r="CI219" s="17"/>
      <c r="CJ219" s="17"/>
      <c r="CK219" s="17"/>
      <c r="CL219" s="17"/>
      <c r="CM219" s="17"/>
      <c r="CN219" s="17"/>
      <c r="CO219" s="20"/>
      <c r="CP219" s="17"/>
      <c r="CQ219" s="47"/>
      <c r="CR219" s="14"/>
      <c r="CS219" s="112" t="s">
        <v>23</v>
      </c>
      <c r="CT219" s="113" t="s">
        <v>145</v>
      </c>
      <c r="CU219" s="14"/>
      <c r="CV219" s="180"/>
      <c r="CW219" s="189"/>
      <c r="CX219" s="189"/>
      <c r="CY219" s="17"/>
      <c r="CZ219" s="17"/>
      <c r="DA219" s="17"/>
      <c r="DB219" s="17"/>
      <c r="DC219" s="17"/>
      <c r="DD219" s="17"/>
      <c r="DE219" s="17"/>
      <c r="DF219" s="17"/>
      <c r="DG219" s="20"/>
      <c r="DH219" s="17"/>
      <c r="DI219" s="47"/>
      <c r="DJ219" s="17"/>
      <c r="DK219" s="112" t="s">
        <v>23</v>
      </c>
      <c r="DL219" s="113" t="s">
        <v>24</v>
      </c>
      <c r="DM219" s="113" t="s">
        <v>145</v>
      </c>
      <c r="DN219" s="113" t="s">
        <v>300</v>
      </c>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row>
    <row r="220" spans="1:142" x14ac:dyDescent="0.25">
      <c r="A220" s="14"/>
      <c r="B220" s="57" t="s">
        <v>306</v>
      </c>
      <c r="C220" s="121" t="str">
        <f>INDEX(G233:G238,MATCH(MAX(H233:H238),H233:H238,0),1)</f>
        <v>Definitely not</v>
      </c>
      <c r="D220" s="58">
        <f>H239</f>
        <v>12</v>
      </c>
      <c r="E220" s="121">
        <f>H238</f>
        <v>0</v>
      </c>
      <c r="F220" s="19"/>
      <c r="G220" s="14"/>
      <c r="H220" s="21"/>
      <c r="I220" s="21"/>
      <c r="J220" s="14"/>
      <c r="K220" s="19"/>
      <c r="L220" s="40"/>
      <c r="M220" s="40"/>
      <c r="N220" s="40"/>
      <c r="O220" s="40"/>
      <c r="P220" s="40"/>
      <c r="Q220" s="47"/>
      <c r="R220" s="19"/>
      <c r="S220" s="34" t="s">
        <v>306</v>
      </c>
      <c r="T220" s="37" t="str">
        <f>IF(Y241=0,"na",IF(COUNTIF(Y234:Y240,MAX(Y234:Y240))&gt;COUNTIF(X234:X240,"&lt;&gt;""")/2,"No clear choice of the most common response",INDEX(X234:X240,MATCH(MAX(Y234:Y240),Y234:Y240,0),1)))</f>
        <v>Very unlikely</v>
      </c>
      <c r="U220" s="33">
        <f>Y241</f>
        <v>10</v>
      </c>
      <c r="V220" s="37">
        <f>Y240</f>
        <v>0</v>
      </c>
      <c r="W220" s="14"/>
      <c r="X220" s="14"/>
      <c r="Y220" s="14"/>
      <c r="Z220" s="14"/>
      <c r="AA220" s="19"/>
      <c r="AB220" s="19"/>
      <c r="AC220" s="19"/>
      <c r="AD220" s="19"/>
      <c r="AE220" s="19"/>
      <c r="AF220" s="47"/>
      <c r="AG220" s="19"/>
      <c r="AH220" s="57" t="s">
        <v>306</v>
      </c>
      <c r="AI220" s="121" t="str">
        <f>IF(AN241=0,"na",IF(COUNTIF(AN234:AN240,MAX(AN234:AN240))&gt;COUNTIF(AM234:AM240,"&lt;&gt;""")/2,"No clear choice of the most common response",INDEX(AM234:AM240,MATCH(MAX(AN234:AN240),AN234:AN240,0),1)))</f>
        <v>Very unlikely</v>
      </c>
      <c r="AJ220" s="58">
        <f>AN241</f>
        <v>16</v>
      </c>
      <c r="AK220" s="121">
        <f>AN240</f>
        <v>1</v>
      </c>
      <c r="AL220" s="14"/>
      <c r="AM220" s="14"/>
      <c r="AN220" s="14"/>
      <c r="AO220" s="14"/>
      <c r="AP220" s="19"/>
      <c r="AQ220" s="19"/>
      <c r="AR220" s="19"/>
      <c r="AS220" s="19"/>
      <c r="AT220" s="19"/>
      <c r="AU220" s="47"/>
      <c r="AV220" s="14"/>
      <c r="AW220" s="57" t="s">
        <v>306</v>
      </c>
      <c r="AX220" s="121" t="str">
        <f>IF(BC241=0,"na",IF(COUNTIF(BC234:BC240,MAX(BC234:BC240))&gt;COUNTIF(BB234:BB240,"&lt;&gt;""")/2,"No clear choice of the most common response",INDEX(BB234:BB240,MATCH(MAX(BC234:BC240),BC234:BC240,0),1)))</f>
        <v>Very unlikely</v>
      </c>
      <c r="AY220" s="58">
        <f>BC241</f>
        <v>16</v>
      </c>
      <c r="AZ220" s="121">
        <f>BC240</f>
        <v>1</v>
      </c>
      <c r="BA220" s="14"/>
      <c r="BB220" s="14"/>
      <c r="BC220" s="14"/>
      <c r="BD220" s="14"/>
      <c r="BE220" s="19"/>
      <c r="BF220" s="19"/>
      <c r="BG220" s="19"/>
      <c r="BH220" s="19"/>
      <c r="BI220" s="19"/>
      <c r="BJ220" s="47"/>
      <c r="BK220" s="19"/>
      <c r="BL220" s="57" t="s">
        <v>306</v>
      </c>
      <c r="BM220" s="121" t="str">
        <f>IF(BR241=0,"na",IF(COUNTIF(BR234:BR240,MAX(BR234:BR240))&gt;COUNTIF(BQ234:BQ240,"&lt;&gt;""")/2,"No clear choice of the most common response",INDEX(BQ234:BQ240,MATCH(MAX(BR234:BR240),BR234:BR240,0),1)))</f>
        <v>Very unlikely</v>
      </c>
      <c r="BN220" s="58">
        <f>BR241</f>
        <v>16</v>
      </c>
      <c r="BO220" s="121">
        <f>BR240</f>
        <v>1</v>
      </c>
      <c r="BP220" s="14"/>
      <c r="BQ220" s="14"/>
      <c r="BR220" s="14"/>
      <c r="BS220" s="14"/>
      <c r="BT220" s="19"/>
      <c r="BU220" s="19"/>
      <c r="BV220" s="19"/>
      <c r="BW220" s="19"/>
      <c r="BX220" s="19"/>
      <c r="BY220" s="47"/>
      <c r="BZ220" s="14"/>
      <c r="CA220" s="34" t="s">
        <v>155</v>
      </c>
      <c r="CB220" s="37">
        <f>CB193+CB166+CB139+CB112+CB85+CB58</f>
        <v>7</v>
      </c>
      <c r="CC220" s="21"/>
      <c r="CD220" s="180"/>
      <c r="CE220" s="180"/>
      <c r="CF220" s="21"/>
      <c r="CG220" s="29"/>
      <c r="CH220" s="29"/>
      <c r="CI220" s="29"/>
      <c r="CJ220" s="29"/>
      <c r="CK220" s="29"/>
      <c r="CL220" s="29"/>
      <c r="CM220" s="29"/>
      <c r="CN220" s="29"/>
      <c r="CO220" s="38"/>
      <c r="CP220" s="29"/>
      <c r="CQ220" s="47"/>
      <c r="CR220" s="14"/>
      <c r="CS220" s="34" t="s">
        <v>155</v>
      </c>
      <c r="CT220" s="37">
        <f>CT193+CT166+CT139+CT112+CT85+CT58</f>
        <v>9</v>
      </c>
      <c r="CU220" s="14"/>
      <c r="CV220" s="180"/>
      <c r="CW220" s="189"/>
      <c r="CX220" s="189"/>
      <c r="CY220" s="29"/>
      <c r="CZ220" s="29"/>
      <c r="DA220" s="29"/>
      <c r="DB220" s="29"/>
      <c r="DC220" s="29"/>
      <c r="DD220" s="29"/>
      <c r="DE220" s="29"/>
      <c r="DF220" s="29"/>
      <c r="DG220" s="38"/>
      <c r="DH220" s="29"/>
      <c r="DI220" s="47"/>
      <c r="DJ220" s="29"/>
      <c r="DK220" s="34" t="s">
        <v>306</v>
      </c>
      <c r="DL220" s="37" t="str">
        <f>INDEX(DP233:DP238,MATCH(MAX(DQ233:DQ238),DQ233:DQ238,0),1)</f>
        <v>Definitely not</v>
      </c>
      <c r="DM220" s="33">
        <f>DQ239</f>
        <v>12</v>
      </c>
      <c r="DN220" s="37">
        <f>DQ238</f>
        <v>0</v>
      </c>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row>
    <row r="221" spans="1:142" x14ac:dyDescent="0.25">
      <c r="A221" s="14"/>
      <c r="B221" s="57"/>
      <c r="C221" s="121" t="str">
        <f ca="1">IF(COUNTIF(H233:H238,MAX(H233:H238))=1,"",    INDEX(OFFSET(G233,MATCH(C220,G233:G238,0),0):G238,         MATCH(MAX(H233:H238),OFFSET(H233,MATCH(C220,G233:G238,0),0):H238,0),1)      )</f>
        <v/>
      </c>
      <c r="D221" s="58"/>
      <c r="E221" s="121"/>
      <c r="F221" s="19"/>
      <c r="G221" s="14"/>
      <c r="H221" s="21"/>
      <c r="I221" s="21"/>
      <c r="J221" s="14"/>
      <c r="K221" s="19"/>
      <c r="L221" s="40"/>
      <c r="M221" s="40"/>
      <c r="N221" s="40"/>
      <c r="O221" s="40"/>
      <c r="P221" s="40"/>
      <c r="Q221" s="47"/>
      <c r="R221" s="19"/>
      <c r="S221" s="34"/>
      <c r="T221" s="37" t="str">
        <f ca="1">IF(Y241=0,"",IF(COUNTIF(Y234:Y240,MAX(Y234:Y240))=1,"",IF(COUNTIF(Y234:Y240,MAX(Y234:Y240))&gt;COUNTIF(X234:X240,"&lt;&gt;""")/2,"",INDEX(OFFSET(X234,MATCH(T220,X234:X240,0),0):X240,MATCH(MAX(Y234:Y240),OFFSET(Y234,MATCH(T220,X234:X240,0),0):Y240,0),1))))</f>
        <v/>
      </c>
      <c r="U221" s="33"/>
      <c r="V221" s="37"/>
      <c r="W221" s="14"/>
      <c r="X221" s="14"/>
      <c r="Y221" s="14"/>
      <c r="Z221" s="14"/>
      <c r="AA221" s="19"/>
      <c r="AB221" s="19"/>
      <c r="AC221" s="19"/>
      <c r="AD221" s="19"/>
      <c r="AE221" s="19"/>
      <c r="AF221" s="47"/>
      <c r="AG221" s="19"/>
      <c r="AH221" s="57"/>
      <c r="AI221" s="121" t="str">
        <f ca="1">IF(AN241=0,"",IF(COUNTIF(AN234:AN240,MAX(AN234:AN240))=1,"",IF(COUNTIF(AN234:AN240,MAX(AN234:AN240))&gt;COUNTIF(AM234:AM240,"&lt;&gt;""")/2,"",INDEX(OFFSET(AM234,MATCH(AI220,AM234:AM240,0),0):AM240,MATCH(MAX(AN234:AN240),OFFSET(AN234,MATCH(AI220,AM234:AM240,0),0):AN240,0),1))))</f>
        <v/>
      </c>
      <c r="AJ221" s="58"/>
      <c r="AK221" s="121"/>
      <c r="AL221" s="14"/>
      <c r="AM221" s="14"/>
      <c r="AN221" s="14"/>
      <c r="AO221" s="14"/>
      <c r="AP221" s="19"/>
      <c r="AQ221" s="19"/>
      <c r="AR221" s="19"/>
      <c r="AS221" s="19"/>
      <c r="AT221" s="19"/>
      <c r="AU221" s="47"/>
      <c r="AV221" s="14"/>
      <c r="AW221" s="57"/>
      <c r="AX221" s="121" t="str">
        <f ca="1">IF(BC241=0,"",IF(COUNTIF(BC234:BC240,MAX(BC234:BC240))=1,"",IF(COUNTIF(BC234:BC240,MAX(BC234:BC240))&gt;COUNTIF(BB234:BB240,"&lt;&gt;""")/2,"",INDEX(OFFSET(BB234,MATCH(AX220,BB234:BB240,0),0):BB240,MATCH(MAX(BC234:BC240),OFFSET(BC234,MATCH(AX220,BB234:BB240,0),0):BC240,0),1))))</f>
        <v/>
      </c>
      <c r="AY221" s="58"/>
      <c r="AZ221" s="121"/>
      <c r="BA221" s="14"/>
      <c r="BB221" s="14"/>
      <c r="BC221" s="14"/>
      <c r="BD221" s="14"/>
      <c r="BE221" s="19"/>
      <c r="BF221" s="19"/>
      <c r="BG221" s="19"/>
      <c r="BH221" s="19"/>
      <c r="BI221" s="19"/>
      <c r="BJ221" s="47"/>
      <c r="BK221" s="19"/>
      <c r="BL221" s="57"/>
      <c r="BM221" s="121" t="str">
        <f ca="1">IF(BR241=0,"",IF(COUNTIF(BR234:BR240,MAX(BR234:BR240))=1,"",IF(COUNTIF(BR234:BR240,MAX(BR234:BR240))&gt;COUNTIF(BQ234:BQ240,"&lt;&gt;""")/2,"",INDEX(OFFSET(BQ234,MATCH(BM220,BQ234:BQ240,0),0):BQ240,MATCH(MAX(BR234:BR240),OFFSET(BR234,MATCH(BM220,BQ234:BQ240,0),0):BR240,0),1))))</f>
        <v/>
      </c>
      <c r="BN221" s="58"/>
      <c r="BO221" s="121"/>
      <c r="BP221" s="14"/>
      <c r="BQ221" s="14"/>
      <c r="BR221" s="14"/>
      <c r="BS221" s="14"/>
      <c r="BT221" s="19"/>
      <c r="BU221" s="19"/>
      <c r="BV221" s="19"/>
      <c r="BW221" s="19"/>
      <c r="BX221" s="19"/>
      <c r="BY221" s="47"/>
      <c r="BZ221" s="14"/>
      <c r="CA221" s="14"/>
      <c r="CB221" s="21"/>
      <c r="CC221" s="21"/>
      <c r="CD221" s="180"/>
      <c r="CE221" s="180"/>
      <c r="CF221" s="21"/>
      <c r="CG221" s="29"/>
      <c r="CH221" s="29"/>
      <c r="CI221" s="29"/>
      <c r="CJ221" s="29"/>
      <c r="CK221" s="29"/>
      <c r="CL221" s="29"/>
      <c r="CM221" s="29"/>
      <c r="CN221" s="29"/>
      <c r="CO221" s="38"/>
      <c r="CP221" s="29"/>
      <c r="CQ221" s="47"/>
      <c r="CR221" s="14"/>
      <c r="CS221" s="14"/>
      <c r="CT221" s="14"/>
      <c r="CU221" s="14"/>
      <c r="CV221" s="180"/>
      <c r="CW221" s="189"/>
      <c r="CX221" s="189"/>
      <c r="CY221" s="29"/>
      <c r="CZ221" s="29"/>
      <c r="DA221" s="29"/>
      <c r="DB221" s="29"/>
      <c r="DC221" s="29"/>
      <c r="DD221" s="29"/>
      <c r="DE221" s="29"/>
      <c r="DF221" s="29"/>
      <c r="DG221" s="38"/>
      <c r="DH221" s="29"/>
      <c r="DI221" s="47"/>
      <c r="DJ221" s="29"/>
      <c r="DK221" s="34"/>
      <c r="DL221" s="37" t="str">
        <f ca="1">IF(DQ239=0,"",IF(COUNTIF(DQ234:DQ238,MAX(DQ234:DQ238))=1,"",IF(COUNTIF(DQ234:DQ238,MAX(DQ234:DQ238))&gt;COUNTIF(DP234:DP238,"&lt;&gt;""")/2,"",INDEX(OFFSET(DP234,MATCH(DL220,DP234:DP239,0),0):DP238,MATCH(MAX(DQ234:DQ238),OFFSET(DQ234,MATCH(DL220,DP234:DP239,0),0):DQ238,0),1))))</f>
        <v/>
      </c>
      <c r="DM221" s="33"/>
      <c r="DN221" s="37"/>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row>
    <row r="222" spans="1:142" x14ac:dyDescent="0.25">
      <c r="A222" s="14"/>
      <c r="B222" s="57"/>
      <c r="C222" s="121" t="str">
        <f ca="1">IF(COUNTIF(H233:H238,MAX(H233:H238))&lt;=2,"",    INDEX(OFFSET(G233,MATCH(C221,G233:G238,0),0):G238,         MATCH(MAX(H233:H238),        OFFSET(H233,MATCH(C221,G233:G238,0),0):H238,0),1)      )</f>
        <v/>
      </c>
      <c r="D222" s="58"/>
      <c r="E222" s="121"/>
      <c r="F222" s="19"/>
      <c r="G222" s="14"/>
      <c r="H222" s="21"/>
      <c r="I222" s="21"/>
      <c r="J222" s="14"/>
      <c r="K222" s="19"/>
      <c r="L222" s="40"/>
      <c r="M222" s="40"/>
      <c r="N222" s="40"/>
      <c r="O222" s="40"/>
      <c r="P222" s="40"/>
      <c r="Q222" s="47"/>
      <c r="R222" s="19"/>
      <c r="S222" s="34"/>
      <c r="T222" s="121" t="str">
        <f ca="1" xml:space="preserve"> IF(Y241=0,"",IF(Y241=0,"", IF(COUNTIF(Y234:Y240,MAX(Y234:Y240))&lt;=2,"",IF(COUNTIF(Y234:Y240,MAX(Y234:Y240))&gt;COUNTIF(X234:X240,"&lt;&gt;""")/2,"", INDEX(OFFSET(X234,MATCH(T221,X234:X240,0),0):X240,         MATCH(MAX(Y234:Y240),        OFFSET(Y234,MATCH(T221,X234:X240,0),0):Y240,0),1)))))</f>
        <v/>
      </c>
      <c r="U222" s="33"/>
      <c r="V222" s="37"/>
      <c r="W222" s="14"/>
      <c r="X222" s="14"/>
      <c r="Y222" s="14"/>
      <c r="Z222" s="14"/>
      <c r="AA222" s="19"/>
      <c r="AB222" s="19"/>
      <c r="AC222" s="19"/>
      <c r="AD222" s="19"/>
      <c r="AE222" s="19"/>
      <c r="AF222" s="47"/>
      <c r="AG222" s="19"/>
      <c r="AH222" s="57"/>
      <c r="AI222" s="121" t="str">
        <f ca="1" xml:space="preserve"> IF(AN241=0,"",IF(AN241=0,"", IF(COUNTIF(AN234:AN240,MAX(AN234:AN240))&lt;=2,"",IF(COUNTIF(AN234:AN240,MAX(AN234:AN240))&gt;COUNTIF(AM234:AM240,"&lt;&gt;""")/2,"", INDEX(OFFSET(AM234,MATCH(AI221,AM234:AM240,0),0):AM240,         MATCH(MAX(AN234:AN240),        OFFSET(AN234,MATCH(AI221,AM234:AM240,0),0):AN240,0),1)))))</f>
        <v/>
      </c>
      <c r="AJ222" s="58"/>
      <c r="AK222" s="121"/>
      <c r="AL222" s="14"/>
      <c r="AM222" s="14"/>
      <c r="AN222" s="14"/>
      <c r="AO222" s="14"/>
      <c r="AP222" s="19"/>
      <c r="AQ222" s="19"/>
      <c r="AR222" s="19"/>
      <c r="AS222" s="19"/>
      <c r="AT222" s="19"/>
      <c r="AU222" s="47"/>
      <c r="AV222" s="14"/>
      <c r="AW222" s="57"/>
      <c r="AX222" s="121" t="str">
        <f ca="1" xml:space="preserve"> IF(BC241=0,"",IF(BC241=0,"", IF(COUNTIF(BC234:BC240,MAX(BC234:BC240))&lt;=2,"",IF(COUNTIF(BC234:BC240,MAX(BC234:BC240))&gt;COUNTIF(BB234:BB240,"&lt;&gt;""")/2,"", INDEX(OFFSET(BB234,MATCH(AX221,BB234:BB240,0),0):BB240,         MATCH(MAX(BC234:BC240),        OFFSET(BC234,MATCH(AX221,BB234:BB240,0),0):BC240,0),1)))))</f>
        <v/>
      </c>
      <c r="AY222" s="58"/>
      <c r="AZ222" s="121"/>
      <c r="BA222" s="14"/>
      <c r="BB222" s="14"/>
      <c r="BC222" s="14"/>
      <c r="BD222" s="14"/>
      <c r="BE222" s="19"/>
      <c r="BF222" s="19"/>
      <c r="BG222" s="19"/>
      <c r="BH222" s="19"/>
      <c r="BI222" s="19"/>
      <c r="BJ222" s="47"/>
      <c r="BK222" s="19"/>
      <c r="BL222" s="57"/>
      <c r="BM222" s="121" t="str">
        <f ca="1" xml:space="preserve"> IF(BR241=0,"",IF(BR241=0,"", IF(COUNTIF(BR234:BR240,MAX(BR234:BR240))&lt;=2,"",IF(COUNTIF(BR234:BR240,MAX(BR234:BR240))&gt;COUNTIF(BQ234:BQ240,"&lt;&gt;""")/2,"", INDEX(OFFSET(BQ234,MATCH(BM221,BQ234:BQ240,0),0):BQ240,         MATCH(MAX(BR234:BR240),        OFFSET(BR234,MATCH(BM221,BQ234:BQ240,0),0):BR240,0),1)))))</f>
        <v/>
      </c>
      <c r="BN222" s="58"/>
      <c r="BO222" s="121"/>
      <c r="BP222" s="14"/>
      <c r="BQ222" s="14"/>
      <c r="BR222" s="14"/>
      <c r="BS222" s="14"/>
      <c r="BT222" s="19"/>
      <c r="BU222" s="19"/>
      <c r="BV222" s="19"/>
      <c r="BW222" s="19"/>
      <c r="BX222" s="19"/>
      <c r="BY222" s="47"/>
      <c r="BZ222" s="14"/>
      <c r="CA222" s="14"/>
      <c r="CB222" s="21"/>
      <c r="CC222" s="21"/>
      <c r="CD222" s="180"/>
      <c r="CE222" s="180"/>
      <c r="CF222" s="21"/>
      <c r="CG222" s="29"/>
      <c r="CH222" s="29"/>
      <c r="CI222" s="29"/>
      <c r="CJ222" s="29"/>
      <c r="CK222" s="29"/>
      <c r="CL222" s="29"/>
      <c r="CM222" s="29"/>
      <c r="CN222" s="29"/>
      <c r="CO222" s="38"/>
      <c r="CP222" s="29"/>
      <c r="CQ222" s="47"/>
      <c r="CR222" s="14"/>
      <c r="CS222" s="14"/>
      <c r="CT222" s="14"/>
      <c r="CU222" s="14"/>
      <c r="CV222" s="180"/>
      <c r="CW222" s="189"/>
      <c r="CX222" s="189"/>
      <c r="CY222" s="29"/>
      <c r="CZ222" s="29"/>
      <c r="DA222" s="29"/>
      <c r="DB222" s="29"/>
      <c r="DC222" s="29"/>
      <c r="DD222" s="29"/>
      <c r="DE222" s="29"/>
      <c r="DF222" s="29"/>
      <c r="DG222" s="38"/>
      <c r="DH222" s="29"/>
      <c r="DI222" s="47"/>
      <c r="DJ222" s="29"/>
      <c r="DK222" s="34"/>
      <c r="DL222" s="37" t="str">
        <f ca="1">IF(DQ239=0,"",IF(COUNTIF(DQ234:DQ238,MAX(DQ234:DQ238))&lt;=2,"",IF(COUNTIF(DQ234:DQ238,MAX(DQ234:DQ238))&gt;COUNTIF(DP234:DP238,"&lt;&gt;""")/2,"",INDEX(OFFSET(DP234,MATCH(DL221,DP234:DP239,0),0):DP238,MATCH(MAX(DQ234:DQ238),OFFSET(DQ234,MATCH(DL221,DP234:DP239,0),0):DQ238,0),1))))</f>
        <v/>
      </c>
      <c r="DM222" s="33"/>
      <c r="DN222" s="37"/>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row>
    <row r="223" spans="1:142" x14ac:dyDescent="0.25">
      <c r="A223" s="14"/>
      <c r="B223" s="14"/>
      <c r="C223" s="14"/>
      <c r="D223" s="27"/>
      <c r="E223" s="19"/>
      <c r="F223" s="19"/>
      <c r="G223" s="14"/>
      <c r="H223" s="21"/>
      <c r="I223" s="21"/>
      <c r="J223" s="14"/>
      <c r="K223" s="19"/>
      <c r="L223" s="40"/>
      <c r="M223" s="40"/>
      <c r="N223" s="40"/>
      <c r="O223" s="40"/>
      <c r="P223" s="40"/>
      <c r="Q223" s="47"/>
      <c r="R223" s="19"/>
      <c r="S223" s="14"/>
      <c r="T223" s="14"/>
      <c r="U223" s="14"/>
      <c r="V223" s="14"/>
      <c r="W223" s="14"/>
      <c r="X223" s="14"/>
      <c r="Y223" s="14"/>
      <c r="Z223" s="14"/>
      <c r="AA223" s="19"/>
      <c r="AB223" s="19"/>
      <c r="AC223" s="19"/>
      <c r="AD223" s="19"/>
      <c r="AE223" s="19"/>
      <c r="AF223" s="47"/>
      <c r="AG223" s="19"/>
      <c r="AH223" s="14"/>
      <c r="AI223" s="14"/>
      <c r="AJ223" s="14"/>
      <c r="AK223" s="14"/>
      <c r="AL223" s="14"/>
      <c r="AM223" s="14"/>
      <c r="AN223" s="14"/>
      <c r="AO223" s="14"/>
      <c r="AP223" s="19"/>
      <c r="AQ223" s="19"/>
      <c r="AR223" s="19"/>
      <c r="AS223" s="19"/>
      <c r="AT223" s="19"/>
      <c r="AU223" s="47"/>
      <c r="AV223" s="14"/>
      <c r="AW223" s="14"/>
      <c r="AX223" s="14"/>
      <c r="AY223" s="14"/>
      <c r="AZ223" s="14"/>
      <c r="BA223" s="14"/>
      <c r="BB223" s="14"/>
      <c r="BC223" s="14"/>
      <c r="BD223" s="14"/>
      <c r="BE223" s="19"/>
      <c r="BF223" s="19"/>
      <c r="BG223" s="19"/>
      <c r="BH223" s="19"/>
      <c r="BI223" s="19"/>
      <c r="BJ223" s="47"/>
      <c r="BK223" s="19"/>
      <c r="BL223" s="14"/>
      <c r="BM223" s="14"/>
      <c r="BN223" s="14"/>
      <c r="BO223" s="14"/>
      <c r="BP223" s="14"/>
      <c r="BQ223" s="14"/>
      <c r="BR223" s="14"/>
      <c r="BS223" s="14"/>
      <c r="BT223" s="19"/>
      <c r="BU223" s="19"/>
      <c r="BV223" s="19"/>
      <c r="BW223" s="19"/>
      <c r="BX223" s="19"/>
      <c r="BY223" s="47"/>
      <c r="BZ223" s="14"/>
      <c r="CA223" s="14"/>
      <c r="CB223" s="21"/>
      <c r="CC223" s="21"/>
      <c r="CD223" s="180"/>
      <c r="CE223" s="180"/>
      <c r="CF223" s="21"/>
      <c r="CG223" s="29"/>
      <c r="CH223" s="29"/>
      <c r="CI223" s="29"/>
      <c r="CJ223" s="29"/>
      <c r="CK223" s="29"/>
      <c r="CL223" s="29"/>
      <c r="CM223" s="29"/>
      <c r="CN223" s="29"/>
      <c r="CO223" s="38"/>
      <c r="CP223" s="29"/>
      <c r="CQ223" s="47"/>
      <c r="CR223" s="14"/>
      <c r="CS223" s="14"/>
      <c r="CT223" s="14"/>
      <c r="CU223" s="14"/>
      <c r="CV223" s="180"/>
      <c r="CW223" s="189"/>
      <c r="CX223" s="189"/>
      <c r="CY223" s="29"/>
      <c r="CZ223" s="29"/>
      <c r="DA223" s="29"/>
      <c r="DB223" s="29"/>
      <c r="DC223" s="29"/>
      <c r="DD223" s="29"/>
      <c r="DE223" s="29"/>
      <c r="DF223" s="29"/>
      <c r="DG223" s="38"/>
      <c r="DH223" s="29"/>
      <c r="DI223" s="47"/>
      <c r="DJ223" s="29"/>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row>
    <row r="224" spans="1:142" x14ac:dyDescent="0.25">
      <c r="A224" s="14"/>
      <c r="B224" s="14"/>
      <c r="C224" s="14"/>
      <c r="D224" s="27"/>
      <c r="E224" s="19"/>
      <c r="F224" s="19"/>
      <c r="G224" s="14"/>
      <c r="H224" s="21"/>
      <c r="I224" s="21"/>
      <c r="J224" s="14"/>
      <c r="K224" s="19"/>
      <c r="L224" s="40"/>
      <c r="M224" s="40"/>
      <c r="N224" s="40"/>
      <c r="O224" s="40"/>
      <c r="P224" s="40"/>
      <c r="Q224" s="47"/>
      <c r="R224" s="19"/>
      <c r="S224" s="14"/>
      <c r="T224" s="14"/>
      <c r="U224" s="14"/>
      <c r="V224" s="14"/>
      <c r="W224" s="14"/>
      <c r="X224" s="14"/>
      <c r="Y224" s="14"/>
      <c r="Z224" s="14"/>
      <c r="AA224" s="19"/>
      <c r="AB224" s="19"/>
      <c r="AC224" s="19"/>
      <c r="AD224" s="19"/>
      <c r="AE224" s="19"/>
      <c r="AF224" s="47"/>
      <c r="AG224" s="19"/>
      <c r="AH224" s="14"/>
      <c r="AI224" s="14"/>
      <c r="AJ224" s="14"/>
      <c r="AK224" s="14"/>
      <c r="AL224" s="14"/>
      <c r="AM224" s="14"/>
      <c r="AN224" s="14"/>
      <c r="AO224" s="14"/>
      <c r="AP224" s="19"/>
      <c r="AQ224" s="19"/>
      <c r="AR224" s="19"/>
      <c r="AS224" s="19"/>
      <c r="AT224" s="19"/>
      <c r="AU224" s="47"/>
      <c r="AV224" s="14"/>
      <c r="AW224" s="14"/>
      <c r="AX224" s="14"/>
      <c r="AY224" s="14"/>
      <c r="AZ224" s="14"/>
      <c r="BA224" s="14"/>
      <c r="BB224" s="14"/>
      <c r="BC224" s="14"/>
      <c r="BD224" s="14"/>
      <c r="BE224" s="19"/>
      <c r="BF224" s="19"/>
      <c r="BG224" s="19"/>
      <c r="BH224" s="19"/>
      <c r="BI224" s="19"/>
      <c r="BJ224" s="47"/>
      <c r="BK224" s="19"/>
      <c r="BL224" s="14"/>
      <c r="BM224" s="14"/>
      <c r="BN224" s="14"/>
      <c r="BO224" s="14"/>
      <c r="BP224" s="14"/>
      <c r="BQ224" s="14"/>
      <c r="BR224" s="14"/>
      <c r="BS224" s="14"/>
      <c r="BT224" s="19"/>
      <c r="BU224" s="19"/>
      <c r="BV224" s="19"/>
      <c r="BW224" s="19"/>
      <c r="BX224" s="19"/>
      <c r="BY224" s="47"/>
      <c r="BZ224" s="14"/>
      <c r="CA224" s="14"/>
      <c r="CB224" s="21"/>
      <c r="CC224" s="21"/>
      <c r="CD224" s="180"/>
      <c r="CE224" s="180"/>
      <c r="CF224" s="21"/>
      <c r="CG224" s="29"/>
      <c r="CH224" s="29"/>
      <c r="CI224" s="29"/>
      <c r="CJ224" s="29"/>
      <c r="CK224" s="29"/>
      <c r="CL224" s="29"/>
      <c r="CM224" s="29"/>
      <c r="CN224" s="29"/>
      <c r="CO224" s="38"/>
      <c r="CP224" s="29"/>
      <c r="CQ224" s="47"/>
      <c r="CR224" s="14"/>
      <c r="CS224" s="14"/>
      <c r="CT224" s="14"/>
      <c r="CU224" s="14"/>
      <c r="CV224" s="180"/>
      <c r="CW224" s="189"/>
      <c r="CX224" s="189"/>
      <c r="CY224" s="29"/>
      <c r="CZ224" s="29"/>
      <c r="DA224" s="29"/>
      <c r="DB224" s="29"/>
      <c r="DC224" s="29"/>
      <c r="DD224" s="29"/>
      <c r="DE224" s="29"/>
      <c r="DF224" s="29"/>
      <c r="DG224" s="38"/>
      <c r="DH224" s="29"/>
      <c r="DI224" s="47"/>
      <c r="DJ224" s="29"/>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row>
    <row r="225" spans="1:142" ht="27.6" x14ac:dyDescent="0.25">
      <c r="A225" s="14"/>
      <c r="B225" s="19"/>
      <c r="C225" s="19"/>
      <c r="D225" s="27"/>
      <c r="E225" s="19"/>
      <c r="F225" s="19"/>
      <c r="G225" s="14"/>
      <c r="H225" s="21"/>
      <c r="I225" s="21"/>
      <c r="J225" s="14"/>
      <c r="K225" s="19"/>
      <c r="L225" s="40"/>
      <c r="M225" s="40"/>
      <c r="N225" s="40"/>
      <c r="O225" s="40"/>
      <c r="P225" s="40"/>
      <c r="Q225" s="47"/>
      <c r="R225" s="19"/>
      <c r="S225" s="14"/>
      <c r="T225" s="14"/>
      <c r="U225" s="14"/>
      <c r="V225" s="14"/>
      <c r="W225" s="14"/>
      <c r="X225" s="14"/>
      <c r="Y225" s="14"/>
      <c r="Z225" s="14"/>
      <c r="AA225" s="19"/>
      <c r="AB225" s="19"/>
      <c r="AC225" s="19"/>
      <c r="AD225" s="19"/>
      <c r="AE225" s="19"/>
      <c r="AF225" s="47"/>
      <c r="AG225" s="19"/>
      <c r="AH225" s="14"/>
      <c r="AI225" s="14"/>
      <c r="AJ225" s="14"/>
      <c r="AK225" s="14"/>
      <c r="AL225" s="14"/>
      <c r="AM225" s="14"/>
      <c r="AN225" s="14"/>
      <c r="AO225" s="14"/>
      <c r="AP225" s="19"/>
      <c r="AQ225" s="19"/>
      <c r="AR225" s="19"/>
      <c r="AS225" s="19"/>
      <c r="AT225" s="19"/>
      <c r="AU225" s="47"/>
      <c r="AV225" s="14"/>
      <c r="AW225" s="14"/>
      <c r="AX225" s="14"/>
      <c r="AY225" s="14"/>
      <c r="AZ225" s="14"/>
      <c r="BA225" s="14"/>
      <c r="BB225" s="14"/>
      <c r="BC225" s="14"/>
      <c r="BD225" s="14"/>
      <c r="BE225" s="19"/>
      <c r="BF225" s="19"/>
      <c r="BG225" s="19"/>
      <c r="BH225" s="19"/>
      <c r="BI225" s="19"/>
      <c r="BJ225" s="47"/>
      <c r="BK225" s="19"/>
      <c r="BL225" s="14"/>
      <c r="BM225" s="14"/>
      <c r="BN225" s="14"/>
      <c r="BO225" s="14"/>
      <c r="BP225" s="14"/>
      <c r="BQ225" s="14"/>
      <c r="BR225" s="14"/>
      <c r="BS225" s="14"/>
      <c r="BT225" s="19"/>
      <c r="BU225" s="19"/>
      <c r="BV225" s="19"/>
      <c r="BW225" s="19"/>
      <c r="BX225" s="19"/>
      <c r="BY225" s="47"/>
      <c r="BZ225" s="14"/>
      <c r="CA225" s="109" t="s">
        <v>14</v>
      </c>
      <c r="CB225" s="110" t="s">
        <v>164</v>
      </c>
      <c r="CC225" s="110" t="s">
        <v>149</v>
      </c>
      <c r="CD225" s="184" t="s">
        <v>150</v>
      </c>
      <c r="CE225" s="184" t="s">
        <v>151</v>
      </c>
      <c r="CF225" s="110" t="s">
        <v>152</v>
      </c>
      <c r="CG225" s="29"/>
      <c r="CH225" s="29"/>
      <c r="CI225" s="29"/>
      <c r="CJ225" s="29"/>
      <c r="CK225" s="29"/>
      <c r="CL225" s="29"/>
      <c r="CM225" s="29"/>
      <c r="CN225" s="29"/>
      <c r="CO225" s="38"/>
      <c r="CP225" s="29"/>
      <c r="CQ225" s="47"/>
      <c r="CR225" s="14"/>
      <c r="CS225" s="109" t="s">
        <v>14</v>
      </c>
      <c r="CT225" s="110" t="s">
        <v>164</v>
      </c>
      <c r="CU225" s="110" t="s">
        <v>149</v>
      </c>
      <c r="CV225" s="184" t="s">
        <v>150</v>
      </c>
      <c r="CW225" s="184" t="s">
        <v>151</v>
      </c>
      <c r="CX225" s="194" t="s">
        <v>152</v>
      </c>
      <c r="CY225" s="17"/>
      <c r="CZ225" s="29"/>
      <c r="DA225" s="29"/>
      <c r="DB225" s="29"/>
      <c r="DC225" s="29"/>
      <c r="DD225" s="29"/>
      <c r="DE225" s="29"/>
      <c r="DF225" s="29"/>
      <c r="DG225" s="38"/>
      <c r="DH225" s="29"/>
      <c r="DI225" s="47"/>
      <c r="DJ225" s="29"/>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row>
    <row r="226" spans="1:142" x14ac:dyDescent="0.25">
      <c r="A226" s="14"/>
      <c r="B226" s="56"/>
      <c r="C226" s="19"/>
      <c r="D226" s="21"/>
      <c r="E226" s="14"/>
      <c r="F226" s="14"/>
      <c r="G226" s="14"/>
      <c r="H226" s="21"/>
      <c r="I226" s="21"/>
      <c r="J226" s="14"/>
      <c r="K226" s="19"/>
      <c r="L226" s="14"/>
      <c r="M226" s="14"/>
      <c r="N226" s="14"/>
      <c r="O226" s="14"/>
      <c r="P226" s="14"/>
      <c r="Q226" s="47"/>
      <c r="R226" s="19"/>
      <c r="S226" s="14"/>
      <c r="T226" s="14"/>
      <c r="U226" s="14"/>
      <c r="V226" s="14"/>
      <c r="W226" s="14"/>
      <c r="X226" s="14"/>
      <c r="Y226" s="14"/>
      <c r="Z226" s="14"/>
      <c r="AA226" s="19"/>
      <c r="AB226" s="19"/>
      <c r="AC226" s="19"/>
      <c r="AD226" s="19"/>
      <c r="AE226" s="19"/>
      <c r="AF226" s="47"/>
      <c r="AG226" s="19"/>
      <c r="AH226" s="14"/>
      <c r="AI226" s="14"/>
      <c r="AJ226" s="14"/>
      <c r="AK226" s="14"/>
      <c r="AL226" s="14"/>
      <c r="AM226" s="14"/>
      <c r="AN226" s="14"/>
      <c r="AO226" s="14"/>
      <c r="AP226" s="19"/>
      <c r="AQ226" s="19"/>
      <c r="AR226" s="19"/>
      <c r="AS226" s="19"/>
      <c r="AT226" s="19"/>
      <c r="AU226" s="47"/>
      <c r="AV226" s="14"/>
      <c r="AW226" s="14"/>
      <c r="AX226" s="14"/>
      <c r="AY226" s="14"/>
      <c r="AZ226" s="14"/>
      <c r="BA226" s="14"/>
      <c r="BB226" s="14"/>
      <c r="BC226" s="14"/>
      <c r="BD226" s="14"/>
      <c r="BE226" s="19"/>
      <c r="BF226" s="19"/>
      <c r="BG226" s="19"/>
      <c r="BH226" s="19"/>
      <c r="BI226" s="19"/>
      <c r="BJ226" s="47"/>
      <c r="BK226" s="19"/>
      <c r="BL226" s="14"/>
      <c r="BM226" s="14"/>
      <c r="BN226" s="14"/>
      <c r="BO226" s="14"/>
      <c r="BP226" s="14"/>
      <c r="BQ226" s="14"/>
      <c r="BR226" s="14"/>
      <c r="BS226" s="14"/>
      <c r="BT226" s="19"/>
      <c r="BU226" s="19"/>
      <c r="BV226" s="19"/>
      <c r="BW226" s="19"/>
      <c r="BX226" s="19"/>
      <c r="BY226" s="47"/>
      <c r="BZ226" s="14"/>
      <c r="CA226" s="140" t="s">
        <v>461</v>
      </c>
      <c r="CB226" s="27">
        <f>CB64+CB91+CB118+CB145+CB172+CB199</f>
        <v>4</v>
      </c>
      <c r="CC226" s="37">
        <f t="shared" ref="CC226:CE232" si="157">SUM(CC199,CC172,CC145,CC118,CC91,CC64)</f>
        <v>4</v>
      </c>
      <c r="CD226" s="37">
        <f t="shared" si="157"/>
        <v>0</v>
      </c>
      <c r="CE226" s="37">
        <f t="shared" si="157"/>
        <v>0</v>
      </c>
      <c r="CF226" s="97">
        <f>IF(CB220=0,0,SUMPRODUCT(CC226:CE226,Rank_score)/$CB220)</f>
        <v>1.7142857142857142</v>
      </c>
      <c r="CG226" s="29"/>
      <c r="CH226" s="29"/>
      <c r="CI226" s="29"/>
      <c r="CJ226" s="29"/>
      <c r="CK226" s="29"/>
      <c r="CL226" s="29"/>
      <c r="CM226" s="29"/>
      <c r="CN226" s="29"/>
      <c r="CO226" s="38"/>
      <c r="CP226" s="29"/>
      <c r="CQ226" s="47"/>
      <c r="CR226" s="14"/>
      <c r="CS226" s="140" t="s">
        <v>373</v>
      </c>
      <c r="CT226" s="27">
        <f t="shared" ref="CT226:CT231" si="158">CT199+CT172+CT145+CT118+CT91+CT64</f>
        <v>6</v>
      </c>
      <c r="CU226" s="37">
        <f t="shared" ref="CU226:CW231" si="159">SUM(CU199,CU172,CU145,CU118,CU91,CU64)</f>
        <v>5</v>
      </c>
      <c r="CV226" s="37">
        <f t="shared" si="159"/>
        <v>1</v>
      </c>
      <c r="CW226" s="37">
        <f t="shared" si="159"/>
        <v>0</v>
      </c>
      <c r="CX226" s="37">
        <f>(CU226*3+CV226*2+CW226*1)/(SUM(CU226:CW232)/3)</f>
        <v>2.5499999999999998</v>
      </c>
      <c r="CY226" s="14"/>
      <c r="CZ226" s="29"/>
      <c r="DA226" s="29"/>
      <c r="DB226" s="29"/>
      <c r="DC226" s="29"/>
      <c r="DD226" s="29"/>
      <c r="DE226" s="29"/>
      <c r="DF226" s="29"/>
      <c r="DG226" s="38"/>
      <c r="DH226" s="29"/>
      <c r="DI226" s="47"/>
      <c r="DJ226" s="29"/>
      <c r="DK226" s="19"/>
      <c r="DL226" s="19"/>
      <c r="DM226" s="14"/>
      <c r="DN226" s="14"/>
      <c r="DO226" s="14"/>
      <c r="DP226" s="14"/>
      <c r="DQ226" s="14"/>
      <c r="DR226" s="19"/>
      <c r="DS226" s="19"/>
      <c r="DT226" s="14"/>
      <c r="DU226" s="14"/>
      <c r="DV226" s="14"/>
      <c r="DW226" s="14"/>
      <c r="DX226" s="14"/>
      <c r="DY226" s="14"/>
      <c r="DZ226" s="14"/>
      <c r="EA226" s="14"/>
      <c r="EB226" s="14"/>
      <c r="EC226" s="14"/>
      <c r="ED226" s="14"/>
      <c r="EE226" s="14"/>
      <c r="EF226" s="14"/>
      <c r="EG226" s="14"/>
      <c r="EH226" s="14"/>
      <c r="EI226" s="14"/>
      <c r="EJ226" s="14"/>
      <c r="EK226" s="14"/>
      <c r="EL226" s="14"/>
    </row>
    <row r="227" spans="1:142" x14ac:dyDescent="0.25">
      <c r="A227" s="14"/>
      <c r="B227" s="56"/>
      <c r="C227" s="19"/>
      <c r="D227" s="21"/>
      <c r="E227" s="14"/>
      <c r="F227" s="14"/>
      <c r="G227" s="14"/>
      <c r="H227" s="21"/>
      <c r="I227" s="21"/>
      <c r="J227" s="14"/>
      <c r="K227" s="14"/>
      <c r="L227" s="14"/>
      <c r="M227" s="14"/>
      <c r="N227" s="14"/>
      <c r="O227" s="14"/>
      <c r="P227" s="14"/>
      <c r="Q227" s="47"/>
      <c r="R227" s="19"/>
      <c r="S227" s="14"/>
      <c r="T227" s="14"/>
      <c r="U227" s="14"/>
      <c r="V227" s="14"/>
      <c r="W227" s="14"/>
      <c r="X227" s="14"/>
      <c r="Y227" s="14"/>
      <c r="Z227" s="14"/>
      <c r="AA227" s="19"/>
      <c r="AB227" s="19"/>
      <c r="AC227" s="19"/>
      <c r="AD227" s="19"/>
      <c r="AE227" s="19"/>
      <c r="AF227" s="47"/>
      <c r="AG227" s="19"/>
      <c r="AH227" s="14"/>
      <c r="AI227" s="14"/>
      <c r="AJ227" s="14"/>
      <c r="AK227" s="14"/>
      <c r="AL227" s="14"/>
      <c r="AM227" s="14"/>
      <c r="AN227" s="14"/>
      <c r="AO227" s="14"/>
      <c r="AP227" s="19"/>
      <c r="AQ227" s="19"/>
      <c r="AR227" s="19"/>
      <c r="AS227" s="19"/>
      <c r="AT227" s="19"/>
      <c r="AU227" s="47"/>
      <c r="AV227" s="14"/>
      <c r="AW227" s="14"/>
      <c r="AX227" s="14"/>
      <c r="AY227" s="14"/>
      <c r="AZ227" s="14"/>
      <c r="BA227" s="14"/>
      <c r="BB227" s="14"/>
      <c r="BC227" s="14"/>
      <c r="BD227" s="14"/>
      <c r="BE227" s="19"/>
      <c r="BF227" s="19"/>
      <c r="BG227" s="19"/>
      <c r="BH227" s="19"/>
      <c r="BI227" s="19"/>
      <c r="BJ227" s="47"/>
      <c r="BK227" s="19"/>
      <c r="BL227" s="14"/>
      <c r="BM227" s="14"/>
      <c r="BN227" s="14"/>
      <c r="BO227" s="14"/>
      <c r="BP227" s="14"/>
      <c r="BQ227" s="14"/>
      <c r="BR227" s="14"/>
      <c r="BS227" s="14"/>
      <c r="BT227" s="19"/>
      <c r="BU227" s="19"/>
      <c r="BV227" s="19"/>
      <c r="BW227" s="19"/>
      <c r="BX227" s="19"/>
      <c r="BY227" s="47"/>
      <c r="BZ227" s="14"/>
      <c r="CA227" s="140" t="s">
        <v>338</v>
      </c>
      <c r="CB227" s="27">
        <f t="shared" ref="CB227:CB232" si="160">CB65+CB92+CB119+CB146+CB173+CB200</f>
        <v>4</v>
      </c>
      <c r="CC227" s="37">
        <f t="shared" si="157"/>
        <v>0</v>
      </c>
      <c r="CD227" s="37">
        <f t="shared" si="157"/>
        <v>2</v>
      </c>
      <c r="CE227" s="37">
        <f t="shared" si="157"/>
        <v>2</v>
      </c>
      <c r="CF227" s="97">
        <f>IF(CB220=0,0,SUMPRODUCT(CC227:CE227,Rank_score)/$CB220)</f>
        <v>0.8571428571428571</v>
      </c>
      <c r="CG227" s="14"/>
      <c r="CH227" s="14"/>
      <c r="CI227" s="14"/>
      <c r="CJ227" s="14"/>
      <c r="CK227" s="14"/>
      <c r="CL227" s="14"/>
      <c r="CM227" s="14"/>
      <c r="CN227" s="14"/>
      <c r="CO227" s="129"/>
      <c r="CP227" s="14"/>
      <c r="CQ227" s="47"/>
      <c r="CR227" s="14"/>
      <c r="CS227" s="140" t="s">
        <v>338</v>
      </c>
      <c r="CT227" s="27">
        <f t="shared" si="158"/>
        <v>5</v>
      </c>
      <c r="CU227" s="37">
        <f t="shared" si="159"/>
        <v>0</v>
      </c>
      <c r="CV227" s="37">
        <f t="shared" si="159"/>
        <v>2</v>
      </c>
      <c r="CW227" s="37">
        <f t="shared" si="159"/>
        <v>3</v>
      </c>
      <c r="CX227" s="37">
        <f>(CU227*3+CV227*2+CW227*1)/(SUM(CU227:CW233)/3)</f>
        <v>1.5</v>
      </c>
      <c r="CY227" s="14"/>
      <c r="CZ227" s="29"/>
      <c r="DA227" s="14"/>
      <c r="DB227" s="14"/>
      <c r="DC227" s="14"/>
      <c r="DD227" s="14"/>
      <c r="DE227" s="14"/>
      <c r="DF227" s="14"/>
      <c r="DG227" s="129"/>
      <c r="DH227" s="14"/>
      <c r="DI227" s="47"/>
      <c r="DJ227" s="14"/>
      <c r="DK227" s="19"/>
      <c r="DL227" s="19"/>
      <c r="DM227" s="14"/>
      <c r="DN227" s="14"/>
      <c r="DO227" s="14"/>
      <c r="DP227" s="14"/>
      <c r="DQ227" s="14"/>
      <c r="DR227" s="19"/>
      <c r="DS227" s="19"/>
      <c r="DT227" s="14"/>
      <c r="DU227" s="14"/>
      <c r="DV227" s="14"/>
      <c r="DW227" s="14"/>
      <c r="DX227" s="14"/>
      <c r="DY227" s="14"/>
      <c r="DZ227" s="14"/>
      <c r="EA227" s="14"/>
      <c r="EB227" s="14"/>
      <c r="EC227" s="14"/>
      <c r="ED227" s="14"/>
      <c r="EE227" s="14"/>
      <c r="EF227" s="14"/>
      <c r="EG227" s="14"/>
      <c r="EH227" s="14"/>
      <c r="EI227" s="14"/>
      <c r="EJ227" s="14"/>
      <c r="EK227" s="14"/>
      <c r="EL227" s="14"/>
    </row>
    <row r="228" spans="1:142" x14ac:dyDescent="0.25">
      <c r="A228" s="14"/>
      <c r="B228" s="19"/>
      <c r="C228" s="19"/>
      <c r="D228" s="21"/>
      <c r="E228" s="14"/>
      <c r="F228" s="14"/>
      <c r="G228" s="14"/>
      <c r="H228" s="21"/>
      <c r="I228" s="21"/>
      <c r="J228" s="14"/>
      <c r="K228" s="14"/>
      <c r="L228" s="14"/>
      <c r="M228" s="14"/>
      <c r="N228" s="14"/>
      <c r="O228" s="14"/>
      <c r="P228" s="14"/>
      <c r="Q228" s="47"/>
      <c r="R228" s="19"/>
      <c r="S228" s="14"/>
      <c r="T228" s="14"/>
      <c r="U228" s="14"/>
      <c r="V228" s="14"/>
      <c r="W228" s="14"/>
      <c r="X228" s="14"/>
      <c r="Y228" s="14"/>
      <c r="Z228" s="14"/>
      <c r="AA228" s="19"/>
      <c r="AB228" s="19"/>
      <c r="AC228" s="19"/>
      <c r="AD228" s="19"/>
      <c r="AE228" s="19"/>
      <c r="AF228" s="47"/>
      <c r="AG228" s="19"/>
      <c r="AH228" s="14"/>
      <c r="AI228" s="14"/>
      <c r="AJ228" s="14"/>
      <c r="AK228" s="14"/>
      <c r="AL228" s="14"/>
      <c r="AM228" s="14"/>
      <c r="AN228" s="14"/>
      <c r="AO228" s="14"/>
      <c r="AP228" s="19"/>
      <c r="AQ228" s="19"/>
      <c r="AR228" s="19"/>
      <c r="AS228" s="19"/>
      <c r="AT228" s="19"/>
      <c r="AU228" s="47"/>
      <c r="AV228" s="14"/>
      <c r="AW228" s="14"/>
      <c r="AX228" s="14"/>
      <c r="AY228" s="14"/>
      <c r="AZ228" s="14"/>
      <c r="BA228" s="14"/>
      <c r="BB228" s="14"/>
      <c r="BC228" s="14"/>
      <c r="BD228" s="14"/>
      <c r="BE228" s="19"/>
      <c r="BF228" s="19"/>
      <c r="BG228" s="19"/>
      <c r="BH228" s="19"/>
      <c r="BI228" s="19"/>
      <c r="BJ228" s="47"/>
      <c r="BK228" s="19"/>
      <c r="BL228" s="14"/>
      <c r="BM228" s="14"/>
      <c r="BN228" s="14"/>
      <c r="BO228" s="14"/>
      <c r="BP228" s="14"/>
      <c r="BQ228" s="14"/>
      <c r="BR228" s="14"/>
      <c r="BS228" s="14"/>
      <c r="BT228" s="19"/>
      <c r="BU228" s="19"/>
      <c r="BV228" s="19"/>
      <c r="BW228" s="19"/>
      <c r="BX228" s="19"/>
      <c r="BY228" s="47"/>
      <c r="BZ228" s="14"/>
      <c r="CA228" s="140" t="s">
        <v>340</v>
      </c>
      <c r="CB228" s="27">
        <f t="shared" si="160"/>
        <v>4</v>
      </c>
      <c r="CC228" s="37">
        <f t="shared" si="157"/>
        <v>0</v>
      </c>
      <c r="CD228" s="37">
        <f t="shared" si="157"/>
        <v>2</v>
      </c>
      <c r="CE228" s="37">
        <f t="shared" si="157"/>
        <v>2</v>
      </c>
      <c r="CF228" s="97">
        <f>IF(CB220=0,0,SUMPRODUCT(CC228:CE228,Rank_score)/$CB220)</f>
        <v>0.8571428571428571</v>
      </c>
      <c r="CG228" s="39"/>
      <c r="CH228" s="39"/>
      <c r="CI228" s="14"/>
      <c r="CJ228" s="14"/>
      <c r="CK228" s="14"/>
      <c r="CL228" s="14"/>
      <c r="CM228" s="14"/>
      <c r="CN228" s="14"/>
      <c r="CO228" s="129"/>
      <c r="CP228" s="14"/>
      <c r="CQ228" s="47"/>
      <c r="CR228" s="14"/>
      <c r="CS228" s="140" t="s">
        <v>159</v>
      </c>
      <c r="CT228" s="27">
        <f t="shared" si="158"/>
        <v>0</v>
      </c>
      <c r="CU228" s="37">
        <f t="shared" si="159"/>
        <v>0</v>
      </c>
      <c r="CV228" s="37">
        <f t="shared" si="159"/>
        <v>0</v>
      </c>
      <c r="CW228" s="37">
        <f t="shared" si="159"/>
        <v>0</v>
      </c>
      <c r="CX228" s="37">
        <f>(CU228*3+CV228*2+CW228*1)/(SUM(CU227:CW233)/3)</f>
        <v>0</v>
      </c>
      <c r="CY228" s="14"/>
      <c r="CZ228" s="14"/>
      <c r="DA228" s="14"/>
      <c r="DB228" s="14"/>
      <c r="DC228" s="14"/>
      <c r="DD228" s="14"/>
      <c r="DE228" s="14"/>
      <c r="DF228" s="14"/>
      <c r="DG228" s="129"/>
      <c r="DH228" s="14"/>
      <c r="DI228" s="47"/>
      <c r="DJ228" s="14"/>
      <c r="DK228" s="56"/>
      <c r="DL228" s="29"/>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row>
    <row r="229" spans="1:142" x14ac:dyDescent="0.25">
      <c r="A229" s="14"/>
      <c r="B229" s="14"/>
      <c r="C229" s="19"/>
      <c r="D229" s="21"/>
      <c r="E229" s="14"/>
      <c r="F229" s="14"/>
      <c r="G229" s="14"/>
      <c r="H229" s="21"/>
      <c r="I229" s="21"/>
      <c r="J229" s="14"/>
      <c r="K229" s="14"/>
      <c r="L229" s="14"/>
      <c r="M229" s="14"/>
      <c r="N229" s="14"/>
      <c r="O229" s="14"/>
      <c r="P229" s="14"/>
      <c r="Q229" s="47"/>
      <c r="R229" s="19"/>
      <c r="S229" s="14"/>
      <c r="T229" s="14"/>
      <c r="U229" s="14"/>
      <c r="V229" s="14"/>
      <c r="W229" s="14"/>
      <c r="X229" s="14"/>
      <c r="Y229" s="14"/>
      <c r="Z229" s="14"/>
      <c r="AA229" s="14"/>
      <c r="AB229" s="14"/>
      <c r="AC229" s="14"/>
      <c r="AD229" s="14"/>
      <c r="AE229" s="14"/>
      <c r="AF229" s="47"/>
      <c r="AG229" s="19"/>
      <c r="AH229" s="14"/>
      <c r="AI229" s="14"/>
      <c r="AJ229" s="14"/>
      <c r="AK229" s="14"/>
      <c r="AL229" s="14"/>
      <c r="AM229" s="14"/>
      <c r="AN229" s="14"/>
      <c r="AO229" s="14"/>
      <c r="AP229" s="14"/>
      <c r="AQ229" s="14"/>
      <c r="AR229" s="14"/>
      <c r="AS229" s="14"/>
      <c r="AT229" s="14"/>
      <c r="AU229" s="47"/>
      <c r="AV229" s="14"/>
      <c r="AW229" s="14"/>
      <c r="AX229" s="14"/>
      <c r="AY229" s="14"/>
      <c r="AZ229" s="14"/>
      <c r="BA229" s="14"/>
      <c r="BB229" s="14"/>
      <c r="BC229" s="14"/>
      <c r="BD229" s="14"/>
      <c r="BE229" s="14"/>
      <c r="BF229" s="14"/>
      <c r="BG229" s="14"/>
      <c r="BH229" s="14"/>
      <c r="BI229" s="14"/>
      <c r="BJ229" s="47"/>
      <c r="BK229" s="19"/>
      <c r="BL229" s="14"/>
      <c r="BM229" s="14"/>
      <c r="BN229" s="14"/>
      <c r="BO229" s="14"/>
      <c r="BP229" s="14"/>
      <c r="BQ229" s="14"/>
      <c r="BR229" s="14"/>
      <c r="BS229" s="14"/>
      <c r="BT229" s="14"/>
      <c r="BU229" s="14"/>
      <c r="BV229" s="14"/>
      <c r="BW229" s="14"/>
      <c r="BX229" s="14"/>
      <c r="BY229" s="47"/>
      <c r="BZ229" s="14"/>
      <c r="CA229" s="140" t="s">
        <v>341</v>
      </c>
      <c r="CB229" s="27">
        <f t="shared" si="160"/>
        <v>1</v>
      </c>
      <c r="CC229" s="37">
        <f t="shared" si="157"/>
        <v>1</v>
      </c>
      <c r="CD229" s="37">
        <f t="shared" si="157"/>
        <v>0</v>
      </c>
      <c r="CE229" s="37">
        <f t="shared" si="157"/>
        <v>0</v>
      </c>
      <c r="CF229" s="97">
        <f>IF(CB220=0,0,SUMPRODUCT(CC229:CE229,Rank_score)/$CB220)</f>
        <v>0.42857142857142855</v>
      </c>
      <c r="CG229" s="29"/>
      <c r="CH229" s="29"/>
      <c r="CI229" s="14"/>
      <c r="CJ229" s="14"/>
      <c r="CK229" s="14"/>
      <c r="CL229" s="14"/>
      <c r="CM229" s="14"/>
      <c r="CN229" s="14"/>
      <c r="CO229" s="129"/>
      <c r="CP229" s="14"/>
      <c r="CQ229" s="47"/>
      <c r="CR229" s="14"/>
      <c r="CS229" s="140" t="s">
        <v>345</v>
      </c>
      <c r="CT229" s="27">
        <f t="shared" si="158"/>
        <v>2</v>
      </c>
      <c r="CU229" s="37">
        <f t="shared" si="159"/>
        <v>1</v>
      </c>
      <c r="CV229" s="37">
        <f t="shared" si="159"/>
        <v>1</v>
      </c>
      <c r="CW229" s="37">
        <f t="shared" si="159"/>
        <v>0</v>
      </c>
      <c r="CX229" s="37">
        <f>(CU229*3+CV229*2+CW229*1)/(SUM(CU227:CW233)/3)</f>
        <v>1.0714285714285714</v>
      </c>
      <c r="CY229" s="14"/>
      <c r="CZ229" s="14"/>
      <c r="DA229" s="14"/>
      <c r="DB229" s="14"/>
      <c r="DC229" s="14"/>
      <c r="DD229" s="14"/>
      <c r="DE229" s="14"/>
      <c r="DF229" s="14"/>
      <c r="DG229" s="129"/>
      <c r="DH229" s="14"/>
      <c r="DI229" s="47"/>
      <c r="DJ229" s="14"/>
      <c r="DK229" s="56"/>
      <c r="DL229" s="19"/>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row>
    <row r="230" spans="1:142" x14ac:dyDescent="0.25">
      <c r="A230" s="14"/>
      <c r="B230" s="14"/>
      <c r="C230" s="19"/>
      <c r="D230" s="21"/>
      <c r="E230" s="14"/>
      <c r="F230" s="14"/>
      <c r="G230" s="14"/>
      <c r="H230" s="21"/>
      <c r="I230" s="21"/>
      <c r="J230" s="19"/>
      <c r="K230" s="19"/>
      <c r="L230" s="19"/>
      <c r="M230" s="19"/>
      <c r="N230" s="19"/>
      <c r="O230" s="19"/>
      <c r="P230" s="19"/>
      <c r="Q230" s="47"/>
      <c r="R230" s="19"/>
      <c r="S230" s="14"/>
      <c r="T230" s="14"/>
      <c r="U230" s="14"/>
      <c r="V230" s="14"/>
      <c r="W230" s="14"/>
      <c r="X230" s="14"/>
      <c r="Y230" s="14"/>
      <c r="Z230" s="14"/>
      <c r="AA230" s="14"/>
      <c r="AB230" s="14"/>
      <c r="AC230" s="14"/>
      <c r="AD230" s="14"/>
      <c r="AE230" s="14"/>
      <c r="AF230" s="47"/>
      <c r="AG230" s="19"/>
      <c r="AH230" s="14"/>
      <c r="AI230" s="14"/>
      <c r="AJ230" s="14"/>
      <c r="AK230" s="14"/>
      <c r="AL230" s="14"/>
      <c r="AM230" s="14"/>
      <c r="AN230" s="14"/>
      <c r="AO230" s="14"/>
      <c r="AP230" s="14"/>
      <c r="AQ230" s="14"/>
      <c r="AR230" s="14"/>
      <c r="AS230" s="14"/>
      <c r="AT230" s="14"/>
      <c r="AU230" s="47"/>
      <c r="AV230" s="14"/>
      <c r="AW230" s="14"/>
      <c r="AX230" s="14"/>
      <c r="AY230" s="14"/>
      <c r="AZ230" s="14"/>
      <c r="BA230" s="14"/>
      <c r="BB230" s="14"/>
      <c r="BC230" s="14"/>
      <c r="BD230" s="14"/>
      <c r="BE230" s="14"/>
      <c r="BF230" s="14"/>
      <c r="BG230" s="14"/>
      <c r="BH230" s="14"/>
      <c r="BI230" s="14"/>
      <c r="BJ230" s="47"/>
      <c r="BK230" s="19"/>
      <c r="BL230" s="14"/>
      <c r="BM230" s="14"/>
      <c r="BN230" s="14"/>
      <c r="BO230" s="14"/>
      <c r="BP230" s="14"/>
      <c r="BQ230" s="14"/>
      <c r="BR230" s="14"/>
      <c r="BS230" s="14"/>
      <c r="BT230" s="14"/>
      <c r="BU230" s="14"/>
      <c r="BV230" s="14"/>
      <c r="BW230" s="14"/>
      <c r="BX230" s="14"/>
      <c r="BY230" s="47"/>
      <c r="BZ230" s="14"/>
      <c r="CA230" s="140" t="s">
        <v>462</v>
      </c>
      <c r="CB230" s="27">
        <f t="shared" si="160"/>
        <v>0</v>
      </c>
      <c r="CC230" s="37">
        <f t="shared" si="157"/>
        <v>0</v>
      </c>
      <c r="CD230" s="37">
        <f t="shared" si="157"/>
        <v>0</v>
      </c>
      <c r="CE230" s="37">
        <f t="shared" si="157"/>
        <v>0</v>
      </c>
      <c r="CF230" s="97">
        <f>IF(CB220=0,0,SUMPRODUCT(CC230:CE230,Rank_score)/$CB220)</f>
        <v>0</v>
      </c>
      <c r="CG230" s="29"/>
      <c r="CH230" s="29"/>
      <c r="CI230" s="14"/>
      <c r="CJ230" s="14"/>
      <c r="CK230" s="14"/>
      <c r="CL230" s="14"/>
      <c r="CM230" s="14"/>
      <c r="CN230" s="14"/>
      <c r="CO230" s="129"/>
      <c r="CP230" s="14"/>
      <c r="CQ230" s="47"/>
      <c r="CR230" s="14"/>
      <c r="CS230" s="140" t="s">
        <v>342</v>
      </c>
      <c r="CT230" s="27">
        <f t="shared" si="158"/>
        <v>3</v>
      </c>
      <c r="CU230" s="37">
        <f t="shared" si="159"/>
        <v>1</v>
      </c>
      <c r="CV230" s="37">
        <f t="shared" si="159"/>
        <v>1</v>
      </c>
      <c r="CW230" s="37">
        <f t="shared" si="159"/>
        <v>1</v>
      </c>
      <c r="CX230" s="37">
        <f>(CU230*3+CV230*2+CW230*1)/(SUM(CU227:CW233)/3)</f>
        <v>1.2857142857142856</v>
      </c>
      <c r="CY230" s="14"/>
      <c r="CZ230" s="52"/>
      <c r="DA230" s="14"/>
      <c r="DB230" s="14"/>
      <c r="DC230" s="14"/>
      <c r="DD230" s="14"/>
      <c r="DE230" s="14"/>
      <c r="DF230" s="14"/>
      <c r="DG230" s="129"/>
      <c r="DH230" s="14"/>
      <c r="DI230" s="47"/>
      <c r="DJ230" s="14"/>
      <c r="DK230" s="14"/>
      <c r="DL230" s="19"/>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row>
    <row r="231" spans="1:142" x14ac:dyDescent="0.25">
      <c r="A231" s="14"/>
      <c r="B231" s="14"/>
      <c r="C231" s="19"/>
      <c r="D231" s="21"/>
      <c r="E231" s="14"/>
      <c r="F231" s="14"/>
      <c r="G231" s="19"/>
      <c r="H231" s="27"/>
      <c r="I231" s="41"/>
      <c r="J231" s="19"/>
      <c r="K231" s="19"/>
      <c r="L231" s="19"/>
      <c r="M231" s="19"/>
      <c r="N231" s="19"/>
      <c r="O231" s="19"/>
      <c r="P231" s="19"/>
      <c r="Q231" s="47"/>
      <c r="R231" s="19"/>
      <c r="S231" s="14"/>
      <c r="T231" s="14"/>
      <c r="U231" s="14"/>
      <c r="V231" s="14"/>
      <c r="W231" s="14"/>
      <c r="X231" s="14"/>
      <c r="Y231" s="14"/>
      <c r="Z231" s="14"/>
      <c r="AA231" s="14"/>
      <c r="AB231" s="14"/>
      <c r="AC231" s="14"/>
      <c r="AD231" s="14"/>
      <c r="AE231" s="14"/>
      <c r="AF231" s="47"/>
      <c r="AG231" s="19"/>
      <c r="AH231" s="14"/>
      <c r="AI231" s="14"/>
      <c r="AJ231" s="14"/>
      <c r="AK231" s="14"/>
      <c r="AL231" s="14"/>
      <c r="AM231" s="14"/>
      <c r="AN231" s="14"/>
      <c r="AO231" s="14"/>
      <c r="AP231" s="14"/>
      <c r="AQ231" s="14"/>
      <c r="AR231" s="14"/>
      <c r="AS231" s="14"/>
      <c r="AT231" s="14"/>
      <c r="AU231" s="47"/>
      <c r="AV231" s="14"/>
      <c r="AW231" s="14"/>
      <c r="AX231" s="14"/>
      <c r="AY231" s="14"/>
      <c r="AZ231" s="14"/>
      <c r="BA231" s="14"/>
      <c r="BB231" s="14"/>
      <c r="BC231" s="14"/>
      <c r="BD231" s="14"/>
      <c r="BE231" s="14"/>
      <c r="BF231" s="14"/>
      <c r="BG231" s="14"/>
      <c r="BH231" s="14"/>
      <c r="BI231" s="14"/>
      <c r="BJ231" s="47"/>
      <c r="BK231" s="19"/>
      <c r="BL231" s="14"/>
      <c r="BM231" s="14"/>
      <c r="BN231" s="14"/>
      <c r="BO231" s="14"/>
      <c r="BP231" s="14"/>
      <c r="BQ231" s="14"/>
      <c r="BR231" s="14"/>
      <c r="BS231" s="14"/>
      <c r="BT231" s="14"/>
      <c r="BU231" s="14"/>
      <c r="BV231" s="14"/>
      <c r="BW231" s="14"/>
      <c r="BX231" s="14"/>
      <c r="BY231" s="47"/>
      <c r="BZ231" s="14"/>
      <c r="CA231" s="106" t="s">
        <v>49</v>
      </c>
      <c r="CB231" s="27">
        <f t="shared" si="160"/>
        <v>2</v>
      </c>
      <c r="CC231" s="37">
        <f t="shared" si="157"/>
        <v>2</v>
      </c>
      <c r="CD231" s="37">
        <f t="shared" si="157"/>
        <v>0</v>
      </c>
      <c r="CE231" s="37">
        <f t="shared" si="157"/>
        <v>0</v>
      </c>
      <c r="CF231" s="97">
        <f>IF(CB220=0,0,SUMPRODUCT(CC231:CE231,Rank_score)/$CB220)</f>
        <v>0.8571428571428571</v>
      </c>
      <c r="CG231" s="29"/>
      <c r="CH231" s="29"/>
      <c r="CI231" s="14"/>
      <c r="CJ231" s="14"/>
      <c r="CK231" s="14"/>
      <c r="CL231" s="14"/>
      <c r="CM231" s="14"/>
      <c r="CN231" s="14"/>
      <c r="CO231" s="129"/>
      <c r="CP231" s="14"/>
      <c r="CQ231" s="47"/>
      <c r="CR231" s="14"/>
      <c r="CS231" s="106" t="s">
        <v>49</v>
      </c>
      <c r="CT231" s="27">
        <f t="shared" si="158"/>
        <v>4</v>
      </c>
      <c r="CU231" s="37">
        <f t="shared" si="159"/>
        <v>2</v>
      </c>
      <c r="CV231" s="37">
        <f t="shared" si="159"/>
        <v>2</v>
      </c>
      <c r="CW231" s="37">
        <f t="shared" si="159"/>
        <v>0</v>
      </c>
      <c r="CX231" s="37">
        <f>(CU231*3+CV231*2+CW231*1)/(SUM(CU227:CW233)/3)</f>
        <v>2.1428571428571428</v>
      </c>
      <c r="CY231" s="14"/>
      <c r="CZ231" s="52"/>
      <c r="DA231" s="14"/>
      <c r="DB231" s="14"/>
      <c r="DC231" s="14"/>
      <c r="DD231" s="14"/>
      <c r="DE231" s="14"/>
      <c r="DF231" s="14"/>
      <c r="DG231" s="129"/>
      <c r="DH231" s="14"/>
      <c r="DI231" s="47"/>
      <c r="DJ231" s="14"/>
      <c r="DK231" s="14"/>
      <c r="DL231" s="19"/>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row>
    <row r="232" spans="1:142" x14ac:dyDescent="0.25">
      <c r="A232" s="14"/>
      <c r="B232" s="14"/>
      <c r="C232" s="19"/>
      <c r="D232" s="21"/>
      <c r="E232" s="14"/>
      <c r="F232" s="14"/>
      <c r="G232" s="19"/>
      <c r="H232" s="27"/>
      <c r="I232" s="41"/>
      <c r="J232" s="19"/>
      <c r="K232" s="19"/>
      <c r="L232" s="19"/>
      <c r="M232" s="19"/>
      <c r="N232" s="19"/>
      <c r="O232" s="19"/>
      <c r="P232" s="19"/>
      <c r="Q232" s="47"/>
      <c r="R232" s="19"/>
      <c r="S232" s="14"/>
      <c r="T232" s="14"/>
      <c r="U232" s="14"/>
      <c r="V232" s="14"/>
      <c r="W232" s="14"/>
      <c r="X232" s="14"/>
      <c r="Y232" s="14"/>
      <c r="Z232" s="14"/>
      <c r="AA232" s="14"/>
      <c r="AB232" s="14"/>
      <c r="AC232" s="14"/>
      <c r="AD232" s="14"/>
      <c r="AE232" s="14"/>
      <c r="AF232" s="47"/>
      <c r="AG232" s="19"/>
      <c r="AH232" s="14"/>
      <c r="AI232" s="14"/>
      <c r="AJ232" s="14"/>
      <c r="AK232" s="14"/>
      <c r="AL232" s="14"/>
      <c r="AM232" s="14"/>
      <c r="AN232" s="14"/>
      <c r="AO232" s="14"/>
      <c r="AP232" s="14"/>
      <c r="AQ232" s="14"/>
      <c r="AR232" s="14"/>
      <c r="AS232" s="14"/>
      <c r="AT232" s="14"/>
      <c r="AU232" s="47"/>
      <c r="AV232" s="14"/>
      <c r="AW232" s="14"/>
      <c r="AX232" s="14"/>
      <c r="AY232" s="14"/>
      <c r="AZ232" s="14"/>
      <c r="BA232" s="14"/>
      <c r="BB232" s="14"/>
      <c r="BC232" s="14"/>
      <c r="BD232" s="14"/>
      <c r="BE232" s="14"/>
      <c r="BF232" s="14"/>
      <c r="BG232" s="14"/>
      <c r="BH232" s="14"/>
      <c r="BI232" s="14"/>
      <c r="BJ232" s="47"/>
      <c r="BK232" s="19"/>
      <c r="BL232" s="14"/>
      <c r="BM232" s="14"/>
      <c r="BN232" s="14"/>
      <c r="BO232" s="14"/>
      <c r="BP232" s="14"/>
      <c r="BQ232" s="14"/>
      <c r="BR232" s="14"/>
      <c r="BS232" s="14"/>
      <c r="BT232" s="14"/>
      <c r="BU232" s="14"/>
      <c r="BV232" s="14"/>
      <c r="BW232" s="14"/>
      <c r="BX232" s="14"/>
      <c r="BY232" s="47"/>
      <c r="BZ232" s="14"/>
      <c r="CA232" s="107"/>
      <c r="CB232" s="27">
        <f t="shared" si="160"/>
        <v>0</v>
      </c>
      <c r="CC232" s="37">
        <f t="shared" si="157"/>
        <v>0</v>
      </c>
      <c r="CD232" s="37">
        <f t="shared" si="157"/>
        <v>0</v>
      </c>
      <c r="CE232" s="37">
        <f t="shared" si="157"/>
        <v>0</v>
      </c>
      <c r="CF232" s="97">
        <f>IF(CB220=0,0,SUMPRODUCT(CC232:CE232,Rank_score)/$CB220)</f>
        <v>0</v>
      </c>
      <c r="CG232" s="29"/>
      <c r="CH232" s="29"/>
      <c r="CI232" s="14"/>
      <c r="CJ232" s="14"/>
      <c r="CK232" s="14"/>
      <c r="CL232" s="14"/>
      <c r="CM232" s="14"/>
      <c r="CN232" s="14"/>
      <c r="CO232" s="129"/>
      <c r="CP232" s="14"/>
      <c r="CQ232" s="47"/>
      <c r="CR232" s="14"/>
      <c r="CS232" s="107"/>
      <c r="CT232" s="27"/>
      <c r="CU232" s="37"/>
      <c r="CV232" s="37"/>
      <c r="CW232" s="37"/>
      <c r="CX232" s="37"/>
      <c r="CY232" s="14"/>
      <c r="CZ232" s="52"/>
      <c r="DA232" s="14"/>
      <c r="DB232" s="14"/>
      <c r="DC232" s="14"/>
      <c r="DD232" s="14"/>
      <c r="DE232" s="14"/>
      <c r="DF232" s="14"/>
      <c r="DG232" s="129"/>
      <c r="DH232" s="14"/>
      <c r="DI232" s="47"/>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row>
    <row r="233" spans="1:142" x14ac:dyDescent="0.25">
      <c r="A233" s="14"/>
      <c r="B233" s="14"/>
      <c r="C233" s="19"/>
      <c r="D233" s="21"/>
      <c r="E233" s="14"/>
      <c r="F233" s="14"/>
      <c r="G233" s="109" t="s">
        <v>14</v>
      </c>
      <c r="H233" s="110" t="s">
        <v>6</v>
      </c>
      <c r="I233" s="110" t="s">
        <v>7</v>
      </c>
      <c r="J233" s="19"/>
      <c r="K233" s="19"/>
      <c r="L233" s="19"/>
      <c r="M233" s="19"/>
      <c r="N233" s="19"/>
      <c r="O233" s="19"/>
      <c r="P233" s="19"/>
      <c r="Q233" s="47"/>
      <c r="R233" s="19"/>
      <c r="S233" s="14"/>
      <c r="T233" s="14"/>
      <c r="U233" s="14"/>
      <c r="V233" s="14"/>
      <c r="W233" s="14"/>
      <c r="X233" s="109" t="s">
        <v>14</v>
      </c>
      <c r="Y233" s="110" t="s">
        <v>6</v>
      </c>
      <c r="Z233" s="110" t="s">
        <v>7</v>
      </c>
      <c r="AA233" s="14"/>
      <c r="AB233" s="14"/>
      <c r="AC233" s="14"/>
      <c r="AD233" s="14"/>
      <c r="AE233" s="14"/>
      <c r="AF233" s="47"/>
      <c r="AG233" s="19"/>
      <c r="AH233" s="14"/>
      <c r="AI233" s="14"/>
      <c r="AJ233" s="14"/>
      <c r="AK233" s="14"/>
      <c r="AL233" s="14"/>
      <c r="AM233" s="109" t="s">
        <v>14</v>
      </c>
      <c r="AN233" s="110" t="s">
        <v>6</v>
      </c>
      <c r="AO233" s="110" t="s">
        <v>7</v>
      </c>
      <c r="AP233" s="14"/>
      <c r="AQ233" s="14"/>
      <c r="AR233" s="14"/>
      <c r="AS233" s="14"/>
      <c r="AT233" s="14"/>
      <c r="AU233" s="47"/>
      <c r="AV233" s="14"/>
      <c r="AW233" s="14"/>
      <c r="AX233" s="14"/>
      <c r="AY233" s="14"/>
      <c r="AZ233" s="14"/>
      <c r="BA233" s="14"/>
      <c r="BB233" s="109" t="s">
        <v>14</v>
      </c>
      <c r="BC233" s="110" t="s">
        <v>6</v>
      </c>
      <c r="BD233" s="110" t="s">
        <v>7</v>
      </c>
      <c r="BE233" s="14"/>
      <c r="BF233" s="14"/>
      <c r="BG233" s="14"/>
      <c r="BH233" s="14"/>
      <c r="BI233" s="14"/>
      <c r="BJ233" s="47"/>
      <c r="BK233" s="19"/>
      <c r="BL233" s="14"/>
      <c r="BM233" s="14"/>
      <c r="BN233" s="14"/>
      <c r="BO233" s="14"/>
      <c r="BP233" s="14"/>
      <c r="BQ233" s="109" t="s">
        <v>14</v>
      </c>
      <c r="BR233" s="110" t="s">
        <v>6</v>
      </c>
      <c r="BS233" s="110" t="s">
        <v>7</v>
      </c>
      <c r="BT233" s="14"/>
      <c r="BU233" s="14"/>
      <c r="BV233" s="14"/>
      <c r="BW233" s="14"/>
      <c r="BX233" s="14"/>
      <c r="BY233" s="47"/>
      <c r="BZ233" s="14"/>
      <c r="CA233" s="86"/>
      <c r="CB233" s="111"/>
      <c r="CC233" s="111"/>
      <c r="CD233" s="179"/>
      <c r="CE233" s="179"/>
      <c r="CF233" s="108"/>
      <c r="CG233" s="29"/>
      <c r="CH233" s="29"/>
      <c r="CI233" s="14"/>
      <c r="CJ233" s="14"/>
      <c r="CK233" s="14"/>
      <c r="CL233" s="14"/>
      <c r="CM233" s="14"/>
      <c r="CN233" s="14"/>
      <c r="CO233" s="129"/>
      <c r="CP233" s="14"/>
      <c r="CQ233" s="47"/>
      <c r="CR233" s="14"/>
      <c r="CS233" s="107"/>
      <c r="CT233" s="27"/>
      <c r="CU233" s="37"/>
      <c r="CV233" s="37"/>
      <c r="CW233" s="37"/>
      <c r="CX233" s="37"/>
      <c r="CY233" s="14"/>
      <c r="CZ233" s="52"/>
      <c r="DA233" s="14"/>
      <c r="DB233" s="14"/>
      <c r="DC233" s="14"/>
      <c r="DD233" s="14"/>
      <c r="DE233" s="14"/>
      <c r="DF233" s="14"/>
      <c r="DG233" s="129"/>
      <c r="DH233" s="14"/>
      <c r="DI233" s="47"/>
      <c r="DJ233" s="14"/>
      <c r="DK233" s="14"/>
      <c r="DL233" s="14"/>
      <c r="DM233" s="14"/>
      <c r="DN233" s="14"/>
      <c r="DO233" s="14"/>
      <c r="DP233" s="109" t="s">
        <v>14</v>
      </c>
      <c r="DQ233" s="110" t="s">
        <v>6</v>
      </c>
      <c r="DR233" s="110" t="s">
        <v>7</v>
      </c>
      <c r="DS233" s="14"/>
      <c r="DT233" s="14"/>
      <c r="DU233" s="14"/>
      <c r="DV233" s="14"/>
      <c r="DW233" s="14"/>
      <c r="DX233" s="14"/>
      <c r="DY233" s="14"/>
      <c r="DZ233" s="14"/>
      <c r="EA233" s="14"/>
      <c r="EB233" s="14"/>
      <c r="EC233" s="14"/>
      <c r="ED233" s="14"/>
      <c r="EE233" s="14"/>
      <c r="EF233" s="14"/>
      <c r="EG233" s="14"/>
      <c r="EH233" s="14"/>
      <c r="EI233" s="14"/>
      <c r="EJ233" s="14"/>
      <c r="EK233" s="14"/>
      <c r="EL233" s="14"/>
    </row>
    <row r="234" spans="1:142" x14ac:dyDescent="0.25">
      <c r="A234" s="14"/>
      <c r="B234" s="14"/>
      <c r="C234" s="19"/>
      <c r="D234" s="21"/>
      <c r="E234" s="14"/>
      <c r="F234" s="14"/>
      <c r="G234" s="107" t="s">
        <v>34</v>
      </c>
      <c r="H234" s="27">
        <f>SUM(H207,H180,H153,H126,H99,H72)</f>
        <v>7</v>
      </c>
      <c r="I234" s="41">
        <f>IFERROR(H234/H$239,"")</f>
        <v>0.58333333333333337</v>
      </c>
      <c r="J234" s="19"/>
      <c r="K234" s="19"/>
      <c r="L234" s="19"/>
      <c r="M234" s="19"/>
      <c r="N234" s="19"/>
      <c r="O234" s="19"/>
      <c r="P234" s="19"/>
      <c r="Q234" s="47"/>
      <c r="R234" s="19"/>
      <c r="S234" s="14"/>
      <c r="T234" s="14"/>
      <c r="U234" s="14"/>
      <c r="V234" s="14"/>
      <c r="W234" s="14"/>
      <c r="X234" s="107" t="s">
        <v>5</v>
      </c>
      <c r="Y234" s="27">
        <f t="shared" ref="Y234:Y241" si="161">SUM(Y207,Y180,Y153,Y126,Y99,Y72)</f>
        <v>8</v>
      </c>
      <c r="Z234" s="41">
        <f t="shared" ref="Z234:Z241" si="162">IFERROR(Y234/Y$241,0)</f>
        <v>0.8</v>
      </c>
      <c r="AA234" s="14"/>
      <c r="AB234" s="14"/>
      <c r="AC234" s="14"/>
      <c r="AD234" s="14"/>
      <c r="AE234" s="14"/>
      <c r="AF234" s="47"/>
      <c r="AG234" s="19"/>
      <c r="AH234" s="14"/>
      <c r="AI234" s="14"/>
      <c r="AJ234" s="14"/>
      <c r="AK234" s="14"/>
      <c r="AL234" s="14"/>
      <c r="AM234" s="107" t="s">
        <v>5</v>
      </c>
      <c r="AN234" s="27">
        <f t="shared" ref="AN234:AN241" si="163">SUM(AN207,AN180,AN153,AN126,AN99,AN72)</f>
        <v>9</v>
      </c>
      <c r="AO234" s="41">
        <f>IFERROR(AN234/AN$241,0)</f>
        <v>0.5625</v>
      </c>
      <c r="AP234" s="14"/>
      <c r="AQ234" s="14"/>
      <c r="AR234" s="14"/>
      <c r="AS234" s="14"/>
      <c r="AT234" s="14"/>
      <c r="AU234" s="47"/>
      <c r="AV234" s="14"/>
      <c r="AW234" s="14"/>
      <c r="AX234" s="14"/>
      <c r="AY234" s="14"/>
      <c r="AZ234" s="14"/>
      <c r="BA234" s="14"/>
      <c r="BB234" s="107" t="s">
        <v>5</v>
      </c>
      <c r="BC234" s="27">
        <f t="shared" ref="BC234:BC241" si="164">SUM(BC207,BC180,BC153,BC126,BC99,BC72)</f>
        <v>8</v>
      </c>
      <c r="BD234" s="41">
        <f>IFERROR(BC234/BC$241,0)</f>
        <v>0.5</v>
      </c>
      <c r="BE234" s="14"/>
      <c r="BF234" s="14"/>
      <c r="BG234" s="14"/>
      <c r="BH234" s="14"/>
      <c r="BI234" s="14"/>
      <c r="BJ234" s="47"/>
      <c r="BK234" s="19"/>
      <c r="BL234" s="14"/>
      <c r="BM234" s="14"/>
      <c r="BN234" s="14"/>
      <c r="BO234" s="14"/>
      <c r="BP234" s="14"/>
      <c r="BQ234" s="107" t="s">
        <v>5</v>
      </c>
      <c r="BR234" s="27">
        <f t="shared" ref="BR234:BR241" si="165">SUM(BR207,BR180,BR153,BR126,BR99,BR72)</f>
        <v>8</v>
      </c>
      <c r="BS234" s="41">
        <f>IFERROR(BR234/BR$241,0)</f>
        <v>0.5</v>
      </c>
      <c r="BT234" s="14"/>
      <c r="BU234" s="14"/>
      <c r="BV234" s="14"/>
      <c r="BW234" s="14"/>
      <c r="BX234" s="14"/>
      <c r="BY234" s="47"/>
      <c r="BZ234" s="14"/>
      <c r="CA234" s="14"/>
      <c r="CB234" s="21"/>
      <c r="CC234" s="21"/>
      <c r="CD234" s="180"/>
      <c r="CE234" s="181"/>
      <c r="CF234" s="97"/>
      <c r="CG234" s="29"/>
      <c r="CH234" s="29"/>
      <c r="CI234" s="14"/>
      <c r="CJ234" s="14"/>
      <c r="CK234" s="14"/>
      <c r="CL234" s="14"/>
      <c r="CM234" s="14"/>
      <c r="CN234" s="14"/>
      <c r="CO234" s="129"/>
      <c r="CP234" s="14"/>
      <c r="CQ234" s="47"/>
      <c r="CR234" s="14"/>
      <c r="CS234" s="86"/>
      <c r="CT234" s="111"/>
      <c r="CU234" s="86"/>
      <c r="CV234" s="179"/>
      <c r="CW234" s="188"/>
      <c r="CX234" s="179"/>
      <c r="CY234" s="52"/>
      <c r="CZ234" s="52"/>
      <c r="DA234" s="14"/>
      <c r="DB234" s="14"/>
      <c r="DC234" s="14"/>
      <c r="DD234" s="14"/>
      <c r="DE234" s="14"/>
      <c r="DF234" s="14"/>
      <c r="DG234" s="129"/>
      <c r="DH234" s="14"/>
      <c r="DI234" s="47"/>
      <c r="DJ234" s="14"/>
      <c r="DK234" s="14"/>
      <c r="DL234" s="14"/>
      <c r="DM234" s="14"/>
      <c r="DN234" s="14"/>
      <c r="DO234" s="14"/>
      <c r="DP234" s="107" t="s">
        <v>34</v>
      </c>
      <c r="DQ234" s="27">
        <f t="shared" ref="DQ234:DQ239" si="166">SUM(DQ207,DQ180,DQ153,DQ126,DQ99,DQ72)</f>
        <v>7</v>
      </c>
      <c r="DR234" s="41">
        <f t="shared" ref="DR234:DR239" si="167">IF($DQ$239=0,"",DQ234/$DQ$239)</f>
        <v>0.58333333333333337</v>
      </c>
      <c r="DS234" s="14"/>
      <c r="DT234" s="14"/>
      <c r="DU234" s="14"/>
      <c r="DV234" s="14"/>
      <c r="DW234" s="14"/>
      <c r="DX234" s="14"/>
      <c r="DY234" s="14"/>
      <c r="DZ234" s="14"/>
      <c r="EA234" s="14"/>
      <c r="EB234" s="14"/>
      <c r="EC234" s="14"/>
      <c r="ED234" s="14"/>
      <c r="EE234" s="14"/>
      <c r="EF234" s="14"/>
      <c r="EG234" s="14"/>
      <c r="EH234" s="14"/>
      <c r="EI234" s="14"/>
      <c r="EJ234" s="14"/>
      <c r="EK234" s="14"/>
      <c r="EL234" s="14"/>
    </row>
    <row r="235" spans="1:142" x14ac:dyDescent="0.25">
      <c r="A235" s="14"/>
      <c r="B235" s="14"/>
      <c r="C235" s="19"/>
      <c r="D235" s="21"/>
      <c r="E235" s="14"/>
      <c r="F235" s="14"/>
      <c r="G235" s="107" t="s">
        <v>35</v>
      </c>
      <c r="H235" s="27">
        <f>SUM(H208,H181,H154,H127,H100,H73)</f>
        <v>5</v>
      </c>
      <c r="I235" s="41">
        <f t="shared" ref="I235:I239" si="168">IFERROR(H235/H$239,"")</f>
        <v>0.41666666666666669</v>
      </c>
      <c r="J235" s="19"/>
      <c r="K235" s="19"/>
      <c r="L235" s="19"/>
      <c r="M235" s="19"/>
      <c r="N235" s="19"/>
      <c r="O235" s="19"/>
      <c r="P235" s="19"/>
      <c r="Q235" s="47"/>
      <c r="R235" s="19"/>
      <c r="S235" s="14"/>
      <c r="T235" s="14"/>
      <c r="U235" s="14"/>
      <c r="V235" s="14"/>
      <c r="W235" s="14"/>
      <c r="X235" s="107" t="s">
        <v>4</v>
      </c>
      <c r="Y235" s="27">
        <f t="shared" si="161"/>
        <v>1</v>
      </c>
      <c r="Z235" s="41">
        <f t="shared" si="162"/>
        <v>0.1</v>
      </c>
      <c r="AA235" s="14"/>
      <c r="AB235" s="14"/>
      <c r="AC235" s="14"/>
      <c r="AD235" s="14"/>
      <c r="AE235" s="14"/>
      <c r="AF235" s="47"/>
      <c r="AG235" s="19"/>
      <c r="AH235" s="14"/>
      <c r="AI235" s="14"/>
      <c r="AJ235" s="14"/>
      <c r="AK235" s="14"/>
      <c r="AL235" s="14"/>
      <c r="AM235" s="107" t="s">
        <v>4</v>
      </c>
      <c r="AN235" s="27">
        <f t="shared" si="163"/>
        <v>2</v>
      </c>
      <c r="AO235" s="41">
        <f t="shared" ref="AO235:AO241" si="169">IFERROR(AN235/AN$241,0)</f>
        <v>0.125</v>
      </c>
      <c r="AP235" s="14"/>
      <c r="AQ235" s="14"/>
      <c r="AR235" s="14"/>
      <c r="AS235" s="14"/>
      <c r="AT235" s="14"/>
      <c r="AU235" s="47"/>
      <c r="AV235" s="14"/>
      <c r="AW235" s="14"/>
      <c r="AX235" s="14"/>
      <c r="AY235" s="14"/>
      <c r="AZ235" s="14"/>
      <c r="BA235" s="14"/>
      <c r="BB235" s="107" t="s">
        <v>4</v>
      </c>
      <c r="BC235" s="27">
        <f t="shared" si="164"/>
        <v>3</v>
      </c>
      <c r="BD235" s="41">
        <f t="shared" ref="BD235:BD241" si="170">IFERROR(BC235/BC$241,0)</f>
        <v>0.1875</v>
      </c>
      <c r="BE235" s="14"/>
      <c r="BF235" s="14"/>
      <c r="BG235" s="14"/>
      <c r="BH235" s="14"/>
      <c r="BI235" s="14"/>
      <c r="BJ235" s="47"/>
      <c r="BK235" s="19"/>
      <c r="BL235" s="14"/>
      <c r="BM235" s="14"/>
      <c r="BN235" s="14"/>
      <c r="BO235" s="14"/>
      <c r="BP235" s="14"/>
      <c r="BQ235" s="107" t="s">
        <v>4</v>
      </c>
      <c r="BR235" s="27">
        <f t="shared" si="165"/>
        <v>2</v>
      </c>
      <c r="BS235" s="41">
        <f t="shared" ref="BS235:BS241" si="171">IFERROR(BR235/BR$241,0)</f>
        <v>0.125</v>
      </c>
      <c r="BT235" s="14"/>
      <c r="BU235" s="14"/>
      <c r="BV235" s="14"/>
      <c r="BW235" s="14"/>
      <c r="BX235" s="14"/>
      <c r="BY235" s="47"/>
      <c r="BZ235" s="14"/>
      <c r="CA235" s="14"/>
      <c r="CB235" s="21"/>
      <c r="CC235" s="21"/>
      <c r="CD235" s="180"/>
      <c r="CE235" s="181"/>
      <c r="CF235" s="97"/>
      <c r="CG235" s="29"/>
      <c r="CH235" s="29"/>
      <c r="CI235" s="14"/>
      <c r="CJ235" s="14"/>
      <c r="CK235" s="14"/>
      <c r="CL235" s="14"/>
      <c r="CM235" s="14"/>
      <c r="CN235" s="14"/>
      <c r="CO235" s="129"/>
      <c r="CP235" s="14"/>
      <c r="CQ235" s="47"/>
      <c r="CR235" s="14"/>
      <c r="CS235" s="14"/>
      <c r="CT235" s="14"/>
      <c r="CU235" s="14"/>
      <c r="CV235" s="180"/>
      <c r="CW235" s="190"/>
      <c r="CX235" s="191"/>
      <c r="CY235" s="52"/>
      <c r="CZ235" s="52"/>
      <c r="DA235" s="14"/>
      <c r="DB235" s="14"/>
      <c r="DC235" s="14"/>
      <c r="DD235" s="14"/>
      <c r="DE235" s="14"/>
      <c r="DF235" s="14"/>
      <c r="DG235" s="129"/>
      <c r="DH235" s="14"/>
      <c r="DI235" s="47"/>
      <c r="DJ235" s="14"/>
      <c r="DK235" s="14"/>
      <c r="DL235" s="14"/>
      <c r="DM235" s="14"/>
      <c r="DN235" s="14"/>
      <c r="DO235" s="14"/>
      <c r="DP235" s="107" t="s">
        <v>35</v>
      </c>
      <c r="DQ235" s="27">
        <f t="shared" si="166"/>
        <v>5</v>
      </c>
      <c r="DR235" s="41">
        <f t="shared" si="167"/>
        <v>0.41666666666666669</v>
      </c>
      <c r="DS235" s="14"/>
      <c r="DT235" s="14"/>
      <c r="DU235" s="14"/>
      <c r="DV235" s="14"/>
      <c r="DW235" s="14"/>
      <c r="DX235" s="14"/>
      <c r="DY235" s="14"/>
      <c r="DZ235" s="14"/>
      <c r="EA235" s="14"/>
      <c r="EB235" s="14"/>
      <c r="EC235" s="14"/>
      <c r="ED235" s="14"/>
      <c r="EE235" s="14"/>
      <c r="EF235" s="14"/>
      <c r="EG235" s="14"/>
      <c r="EH235" s="14"/>
      <c r="EI235" s="14"/>
      <c r="EJ235" s="14"/>
      <c r="EK235" s="14"/>
      <c r="EL235" s="14"/>
    </row>
    <row r="236" spans="1:142" x14ac:dyDescent="0.25">
      <c r="A236" s="14"/>
      <c r="B236" s="14"/>
      <c r="C236" s="19"/>
      <c r="D236" s="21"/>
      <c r="E236" s="14"/>
      <c r="F236" s="14"/>
      <c r="G236" s="107" t="s">
        <v>36</v>
      </c>
      <c r="H236" s="27">
        <f>SUM(H209,H182,H155,H128,H101,H74)</f>
        <v>0</v>
      </c>
      <c r="I236" s="41">
        <f t="shared" si="168"/>
        <v>0</v>
      </c>
      <c r="J236" s="19"/>
      <c r="K236" s="19"/>
      <c r="L236" s="19"/>
      <c r="M236" s="19"/>
      <c r="N236" s="19"/>
      <c r="O236" s="19"/>
      <c r="P236" s="19"/>
      <c r="Q236" s="47"/>
      <c r="R236" s="19"/>
      <c r="S236" s="14"/>
      <c r="T236" s="14"/>
      <c r="U236" s="14"/>
      <c r="V236" s="14"/>
      <c r="W236" s="14"/>
      <c r="X236" s="107" t="s">
        <v>33</v>
      </c>
      <c r="Y236" s="27">
        <f t="shared" si="161"/>
        <v>0</v>
      </c>
      <c r="Z236" s="41">
        <f t="shared" si="162"/>
        <v>0</v>
      </c>
      <c r="AA236" s="14"/>
      <c r="AB236" s="14"/>
      <c r="AC236" s="14"/>
      <c r="AD236" s="14"/>
      <c r="AE236" s="14"/>
      <c r="AF236" s="47"/>
      <c r="AG236" s="19"/>
      <c r="AH236" s="14"/>
      <c r="AI236" s="14"/>
      <c r="AJ236" s="14"/>
      <c r="AK236" s="14"/>
      <c r="AL236" s="14"/>
      <c r="AM236" s="107" t="s">
        <v>33</v>
      </c>
      <c r="AN236" s="27">
        <f t="shared" si="163"/>
        <v>3</v>
      </c>
      <c r="AO236" s="41">
        <f t="shared" si="169"/>
        <v>0.1875</v>
      </c>
      <c r="AP236" s="14"/>
      <c r="AQ236" s="14"/>
      <c r="AR236" s="14"/>
      <c r="AS236" s="14"/>
      <c r="AT236" s="14"/>
      <c r="AU236" s="47"/>
      <c r="AV236" s="14"/>
      <c r="AW236" s="14"/>
      <c r="AX236" s="14"/>
      <c r="AY236" s="14"/>
      <c r="AZ236" s="14"/>
      <c r="BA236" s="14"/>
      <c r="BB236" s="107" t="s">
        <v>33</v>
      </c>
      <c r="BC236" s="27">
        <f t="shared" si="164"/>
        <v>0</v>
      </c>
      <c r="BD236" s="41">
        <f t="shared" si="170"/>
        <v>0</v>
      </c>
      <c r="BE236" s="14"/>
      <c r="BF236" s="14"/>
      <c r="BG236" s="14"/>
      <c r="BH236" s="14"/>
      <c r="BI236" s="14"/>
      <c r="BJ236" s="47"/>
      <c r="BK236" s="19"/>
      <c r="BL236" s="14"/>
      <c r="BM236" s="14"/>
      <c r="BN236" s="14"/>
      <c r="BO236" s="14"/>
      <c r="BP236" s="14"/>
      <c r="BQ236" s="107" t="s">
        <v>33</v>
      </c>
      <c r="BR236" s="27">
        <f t="shared" si="165"/>
        <v>1</v>
      </c>
      <c r="BS236" s="41">
        <f t="shared" si="171"/>
        <v>6.25E-2</v>
      </c>
      <c r="BT236" s="14"/>
      <c r="BU236" s="14"/>
      <c r="BV236" s="14"/>
      <c r="BW236" s="14"/>
      <c r="BX236" s="14"/>
      <c r="BY236" s="47"/>
      <c r="BZ236" s="14"/>
      <c r="CA236" s="14"/>
      <c r="CB236" s="21"/>
      <c r="CC236" s="21"/>
      <c r="CD236" s="180"/>
      <c r="CE236" s="181"/>
      <c r="CF236" s="97"/>
      <c r="CG236" s="29"/>
      <c r="CH236" s="29"/>
      <c r="CI236" s="14"/>
      <c r="CJ236" s="14"/>
      <c r="CK236" s="14"/>
      <c r="CL236" s="14"/>
      <c r="CM236" s="14"/>
      <c r="CN236" s="14"/>
      <c r="CO236" s="129"/>
      <c r="CP236" s="14"/>
      <c r="CQ236" s="47"/>
      <c r="CR236" s="14"/>
      <c r="CS236" s="14"/>
      <c r="CT236" s="14"/>
      <c r="CU236" s="14"/>
      <c r="CV236" s="180"/>
      <c r="CW236" s="190"/>
      <c r="CX236" s="191"/>
      <c r="CY236" s="52"/>
      <c r="CZ236" s="52"/>
      <c r="DA236" s="14"/>
      <c r="DB236" s="14"/>
      <c r="DC236" s="14"/>
      <c r="DD236" s="14"/>
      <c r="DE236" s="14"/>
      <c r="DF236" s="14"/>
      <c r="DG236" s="129"/>
      <c r="DH236" s="14"/>
      <c r="DI236" s="47"/>
      <c r="DJ236" s="14"/>
      <c r="DK236" s="14"/>
      <c r="DL236" s="14"/>
      <c r="DM236" s="14"/>
      <c r="DN236" s="14"/>
      <c r="DO236" s="14"/>
      <c r="DP236" s="107" t="s">
        <v>36</v>
      </c>
      <c r="DQ236" s="27">
        <f t="shared" si="166"/>
        <v>0</v>
      </c>
      <c r="DR236" s="41">
        <f t="shared" si="167"/>
        <v>0</v>
      </c>
      <c r="DS236" s="14"/>
      <c r="DT236" s="14"/>
      <c r="DU236" s="14"/>
      <c r="DV236" s="14"/>
      <c r="DW236" s="14"/>
      <c r="DX236" s="14"/>
      <c r="DY236" s="14"/>
      <c r="DZ236" s="14"/>
      <c r="EA236" s="14"/>
      <c r="EB236" s="14"/>
      <c r="EC236" s="14"/>
      <c r="ED236" s="14"/>
      <c r="EE236" s="14"/>
      <c r="EF236" s="14"/>
      <c r="EG236" s="14"/>
      <c r="EH236" s="14"/>
      <c r="EI236" s="14"/>
      <c r="EJ236" s="14"/>
      <c r="EK236" s="14"/>
      <c r="EL236" s="14"/>
    </row>
    <row r="237" spans="1:142" x14ac:dyDescent="0.25">
      <c r="A237" s="14"/>
      <c r="B237" s="14"/>
      <c r="C237" s="19"/>
      <c r="D237" s="21"/>
      <c r="E237" s="14"/>
      <c r="F237" s="14"/>
      <c r="G237" s="107" t="s">
        <v>38</v>
      </c>
      <c r="H237" s="27">
        <f>SUM(H210,H183,H156,H129,H102,H75)</f>
        <v>0</v>
      </c>
      <c r="I237" s="41">
        <f t="shared" si="168"/>
        <v>0</v>
      </c>
      <c r="J237" s="19"/>
      <c r="K237" s="19"/>
      <c r="L237" s="19"/>
      <c r="M237" s="19"/>
      <c r="N237" s="19"/>
      <c r="O237" s="19"/>
      <c r="P237" s="19"/>
      <c r="Q237" s="47"/>
      <c r="R237" s="19"/>
      <c r="S237" s="14"/>
      <c r="T237" s="14"/>
      <c r="U237" s="14"/>
      <c r="V237" s="14"/>
      <c r="W237" s="14"/>
      <c r="X237" s="107" t="s">
        <v>29</v>
      </c>
      <c r="Y237" s="27">
        <f t="shared" si="161"/>
        <v>1</v>
      </c>
      <c r="Z237" s="41">
        <f t="shared" si="162"/>
        <v>0.1</v>
      </c>
      <c r="AA237" s="14"/>
      <c r="AB237" s="14"/>
      <c r="AC237" s="14"/>
      <c r="AD237" s="14"/>
      <c r="AE237" s="14"/>
      <c r="AF237" s="47"/>
      <c r="AG237" s="19"/>
      <c r="AH237" s="14"/>
      <c r="AI237" s="14"/>
      <c r="AJ237" s="14"/>
      <c r="AK237" s="14"/>
      <c r="AL237" s="14"/>
      <c r="AM237" s="107" t="s">
        <v>29</v>
      </c>
      <c r="AN237" s="27">
        <f t="shared" si="163"/>
        <v>1</v>
      </c>
      <c r="AO237" s="41">
        <f t="shared" si="169"/>
        <v>6.25E-2</v>
      </c>
      <c r="AP237" s="14"/>
      <c r="AQ237" s="14"/>
      <c r="AR237" s="14"/>
      <c r="AS237" s="14"/>
      <c r="AT237" s="14"/>
      <c r="AU237" s="47"/>
      <c r="AV237" s="14"/>
      <c r="AW237" s="14"/>
      <c r="AX237" s="14"/>
      <c r="AY237" s="14"/>
      <c r="AZ237" s="14"/>
      <c r="BA237" s="14"/>
      <c r="BB237" s="107" t="s">
        <v>29</v>
      </c>
      <c r="BC237" s="27">
        <f t="shared" si="164"/>
        <v>4</v>
      </c>
      <c r="BD237" s="41">
        <f t="shared" si="170"/>
        <v>0.25</v>
      </c>
      <c r="BE237" s="14"/>
      <c r="BF237" s="14"/>
      <c r="BG237" s="14"/>
      <c r="BH237" s="14"/>
      <c r="BI237" s="14"/>
      <c r="BJ237" s="47"/>
      <c r="BK237" s="19"/>
      <c r="BL237" s="14"/>
      <c r="BM237" s="14"/>
      <c r="BN237" s="14"/>
      <c r="BO237" s="14"/>
      <c r="BP237" s="14"/>
      <c r="BQ237" s="107" t="s">
        <v>29</v>
      </c>
      <c r="BR237" s="27">
        <f t="shared" si="165"/>
        <v>4</v>
      </c>
      <c r="BS237" s="41">
        <f t="shared" si="171"/>
        <v>0.25</v>
      </c>
      <c r="BT237" s="14"/>
      <c r="BU237" s="14"/>
      <c r="BV237" s="14"/>
      <c r="BW237" s="14"/>
      <c r="BX237" s="14"/>
      <c r="BY237" s="47"/>
      <c r="BZ237" s="14"/>
      <c r="CA237" s="14"/>
      <c r="CB237" s="21"/>
      <c r="CC237" s="21"/>
      <c r="CD237" s="180"/>
      <c r="CE237" s="181"/>
      <c r="CF237" s="97"/>
      <c r="CG237" s="29"/>
      <c r="CH237" s="29"/>
      <c r="CI237" s="14"/>
      <c r="CJ237" s="14"/>
      <c r="CK237" s="14"/>
      <c r="CL237" s="14"/>
      <c r="CM237" s="14"/>
      <c r="CN237" s="14"/>
      <c r="CO237" s="129"/>
      <c r="CP237" s="14"/>
      <c r="CQ237" s="47"/>
      <c r="CR237" s="14"/>
      <c r="CS237" s="14"/>
      <c r="CT237" s="14"/>
      <c r="CU237" s="14"/>
      <c r="CV237" s="180"/>
      <c r="CW237" s="190"/>
      <c r="CX237" s="191"/>
      <c r="CY237" s="52"/>
      <c r="CZ237" s="52"/>
      <c r="DA237" s="14"/>
      <c r="DB237" s="14"/>
      <c r="DC237" s="14"/>
      <c r="DD237" s="14"/>
      <c r="DE237" s="14"/>
      <c r="DF237" s="14"/>
      <c r="DG237" s="129"/>
      <c r="DH237" s="14"/>
      <c r="DI237" s="47"/>
      <c r="DJ237" s="14"/>
      <c r="DK237" s="14"/>
      <c r="DL237" s="14"/>
      <c r="DM237" s="14"/>
      <c r="DN237" s="14"/>
      <c r="DO237" s="14"/>
      <c r="DP237" s="107" t="s">
        <v>38</v>
      </c>
      <c r="DQ237" s="27">
        <f t="shared" si="166"/>
        <v>0</v>
      </c>
      <c r="DR237" s="41">
        <f t="shared" si="167"/>
        <v>0</v>
      </c>
      <c r="DS237" s="14"/>
      <c r="DT237" s="14"/>
      <c r="DU237" s="14"/>
      <c r="DV237" s="14"/>
      <c r="DW237" s="14"/>
      <c r="DX237" s="14"/>
      <c r="DY237" s="14"/>
      <c r="DZ237" s="14"/>
      <c r="EA237" s="14"/>
      <c r="EB237" s="14"/>
      <c r="EC237" s="14"/>
      <c r="ED237" s="14"/>
      <c r="EE237" s="14"/>
      <c r="EF237" s="14"/>
      <c r="EG237" s="14"/>
      <c r="EH237" s="14"/>
      <c r="EI237" s="14"/>
      <c r="EJ237" s="14"/>
      <c r="EK237" s="14"/>
      <c r="EL237" s="14"/>
    </row>
    <row r="238" spans="1:142" x14ac:dyDescent="0.25">
      <c r="A238" s="14"/>
      <c r="B238" s="14"/>
      <c r="C238" s="19"/>
      <c r="D238" s="21"/>
      <c r="E238" s="14"/>
      <c r="F238" s="14"/>
      <c r="G238" s="107" t="s">
        <v>39</v>
      </c>
      <c r="H238" s="27">
        <f>SUM(H211,H184,H157,H130,H103,H76)</f>
        <v>0</v>
      </c>
      <c r="I238" s="41">
        <f t="shared" si="168"/>
        <v>0</v>
      </c>
      <c r="J238" s="19"/>
      <c r="K238" s="19"/>
      <c r="L238" s="19"/>
      <c r="M238" s="19"/>
      <c r="N238" s="19"/>
      <c r="O238" s="19"/>
      <c r="P238" s="19"/>
      <c r="Q238" s="47"/>
      <c r="R238" s="19"/>
      <c r="S238" s="14"/>
      <c r="T238" s="14"/>
      <c r="U238" s="14"/>
      <c r="V238" s="14"/>
      <c r="W238" s="14"/>
      <c r="X238" s="107" t="s">
        <v>3</v>
      </c>
      <c r="Y238" s="27">
        <f t="shared" si="161"/>
        <v>0</v>
      </c>
      <c r="Z238" s="41">
        <f t="shared" si="162"/>
        <v>0</v>
      </c>
      <c r="AA238" s="14"/>
      <c r="AB238" s="14"/>
      <c r="AC238" s="14"/>
      <c r="AD238" s="14"/>
      <c r="AE238" s="14"/>
      <c r="AF238" s="47"/>
      <c r="AG238" s="19"/>
      <c r="AH238" s="14"/>
      <c r="AI238" s="14"/>
      <c r="AJ238" s="14"/>
      <c r="AK238" s="14"/>
      <c r="AL238" s="14"/>
      <c r="AM238" s="107" t="s">
        <v>3</v>
      </c>
      <c r="AN238" s="27">
        <f t="shared" si="163"/>
        <v>0</v>
      </c>
      <c r="AO238" s="41">
        <f t="shared" si="169"/>
        <v>0</v>
      </c>
      <c r="AP238" s="14"/>
      <c r="AQ238" s="14"/>
      <c r="AR238" s="14"/>
      <c r="AS238" s="14"/>
      <c r="AT238" s="14"/>
      <c r="AU238" s="47"/>
      <c r="AV238" s="14"/>
      <c r="AW238" s="14"/>
      <c r="AX238" s="14"/>
      <c r="AY238" s="14"/>
      <c r="AZ238" s="14"/>
      <c r="BA238" s="14"/>
      <c r="BB238" s="107" t="s">
        <v>3</v>
      </c>
      <c r="BC238" s="27">
        <f t="shared" si="164"/>
        <v>0</v>
      </c>
      <c r="BD238" s="41">
        <f t="shared" si="170"/>
        <v>0</v>
      </c>
      <c r="BE238" s="14"/>
      <c r="BF238" s="14"/>
      <c r="BG238" s="14"/>
      <c r="BH238" s="14"/>
      <c r="BI238" s="14"/>
      <c r="BJ238" s="47"/>
      <c r="BK238" s="19"/>
      <c r="BL238" s="14"/>
      <c r="BM238" s="14"/>
      <c r="BN238" s="14"/>
      <c r="BO238" s="14"/>
      <c r="BP238" s="14"/>
      <c r="BQ238" s="107" t="s">
        <v>3</v>
      </c>
      <c r="BR238" s="27">
        <f t="shared" si="165"/>
        <v>0</v>
      </c>
      <c r="BS238" s="41">
        <f t="shared" si="171"/>
        <v>0</v>
      </c>
      <c r="BT238" s="14"/>
      <c r="BU238" s="14"/>
      <c r="BV238" s="14"/>
      <c r="BW238" s="14"/>
      <c r="BX238" s="14"/>
      <c r="BY238" s="47"/>
      <c r="BZ238" s="14"/>
      <c r="CA238" s="14"/>
      <c r="CB238" s="21"/>
      <c r="CC238" s="21"/>
      <c r="CD238" s="180"/>
      <c r="CE238" s="181"/>
      <c r="CF238" s="97"/>
      <c r="CG238" s="29"/>
      <c r="CH238" s="29"/>
      <c r="CI238" s="14"/>
      <c r="CJ238" s="14"/>
      <c r="CK238" s="14"/>
      <c r="CL238" s="14"/>
      <c r="CM238" s="14"/>
      <c r="CN238" s="14"/>
      <c r="CO238" s="129"/>
      <c r="CP238" s="14"/>
      <c r="CQ238" s="47"/>
      <c r="CR238" s="14"/>
      <c r="CS238" s="14"/>
      <c r="CT238" s="14"/>
      <c r="CU238" s="14"/>
      <c r="CV238" s="180"/>
      <c r="CW238" s="190"/>
      <c r="CX238" s="191"/>
      <c r="CY238" s="52"/>
      <c r="CZ238" s="52"/>
      <c r="DA238" s="14"/>
      <c r="DB238" s="14"/>
      <c r="DC238" s="14"/>
      <c r="DD238" s="14"/>
      <c r="DE238" s="14"/>
      <c r="DF238" s="14"/>
      <c r="DG238" s="129"/>
      <c r="DH238" s="14"/>
      <c r="DI238" s="47"/>
      <c r="DJ238" s="14"/>
      <c r="DK238" s="14"/>
      <c r="DL238" s="14"/>
      <c r="DM238" s="14"/>
      <c r="DN238" s="14"/>
      <c r="DO238" s="14"/>
      <c r="DP238" s="107" t="s">
        <v>39</v>
      </c>
      <c r="DQ238" s="27">
        <f t="shared" si="166"/>
        <v>0</v>
      </c>
      <c r="DR238" s="41">
        <f t="shared" si="167"/>
        <v>0</v>
      </c>
      <c r="DS238" s="14"/>
      <c r="DT238" s="14"/>
      <c r="DU238" s="14"/>
      <c r="DV238" s="14"/>
      <c r="DW238" s="14"/>
      <c r="DX238" s="14"/>
      <c r="DY238" s="14"/>
      <c r="DZ238" s="14"/>
      <c r="EA238" s="14"/>
      <c r="EB238" s="14"/>
      <c r="EC238" s="14"/>
      <c r="ED238" s="14"/>
      <c r="EE238" s="14"/>
      <c r="EF238" s="14"/>
      <c r="EG238" s="14"/>
      <c r="EH238" s="14"/>
      <c r="EI238" s="14"/>
      <c r="EJ238" s="14"/>
      <c r="EK238" s="14"/>
      <c r="EL238" s="14"/>
    </row>
    <row r="239" spans="1:142" x14ac:dyDescent="0.25">
      <c r="A239" s="14"/>
      <c r="B239" s="14"/>
      <c r="C239" s="19"/>
      <c r="D239" s="21"/>
      <c r="E239" s="14"/>
      <c r="F239" s="14"/>
      <c r="G239" s="86" t="s">
        <v>145</v>
      </c>
      <c r="H239" s="111">
        <f>SUM(H234:H238)</f>
        <v>12</v>
      </c>
      <c r="I239" s="119">
        <f t="shared" si="168"/>
        <v>1</v>
      </c>
      <c r="J239" s="19"/>
      <c r="K239" s="19"/>
      <c r="L239" s="19"/>
      <c r="M239" s="19"/>
      <c r="N239" s="19"/>
      <c r="O239" s="19"/>
      <c r="P239" s="19"/>
      <c r="Q239" s="47"/>
      <c r="R239" s="19"/>
      <c r="S239" s="14"/>
      <c r="T239" s="14"/>
      <c r="U239" s="14"/>
      <c r="V239" s="14"/>
      <c r="W239" s="14"/>
      <c r="X239" s="107" t="s">
        <v>54</v>
      </c>
      <c r="Y239" s="27">
        <f t="shared" si="161"/>
        <v>0</v>
      </c>
      <c r="Z239" s="41">
        <f t="shared" si="162"/>
        <v>0</v>
      </c>
      <c r="AA239" s="14"/>
      <c r="AB239" s="14"/>
      <c r="AC239" s="14"/>
      <c r="AD239" s="14"/>
      <c r="AE239" s="14"/>
      <c r="AF239" s="47"/>
      <c r="AG239" s="19"/>
      <c r="AH239" s="14"/>
      <c r="AI239" s="14"/>
      <c r="AJ239" s="14"/>
      <c r="AK239" s="14"/>
      <c r="AL239" s="14"/>
      <c r="AM239" s="107" t="s">
        <v>54</v>
      </c>
      <c r="AN239" s="27">
        <f t="shared" si="163"/>
        <v>0</v>
      </c>
      <c r="AO239" s="41">
        <f t="shared" si="169"/>
        <v>0</v>
      </c>
      <c r="AP239" s="14"/>
      <c r="AQ239" s="14"/>
      <c r="AR239" s="14"/>
      <c r="AS239" s="14"/>
      <c r="AT239" s="14"/>
      <c r="AU239" s="47"/>
      <c r="AV239" s="14"/>
      <c r="AW239" s="14"/>
      <c r="AX239" s="14"/>
      <c r="AY239" s="14"/>
      <c r="AZ239" s="14"/>
      <c r="BA239" s="14"/>
      <c r="BB239" s="107" t="s">
        <v>54</v>
      </c>
      <c r="BC239" s="27">
        <f t="shared" si="164"/>
        <v>0</v>
      </c>
      <c r="BD239" s="41">
        <f t="shared" si="170"/>
        <v>0</v>
      </c>
      <c r="BE239" s="14"/>
      <c r="BF239" s="14"/>
      <c r="BG239" s="14"/>
      <c r="BH239" s="14"/>
      <c r="BI239" s="14"/>
      <c r="BJ239" s="47"/>
      <c r="BK239" s="19"/>
      <c r="BL239" s="14"/>
      <c r="BM239" s="14"/>
      <c r="BN239" s="14"/>
      <c r="BO239" s="14"/>
      <c r="BP239" s="14"/>
      <c r="BQ239" s="107" t="s">
        <v>54</v>
      </c>
      <c r="BR239" s="27">
        <f t="shared" si="165"/>
        <v>0</v>
      </c>
      <c r="BS239" s="41">
        <f t="shared" si="171"/>
        <v>0</v>
      </c>
      <c r="BT239" s="14"/>
      <c r="BU239" s="14"/>
      <c r="BV239" s="14"/>
      <c r="BW239" s="14"/>
      <c r="BX239" s="14"/>
      <c r="BY239" s="47"/>
      <c r="BZ239" s="14"/>
      <c r="CA239" s="14"/>
      <c r="CB239" s="21"/>
      <c r="CC239" s="21"/>
      <c r="CD239" s="180"/>
      <c r="CE239" s="181"/>
      <c r="CF239" s="97"/>
      <c r="CG239" s="29"/>
      <c r="CH239" s="29"/>
      <c r="CI239" s="14"/>
      <c r="CJ239" s="14"/>
      <c r="CK239" s="14"/>
      <c r="CL239" s="14"/>
      <c r="CM239" s="14"/>
      <c r="CN239" s="14"/>
      <c r="CO239" s="129"/>
      <c r="CP239" s="14"/>
      <c r="CQ239" s="47"/>
      <c r="CR239" s="14"/>
      <c r="CS239" s="14"/>
      <c r="CT239" s="14"/>
      <c r="CU239" s="14"/>
      <c r="CV239" s="180"/>
      <c r="CW239" s="190"/>
      <c r="CX239" s="191"/>
      <c r="CY239" s="52"/>
      <c r="CZ239" s="52"/>
      <c r="DA239" s="14"/>
      <c r="DB239" s="14"/>
      <c r="DC239" s="14"/>
      <c r="DD239" s="14"/>
      <c r="DE239" s="14"/>
      <c r="DF239" s="14"/>
      <c r="DG239" s="129"/>
      <c r="DH239" s="14"/>
      <c r="DI239" s="47"/>
      <c r="DJ239" s="14"/>
      <c r="DK239" s="14"/>
      <c r="DL239" s="14"/>
      <c r="DM239" s="14"/>
      <c r="DN239" s="14"/>
      <c r="DO239" s="14"/>
      <c r="DP239" s="86" t="s">
        <v>145</v>
      </c>
      <c r="DQ239" s="111">
        <f t="shared" si="166"/>
        <v>12</v>
      </c>
      <c r="DR239" s="119">
        <f t="shared" si="167"/>
        <v>1</v>
      </c>
      <c r="DS239" s="14"/>
      <c r="DT239" s="14"/>
      <c r="DU239" s="14"/>
      <c r="DV239" s="14"/>
      <c r="DW239" s="14"/>
      <c r="DX239" s="14"/>
      <c r="DY239" s="14"/>
      <c r="DZ239" s="14"/>
      <c r="EA239" s="14"/>
      <c r="EB239" s="14"/>
      <c r="EC239" s="14"/>
      <c r="ED239" s="14"/>
      <c r="EE239" s="14"/>
      <c r="EF239" s="14"/>
      <c r="EG239" s="14"/>
      <c r="EH239" s="14"/>
      <c r="EI239" s="14"/>
      <c r="EJ239" s="14"/>
      <c r="EK239" s="14"/>
      <c r="EL239" s="14"/>
    </row>
    <row r="240" spans="1:142" ht="13.5" customHeight="1" x14ac:dyDescent="0.25">
      <c r="A240" s="14"/>
      <c r="B240" s="14"/>
      <c r="C240" s="14"/>
      <c r="D240" s="21"/>
      <c r="E240" s="14"/>
      <c r="F240" s="14"/>
      <c r="G240" s="14"/>
      <c r="H240" s="21"/>
      <c r="I240" s="21"/>
      <c r="J240" s="14"/>
      <c r="K240" s="14"/>
      <c r="L240" s="14"/>
      <c r="M240" s="14"/>
      <c r="N240" s="14"/>
      <c r="O240" s="14"/>
      <c r="P240" s="14"/>
      <c r="Q240" s="47"/>
      <c r="R240" s="19"/>
      <c r="S240" s="14"/>
      <c r="T240" s="14"/>
      <c r="U240" s="14"/>
      <c r="V240" s="14"/>
      <c r="W240" s="14"/>
      <c r="X240" s="107" t="s">
        <v>39</v>
      </c>
      <c r="Y240" s="27">
        <f t="shared" si="161"/>
        <v>0</v>
      </c>
      <c r="Z240" s="41">
        <f t="shared" si="162"/>
        <v>0</v>
      </c>
      <c r="AA240" s="14"/>
      <c r="AB240" s="14"/>
      <c r="AC240" s="14"/>
      <c r="AD240" s="14"/>
      <c r="AE240" s="14"/>
      <c r="AF240" s="47"/>
      <c r="AG240" s="19"/>
      <c r="AH240" s="14"/>
      <c r="AI240" s="14"/>
      <c r="AJ240" s="14"/>
      <c r="AK240" s="14"/>
      <c r="AL240" s="14"/>
      <c r="AM240" s="107" t="s">
        <v>39</v>
      </c>
      <c r="AN240" s="27">
        <f t="shared" si="163"/>
        <v>1</v>
      </c>
      <c r="AO240" s="41">
        <f t="shared" si="169"/>
        <v>6.25E-2</v>
      </c>
      <c r="AP240" s="14"/>
      <c r="AQ240" s="14"/>
      <c r="AR240" s="14"/>
      <c r="AS240" s="14"/>
      <c r="AT240" s="14"/>
      <c r="AU240" s="47"/>
      <c r="AV240" s="14"/>
      <c r="AW240" s="14"/>
      <c r="AX240" s="14"/>
      <c r="AY240" s="14"/>
      <c r="AZ240" s="14"/>
      <c r="BA240" s="14"/>
      <c r="BB240" s="107" t="s">
        <v>39</v>
      </c>
      <c r="BC240" s="27">
        <f t="shared" si="164"/>
        <v>1</v>
      </c>
      <c r="BD240" s="41">
        <f t="shared" si="170"/>
        <v>6.25E-2</v>
      </c>
      <c r="BE240" s="14"/>
      <c r="BF240" s="14"/>
      <c r="BG240" s="14"/>
      <c r="BH240" s="14"/>
      <c r="BI240" s="14"/>
      <c r="BJ240" s="47"/>
      <c r="BK240" s="19"/>
      <c r="BL240" s="14"/>
      <c r="BM240" s="14"/>
      <c r="BN240" s="14"/>
      <c r="BO240" s="14"/>
      <c r="BP240" s="14"/>
      <c r="BQ240" s="107" t="s">
        <v>39</v>
      </c>
      <c r="BR240" s="27">
        <f t="shared" si="165"/>
        <v>1</v>
      </c>
      <c r="BS240" s="41">
        <f t="shared" si="171"/>
        <v>6.25E-2</v>
      </c>
      <c r="BT240" s="14"/>
      <c r="BU240" s="14"/>
      <c r="BV240" s="14"/>
      <c r="BW240" s="14"/>
      <c r="BX240" s="14"/>
      <c r="BY240" s="47"/>
      <c r="BZ240" s="14"/>
      <c r="CA240" s="14"/>
      <c r="CB240" s="21"/>
      <c r="CC240" s="21"/>
      <c r="CD240" s="180"/>
      <c r="CE240" s="181"/>
      <c r="CF240" s="97"/>
      <c r="CG240" s="29"/>
      <c r="CH240" s="29"/>
      <c r="CI240" s="14"/>
      <c r="CJ240" s="14"/>
      <c r="CK240" s="14"/>
      <c r="CL240" s="14"/>
      <c r="CM240" s="14"/>
      <c r="CN240" s="14"/>
      <c r="CO240" s="129"/>
      <c r="CP240" s="14"/>
      <c r="CQ240" s="47"/>
      <c r="CR240" s="14"/>
      <c r="CS240" s="14"/>
      <c r="CT240" s="14"/>
      <c r="CU240" s="14"/>
      <c r="CV240" s="180"/>
      <c r="CW240" s="190"/>
      <c r="CX240" s="191"/>
      <c r="CY240" s="52"/>
      <c r="CZ240" s="52"/>
      <c r="DA240" s="14"/>
      <c r="DB240" s="14"/>
      <c r="DC240" s="14"/>
      <c r="DD240" s="14"/>
      <c r="DE240" s="14"/>
      <c r="DF240" s="14"/>
      <c r="DG240" s="129"/>
      <c r="DH240" s="14"/>
      <c r="DI240" s="47"/>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row>
    <row r="241" spans="1:142" x14ac:dyDescent="0.25">
      <c r="A241" s="14"/>
      <c r="B241" s="14"/>
      <c r="C241" s="14"/>
      <c r="D241" s="21"/>
      <c r="E241" s="14"/>
      <c r="F241" s="14"/>
      <c r="G241" s="14"/>
      <c r="H241" s="21"/>
      <c r="I241" s="21"/>
      <c r="J241" s="14"/>
      <c r="K241" s="14"/>
      <c r="L241" s="14"/>
      <c r="M241" s="14"/>
      <c r="N241" s="14"/>
      <c r="O241" s="14"/>
      <c r="P241" s="14"/>
      <c r="Q241" s="47"/>
      <c r="R241" s="19"/>
      <c r="S241" s="14"/>
      <c r="T241" s="14"/>
      <c r="U241" s="14"/>
      <c r="V241" s="14"/>
      <c r="W241" s="14"/>
      <c r="X241" s="86" t="s">
        <v>145</v>
      </c>
      <c r="Y241" s="111">
        <f t="shared" si="161"/>
        <v>10</v>
      </c>
      <c r="Z241" s="119">
        <f t="shared" si="162"/>
        <v>1</v>
      </c>
      <c r="AA241" s="14"/>
      <c r="AB241" s="14"/>
      <c r="AC241" s="14"/>
      <c r="AD241" s="14"/>
      <c r="AE241" s="14"/>
      <c r="AF241" s="47"/>
      <c r="AG241" s="19"/>
      <c r="AH241" s="14"/>
      <c r="AI241" s="14"/>
      <c r="AJ241" s="14"/>
      <c r="AK241" s="14"/>
      <c r="AL241" s="14"/>
      <c r="AM241" s="86" t="s">
        <v>145</v>
      </c>
      <c r="AN241" s="111">
        <f t="shared" si="163"/>
        <v>16</v>
      </c>
      <c r="AO241" s="119">
        <f t="shared" si="169"/>
        <v>1</v>
      </c>
      <c r="AP241" s="14"/>
      <c r="AQ241" s="14"/>
      <c r="AR241" s="14"/>
      <c r="AS241" s="14"/>
      <c r="AT241" s="14"/>
      <c r="AU241" s="47"/>
      <c r="AV241" s="14"/>
      <c r="AW241" s="14"/>
      <c r="AX241" s="14"/>
      <c r="AY241" s="14"/>
      <c r="AZ241" s="14"/>
      <c r="BA241" s="14"/>
      <c r="BB241" s="86" t="s">
        <v>145</v>
      </c>
      <c r="BC241" s="111">
        <f t="shared" si="164"/>
        <v>16</v>
      </c>
      <c r="BD241" s="119">
        <f t="shared" si="170"/>
        <v>1</v>
      </c>
      <c r="BE241" s="14"/>
      <c r="BF241" s="14"/>
      <c r="BG241" s="14"/>
      <c r="BH241" s="14"/>
      <c r="BI241" s="14"/>
      <c r="BJ241" s="47"/>
      <c r="BK241" s="19"/>
      <c r="BL241" s="14"/>
      <c r="BM241" s="14"/>
      <c r="BN241" s="14"/>
      <c r="BO241" s="14"/>
      <c r="BP241" s="14"/>
      <c r="BQ241" s="86" t="s">
        <v>145</v>
      </c>
      <c r="BR241" s="111">
        <f t="shared" si="165"/>
        <v>16</v>
      </c>
      <c r="BS241" s="119">
        <f t="shared" si="171"/>
        <v>1</v>
      </c>
      <c r="BT241" s="14"/>
      <c r="BU241" s="14"/>
      <c r="BV241" s="14"/>
      <c r="BW241" s="14"/>
      <c r="BX241" s="14"/>
      <c r="BY241" s="47"/>
      <c r="BZ241" s="14"/>
      <c r="CA241" s="14"/>
      <c r="CB241" s="21"/>
      <c r="CC241" s="21"/>
      <c r="CD241" s="180"/>
      <c r="CE241" s="181"/>
      <c r="CF241" s="97"/>
      <c r="CG241" s="29"/>
      <c r="CH241" s="29"/>
      <c r="CI241" s="14"/>
      <c r="CJ241" s="14"/>
      <c r="CK241" s="14"/>
      <c r="CL241" s="14"/>
      <c r="CM241" s="14"/>
      <c r="CN241" s="14"/>
      <c r="CO241" s="129"/>
      <c r="CP241" s="14"/>
      <c r="CQ241" s="47"/>
      <c r="CR241" s="14"/>
      <c r="CS241" s="14"/>
      <c r="CT241" s="14"/>
      <c r="CU241" s="14"/>
      <c r="CV241" s="180"/>
      <c r="CW241" s="190"/>
      <c r="CX241" s="191"/>
      <c r="CY241" s="52"/>
      <c r="CZ241" s="52"/>
      <c r="DA241" s="14"/>
      <c r="DB241" s="14"/>
      <c r="DC241" s="14"/>
      <c r="DD241" s="14"/>
      <c r="DE241" s="14"/>
      <c r="DF241" s="14"/>
      <c r="DG241" s="129"/>
      <c r="DH241" s="14"/>
      <c r="DI241" s="47"/>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row>
    <row r="242" spans="1:142" x14ac:dyDescent="0.25">
      <c r="A242" s="14"/>
      <c r="B242" s="14"/>
      <c r="C242" s="14"/>
      <c r="D242" s="21"/>
      <c r="E242" s="14"/>
      <c r="F242" s="14"/>
      <c r="G242" s="14"/>
      <c r="H242" s="21"/>
      <c r="I242" s="21"/>
      <c r="J242" s="14"/>
      <c r="K242" s="14"/>
      <c r="L242" s="14"/>
      <c r="M242" s="14"/>
      <c r="N242" s="14"/>
      <c r="O242" s="14"/>
      <c r="P242" s="14"/>
      <c r="Q242" s="47"/>
      <c r="R242" s="19"/>
      <c r="S242" s="14"/>
      <c r="T242" s="14"/>
      <c r="U242" s="14"/>
      <c r="V242" s="14"/>
      <c r="W242" s="14"/>
      <c r="X242" s="14"/>
      <c r="Y242" s="14"/>
      <c r="Z242" s="14"/>
      <c r="AA242" s="14"/>
      <c r="AB242" s="14"/>
      <c r="AC242" s="14"/>
      <c r="AD242" s="14"/>
      <c r="AE242" s="14"/>
      <c r="AF242" s="47"/>
      <c r="AG242" s="19"/>
      <c r="AH242" s="14"/>
      <c r="AI242" s="14"/>
      <c r="AJ242" s="14"/>
      <c r="AK242" s="14"/>
      <c r="AL242" s="14"/>
      <c r="AM242" s="14"/>
      <c r="AN242" s="14"/>
      <c r="AO242" s="14"/>
      <c r="AP242" s="14"/>
      <c r="AQ242" s="14"/>
      <c r="AR242" s="14"/>
      <c r="AS242" s="14"/>
      <c r="AT242" s="14"/>
      <c r="AU242" s="47"/>
      <c r="AV242" s="14"/>
      <c r="AW242" s="14"/>
      <c r="AX242" s="14"/>
      <c r="AY242" s="14"/>
      <c r="AZ242" s="14"/>
      <c r="BA242" s="14"/>
      <c r="BB242" s="14"/>
      <c r="BC242" s="14"/>
      <c r="BD242" s="14"/>
      <c r="BE242" s="14"/>
      <c r="BF242" s="14"/>
      <c r="BG242" s="14"/>
      <c r="BH242" s="14"/>
      <c r="BI242" s="14"/>
      <c r="BJ242" s="47"/>
      <c r="BK242" s="19"/>
      <c r="BL242" s="14"/>
      <c r="BM242" s="14"/>
      <c r="BN242" s="14"/>
      <c r="BO242" s="14"/>
      <c r="BP242" s="14"/>
      <c r="BQ242" s="14"/>
      <c r="BR242" s="14"/>
      <c r="BS242" s="14"/>
      <c r="BT242" s="14"/>
      <c r="BU242" s="14"/>
      <c r="BV242" s="14"/>
      <c r="BW242" s="14"/>
      <c r="BX242" s="14"/>
      <c r="BY242" s="47"/>
      <c r="BZ242" s="14"/>
      <c r="CA242" s="14"/>
      <c r="CB242" s="21"/>
      <c r="CC242" s="21"/>
      <c r="CD242" s="180"/>
      <c r="CE242" s="181"/>
      <c r="CF242" s="97"/>
      <c r="CG242" s="29"/>
      <c r="CH242" s="29"/>
      <c r="CI242" s="14"/>
      <c r="CJ242" s="14"/>
      <c r="CK242" s="14"/>
      <c r="CL242" s="14"/>
      <c r="CM242" s="14"/>
      <c r="CN242" s="14"/>
      <c r="CO242" s="129"/>
      <c r="CP242" s="14"/>
      <c r="CQ242" s="47"/>
      <c r="CR242" s="14"/>
      <c r="CS242" s="14"/>
      <c r="CT242" s="14"/>
      <c r="CU242" s="14"/>
      <c r="CV242" s="180"/>
      <c r="CW242" s="190"/>
      <c r="CX242" s="191"/>
      <c r="CY242" s="31"/>
      <c r="CZ242" s="31"/>
      <c r="DA242" s="14"/>
      <c r="DB242" s="14"/>
      <c r="DC242" s="14"/>
      <c r="DD242" s="14"/>
      <c r="DE242" s="14"/>
      <c r="DF242" s="14"/>
      <c r="DG242" s="129"/>
      <c r="DH242" s="14"/>
      <c r="DI242" s="47"/>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row>
    <row r="243" spans="1:142" x14ac:dyDescent="0.25">
      <c r="A243" s="14"/>
      <c r="B243" s="14"/>
      <c r="C243" s="14"/>
      <c r="D243" s="21"/>
      <c r="E243" s="14"/>
      <c r="F243" s="14"/>
      <c r="G243" s="14"/>
      <c r="H243" s="21"/>
      <c r="I243" s="21"/>
      <c r="J243" s="14"/>
      <c r="K243" s="14"/>
      <c r="L243" s="14"/>
      <c r="M243" s="14"/>
      <c r="N243" s="14"/>
      <c r="O243" s="14"/>
      <c r="P243" s="14"/>
      <c r="Q243" s="47"/>
      <c r="R243" s="19"/>
      <c r="S243" s="14"/>
      <c r="T243" s="14"/>
      <c r="U243" s="14"/>
      <c r="V243" s="14"/>
      <c r="W243" s="14"/>
      <c r="X243" s="14"/>
      <c r="Y243" s="14"/>
      <c r="Z243" s="14"/>
      <c r="AA243" s="14"/>
      <c r="AB243" s="14"/>
      <c r="AC243" s="14"/>
      <c r="AD243" s="14"/>
      <c r="AE243" s="14"/>
      <c r="AF243" s="47"/>
      <c r="AG243" s="19"/>
      <c r="AH243" s="14"/>
      <c r="AI243" s="14"/>
      <c r="AJ243" s="14"/>
      <c r="AK243" s="14"/>
      <c r="AL243" s="14"/>
      <c r="AM243" s="14"/>
      <c r="AN243" s="14"/>
      <c r="AO243" s="14"/>
      <c r="AP243" s="14"/>
      <c r="AQ243" s="14"/>
      <c r="AR243" s="14"/>
      <c r="AS243" s="14"/>
      <c r="AT243" s="14"/>
      <c r="AU243" s="47"/>
      <c r="AV243" s="14"/>
      <c r="AW243" s="14"/>
      <c r="AX243" s="14"/>
      <c r="AY243" s="14"/>
      <c r="AZ243" s="14"/>
      <c r="BA243" s="14"/>
      <c r="BB243" s="14"/>
      <c r="BC243" s="14"/>
      <c r="BD243" s="14"/>
      <c r="BE243" s="14"/>
      <c r="BF243" s="14"/>
      <c r="BG243" s="14"/>
      <c r="BH243" s="14"/>
      <c r="BI243" s="14"/>
      <c r="BJ243" s="47"/>
      <c r="BK243" s="19"/>
      <c r="BL243" s="14"/>
      <c r="BM243" s="14"/>
      <c r="BN243" s="14"/>
      <c r="BO243" s="14"/>
      <c r="BP243" s="14"/>
      <c r="BQ243" s="14"/>
      <c r="BR243" s="14"/>
      <c r="BS243" s="14"/>
      <c r="BT243" s="14"/>
      <c r="BU243" s="14"/>
      <c r="BV243" s="14"/>
      <c r="BW243" s="14"/>
      <c r="BX243" s="14"/>
      <c r="BY243" s="47"/>
      <c r="BZ243" s="14"/>
      <c r="CA243" s="14"/>
      <c r="CB243" s="21"/>
      <c r="CC243" s="21"/>
      <c r="CD243" s="180"/>
      <c r="CE243" s="180"/>
      <c r="CF243" s="21"/>
      <c r="CG243" s="14"/>
      <c r="CH243" s="14"/>
      <c r="CI243" s="14"/>
      <c r="CJ243" s="14"/>
      <c r="CK243" s="14"/>
      <c r="CL243" s="14"/>
      <c r="CM243" s="14"/>
      <c r="CN243" s="14"/>
      <c r="CO243" s="129"/>
      <c r="CP243" s="14"/>
      <c r="CQ243" s="47"/>
      <c r="CR243" s="14"/>
      <c r="CS243" s="14"/>
      <c r="CT243" s="14"/>
      <c r="CU243" s="14"/>
      <c r="CV243" s="180"/>
      <c r="CW243" s="189"/>
      <c r="CX243" s="189"/>
      <c r="CY243" s="14"/>
      <c r="CZ243" s="14"/>
      <c r="DA243" s="14"/>
      <c r="DB243" s="14"/>
      <c r="DC243" s="14"/>
      <c r="DD243" s="14"/>
      <c r="DE243" s="14"/>
      <c r="DF243" s="14"/>
      <c r="DG243" s="129"/>
      <c r="DH243" s="14"/>
      <c r="DI243" s="47"/>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row>
    <row r="244" spans="1:142" x14ac:dyDescent="0.25">
      <c r="A244" s="14"/>
      <c r="B244" s="14"/>
      <c r="C244" s="14"/>
      <c r="D244" s="21"/>
      <c r="E244" s="14"/>
      <c r="F244" s="14"/>
      <c r="G244" s="14"/>
      <c r="H244" s="21"/>
      <c r="I244" s="21"/>
      <c r="J244" s="14"/>
      <c r="K244" s="14"/>
      <c r="L244" s="14"/>
      <c r="M244" s="14"/>
      <c r="N244" s="14"/>
      <c r="O244" s="14"/>
      <c r="P244" s="14"/>
      <c r="Q244" s="47"/>
      <c r="R244" s="19"/>
      <c r="S244" s="14"/>
      <c r="T244" s="14"/>
      <c r="U244" s="14"/>
      <c r="V244" s="14"/>
      <c r="W244" s="14"/>
      <c r="X244" s="14"/>
      <c r="Y244" s="14"/>
      <c r="Z244" s="14"/>
      <c r="AA244" s="14"/>
      <c r="AB244" s="14"/>
      <c r="AC244" s="14"/>
      <c r="AD244" s="14"/>
      <c r="AE244" s="14"/>
      <c r="AF244" s="47"/>
      <c r="AG244" s="19"/>
      <c r="AH244" s="14"/>
      <c r="AI244" s="14"/>
      <c r="AJ244" s="14"/>
      <c r="AK244" s="14"/>
      <c r="AL244" s="14"/>
      <c r="AM244" s="14"/>
      <c r="AN244" s="14"/>
      <c r="AO244" s="14"/>
      <c r="AP244" s="14"/>
      <c r="AQ244" s="14"/>
      <c r="AR244" s="14"/>
      <c r="AS244" s="14"/>
      <c r="AT244" s="14"/>
      <c r="AU244" s="47"/>
      <c r="AV244" s="14"/>
      <c r="AW244" s="14"/>
      <c r="AX244" s="14"/>
      <c r="AY244" s="14"/>
      <c r="AZ244" s="14"/>
      <c r="BA244" s="14"/>
      <c r="BB244" s="14"/>
      <c r="BC244" s="14"/>
      <c r="BD244" s="14"/>
      <c r="BE244" s="14"/>
      <c r="BF244" s="14"/>
      <c r="BG244" s="14"/>
      <c r="BH244" s="14"/>
      <c r="BI244" s="14"/>
      <c r="BJ244" s="47"/>
      <c r="BK244" s="19"/>
      <c r="BL244" s="14"/>
      <c r="BM244" s="14"/>
      <c r="BN244" s="14"/>
      <c r="BO244" s="14"/>
      <c r="BP244" s="14"/>
      <c r="BQ244" s="14"/>
      <c r="BR244" s="14"/>
      <c r="BS244" s="14"/>
      <c r="BT244" s="14"/>
      <c r="BU244" s="14"/>
      <c r="BV244" s="14"/>
      <c r="BW244" s="14"/>
      <c r="BX244" s="14"/>
      <c r="BY244" s="47"/>
      <c r="BZ244" s="14"/>
      <c r="CA244" s="14"/>
      <c r="CB244" s="21"/>
      <c r="CC244" s="21"/>
      <c r="CD244" s="180"/>
      <c r="CE244" s="180"/>
      <c r="CF244" s="21"/>
      <c r="CG244" s="14"/>
      <c r="CH244" s="14"/>
      <c r="CI244" s="14"/>
      <c r="CJ244" s="14"/>
      <c r="CK244" s="14"/>
      <c r="CL244" s="14"/>
      <c r="CM244" s="14"/>
      <c r="CN244" s="14"/>
      <c r="CO244" s="129"/>
      <c r="CP244" s="14"/>
      <c r="CQ244" s="47"/>
      <c r="CR244" s="14"/>
      <c r="CS244" s="14"/>
      <c r="CT244" s="14"/>
      <c r="CU244" s="14"/>
      <c r="CV244" s="180"/>
      <c r="CW244" s="189"/>
      <c r="CX244" s="189"/>
      <c r="CY244" s="14"/>
      <c r="CZ244" s="14"/>
      <c r="DA244" s="14"/>
      <c r="DB244" s="14"/>
      <c r="DC244" s="14"/>
      <c r="DD244" s="14"/>
      <c r="DE244" s="14"/>
      <c r="DF244" s="14"/>
      <c r="DG244" s="129"/>
      <c r="DH244" s="14"/>
      <c r="DI244" s="47"/>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row>
    <row r="245" spans="1:142" s="131" customFormat="1" x14ac:dyDescent="0.25">
      <c r="A245" s="78"/>
      <c r="B245" s="78" t="s">
        <v>156</v>
      </c>
      <c r="C245" s="78"/>
      <c r="D245" s="79"/>
      <c r="E245" s="78"/>
      <c r="F245" s="78"/>
      <c r="G245" s="78"/>
      <c r="H245" s="79"/>
      <c r="I245" s="79"/>
      <c r="J245" s="78"/>
      <c r="K245" s="78"/>
      <c r="L245" s="78"/>
      <c r="M245" s="78"/>
      <c r="N245" s="78"/>
      <c r="O245" s="78"/>
      <c r="P245" s="78"/>
      <c r="Q245" s="82"/>
      <c r="R245" s="83"/>
      <c r="S245" s="78" t="s">
        <v>156</v>
      </c>
      <c r="T245" s="78"/>
      <c r="U245" s="78"/>
      <c r="V245" s="78"/>
      <c r="W245" s="78"/>
      <c r="X245" s="78"/>
      <c r="Y245" s="78"/>
      <c r="Z245" s="78"/>
      <c r="AA245" s="78"/>
      <c r="AB245" s="78"/>
      <c r="AC245" s="78"/>
      <c r="AD245" s="78"/>
      <c r="AE245" s="78"/>
      <c r="AF245" s="82"/>
      <c r="AG245" s="83"/>
      <c r="AH245" s="78" t="s">
        <v>156</v>
      </c>
      <c r="AI245" s="78"/>
      <c r="AJ245" s="78"/>
      <c r="AK245" s="78"/>
      <c r="AL245" s="78"/>
      <c r="AM245" s="78"/>
      <c r="AN245" s="78"/>
      <c r="AO245" s="78"/>
      <c r="AP245" s="78"/>
      <c r="AQ245" s="78"/>
      <c r="AR245" s="78"/>
      <c r="AS245" s="78"/>
      <c r="AT245" s="78"/>
      <c r="AU245" s="82"/>
      <c r="AV245" s="78"/>
      <c r="AW245" s="78" t="s">
        <v>156</v>
      </c>
      <c r="AX245" s="78"/>
      <c r="AY245" s="78"/>
      <c r="AZ245" s="78"/>
      <c r="BA245" s="78"/>
      <c r="BB245" s="78"/>
      <c r="BC245" s="78"/>
      <c r="BD245" s="78"/>
      <c r="BE245" s="78"/>
      <c r="BF245" s="78"/>
      <c r="BG245" s="78"/>
      <c r="BH245" s="78"/>
      <c r="BI245" s="78"/>
      <c r="BJ245" s="82"/>
      <c r="BK245" s="83"/>
      <c r="BL245" s="78" t="s">
        <v>156</v>
      </c>
      <c r="BM245" s="78"/>
      <c r="BN245" s="78"/>
      <c r="BO245" s="78"/>
      <c r="BP245" s="78"/>
      <c r="BQ245" s="78"/>
      <c r="BR245" s="78"/>
      <c r="BS245" s="78"/>
      <c r="BT245" s="78"/>
      <c r="BU245" s="78"/>
      <c r="BV245" s="78"/>
      <c r="BW245" s="78"/>
      <c r="BX245" s="78"/>
      <c r="BY245" s="82"/>
      <c r="BZ245" s="78"/>
      <c r="CA245" s="78"/>
      <c r="CB245" s="79"/>
      <c r="CC245" s="79"/>
      <c r="CD245" s="182"/>
      <c r="CE245" s="182"/>
      <c r="CF245" s="79"/>
      <c r="CG245" s="78"/>
      <c r="CH245" s="78"/>
      <c r="CI245" s="78"/>
      <c r="CJ245" s="78"/>
      <c r="CK245" s="78"/>
      <c r="CL245" s="78"/>
      <c r="CM245" s="78"/>
      <c r="CN245" s="78"/>
      <c r="CO245" s="78"/>
      <c r="CP245" s="78"/>
      <c r="CQ245" s="82"/>
      <c r="CR245" s="78"/>
      <c r="CS245" s="78"/>
      <c r="CT245" s="78"/>
      <c r="CU245" s="78"/>
      <c r="CV245" s="182"/>
      <c r="CW245" s="192"/>
      <c r="CX245" s="192"/>
      <c r="CY245" s="78"/>
      <c r="CZ245" s="78"/>
      <c r="DA245" s="78"/>
      <c r="DB245" s="78"/>
      <c r="DC245" s="78"/>
      <c r="DD245" s="78"/>
      <c r="DE245" s="78"/>
      <c r="DF245" s="78"/>
      <c r="DG245" s="78"/>
      <c r="DH245" s="78"/>
      <c r="DI245" s="82"/>
      <c r="DJ245" s="78"/>
      <c r="DK245" s="78" t="s">
        <v>562</v>
      </c>
      <c r="DL245" s="78"/>
      <c r="DM245" s="78"/>
      <c r="DN245" s="78"/>
      <c r="DO245" s="78"/>
      <c r="DP245" s="78"/>
      <c r="DQ245" s="78"/>
      <c r="DR245" s="78"/>
      <c r="DS245" s="78"/>
      <c r="DT245" s="78"/>
      <c r="DU245" s="78"/>
      <c r="DV245" s="78"/>
      <c r="DW245" s="78"/>
      <c r="DX245" s="78"/>
      <c r="DY245" s="78"/>
      <c r="DZ245" s="78"/>
      <c r="EA245" s="78"/>
      <c r="EB245" s="78"/>
      <c r="EC245" s="78"/>
      <c r="ED245" s="78"/>
      <c r="EE245" s="78"/>
      <c r="EF245" s="78"/>
      <c r="EG245" s="78"/>
      <c r="EH245" s="78"/>
      <c r="EI245" s="78"/>
      <c r="EJ245" s="78"/>
      <c r="EK245" s="78"/>
      <c r="EL245" s="78"/>
    </row>
    <row r="246" spans="1:142" x14ac:dyDescent="0.25">
      <c r="A246" s="14"/>
      <c r="B246" s="14"/>
      <c r="C246" s="14"/>
      <c r="D246" s="21"/>
      <c r="E246" s="14"/>
      <c r="F246" s="14"/>
      <c r="G246" s="14"/>
      <c r="H246" s="21"/>
      <c r="I246" s="21"/>
      <c r="J246" s="14"/>
      <c r="K246" s="14"/>
      <c r="L246" s="14"/>
      <c r="M246" s="14"/>
      <c r="N246" s="14"/>
      <c r="O246" s="14"/>
      <c r="P246" s="14"/>
      <c r="Q246" s="47"/>
      <c r="R246" s="19"/>
      <c r="S246" s="14"/>
      <c r="T246" s="14"/>
      <c r="U246" s="14"/>
      <c r="V246" s="14"/>
      <c r="W246" s="14"/>
      <c r="X246" s="14"/>
      <c r="Y246" s="14"/>
      <c r="Z246" s="14"/>
      <c r="AA246" s="14"/>
      <c r="AB246" s="14"/>
      <c r="AC246" s="14"/>
      <c r="AD246" s="14"/>
      <c r="AE246" s="14"/>
      <c r="AF246" s="47"/>
      <c r="AG246" s="19"/>
      <c r="AH246" s="14"/>
      <c r="AI246" s="14"/>
      <c r="AJ246" s="14"/>
      <c r="AK246" s="14"/>
      <c r="AL246" s="14"/>
      <c r="AM246" s="14"/>
      <c r="AN246" s="14"/>
      <c r="AO246" s="14"/>
      <c r="AP246" s="14"/>
      <c r="AQ246" s="14"/>
      <c r="AR246" s="14"/>
      <c r="AS246" s="14"/>
      <c r="AT246" s="14"/>
      <c r="AU246" s="47"/>
      <c r="AV246" s="14"/>
      <c r="AW246" s="14"/>
      <c r="AX246" s="14"/>
      <c r="AY246" s="14"/>
      <c r="AZ246" s="14"/>
      <c r="BA246" s="14"/>
      <c r="BB246" s="14"/>
      <c r="BC246" s="14"/>
      <c r="BD246" s="14"/>
      <c r="BE246" s="14"/>
      <c r="BF246" s="14"/>
      <c r="BG246" s="14"/>
      <c r="BH246" s="14"/>
      <c r="BI246" s="14"/>
      <c r="BJ246" s="47"/>
      <c r="BK246" s="19"/>
      <c r="BL246" s="14"/>
      <c r="BM246" s="14"/>
      <c r="BN246" s="14"/>
      <c r="BO246" s="14"/>
      <c r="BP246" s="14"/>
      <c r="BQ246" s="14"/>
      <c r="BR246" s="14"/>
      <c r="BS246" s="14"/>
      <c r="BT246" s="14"/>
      <c r="BU246" s="14"/>
      <c r="BV246" s="14"/>
      <c r="BW246" s="14"/>
      <c r="BX246" s="14"/>
      <c r="BY246" s="47"/>
      <c r="BZ246" s="14"/>
      <c r="CA246" s="14"/>
      <c r="CB246" s="21"/>
      <c r="CC246" s="21"/>
      <c r="CD246" s="180"/>
      <c r="CE246" s="180"/>
      <c r="CF246" s="21"/>
      <c r="CG246" s="14"/>
      <c r="CH246" s="14"/>
      <c r="CI246" s="14"/>
      <c r="CJ246" s="14"/>
      <c r="CK246" s="14"/>
      <c r="CL246" s="14"/>
      <c r="CM246" s="14"/>
      <c r="CN246" s="14"/>
      <c r="CO246" s="129"/>
      <c r="CP246" s="14"/>
      <c r="CQ246" s="47"/>
      <c r="CR246" s="14"/>
      <c r="CS246" s="14"/>
      <c r="CT246" s="14"/>
      <c r="CU246" s="14"/>
      <c r="CV246" s="180"/>
      <c r="CW246" s="189"/>
      <c r="CX246" s="189"/>
      <c r="CY246" s="14"/>
      <c r="CZ246" s="14"/>
      <c r="DA246" s="14"/>
      <c r="DB246" s="14"/>
      <c r="DC246" s="14"/>
      <c r="DD246" s="14"/>
      <c r="DE246" s="14"/>
      <c r="DF246" s="14"/>
      <c r="DG246" s="129"/>
      <c r="DH246" s="14"/>
      <c r="DI246" s="47"/>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row>
    <row r="247" spans="1:142" ht="27.6" x14ac:dyDescent="0.25">
      <c r="A247" s="14"/>
      <c r="B247" s="109" t="s">
        <v>14</v>
      </c>
      <c r="C247" s="110" t="str">
        <f>B54</f>
        <v>Forest owners/managers</v>
      </c>
      <c r="D247" s="110" t="str">
        <f>B81</f>
        <v>Pellet producers</v>
      </c>
      <c r="E247" s="110" t="str">
        <f>B108</f>
        <v>Pellet users</v>
      </c>
      <c r="F247" s="110" t="str">
        <f>B135</f>
        <v>Non-bioenergy wood users</v>
      </c>
      <c r="G247" s="110" t="str">
        <f>B162</f>
        <v>Policy makers and academia</v>
      </c>
      <c r="H247" s="110" t="str">
        <f>B189</f>
        <v>NGOs</v>
      </c>
      <c r="I247" s="110" t="s">
        <v>8</v>
      </c>
      <c r="J247" s="14"/>
      <c r="K247" s="14"/>
      <c r="L247" s="14"/>
      <c r="M247" s="14"/>
      <c r="N247" s="14"/>
      <c r="O247" s="14"/>
      <c r="P247" s="14"/>
      <c r="Q247" s="47"/>
      <c r="R247" s="19"/>
      <c r="S247" s="109" t="s">
        <v>14</v>
      </c>
      <c r="T247" s="110" t="str">
        <f>S54</f>
        <v>Forest owners/managers</v>
      </c>
      <c r="U247" s="110" t="str">
        <f>S81</f>
        <v>Pellet producers</v>
      </c>
      <c r="V247" s="110" t="str">
        <f>S108</f>
        <v>Pellet users</v>
      </c>
      <c r="W247" s="110" t="str">
        <f>S135</f>
        <v>Non-bioenergy wood users</v>
      </c>
      <c r="X247" s="110" t="str">
        <f>S162</f>
        <v>Policy makers and academia</v>
      </c>
      <c r="Y247" s="110" t="str">
        <f>S189</f>
        <v>NGOs</v>
      </c>
      <c r="Z247" s="110" t="s">
        <v>8</v>
      </c>
      <c r="AA247" s="56"/>
      <c r="AB247" s="56"/>
      <c r="AC247" s="56"/>
      <c r="AD247" s="56"/>
      <c r="AE247" s="56"/>
      <c r="AF247" s="47"/>
      <c r="AG247" s="19"/>
      <c r="AH247" s="109" t="s">
        <v>14</v>
      </c>
      <c r="AI247" s="110" t="str">
        <f>AH54</f>
        <v>Forest owners/managers</v>
      </c>
      <c r="AJ247" s="110" t="str">
        <f>AH81</f>
        <v>Pellet producers</v>
      </c>
      <c r="AK247" s="110" t="str">
        <f>AH108</f>
        <v>Pellet users</v>
      </c>
      <c r="AL247" s="110" t="str">
        <f>AH135</f>
        <v>Non-bioenergy wood users</v>
      </c>
      <c r="AM247" s="110" t="str">
        <f>AH162</f>
        <v>Policy makers and academia</v>
      </c>
      <c r="AN247" s="110" t="str">
        <f>AH189</f>
        <v>NGOs</v>
      </c>
      <c r="AO247" s="110" t="s">
        <v>8</v>
      </c>
      <c r="AP247" s="56"/>
      <c r="AQ247" s="56"/>
      <c r="AR247" s="56"/>
      <c r="AS247" s="56"/>
      <c r="AT247" s="56"/>
      <c r="AU247" s="47"/>
      <c r="AV247" s="14"/>
      <c r="AW247" s="109" t="s">
        <v>14</v>
      </c>
      <c r="AX247" s="110" t="str">
        <f>AW54</f>
        <v>Forest owners/managers</v>
      </c>
      <c r="AY247" s="110" t="str">
        <f>AW81</f>
        <v>Pellet producers</v>
      </c>
      <c r="AZ247" s="110" t="str">
        <f>AW108</f>
        <v>Pellet users</v>
      </c>
      <c r="BA247" s="110" t="str">
        <f>AW135</f>
        <v>Non-bioenergy wood users</v>
      </c>
      <c r="BB247" s="110" t="str">
        <f>AW162</f>
        <v>Policy makers and academia</v>
      </c>
      <c r="BC247" s="110" t="str">
        <f>AW189</f>
        <v>NGOs</v>
      </c>
      <c r="BD247" s="110" t="s">
        <v>8</v>
      </c>
      <c r="BE247" s="56"/>
      <c r="BF247" s="56"/>
      <c r="BG247" s="56"/>
      <c r="BH247" s="56"/>
      <c r="BI247" s="56"/>
      <c r="BJ247" s="47"/>
      <c r="BK247" s="19"/>
      <c r="BL247" s="109" t="s">
        <v>14</v>
      </c>
      <c r="BM247" s="110" t="str">
        <f>BL54</f>
        <v>Forest owners/managers</v>
      </c>
      <c r="BN247" s="110" t="str">
        <f>BL81</f>
        <v>Pellet producers</v>
      </c>
      <c r="BO247" s="110" t="str">
        <f>BL108</f>
        <v>Pellet users</v>
      </c>
      <c r="BP247" s="110" t="str">
        <f>BL135</f>
        <v>Non-bioenergy wood users</v>
      </c>
      <c r="BQ247" s="110" t="str">
        <f>BL162</f>
        <v>Policy makers and academia</v>
      </c>
      <c r="BR247" s="110" t="str">
        <f>BL189</f>
        <v>NGOs</v>
      </c>
      <c r="BS247" s="110" t="s">
        <v>8</v>
      </c>
      <c r="BT247" s="56"/>
      <c r="BU247" s="56"/>
      <c r="BV247" s="56"/>
      <c r="BW247" s="56"/>
      <c r="BX247" s="56"/>
      <c r="BY247" s="47"/>
      <c r="BZ247" s="14"/>
      <c r="CA247" s="14"/>
      <c r="CB247" s="21"/>
      <c r="CC247" s="21"/>
      <c r="CD247" s="180"/>
      <c r="CE247" s="180"/>
      <c r="CF247" s="21"/>
      <c r="CG247" s="14"/>
      <c r="CH247" s="14"/>
      <c r="CI247" s="14"/>
      <c r="CJ247" s="14"/>
      <c r="CK247" s="14"/>
      <c r="CL247" s="14"/>
      <c r="CM247" s="14"/>
      <c r="CN247" s="14"/>
      <c r="CO247" s="129"/>
      <c r="CP247" s="14"/>
      <c r="CQ247" s="47"/>
      <c r="CR247" s="14"/>
      <c r="CS247" s="14"/>
      <c r="CT247" s="14"/>
      <c r="CU247" s="14"/>
      <c r="CV247" s="180"/>
      <c r="CW247" s="189"/>
      <c r="CX247" s="189"/>
      <c r="CY247" s="14"/>
      <c r="CZ247" s="14"/>
      <c r="DA247" s="14"/>
      <c r="DB247" s="14"/>
      <c r="DC247" s="14"/>
      <c r="DD247" s="14"/>
      <c r="DE247" s="14"/>
      <c r="DF247" s="14"/>
      <c r="DG247" s="129"/>
      <c r="DH247" s="14"/>
      <c r="DI247" s="47"/>
      <c r="DJ247" s="14"/>
      <c r="DK247" s="109" t="s">
        <v>14</v>
      </c>
      <c r="DL247" s="110" t="str">
        <f>DK54</f>
        <v>Forest owners/managers</v>
      </c>
      <c r="DM247" s="110" t="str">
        <f>DK81</f>
        <v>Pellet producers</v>
      </c>
      <c r="DN247" s="110" t="str">
        <f>DK108</f>
        <v>Pellet users</v>
      </c>
      <c r="DO247" s="110" t="str">
        <f>DK135</f>
        <v>Non-bioenergy wood users</v>
      </c>
      <c r="DP247" s="110" t="str">
        <f>DK162</f>
        <v>Policy makers and academia</v>
      </c>
      <c r="DQ247" s="110" t="str">
        <f>DK189</f>
        <v>NGOs</v>
      </c>
      <c r="DR247" s="110" t="s">
        <v>8</v>
      </c>
      <c r="DS247" s="14"/>
      <c r="DT247" s="14"/>
      <c r="DU247" s="14"/>
      <c r="DV247" s="14"/>
      <c r="DW247" s="14"/>
      <c r="DX247" s="14"/>
      <c r="DY247" s="14"/>
      <c r="DZ247" s="14"/>
      <c r="EA247" s="14"/>
      <c r="EB247" s="14"/>
      <c r="EC247" s="14"/>
      <c r="ED247" s="14"/>
      <c r="EE247" s="14"/>
      <c r="EF247" s="14"/>
      <c r="EG247" s="14"/>
      <c r="EH247" s="14"/>
      <c r="EI247" s="14"/>
      <c r="EJ247" s="14"/>
      <c r="EK247" s="14"/>
      <c r="EL247" s="14"/>
    </row>
    <row r="248" spans="1:142" x14ac:dyDescent="0.25">
      <c r="A248" s="14"/>
      <c r="B248" s="107" t="s">
        <v>34</v>
      </c>
      <c r="C248" s="33">
        <f>H72</f>
        <v>3</v>
      </c>
      <c r="D248" s="117">
        <f>H99</f>
        <v>2</v>
      </c>
      <c r="E248" s="116">
        <f>H126</f>
        <v>1</v>
      </c>
      <c r="F248" s="33">
        <f>H153</f>
        <v>0</v>
      </c>
      <c r="G248" s="117">
        <f>H180</f>
        <v>1</v>
      </c>
      <c r="H248" s="116">
        <f>H207</f>
        <v>0</v>
      </c>
      <c r="I248" s="27">
        <f t="shared" ref="I248:I253" si="172">SUM(C248:H248)</f>
        <v>7</v>
      </c>
      <c r="J248" s="14"/>
      <c r="K248" s="14"/>
      <c r="L248" s="14"/>
      <c r="M248" s="14"/>
      <c r="N248" s="14"/>
      <c r="O248" s="14"/>
      <c r="P248" s="14"/>
      <c r="Q248" s="47"/>
      <c r="R248" s="19"/>
      <c r="S248" s="107" t="s">
        <v>5</v>
      </c>
      <c r="T248" s="33">
        <f t="shared" ref="T248:T254" si="173">Y72</f>
        <v>1</v>
      </c>
      <c r="U248" s="117">
        <f t="shared" ref="U248:U254" si="174">Y99</f>
        <v>3</v>
      </c>
      <c r="V248" s="116">
        <f t="shared" ref="V248:V254" si="175">Y126</f>
        <v>2</v>
      </c>
      <c r="W248" s="33">
        <f t="shared" ref="W248:W254" si="176">Y153</f>
        <v>2</v>
      </c>
      <c r="X248" s="117">
        <f t="shared" ref="X248:X254" si="177">Y180</f>
        <v>0</v>
      </c>
      <c r="Y248" s="116">
        <f t="shared" ref="Y248:Y254" si="178">Y207</f>
        <v>0</v>
      </c>
      <c r="Z248" s="27">
        <f>SUM(T248:Y248)</f>
        <v>8</v>
      </c>
      <c r="AA248" s="19"/>
      <c r="AB248" s="19"/>
      <c r="AC248" s="19"/>
      <c r="AD248" s="19"/>
      <c r="AE248" s="19"/>
      <c r="AF248" s="47"/>
      <c r="AG248" s="19"/>
      <c r="AH248" s="107" t="s">
        <v>5</v>
      </c>
      <c r="AI248" s="33">
        <f t="shared" ref="AI248:AI254" si="179">AN72</f>
        <v>3</v>
      </c>
      <c r="AJ248" s="117">
        <f t="shared" ref="AJ248:AJ254" si="180">AN99</f>
        <v>4</v>
      </c>
      <c r="AK248" s="116">
        <f t="shared" ref="AK248:AK254" si="181">AN126</f>
        <v>2</v>
      </c>
      <c r="AL248" s="33">
        <f t="shared" ref="AL248:AL254" si="182">AN153</f>
        <v>0</v>
      </c>
      <c r="AM248" s="117">
        <f t="shared" ref="AM248:AM254" si="183">AN180</f>
        <v>0</v>
      </c>
      <c r="AN248" s="116">
        <f t="shared" ref="AN248:AN254" si="184">AN207</f>
        <v>0</v>
      </c>
      <c r="AO248" s="27">
        <f>SUM(AI248:AN248)</f>
        <v>9</v>
      </c>
      <c r="AP248" s="19"/>
      <c r="AQ248" s="19"/>
      <c r="AR248" s="19"/>
      <c r="AS248" s="19"/>
      <c r="AT248" s="19"/>
      <c r="AU248" s="47"/>
      <c r="AV248" s="14"/>
      <c r="AW248" s="107" t="s">
        <v>5</v>
      </c>
      <c r="AX248" s="33">
        <f t="shared" ref="AX248:AX254" si="185">BC72</f>
        <v>3</v>
      </c>
      <c r="AY248" s="117">
        <f t="shared" ref="AY248:AY254" si="186">BC99</f>
        <v>4</v>
      </c>
      <c r="AZ248" s="116">
        <f t="shared" ref="AZ248:AZ254" si="187">BC126</f>
        <v>1</v>
      </c>
      <c r="BA248" s="33">
        <f t="shared" ref="BA248:BA254" si="188">BC153</f>
        <v>0</v>
      </c>
      <c r="BB248" s="117">
        <f t="shared" ref="BB248:BB254" si="189">BC180</f>
        <v>0</v>
      </c>
      <c r="BC248" s="116">
        <f t="shared" ref="BC248:BC254" si="190">BC207</f>
        <v>0</v>
      </c>
      <c r="BD248" s="27">
        <f>SUM(AX248:BC248)</f>
        <v>8</v>
      </c>
      <c r="BE248" s="19"/>
      <c r="BF248" s="19"/>
      <c r="BG248" s="19"/>
      <c r="BH248" s="19"/>
      <c r="BI248" s="19"/>
      <c r="BJ248" s="47"/>
      <c r="BK248" s="19"/>
      <c r="BL248" s="107" t="s">
        <v>5</v>
      </c>
      <c r="BM248" s="33">
        <f t="shared" ref="BM248:BM254" si="191">BR72</f>
        <v>3</v>
      </c>
      <c r="BN248" s="117">
        <f t="shared" ref="BN248:BN254" si="192">BR99</f>
        <v>4</v>
      </c>
      <c r="BO248" s="116">
        <f t="shared" ref="BO248:BO254" si="193">BR126</f>
        <v>1</v>
      </c>
      <c r="BP248" s="33">
        <f t="shared" ref="BP248:BP254" si="194">BR153</f>
        <v>0</v>
      </c>
      <c r="BQ248" s="117">
        <f t="shared" ref="BQ248:BQ254" si="195">BR180</f>
        <v>0</v>
      </c>
      <c r="BR248" s="116">
        <f t="shared" ref="BR248:BR254" si="196">BR207</f>
        <v>0</v>
      </c>
      <c r="BS248" s="27">
        <f>SUM(BM248:BR248)</f>
        <v>8</v>
      </c>
      <c r="BT248" s="19"/>
      <c r="BU248" s="19"/>
      <c r="BV248" s="19"/>
      <c r="BW248" s="19"/>
      <c r="BX248" s="19"/>
      <c r="BY248" s="47"/>
      <c r="BZ248" s="14"/>
      <c r="CA248" s="14"/>
      <c r="CB248" s="21"/>
      <c r="CC248" s="21"/>
      <c r="CD248" s="180"/>
      <c r="CE248" s="180"/>
      <c r="CF248" s="21"/>
      <c r="CG248" s="14"/>
      <c r="CH248" s="14"/>
      <c r="CI248" s="14"/>
      <c r="CJ248" s="14"/>
      <c r="CK248" s="14"/>
      <c r="CL248" s="14"/>
      <c r="CM248" s="14"/>
      <c r="CN248" s="14"/>
      <c r="CO248" s="129"/>
      <c r="CP248" s="14"/>
      <c r="CQ248" s="47"/>
      <c r="CR248" s="14"/>
      <c r="CS248" s="14"/>
      <c r="CT248" s="14"/>
      <c r="CU248" s="14"/>
      <c r="CV248" s="180"/>
      <c r="CW248" s="189"/>
      <c r="CX248" s="189"/>
      <c r="CY248" s="14"/>
      <c r="CZ248" s="14"/>
      <c r="DA248" s="14"/>
      <c r="DB248" s="14"/>
      <c r="DC248" s="14"/>
      <c r="DD248" s="14"/>
      <c r="DE248" s="14"/>
      <c r="DF248" s="14"/>
      <c r="DG248" s="129"/>
      <c r="DH248" s="14"/>
      <c r="DI248" s="47"/>
      <c r="DJ248" s="14"/>
      <c r="DK248" s="107" t="s">
        <v>34</v>
      </c>
      <c r="DL248" s="33">
        <f>DQ72</f>
        <v>3</v>
      </c>
      <c r="DM248" s="117">
        <f>DQ99</f>
        <v>2</v>
      </c>
      <c r="DN248" s="116">
        <f>DQ126</f>
        <v>1</v>
      </c>
      <c r="DO248" s="33">
        <f>DQ153</f>
        <v>0</v>
      </c>
      <c r="DP248" s="117">
        <f>DQ180</f>
        <v>1</v>
      </c>
      <c r="DQ248" s="116">
        <f>DQ207</f>
        <v>0</v>
      </c>
      <c r="DR248" s="27">
        <f t="shared" ref="DR248:DR253" si="197">SUM(DL248:DQ248)</f>
        <v>7</v>
      </c>
      <c r="DS248" s="14"/>
      <c r="DT248" s="14"/>
      <c r="DU248" s="14"/>
      <c r="DV248" s="14"/>
      <c r="DW248" s="14"/>
      <c r="DX248" s="14"/>
      <c r="DY248" s="14"/>
      <c r="DZ248" s="14"/>
      <c r="EA248" s="14"/>
      <c r="EB248" s="14"/>
      <c r="EC248" s="14"/>
      <c r="ED248" s="14"/>
      <c r="EE248" s="14"/>
      <c r="EF248" s="14"/>
      <c r="EG248" s="14"/>
      <c r="EH248" s="14"/>
      <c r="EI248" s="14"/>
      <c r="EJ248" s="14"/>
      <c r="EK248" s="14"/>
      <c r="EL248" s="14"/>
    </row>
    <row r="249" spans="1:142" x14ac:dyDescent="0.25">
      <c r="A249" s="14"/>
      <c r="B249" s="107" t="s">
        <v>35</v>
      </c>
      <c r="C249" s="33">
        <f>H73</f>
        <v>0</v>
      </c>
      <c r="D249" s="117">
        <f>H100</f>
        <v>1</v>
      </c>
      <c r="E249" s="116">
        <f>H127</f>
        <v>1</v>
      </c>
      <c r="F249" s="33">
        <f>H154</f>
        <v>2</v>
      </c>
      <c r="G249" s="117">
        <f>H181</f>
        <v>1</v>
      </c>
      <c r="H249" s="116">
        <f>H208</f>
        <v>0</v>
      </c>
      <c r="I249" s="27">
        <f t="shared" si="172"/>
        <v>5</v>
      </c>
      <c r="J249" s="14"/>
      <c r="K249" s="14"/>
      <c r="L249" s="14"/>
      <c r="M249" s="14"/>
      <c r="N249" s="14"/>
      <c r="O249" s="14"/>
      <c r="P249" s="14"/>
      <c r="Q249" s="47"/>
      <c r="R249" s="19"/>
      <c r="S249" s="107" t="s">
        <v>4</v>
      </c>
      <c r="T249" s="33">
        <f t="shared" si="173"/>
        <v>1</v>
      </c>
      <c r="U249" s="117">
        <f t="shared" si="174"/>
        <v>0</v>
      </c>
      <c r="V249" s="116">
        <f t="shared" si="175"/>
        <v>0</v>
      </c>
      <c r="W249" s="33">
        <f t="shared" si="176"/>
        <v>0</v>
      </c>
      <c r="X249" s="117">
        <f t="shared" si="177"/>
        <v>0</v>
      </c>
      <c r="Y249" s="116">
        <f t="shared" si="178"/>
        <v>0</v>
      </c>
      <c r="Z249" s="27">
        <f t="shared" ref="Z249:Z255" si="198">SUM(T249:Y249)</f>
        <v>1</v>
      </c>
      <c r="AA249" s="19"/>
      <c r="AB249" s="19"/>
      <c r="AC249" s="19"/>
      <c r="AD249" s="19"/>
      <c r="AE249" s="19"/>
      <c r="AF249" s="47"/>
      <c r="AG249" s="19"/>
      <c r="AH249" s="107" t="s">
        <v>4</v>
      </c>
      <c r="AI249" s="33">
        <f t="shared" si="179"/>
        <v>1</v>
      </c>
      <c r="AJ249" s="117">
        <f t="shared" si="180"/>
        <v>0</v>
      </c>
      <c r="AK249" s="116">
        <f t="shared" si="181"/>
        <v>0</v>
      </c>
      <c r="AL249" s="33">
        <f t="shared" si="182"/>
        <v>1</v>
      </c>
      <c r="AM249" s="117">
        <f t="shared" si="183"/>
        <v>0</v>
      </c>
      <c r="AN249" s="116">
        <f t="shared" si="184"/>
        <v>0</v>
      </c>
      <c r="AO249" s="27">
        <f t="shared" ref="AO249:AO255" si="199">SUM(AI249:AN249)</f>
        <v>2</v>
      </c>
      <c r="AP249" s="19"/>
      <c r="AQ249" s="19"/>
      <c r="AR249" s="19"/>
      <c r="AS249" s="19"/>
      <c r="AT249" s="19"/>
      <c r="AU249" s="47"/>
      <c r="AV249" s="14"/>
      <c r="AW249" s="107" t="s">
        <v>4</v>
      </c>
      <c r="AX249" s="33">
        <f t="shared" si="185"/>
        <v>1</v>
      </c>
      <c r="AY249" s="117">
        <f t="shared" si="186"/>
        <v>0</v>
      </c>
      <c r="AZ249" s="116">
        <f t="shared" si="187"/>
        <v>1</v>
      </c>
      <c r="BA249" s="33">
        <f t="shared" si="188"/>
        <v>1</v>
      </c>
      <c r="BB249" s="117">
        <f t="shared" si="189"/>
        <v>0</v>
      </c>
      <c r="BC249" s="116">
        <f t="shared" si="190"/>
        <v>0</v>
      </c>
      <c r="BD249" s="27">
        <f t="shared" ref="BD249:BD255" si="200">SUM(AX249:BC249)</f>
        <v>3</v>
      </c>
      <c r="BE249" s="19"/>
      <c r="BF249" s="19"/>
      <c r="BG249" s="19"/>
      <c r="BH249" s="19"/>
      <c r="BI249" s="19"/>
      <c r="BJ249" s="47"/>
      <c r="BK249" s="19"/>
      <c r="BL249" s="107" t="s">
        <v>4</v>
      </c>
      <c r="BM249" s="33">
        <f t="shared" si="191"/>
        <v>1</v>
      </c>
      <c r="BN249" s="117">
        <f t="shared" si="192"/>
        <v>0</v>
      </c>
      <c r="BO249" s="116">
        <f t="shared" si="193"/>
        <v>0</v>
      </c>
      <c r="BP249" s="33">
        <f t="shared" si="194"/>
        <v>1</v>
      </c>
      <c r="BQ249" s="117">
        <f t="shared" si="195"/>
        <v>0</v>
      </c>
      <c r="BR249" s="116">
        <f t="shared" si="196"/>
        <v>0</v>
      </c>
      <c r="BS249" s="27">
        <f t="shared" ref="BS249:BS255" si="201">SUM(BM249:BR249)</f>
        <v>2</v>
      </c>
      <c r="BT249" s="19"/>
      <c r="BU249" s="19"/>
      <c r="BV249" s="19"/>
      <c r="BW249" s="19"/>
      <c r="BX249" s="19"/>
      <c r="BY249" s="47"/>
      <c r="BZ249" s="14"/>
      <c r="CA249" s="14"/>
      <c r="CB249" s="21"/>
      <c r="CC249" s="21"/>
      <c r="CD249" s="180"/>
      <c r="CE249" s="180"/>
      <c r="CF249" s="21"/>
      <c r="CG249" s="14"/>
      <c r="CH249" s="14"/>
      <c r="CI249" s="14"/>
      <c r="CJ249" s="14"/>
      <c r="CK249" s="14"/>
      <c r="CL249" s="14"/>
      <c r="CM249" s="14"/>
      <c r="CN249" s="14"/>
      <c r="CO249" s="129"/>
      <c r="CP249" s="14"/>
      <c r="CQ249" s="47"/>
      <c r="CR249" s="14"/>
      <c r="CS249" s="14"/>
      <c r="CT249" s="14"/>
      <c r="CU249" s="14"/>
      <c r="CV249" s="180"/>
      <c r="CW249" s="189"/>
      <c r="CX249" s="189"/>
      <c r="CY249" s="14"/>
      <c r="CZ249" s="14"/>
      <c r="DA249" s="14"/>
      <c r="DB249" s="14"/>
      <c r="DC249" s="14"/>
      <c r="DD249" s="14"/>
      <c r="DE249" s="14"/>
      <c r="DF249" s="14"/>
      <c r="DG249" s="129"/>
      <c r="DH249" s="14"/>
      <c r="DI249" s="47"/>
      <c r="DJ249" s="14"/>
      <c r="DK249" s="107" t="s">
        <v>35</v>
      </c>
      <c r="DL249" s="33">
        <f>DQ73</f>
        <v>0</v>
      </c>
      <c r="DM249" s="117">
        <f>DQ100</f>
        <v>1</v>
      </c>
      <c r="DN249" s="116">
        <f>DQ127</f>
        <v>1</v>
      </c>
      <c r="DO249" s="33">
        <f>DQ154</f>
        <v>2</v>
      </c>
      <c r="DP249" s="117">
        <f>DQ181</f>
        <v>1</v>
      </c>
      <c r="DQ249" s="116">
        <f>DQ208</f>
        <v>0</v>
      </c>
      <c r="DR249" s="27">
        <f t="shared" si="197"/>
        <v>5</v>
      </c>
      <c r="DS249" s="14"/>
      <c r="DT249" s="14"/>
      <c r="DU249" s="14"/>
      <c r="DV249" s="14"/>
      <c r="DW249" s="14"/>
      <c r="DX249" s="14"/>
      <c r="DY249" s="14"/>
      <c r="DZ249" s="14"/>
      <c r="EA249" s="14"/>
      <c r="EB249" s="14"/>
      <c r="EC249" s="14"/>
      <c r="ED249" s="14"/>
      <c r="EE249" s="14"/>
      <c r="EF249" s="14"/>
      <c r="EG249" s="14"/>
      <c r="EH249" s="14"/>
      <c r="EI249" s="14"/>
      <c r="EJ249" s="14"/>
      <c r="EK249" s="14"/>
      <c r="EL249" s="14"/>
    </row>
    <row r="250" spans="1:142" x14ac:dyDescent="0.25">
      <c r="A250" s="14"/>
      <c r="B250" s="107" t="s">
        <v>36</v>
      </c>
      <c r="C250" s="33">
        <f>H74</f>
        <v>0</v>
      </c>
      <c r="D250" s="117">
        <f>H101</f>
        <v>0</v>
      </c>
      <c r="E250" s="116">
        <f>H128</f>
        <v>0</v>
      </c>
      <c r="F250" s="33">
        <f>H155</f>
        <v>0</v>
      </c>
      <c r="G250" s="117">
        <f>H182</f>
        <v>0</v>
      </c>
      <c r="H250" s="116">
        <f>H209</f>
        <v>0</v>
      </c>
      <c r="I250" s="27">
        <f t="shared" si="172"/>
        <v>0</v>
      </c>
      <c r="J250" s="14"/>
      <c r="K250" s="14"/>
      <c r="L250" s="14"/>
      <c r="M250" s="14"/>
      <c r="N250" s="14"/>
      <c r="O250" s="14"/>
      <c r="P250" s="14"/>
      <c r="Q250" s="47"/>
      <c r="R250" s="19"/>
      <c r="S250" s="107" t="s">
        <v>33</v>
      </c>
      <c r="T250" s="33">
        <f t="shared" si="173"/>
        <v>0</v>
      </c>
      <c r="U250" s="117">
        <f t="shared" si="174"/>
        <v>0</v>
      </c>
      <c r="V250" s="116">
        <f t="shared" si="175"/>
        <v>0</v>
      </c>
      <c r="W250" s="33">
        <f t="shared" si="176"/>
        <v>0</v>
      </c>
      <c r="X250" s="117">
        <f t="shared" si="177"/>
        <v>0</v>
      </c>
      <c r="Y250" s="116">
        <f t="shared" si="178"/>
        <v>0</v>
      </c>
      <c r="Z250" s="27">
        <f t="shared" si="198"/>
        <v>0</v>
      </c>
      <c r="AA250" s="19"/>
      <c r="AB250" s="19"/>
      <c r="AC250" s="19"/>
      <c r="AD250" s="19"/>
      <c r="AE250" s="19"/>
      <c r="AF250" s="47"/>
      <c r="AG250" s="19"/>
      <c r="AH250" s="107" t="s">
        <v>33</v>
      </c>
      <c r="AI250" s="33">
        <f t="shared" si="179"/>
        <v>0</v>
      </c>
      <c r="AJ250" s="117">
        <f t="shared" si="180"/>
        <v>0</v>
      </c>
      <c r="AK250" s="116">
        <f t="shared" si="181"/>
        <v>0</v>
      </c>
      <c r="AL250" s="33">
        <f t="shared" si="182"/>
        <v>0</v>
      </c>
      <c r="AM250" s="117">
        <f t="shared" si="183"/>
        <v>0</v>
      </c>
      <c r="AN250" s="116">
        <f t="shared" si="184"/>
        <v>3</v>
      </c>
      <c r="AO250" s="27">
        <f t="shared" si="199"/>
        <v>3</v>
      </c>
      <c r="AP250" s="19"/>
      <c r="AQ250" s="19"/>
      <c r="AR250" s="19"/>
      <c r="AS250" s="19"/>
      <c r="AT250" s="19"/>
      <c r="AU250" s="47"/>
      <c r="AV250" s="14"/>
      <c r="AW250" s="107" t="s">
        <v>33</v>
      </c>
      <c r="AX250" s="33">
        <f t="shared" si="185"/>
        <v>0</v>
      </c>
      <c r="AY250" s="117">
        <f t="shared" si="186"/>
        <v>0</v>
      </c>
      <c r="AZ250" s="116">
        <f t="shared" si="187"/>
        <v>0</v>
      </c>
      <c r="BA250" s="33">
        <f t="shared" si="188"/>
        <v>0</v>
      </c>
      <c r="BB250" s="117">
        <f t="shared" si="189"/>
        <v>0</v>
      </c>
      <c r="BC250" s="116">
        <f t="shared" si="190"/>
        <v>0</v>
      </c>
      <c r="BD250" s="27">
        <f t="shared" si="200"/>
        <v>0</v>
      </c>
      <c r="BE250" s="19"/>
      <c r="BF250" s="19"/>
      <c r="BG250" s="19"/>
      <c r="BH250" s="19"/>
      <c r="BI250" s="19"/>
      <c r="BJ250" s="47"/>
      <c r="BK250" s="19"/>
      <c r="BL250" s="107" t="s">
        <v>33</v>
      </c>
      <c r="BM250" s="33">
        <f t="shared" si="191"/>
        <v>0</v>
      </c>
      <c r="BN250" s="117">
        <f t="shared" si="192"/>
        <v>0</v>
      </c>
      <c r="BO250" s="116">
        <f t="shared" si="193"/>
        <v>1</v>
      </c>
      <c r="BP250" s="33">
        <f t="shared" si="194"/>
        <v>0</v>
      </c>
      <c r="BQ250" s="117">
        <f t="shared" si="195"/>
        <v>0</v>
      </c>
      <c r="BR250" s="116">
        <f t="shared" si="196"/>
        <v>0</v>
      </c>
      <c r="BS250" s="27">
        <f t="shared" si="201"/>
        <v>1</v>
      </c>
      <c r="BT250" s="19"/>
      <c r="BU250" s="19"/>
      <c r="BV250" s="19"/>
      <c r="BW250" s="19"/>
      <c r="BX250" s="19"/>
      <c r="BY250" s="47"/>
      <c r="BZ250" s="14"/>
      <c r="CA250" s="14"/>
      <c r="CB250" s="21"/>
      <c r="CC250" s="21"/>
      <c r="CD250" s="180"/>
      <c r="CE250" s="180"/>
      <c r="CF250" s="21"/>
      <c r="CG250" s="14"/>
      <c r="CH250" s="14"/>
      <c r="CI250" s="14"/>
      <c r="CJ250" s="14"/>
      <c r="CK250" s="14"/>
      <c r="CL250" s="14"/>
      <c r="CM250" s="14"/>
      <c r="CN250" s="14"/>
      <c r="CO250" s="129"/>
      <c r="CP250" s="14"/>
      <c r="CQ250" s="47"/>
      <c r="CR250" s="14"/>
      <c r="CS250" s="14"/>
      <c r="CT250" s="14"/>
      <c r="CU250" s="14"/>
      <c r="CV250" s="180"/>
      <c r="CW250" s="189"/>
      <c r="CX250" s="189"/>
      <c r="CY250" s="14"/>
      <c r="CZ250" s="14"/>
      <c r="DA250" s="14"/>
      <c r="DB250" s="14"/>
      <c r="DC250" s="14"/>
      <c r="DD250" s="14"/>
      <c r="DE250" s="14"/>
      <c r="DF250" s="14"/>
      <c r="DG250" s="129"/>
      <c r="DH250" s="14"/>
      <c r="DI250" s="47"/>
      <c r="DJ250" s="14"/>
      <c r="DK250" s="107" t="s">
        <v>36</v>
      </c>
      <c r="DL250" s="33">
        <f>DQ74</f>
        <v>0</v>
      </c>
      <c r="DM250" s="117">
        <f>DQ101</f>
        <v>0</v>
      </c>
      <c r="DN250" s="116">
        <f>DQ128</f>
        <v>0</v>
      </c>
      <c r="DO250" s="33">
        <f>DQ155</f>
        <v>0</v>
      </c>
      <c r="DP250" s="117">
        <f>DQ182</f>
        <v>0</v>
      </c>
      <c r="DQ250" s="116">
        <f>DQ209</f>
        <v>0</v>
      </c>
      <c r="DR250" s="27">
        <f t="shared" si="197"/>
        <v>0</v>
      </c>
      <c r="DS250" s="14"/>
      <c r="DT250" s="14"/>
      <c r="DU250" s="14"/>
      <c r="DV250" s="14"/>
      <c r="DW250" s="14"/>
      <c r="DX250" s="14"/>
      <c r="DY250" s="14"/>
      <c r="DZ250" s="14"/>
      <c r="EA250" s="14"/>
      <c r="EB250" s="14"/>
      <c r="EC250" s="14"/>
      <c r="ED250" s="14"/>
      <c r="EE250" s="14"/>
      <c r="EF250" s="14"/>
      <c r="EG250" s="14"/>
      <c r="EH250" s="14"/>
      <c r="EI250" s="14"/>
      <c r="EJ250" s="14"/>
      <c r="EK250" s="14"/>
      <c r="EL250" s="14"/>
    </row>
    <row r="251" spans="1:142" x14ac:dyDescent="0.25">
      <c r="A251" s="14"/>
      <c r="B251" s="107" t="s">
        <v>38</v>
      </c>
      <c r="C251" s="33">
        <f>H75</f>
        <v>0</v>
      </c>
      <c r="D251" s="117">
        <f>H102</f>
        <v>0</v>
      </c>
      <c r="E251" s="116">
        <f>H129</f>
        <v>0</v>
      </c>
      <c r="F251" s="33">
        <f>H156</f>
        <v>0</v>
      </c>
      <c r="G251" s="117">
        <f>H183</f>
        <v>0</v>
      </c>
      <c r="H251" s="116">
        <f>H210</f>
        <v>0</v>
      </c>
      <c r="I251" s="27">
        <f t="shared" si="172"/>
        <v>0</v>
      </c>
      <c r="J251" s="14"/>
      <c r="K251" s="14"/>
      <c r="L251" s="14"/>
      <c r="M251" s="14"/>
      <c r="N251" s="14"/>
      <c r="O251" s="14"/>
      <c r="P251" s="14"/>
      <c r="Q251" s="47"/>
      <c r="R251" s="19"/>
      <c r="S251" s="107" t="s">
        <v>29</v>
      </c>
      <c r="T251" s="33">
        <f t="shared" si="173"/>
        <v>1</v>
      </c>
      <c r="U251" s="117">
        <f t="shared" si="174"/>
        <v>0</v>
      </c>
      <c r="V251" s="116">
        <f t="shared" si="175"/>
        <v>0</v>
      </c>
      <c r="W251" s="33">
        <f t="shared" si="176"/>
        <v>0</v>
      </c>
      <c r="X251" s="117">
        <f t="shared" si="177"/>
        <v>0</v>
      </c>
      <c r="Y251" s="116">
        <f t="shared" si="178"/>
        <v>0</v>
      </c>
      <c r="Z251" s="27">
        <f t="shared" si="198"/>
        <v>1</v>
      </c>
      <c r="AA251" s="19"/>
      <c r="AB251" s="19"/>
      <c r="AC251" s="19"/>
      <c r="AD251" s="19"/>
      <c r="AE251" s="19"/>
      <c r="AF251" s="47"/>
      <c r="AG251" s="19"/>
      <c r="AH251" s="107" t="s">
        <v>29</v>
      </c>
      <c r="AI251" s="33">
        <f t="shared" si="179"/>
        <v>0</v>
      </c>
      <c r="AJ251" s="117">
        <f t="shared" si="180"/>
        <v>0</v>
      </c>
      <c r="AK251" s="116">
        <f t="shared" si="181"/>
        <v>0</v>
      </c>
      <c r="AL251" s="33">
        <f t="shared" si="182"/>
        <v>0</v>
      </c>
      <c r="AM251" s="117">
        <f t="shared" si="183"/>
        <v>0</v>
      </c>
      <c r="AN251" s="116">
        <f t="shared" si="184"/>
        <v>1</v>
      </c>
      <c r="AO251" s="27">
        <f t="shared" si="199"/>
        <v>1</v>
      </c>
      <c r="AP251" s="19"/>
      <c r="AQ251" s="19"/>
      <c r="AR251" s="19"/>
      <c r="AS251" s="19"/>
      <c r="AT251" s="19"/>
      <c r="AU251" s="47"/>
      <c r="AV251" s="14"/>
      <c r="AW251" s="107" t="s">
        <v>29</v>
      </c>
      <c r="AX251" s="33">
        <f t="shared" si="185"/>
        <v>0</v>
      </c>
      <c r="AY251" s="117">
        <f t="shared" si="186"/>
        <v>0</v>
      </c>
      <c r="AZ251" s="116">
        <f t="shared" si="187"/>
        <v>0</v>
      </c>
      <c r="BA251" s="33">
        <f t="shared" si="188"/>
        <v>0</v>
      </c>
      <c r="BB251" s="117">
        <f t="shared" si="189"/>
        <v>0</v>
      </c>
      <c r="BC251" s="116">
        <f t="shared" si="190"/>
        <v>4</v>
      </c>
      <c r="BD251" s="27">
        <f t="shared" si="200"/>
        <v>4</v>
      </c>
      <c r="BE251" s="19"/>
      <c r="BF251" s="19"/>
      <c r="BG251" s="19"/>
      <c r="BH251" s="19"/>
      <c r="BI251" s="19"/>
      <c r="BJ251" s="47"/>
      <c r="BK251" s="19"/>
      <c r="BL251" s="107" t="s">
        <v>29</v>
      </c>
      <c r="BM251" s="33">
        <f t="shared" si="191"/>
        <v>0</v>
      </c>
      <c r="BN251" s="117">
        <f t="shared" si="192"/>
        <v>0</v>
      </c>
      <c r="BO251" s="116">
        <f t="shared" si="193"/>
        <v>0</v>
      </c>
      <c r="BP251" s="33">
        <f t="shared" si="194"/>
        <v>0</v>
      </c>
      <c r="BQ251" s="117">
        <f t="shared" si="195"/>
        <v>0</v>
      </c>
      <c r="BR251" s="116">
        <f t="shared" si="196"/>
        <v>4</v>
      </c>
      <c r="BS251" s="27">
        <f t="shared" si="201"/>
        <v>4</v>
      </c>
      <c r="BT251" s="19"/>
      <c r="BU251" s="19"/>
      <c r="BV251" s="19"/>
      <c r="BW251" s="19"/>
      <c r="BX251" s="19"/>
      <c r="BY251" s="47"/>
      <c r="BZ251" s="14"/>
      <c r="CA251" s="14"/>
      <c r="CB251" s="21"/>
      <c r="CC251" s="21"/>
      <c r="CD251" s="180"/>
      <c r="CE251" s="180"/>
      <c r="CF251" s="21"/>
      <c r="CG251" s="14"/>
      <c r="CH251" s="14"/>
      <c r="CI251" s="14"/>
      <c r="CJ251" s="14"/>
      <c r="CK251" s="14"/>
      <c r="CL251" s="14"/>
      <c r="CM251" s="14"/>
      <c r="CN251" s="14"/>
      <c r="CO251" s="129"/>
      <c r="CP251" s="14"/>
      <c r="CQ251" s="47"/>
      <c r="CR251" s="14"/>
      <c r="CS251" s="14"/>
      <c r="CT251" s="14"/>
      <c r="CU251" s="14"/>
      <c r="CV251" s="180"/>
      <c r="CW251" s="189"/>
      <c r="CX251" s="189"/>
      <c r="CY251" s="14"/>
      <c r="CZ251" s="14"/>
      <c r="DA251" s="14"/>
      <c r="DB251" s="14"/>
      <c r="DC251" s="14"/>
      <c r="DD251" s="14"/>
      <c r="DE251" s="14"/>
      <c r="DF251" s="14"/>
      <c r="DG251" s="129"/>
      <c r="DH251" s="14"/>
      <c r="DI251" s="47"/>
      <c r="DJ251" s="14"/>
      <c r="DK251" s="107" t="s">
        <v>38</v>
      </c>
      <c r="DL251" s="33">
        <f>DQ75</f>
        <v>0</v>
      </c>
      <c r="DM251" s="117">
        <f>DQ102</f>
        <v>0</v>
      </c>
      <c r="DN251" s="116">
        <f>DQ129</f>
        <v>0</v>
      </c>
      <c r="DO251" s="33">
        <f>DQ156</f>
        <v>0</v>
      </c>
      <c r="DP251" s="117">
        <f>DQ183</f>
        <v>0</v>
      </c>
      <c r="DQ251" s="116">
        <f>DQ210</f>
        <v>0</v>
      </c>
      <c r="DR251" s="27">
        <f t="shared" si="197"/>
        <v>0</v>
      </c>
      <c r="DS251" s="14"/>
      <c r="DT251" s="14"/>
      <c r="DU251" s="14"/>
      <c r="DV251" s="14"/>
      <c r="DW251" s="14"/>
      <c r="DX251" s="14"/>
      <c r="DY251" s="14"/>
      <c r="DZ251" s="14"/>
      <c r="EA251" s="14"/>
      <c r="EB251" s="14"/>
      <c r="EC251" s="14"/>
      <c r="ED251" s="14"/>
      <c r="EE251" s="14"/>
      <c r="EF251" s="14"/>
      <c r="EG251" s="14"/>
      <c r="EH251" s="14"/>
      <c r="EI251" s="14"/>
      <c r="EJ251" s="14"/>
      <c r="EK251" s="14"/>
      <c r="EL251" s="14"/>
    </row>
    <row r="252" spans="1:142" x14ac:dyDescent="0.25">
      <c r="A252" s="14"/>
      <c r="B252" s="107" t="s">
        <v>39</v>
      </c>
      <c r="C252" s="33">
        <f>H76</f>
        <v>0</v>
      </c>
      <c r="D252" s="117">
        <f>H103</f>
        <v>0</v>
      </c>
      <c r="E252" s="116">
        <f>H130</f>
        <v>0</v>
      </c>
      <c r="F252" s="33">
        <f>H157</f>
        <v>0</v>
      </c>
      <c r="G252" s="117">
        <f>H184</f>
        <v>0</v>
      </c>
      <c r="H252" s="116">
        <f>H211</f>
        <v>0</v>
      </c>
      <c r="I252" s="27">
        <f t="shared" si="172"/>
        <v>0</v>
      </c>
      <c r="J252" s="14"/>
      <c r="K252" s="14"/>
      <c r="L252" s="14"/>
      <c r="M252" s="14"/>
      <c r="N252" s="14"/>
      <c r="O252" s="14"/>
      <c r="P252" s="14"/>
      <c r="Q252" s="47"/>
      <c r="R252" s="19"/>
      <c r="S252" s="107" t="s">
        <v>3</v>
      </c>
      <c r="T252" s="33">
        <f t="shared" si="173"/>
        <v>0</v>
      </c>
      <c r="U252" s="117">
        <f t="shared" si="174"/>
        <v>0</v>
      </c>
      <c r="V252" s="116">
        <f t="shared" si="175"/>
        <v>0</v>
      </c>
      <c r="W252" s="33">
        <f t="shared" si="176"/>
        <v>0</v>
      </c>
      <c r="X252" s="117">
        <f t="shared" si="177"/>
        <v>0</v>
      </c>
      <c r="Y252" s="116">
        <f t="shared" si="178"/>
        <v>0</v>
      </c>
      <c r="Z252" s="27">
        <f t="shared" si="198"/>
        <v>0</v>
      </c>
      <c r="AA252" s="19"/>
      <c r="AB252" s="19"/>
      <c r="AC252" s="19"/>
      <c r="AD252" s="19"/>
      <c r="AE252" s="19"/>
      <c r="AF252" s="47"/>
      <c r="AG252" s="19"/>
      <c r="AH252" s="107" t="s">
        <v>3</v>
      </c>
      <c r="AI252" s="33">
        <f t="shared" si="179"/>
        <v>0</v>
      </c>
      <c r="AJ252" s="117">
        <f t="shared" si="180"/>
        <v>0</v>
      </c>
      <c r="AK252" s="116">
        <f t="shared" si="181"/>
        <v>0</v>
      </c>
      <c r="AL252" s="33">
        <f t="shared" si="182"/>
        <v>0</v>
      </c>
      <c r="AM252" s="117">
        <f t="shared" si="183"/>
        <v>0</v>
      </c>
      <c r="AN252" s="116">
        <f t="shared" si="184"/>
        <v>0</v>
      </c>
      <c r="AO252" s="27">
        <f t="shared" si="199"/>
        <v>0</v>
      </c>
      <c r="AP252" s="19"/>
      <c r="AQ252" s="19"/>
      <c r="AR252" s="19"/>
      <c r="AS252" s="19"/>
      <c r="AT252" s="19"/>
      <c r="AU252" s="47"/>
      <c r="AV252" s="14"/>
      <c r="AW252" s="107" t="s">
        <v>3</v>
      </c>
      <c r="AX252" s="33">
        <f t="shared" si="185"/>
        <v>0</v>
      </c>
      <c r="AY252" s="117">
        <f t="shared" si="186"/>
        <v>0</v>
      </c>
      <c r="AZ252" s="116">
        <f t="shared" si="187"/>
        <v>0</v>
      </c>
      <c r="BA252" s="33">
        <f t="shared" si="188"/>
        <v>0</v>
      </c>
      <c r="BB252" s="117">
        <f t="shared" si="189"/>
        <v>0</v>
      </c>
      <c r="BC252" s="116">
        <f t="shared" si="190"/>
        <v>0</v>
      </c>
      <c r="BD252" s="27">
        <f t="shared" si="200"/>
        <v>0</v>
      </c>
      <c r="BE252" s="19"/>
      <c r="BF252" s="19"/>
      <c r="BG252" s="19"/>
      <c r="BH252" s="19"/>
      <c r="BI252" s="19"/>
      <c r="BJ252" s="47"/>
      <c r="BK252" s="19"/>
      <c r="BL252" s="107" t="s">
        <v>3</v>
      </c>
      <c r="BM252" s="33">
        <f t="shared" si="191"/>
        <v>0</v>
      </c>
      <c r="BN252" s="117">
        <f t="shared" si="192"/>
        <v>0</v>
      </c>
      <c r="BO252" s="116">
        <f t="shared" si="193"/>
        <v>0</v>
      </c>
      <c r="BP252" s="33">
        <f t="shared" si="194"/>
        <v>0</v>
      </c>
      <c r="BQ252" s="117">
        <f t="shared" si="195"/>
        <v>0</v>
      </c>
      <c r="BR252" s="116">
        <f t="shared" si="196"/>
        <v>0</v>
      </c>
      <c r="BS252" s="27">
        <f t="shared" si="201"/>
        <v>0</v>
      </c>
      <c r="BT252" s="19"/>
      <c r="BU252" s="19"/>
      <c r="BV252" s="19"/>
      <c r="BW252" s="19"/>
      <c r="BX252" s="19"/>
      <c r="BY252" s="47"/>
      <c r="BZ252" s="14"/>
      <c r="CA252" s="14"/>
      <c r="CB252" s="21"/>
      <c r="CC252" s="21"/>
      <c r="CD252" s="180"/>
      <c r="CE252" s="180"/>
      <c r="CF252" s="21"/>
      <c r="CG252" s="14"/>
      <c r="CH252" s="14"/>
      <c r="CI252" s="14"/>
      <c r="CJ252" s="14"/>
      <c r="CK252" s="14"/>
      <c r="CL252" s="14"/>
      <c r="CM252" s="14"/>
      <c r="CN252" s="14"/>
      <c r="CO252" s="129"/>
      <c r="CP252" s="14"/>
      <c r="CQ252" s="47"/>
      <c r="CR252" s="14"/>
      <c r="CS252" s="14"/>
      <c r="CT252" s="14"/>
      <c r="CU252" s="14"/>
      <c r="CV252" s="180"/>
      <c r="CW252" s="189"/>
      <c r="CX252" s="189"/>
      <c r="CY252" s="14"/>
      <c r="CZ252" s="14"/>
      <c r="DA252" s="14"/>
      <c r="DB252" s="14"/>
      <c r="DC252" s="14"/>
      <c r="DD252" s="14"/>
      <c r="DE252" s="14"/>
      <c r="DF252" s="14"/>
      <c r="DG252" s="129"/>
      <c r="DH252" s="14"/>
      <c r="DI252" s="47"/>
      <c r="DJ252" s="14"/>
      <c r="DK252" s="107" t="s">
        <v>39</v>
      </c>
      <c r="DL252" s="33">
        <f>DQ76</f>
        <v>0</v>
      </c>
      <c r="DM252" s="117">
        <f>DQ103</f>
        <v>0</v>
      </c>
      <c r="DN252" s="116">
        <f>DQ130</f>
        <v>0</v>
      </c>
      <c r="DO252" s="33">
        <f>DQ157</f>
        <v>0</v>
      </c>
      <c r="DP252" s="117">
        <f>DQ184</f>
        <v>0</v>
      </c>
      <c r="DQ252" s="116">
        <f>DQ211</f>
        <v>0</v>
      </c>
      <c r="DR252" s="27">
        <f t="shared" si="197"/>
        <v>0</v>
      </c>
      <c r="DS252" s="14"/>
      <c r="DT252" s="14"/>
      <c r="DU252" s="14"/>
      <c r="DV252" s="14"/>
      <c r="DW252" s="14"/>
      <c r="DX252" s="14"/>
      <c r="DY252" s="14"/>
      <c r="DZ252" s="14"/>
      <c r="EA252" s="14"/>
      <c r="EB252" s="14"/>
      <c r="EC252" s="14"/>
      <c r="ED252" s="14"/>
      <c r="EE252" s="14"/>
      <c r="EF252" s="14"/>
      <c r="EG252" s="14"/>
      <c r="EH252" s="14"/>
      <c r="EI252" s="14"/>
      <c r="EJ252" s="14"/>
      <c r="EK252" s="14"/>
      <c r="EL252" s="14"/>
    </row>
    <row r="253" spans="1:142" x14ac:dyDescent="0.25">
      <c r="A253" s="14"/>
      <c r="B253" s="86" t="s">
        <v>8</v>
      </c>
      <c r="C253" s="111">
        <f t="shared" ref="C253:H253" si="202">SUM(C248:C252)</f>
        <v>3</v>
      </c>
      <c r="D253" s="111">
        <f t="shared" si="202"/>
        <v>3</v>
      </c>
      <c r="E253" s="111">
        <f t="shared" si="202"/>
        <v>2</v>
      </c>
      <c r="F253" s="111">
        <f t="shared" si="202"/>
        <v>2</v>
      </c>
      <c r="G253" s="111">
        <f t="shared" si="202"/>
        <v>2</v>
      </c>
      <c r="H253" s="111">
        <f t="shared" si="202"/>
        <v>0</v>
      </c>
      <c r="I253" s="111">
        <f t="shared" si="172"/>
        <v>12</v>
      </c>
      <c r="J253" s="14"/>
      <c r="K253" s="14"/>
      <c r="L253" s="14"/>
      <c r="M253" s="14"/>
      <c r="N253" s="14"/>
      <c r="O253" s="14"/>
      <c r="P253" s="14"/>
      <c r="Q253" s="47"/>
      <c r="R253" s="19"/>
      <c r="S253" s="107" t="s">
        <v>54</v>
      </c>
      <c r="T253" s="33">
        <f t="shared" si="173"/>
        <v>0</v>
      </c>
      <c r="U253" s="117">
        <f t="shared" si="174"/>
        <v>0</v>
      </c>
      <c r="V253" s="116">
        <f t="shared" si="175"/>
        <v>0</v>
      </c>
      <c r="W253" s="33">
        <f t="shared" si="176"/>
        <v>0</v>
      </c>
      <c r="X253" s="117">
        <f t="shared" si="177"/>
        <v>0</v>
      </c>
      <c r="Y253" s="116">
        <f t="shared" si="178"/>
        <v>0</v>
      </c>
      <c r="Z253" s="27">
        <f t="shared" si="198"/>
        <v>0</v>
      </c>
      <c r="AA253" s="19"/>
      <c r="AB253" s="19"/>
      <c r="AC253" s="19"/>
      <c r="AD253" s="19"/>
      <c r="AE253" s="19"/>
      <c r="AF253" s="47"/>
      <c r="AG253" s="19"/>
      <c r="AH253" s="107" t="s">
        <v>54</v>
      </c>
      <c r="AI253" s="33">
        <f t="shared" si="179"/>
        <v>0</v>
      </c>
      <c r="AJ253" s="117">
        <f t="shared" si="180"/>
        <v>0</v>
      </c>
      <c r="AK253" s="116">
        <f t="shared" si="181"/>
        <v>0</v>
      </c>
      <c r="AL253" s="33">
        <f t="shared" si="182"/>
        <v>0</v>
      </c>
      <c r="AM253" s="117">
        <f t="shared" si="183"/>
        <v>0</v>
      </c>
      <c r="AN253" s="116">
        <f t="shared" si="184"/>
        <v>0</v>
      </c>
      <c r="AO253" s="27">
        <f t="shared" si="199"/>
        <v>0</v>
      </c>
      <c r="AP253" s="19"/>
      <c r="AQ253" s="19"/>
      <c r="AR253" s="19"/>
      <c r="AS253" s="19"/>
      <c r="AT253" s="19"/>
      <c r="AU253" s="47"/>
      <c r="AV253" s="14"/>
      <c r="AW253" s="107" t="s">
        <v>54</v>
      </c>
      <c r="AX253" s="33">
        <f t="shared" si="185"/>
        <v>0</v>
      </c>
      <c r="AY253" s="117">
        <f t="shared" si="186"/>
        <v>0</v>
      </c>
      <c r="AZ253" s="116">
        <f t="shared" si="187"/>
        <v>0</v>
      </c>
      <c r="BA253" s="33">
        <f t="shared" si="188"/>
        <v>0</v>
      </c>
      <c r="BB253" s="117">
        <f t="shared" si="189"/>
        <v>0</v>
      </c>
      <c r="BC253" s="116">
        <f t="shared" si="190"/>
        <v>0</v>
      </c>
      <c r="BD253" s="27">
        <f t="shared" si="200"/>
        <v>0</v>
      </c>
      <c r="BE253" s="19"/>
      <c r="BF253" s="19"/>
      <c r="BG253" s="19"/>
      <c r="BH253" s="19"/>
      <c r="BI253" s="19"/>
      <c r="BJ253" s="47"/>
      <c r="BK253" s="19"/>
      <c r="BL253" s="107" t="s">
        <v>54</v>
      </c>
      <c r="BM253" s="33">
        <f t="shared" si="191"/>
        <v>0</v>
      </c>
      <c r="BN253" s="117">
        <f t="shared" si="192"/>
        <v>0</v>
      </c>
      <c r="BO253" s="116">
        <f t="shared" si="193"/>
        <v>0</v>
      </c>
      <c r="BP253" s="33">
        <f t="shared" si="194"/>
        <v>0</v>
      </c>
      <c r="BQ253" s="117">
        <f t="shared" si="195"/>
        <v>0</v>
      </c>
      <c r="BR253" s="116">
        <f t="shared" si="196"/>
        <v>0</v>
      </c>
      <c r="BS253" s="27">
        <f t="shared" si="201"/>
        <v>0</v>
      </c>
      <c r="BT253" s="19"/>
      <c r="BU253" s="19"/>
      <c r="BV253" s="19"/>
      <c r="BW253" s="19"/>
      <c r="BX253" s="19"/>
      <c r="BY253" s="47"/>
      <c r="BZ253" s="14"/>
      <c r="CA253" s="14"/>
      <c r="CB253" s="21"/>
      <c r="CC253" s="21"/>
      <c r="CD253" s="180"/>
      <c r="CE253" s="180"/>
      <c r="CF253" s="21"/>
      <c r="CG253" s="14"/>
      <c r="CH253" s="14"/>
      <c r="CI253" s="14"/>
      <c r="CJ253" s="14"/>
      <c r="CK253" s="14"/>
      <c r="CL253" s="14"/>
      <c r="CM253" s="14"/>
      <c r="CN253" s="14"/>
      <c r="CO253" s="129"/>
      <c r="CP253" s="14"/>
      <c r="CQ253" s="47"/>
      <c r="CR253" s="14"/>
      <c r="CS253" s="14"/>
      <c r="CT253" s="14"/>
      <c r="CU253" s="14"/>
      <c r="CV253" s="180"/>
      <c r="CW253" s="189"/>
      <c r="CX253" s="189"/>
      <c r="CY253" s="14"/>
      <c r="CZ253" s="14"/>
      <c r="DA253" s="14"/>
      <c r="DB253" s="14"/>
      <c r="DC253" s="14"/>
      <c r="DD253" s="14"/>
      <c r="DE253" s="14"/>
      <c r="DF253" s="14"/>
      <c r="DG253" s="129"/>
      <c r="DH253" s="14"/>
      <c r="DI253" s="47"/>
      <c r="DJ253" s="14"/>
      <c r="DK253" s="86" t="s">
        <v>8</v>
      </c>
      <c r="DL253" s="111">
        <f t="shared" ref="DL253:DQ253" si="203">SUM(DL248:DL252)</f>
        <v>3</v>
      </c>
      <c r="DM253" s="111">
        <f t="shared" si="203"/>
        <v>3</v>
      </c>
      <c r="DN253" s="111">
        <f t="shared" si="203"/>
        <v>2</v>
      </c>
      <c r="DO253" s="111">
        <f t="shared" si="203"/>
        <v>2</v>
      </c>
      <c r="DP253" s="111">
        <f t="shared" si="203"/>
        <v>2</v>
      </c>
      <c r="DQ253" s="111">
        <f t="shared" si="203"/>
        <v>0</v>
      </c>
      <c r="DR253" s="111">
        <f t="shared" si="197"/>
        <v>12</v>
      </c>
      <c r="DS253" s="14"/>
      <c r="DT253" s="14"/>
      <c r="DU253" s="14"/>
      <c r="DV253" s="14"/>
      <c r="DW253" s="14"/>
      <c r="DX253" s="14"/>
      <c r="DY253" s="14"/>
      <c r="DZ253" s="14"/>
      <c r="EA253" s="14"/>
      <c r="EB253" s="14"/>
      <c r="EC253" s="14"/>
      <c r="ED253" s="14"/>
      <c r="EE253" s="14"/>
      <c r="EF253" s="14"/>
      <c r="EG253" s="14"/>
      <c r="EH253" s="14"/>
      <c r="EI253" s="14"/>
      <c r="EJ253" s="14"/>
      <c r="EK253" s="14"/>
      <c r="EL253" s="14"/>
    </row>
    <row r="254" spans="1:142" x14ac:dyDescent="0.25">
      <c r="A254" s="14"/>
      <c r="B254" s="107"/>
      <c r="C254" s="33"/>
      <c r="D254" s="117"/>
      <c r="E254" s="116"/>
      <c r="F254" s="33"/>
      <c r="G254" s="117"/>
      <c r="H254" s="116"/>
      <c r="I254" s="27"/>
      <c r="J254" s="14"/>
      <c r="K254" s="14"/>
      <c r="L254" s="14"/>
      <c r="M254" s="14"/>
      <c r="N254" s="14"/>
      <c r="O254" s="14"/>
      <c r="P254" s="14"/>
      <c r="Q254" s="47"/>
      <c r="R254" s="19"/>
      <c r="S254" s="107" t="s">
        <v>39</v>
      </c>
      <c r="T254" s="33">
        <f t="shared" si="173"/>
        <v>0</v>
      </c>
      <c r="U254" s="117">
        <f t="shared" si="174"/>
        <v>0</v>
      </c>
      <c r="V254" s="116">
        <f t="shared" si="175"/>
        <v>0</v>
      </c>
      <c r="W254" s="33">
        <f t="shared" si="176"/>
        <v>0</v>
      </c>
      <c r="X254" s="117">
        <f t="shared" si="177"/>
        <v>0</v>
      </c>
      <c r="Y254" s="116">
        <f t="shared" si="178"/>
        <v>0</v>
      </c>
      <c r="Z254" s="27">
        <f t="shared" si="198"/>
        <v>0</v>
      </c>
      <c r="AA254" s="19"/>
      <c r="AB254" s="19"/>
      <c r="AC254" s="19"/>
      <c r="AD254" s="19"/>
      <c r="AE254" s="19"/>
      <c r="AF254" s="47"/>
      <c r="AG254" s="19"/>
      <c r="AH254" s="107" t="s">
        <v>39</v>
      </c>
      <c r="AI254" s="33">
        <f t="shared" si="179"/>
        <v>0</v>
      </c>
      <c r="AJ254" s="117">
        <f t="shared" si="180"/>
        <v>0</v>
      </c>
      <c r="AK254" s="116">
        <f t="shared" si="181"/>
        <v>0</v>
      </c>
      <c r="AL254" s="33">
        <f t="shared" si="182"/>
        <v>1</v>
      </c>
      <c r="AM254" s="117">
        <f t="shared" si="183"/>
        <v>0</v>
      </c>
      <c r="AN254" s="116">
        <f t="shared" si="184"/>
        <v>0</v>
      </c>
      <c r="AO254" s="27">
        <f t="shared" si="199"/>
        <v>1</v>
      </c>
      <c r="AP254" s="19"/>
      <c r="AQ254" s="19"/>
      <c r="AR254" s="19"/>
      <c r="AS254" s="19"/>
      <c r="AT254" s="19"/>
      <c r="AU254" s="47"/>
      <c r="AV254" s="14"/>
      <c r="AW254" s="107" t="s">
        <v>39</v>
      </c>
      <c r="AX254" s="33">
        <f t="shared" si="185"/>
        <v>0</v>
      </c>
      <c r="AY254" s="117">
        <f t="shared" si="186"/>
        <v>0</v>
      </c>
      <c r="AZ254" s="116">
        <f t="shared" si="187"/>
        <v>0</v>
      </c>
      <c r="BA254" s="33">
        <f t="shared" si="188"/>
        <v>1</v>
      </c>
      <c r="BB254" s="117">
        <f t="shared" si="189"/>
        <v>0</v>
      </c>
      <c r="BC254" s="116">
        <f t="shared" si="190"/>
        <v>0</v>
      </c>
      <c r="BD254" s="27">
        <f t="shared" si="200"/>
        <v>1</v>
      </c>
      <c r="BE254" s="19"/>
      <c r="BF254" s="19"/>
      <c r="BG254" s="19"/>
      <c r="BH254" s="19"/>
      <c r="BI254" s="19"/>
      <c r="BJ254" s="47"/>
      <c r="BK254" s="19"/>
      <c r="BL254" s="107" t="s">
        <v>39</v>
      </c>
      <c r="BM254" s="33">
        <f t="shared" si="191"/>
        <v>0</v>
      </c>
      <c r="BN254" s="117">
        <f t="shared" si="192"/>
        <v>0</v>
      </c>
      <c r="BO254" s="116">
        <f t="shared" si="193"/>
        <v>0</v>
      </c>
      <c r="BP254" s="33">
        <f t="shared" si="194"/>
        <v>1</v>
      </c>
      <c r="BQ254" s="117">
        <f t="shared" si="195"/>
        <v>0</v>
      </c>
      <c r="BR254" s="116">
        <f t="shared" si="196"/>
        <v>0</v>
      </c>
      <c r="BS254" s="27">
        <f t="shared" si="201"/>
        <v>1</v>
      </c>
      <c r="BT254" s="19"/>
      <c r="BU254" s="19"/>
      <c r="BV254" s="19"/>
      <c r="BW254" s="19"/>
      <c r="BX254" s="19"/>
      <c r="BY254" s="47"/>
      <c r="BZ254" s="14"/>
      <c r="CA254" s="14"/>
      <c r="CB254" s="21"/>
      <c r="CC254" s="21"/>
      <c r="CD254" s="180"/>
      <c r="CE254" s="180"/>
      <c r="CF254" s="21"/>
      <c r="CG254" s="14"/>
      <c r="CH254" s="14"/>
      <c r="CI254" s="14"/>
      <c r="CJ254" s="14"/>
      <c r="CK254" s="14"/>
      <c r="CL254" s="14"/>
      <c r="CM254" s="14"/>
      <c r="CN254" s="14"/>
      <c r="CO254" s="129"/>
      <c r="CP254" s="14"/>
      <c r="CQ254" s="47"/>
      <c r="CR254" s="14"/>
      <c r="CS254" s="14"/>
      <c r="CT254" s="14"/>
      <c r="CU254" s="14"/>
      <c r="CV254" s="180"/>
      <c r="CW254" s="189"/>
      <c r="CX254" s="189"/>
      <c r="CY254" s="14"/>
      <c r="CZ254" s="14"/>
      <c r="DA254" s="14"/>
      <c r="DB254" s="14"/>
      <c r="DC254" s="14"/>
      <c r="DD254" s="14"/>
      <c r="DE254" s="14"/>
      <c r="DF254" s="14"/>
      <c r="DG254" s="129"/>
      <c r="DH254" s="14"/>
      <c r="DI254" s="47"/>
      <c r="DJ254" s="14"/>
      <c r="DK254" s="107"/>
      <c r="DL254" s="33"/>
      <c r="DM254" s="117"/>
      <c r="DN254" s="116"/>
      <c r="DO254" s="33"/>
      <c r="DP254" s="117"/>
      <c r="DQ254" s="116"/>
      <c r="DR254" s="27"/>
      <c r="DS254" s="14"/>
      <c r="DT254" s="14"/>
      <c r="DU254" s="14"/>
      <c r="DV254" s="14"/>
      <c r="DW254" s="14"/>
      <c r="DX254" s="14"/>
      <c r="DY254" s="14"/>
      <c r="DZ254" s="14"/>
      <c r="EA254" s="14"/>
      <c r="EB254" s="14"/>
      <c r="EC254" s="14"/>
      <c r="ED254" s="14"/>
      <c r="EE254" s="14"/>
      <c r="EF254" s="14"/>
      <c r="EG254" s="14"/>
      <c r="EH254" s="14"/>
      <c r="EI254" s="14"/>
      <c r="EJ254" s="14"/>
      <c r="EK254" s="14"/>
      <c r="EL254" s="14"/>
    </row>
    <row r="255" spans="1:142" x14ac:dyDescent="0.25">
      <c r="A255" s="14"/>
      <c r="B255" s="103"/>
      <c r="C255" s="114"/>
      <c r="D255" s="114"/>
      <c r="E255" s="114"/>
      <c r="F255" s="114"/>
      <c r="G255" s="114"/>
      <c r="H255" s="114"/>
      <c r="I255" s="114"/>
      <c r="J255" s="14"/>
      <c r="K255" s="14"/>
      <c r="L255" s="14"/>
      <c r="M255" s="14"/>
      <c r="N255" s="14"/>
      <c r="O255" s="14"/>
      <c r="P255" s="14"/>
      <c r="Q255" s="47"/>
      <c r="R255" s="19"/>
      <c r="S255" s="86" t="s">
        <v>8</v>
      </c>
      <c r="T255" s="111">
        <f t="shared" ref="T255:Y255" si="204">SUM(T248:T254)</f>
        <v>3</v>
      </c>
      <c r="U255" s="111">
        <f t="shared" si="204"/>
        <v>3</v>
      </c>
      <c r="V255" s="111">
        <f t="shared" si="204"/>
        <v>2</v>
      </c>
      <c r="W255" s="111">
        <f t="shared" si="204"/>
        <v>2</v>
      </c>
      <c r="X255" s="111">
        <f t="shared" si="204"/>
        <v>0</v>
      </c>
      <c r="Y255" s="111">
        <f t="shared" si="204"/>
        <v>0</v>
      </c>
      <c r="Z255" s="111">
        <f t="shared" si="198"/>
        <v>10</v>
      </c>
      <c r="AA255" s="19"/>
      <c r="AB255" s="19"/>
      <c r="AC255" s="19"/>
      <c r="AD255" s="19"/>
      <c r="AE255" s="19"/>
      <c r="AF255" s="47"/>
      <c r="AG255" s="19"/>
      <c r="AH255" s="86" t="s">
        <v>8</v>
      </c>
      <c r="AI255" s="111">
        <f t="shared" ref="AI255:AN255" si="205">SUM(AI248:AI254)</f>
        <v>4</v>
      </c>
      <c r="AJ255" s="111">
        <f t="shared" si="205"/>
        <v>4</v>
      </c>
      <c r="AK255" s="111">
        <f t="shared" si="205"/>
        <v>2</v>
      </c>
      <c r="AL255" s="111">
        <f t="shared" si="205"/>
        <v>2</v>
      </c>
      <c r="AM255" s="111">
        <f t="shared" si="205"/>
        <v>0</v>
      </c>
      <c r="AN255" s="111">
        <f t="shared" si="205"/>
        <v>4</v>
      </c>
      <c r="AO255" s="111">
        <f t="shared" si="199"/>
        <v>16</v>
      </c>
      <c r="AP255" s="19"/>
      <c r="AQ255" s="19"/>
      <c r="AR255" s="19"/>
      <c r="AS255" s="19"/>
      <c r="AT255" s="19"/>
      <c r="AU255" s="47"/>
      <c r="AV255" s="14"/>
      <c r="AW255" s="86" t="s">
        <v>8</v>
      </c>
      <c r="AX255" s="111">
        <f t="shared" ref="AX255:BC255" si="206">SUM(AX248:AX254)</f>
        <v>4</v>
      </c>
      <c r="AY255" s="111">
        <f t="shared" si="206"/>
        <v>4</v>
      </c>
      <c r="AZ255" s="111">
        <f t="shared" si="206"/>
        <v>2</v>
      </c>
      <c r="BA255" s="111">
        <f t="shared" si="206"/>
        <v>2</v>
      </c>
      <c r="BB255" s="111">
        <f t="shared" si="206"/>
        <v>0</v>
      </c>
      <c r="BC255" s="111">
        <f t="shared" si="206"/>
        <v>4</v>
      </c>
      <c r="BD255" s="111">
        <f t="shared" si="200"/>
        <v>16</v>
      </c>
      <c r="BE255" s="19"/>
      <c r="BF255" s="19"/>
      <c r="BG255" s="19"/>
      <c r="BH255" s="19"/>
      <c r="BI255" s="19"/>
      <c r="BJ255" s="47"/>
      <c r="BK255" s="19"/>
      <c r="BL255" s="86" t="s">
        <v>8</v>
      </c>
      <c r="BM255" s="111">
        <f t="shared" ref="BM255:BR255" si="207">SUM(BM248:BM254)</f>
        <v>4</v>
      </c>
      <c r="BN255" s="111">
        <f t="shared" si="207"/>
        <v>4</v>
      </c>
      <c r="BO255" s="111">
        <f t="shared" si="207"/>
        <v>2</v>
      </c>
      <c r="BP255" s="111">
        <f t="shared" si="207"/>
        <v>2</v>
      </c>
      <c r="BQ255" s="111">
        <f t="shared" si="207"/>
        <v>0</v>
      </c>
      <c r="BR255" s="111">
        <f t="shared" si="207"/>
        <v>4</v>
      </c>
      <c r="BS255" s="111">
        <f t="shared" si="201"/>
        <v>16</v>
      </c>
      <c r="BT255" s="19"/>
      <c r="BU255" s="19"/>
      <c r="BV255" s="19"/>
      <c r="BW255" s="19"/>
      <c r="BX255" s="19"/>
      <c r="BY255" s="47"/>
      <c r="BZ255" s="14"/>
      <c r="CA255" s="14"/>
      <c r="CB255" s="21"/>
      <c r="CC255" s="21"/>
      <c r="CD255" s="180"/>
      <c r="CE255" s="180"/>
      <c r="CF255" s="21"/>
      <c r="CG255" s="14"/>
      <c r="CH255" s="14"/>
      <c r="CI255" s="14"/>
      <c r="CJ255" s="14"/>
      <c r="CK255" s="14"/>
      <c r="CL255" s="14"/>
      <c r="CM255" s="14"/>
      <c r="CN255" s="14"/>
      <c r="CO255" s="129"/>
      <c r="CP255" s="14"/>
      <c r="CQ255" s="47"/>
      <c r="CR255" s="14"/>
      <c r="CS255" s="14"/>
      <c r="CT255" s="14"/>
      <c r="CU255" s="14"/>
      <c r="CV255" s="180"/>
      <c r="CW255" s="189"/>
      <c r="CX255" s="189"/>
      <c r="CY255" s="14"/>
      <c r="CZ255" s="14"/>
      <c r="DA255" s="14"/>
      <c r="DB255" s="14"/>
      <c r="DC255" s="14"/>
      <c r="DD255" s="14"/>
      <c r="DE255" s="14"/>
      <c r="DF255" s="14"/>
      <c r="DG255" s="129"/>
      <c r="DH255" s="14"/>
      <c r="DI255" s="47"/>
      <c r="DJ255" s="14"/>
      <c r="DK255" s="103"/>
      <c r="DL255" s="114"/>
      <c r="DM255" s="114"/>
      <c r="DN255" s="114"/>
      <c r="DO255" s="114"/>
      <c r="DP255" s="114"/>
      <c r="DQ255" s="114"/>
      <c r="DR255" s="114"/>
      <c r="DS255" s="14"/>
      <c r="DT255" s="14"/>
      <c r="DU255" s="14"/>
      <c r="DV255" s="14"/>
      <c r="DW255" s="14"/>
      <c r="DX255" s="14"/>
      <c r="DY255" s="14"/>
      <c r="DZ255" s="14"/>
      <c r="EA255" s="14"/>
      <c r="EB255" s="14"/>
      <c r="EC255" s="14"/>
      <c r="ED255" s="14"/>
      <c r="EE255" s="14"/>
      <c r="EF255" s="14"/>
      <c r="EG255" s="14"/>
      <c r="EH255" s="14"/>
      <c r="EI255" s="14"/>
      <c r="EJ255" s="14"/>
      <c r="EK255" s="14"/>
      <c r="EL255" s="14"/>
    </row>
    <row r="256" spans="1:142" x14ac:dyDescent="0.25">
      <c r="A256" s="14"/>
      <c r="B256" s="19"/>
      <c r="C256" s="40"/>
      <c r="D256" s="41"/>
      <c r="E256" s="40"/>
      <c r="F256" s="40"/>
      <c r="G256" s="40"/>
      <c r="H256" s="41"/>
      <c r="I256" s="72"/>
      <c r="J256" s="14"/>
      <c r="K256" s="14"/>
      <c r="L256" s="14"/>
      <c r="M256" s="14"/>
      <c r="N256" s="14"/>
      <c r="O256" s="14"/>
      <c r="P256" s="14"/>
      <c r="Q256" s="47"/>
      <c r="R256" s="19"/>
      <c r="S256" s="19"/>
      <c r="T256" s="14"/>
      <c r="U256" s="14"/>
      <c r="V256" s="14"/>
      <c r="W256" s="14"/>
      <c r="X256" s="14"/>
      <c r="Y256" s="14"/>
      <c r="Z256" s="14"/>
      <c r="AA256" s="14"/>
      <c r="AB256" s="14"/>
      <c r="AC256" s="14"/>
      <c r="AD256" s="14"/>
      <c r="AE256" s="14"/>
      <c r="AF256" s="47"/>
      <c r="AG256" s="19"/>
      <c r="AH256" s="19"/>
      <c r="AI256" s="14"/>
      <c r="AJ256" s="14"/>
      <c r="AK256" s="14"/>
      <c r="AL256" s="14"/>
      <c r="AM256" s="14"/>
      <c r="AN256" s="14"/>
      <c r="AO256" s="14"/>
      <c r="AP256" s="14"/>
      <c r="AQ256" s="14"/>
      <c r="AR256" s="14"/>
      <c r="AS256" s="14"/>
      <c r="AT256" s="14"/>
      <c r="AU256" s="47"/>
      <c r="AV256" s="14"/>
      <c r="AW256" s="19"/>
      <c r="AX256" s="14"/>
      <c r="AY256" s="14"/>
      <c r="AZ256" s="14"/>
      <c r="BA256" s="14"/>
      <c r="BB256" s="14"/>
      <c r="BC256" s="14"/>
      <c r="BD256" s="14"/>
      <c r="BE256" s="14"/>
      <c r="BF256" s="14"/>
      <c r="BG256" s="14"/>
      <c r="BH256" s="14"/>
      <c r="BI256" s="14"/>
      <c r="BJ256" s="47"/>
      <c r="BK256" s="19"/>
      <c r="BL256" s="19"/>
      <c r="BM256" s="14"/>
      <c r="BN256" s="14"/>
      <c r="BO256" s="14"/>
      <c r="BP256" s="14"/>
      <c r="BQ256" s="14"/>
      <c r="BR256" s="14"/>
      <c r="BS256" s="14"/>
      <c r="BT256" s="14"/>
      <c r="BU256" s="14"/>
      <c r="BV256" s="14"/>
      <c r="BW256" s="14"/>
      <c r="BX256" s="14"/>
      <c r="BY256" s="47"/>
      <c r="BZ256" s="14"/>
      <c r="CA256" s="14"/>
      <c r="CB256" s="21"/>
      <c r="CC256" s="21"/>
      <c r="CD256" s="180"/>
      <c r="CE256" s="180"/>
      <c r="CF256" s="21"/>
      <c r="CG256" s="14"/>
      <c r="CH256" s="14"/>
      <c r="CI256" s="14"/>
      <c r="CJ256" s="14"/>
      <c r="CK256" s="14"/>
      <c r="CL256" s="14"/>
      <c r="CM256" s="14"/>
      <c r="CN256" s="14"/>
      <c r="CO256" s="129"/>
      <c r="CP256" s="14"/>
      <c r="CQ256" s="47"/>
      <c r="CR256" s="14"/>
      <c r="CS256" s="14"/>
      <c r="CT256" s="14"/>
      <c r="CU256" s="14"/>
      <c r="CV256" s="180"/>
      <c r="CW256" s="189"/>
      <c r="CX256" s="189"/>
      <c r="CY256" s="14"/>
      <c r="CZ256" s="14"/>
      <c r="DA256" s="14"/>
      <c r="DB256" s="14"/>
      <c r="DC256" s="14"/>
      <c r="DD256" s="14"/>
      <c r="DE256" s="14"/>
      <c r="DF256" s="14"/>
      <c r="DG256" s="129"/>
      <c r="DH256" s="14"/>
      <c r="DI256" s="47"/>
      <c r="DJ256" s="14"/>
      <c r="DK256" s="19"/>
      <c r="DL256" s="40"/>
      <c r="DM256" s="41"/>
      <c r="DN256" s="40"/>
      <c r="DO256" s="40"/>
      <c r="DP256" s="40"/>
      <c r="DQ256" s="41"/>
      <c r="DR256" s="72"/>
      <c r="DS256" s="14"/>
      <c r="DT256" s="14"/>
      <c r="DU256" s="14"/>
      <c r="DV256" s="14"/>
      <c r="DW256" s="14"/>
      <c r="DX256" s="14"/>
      <c r="DY256" s="14"/>
      <c r="DZ256" s="14"/>
      <c r="EA256" s="14"/>
      <c r="EB256" s="14"/>
      <c r="EC256" s="14"/>
      <c r="ED256" s="14"/>
      <c r="EE256" s="14"/>
      <c r="EF256" s="14"/>
      <c r="EG256" s="14"/>
      <c r="EH256" s="14"/>
      <c r="EI256" s="14"/>
      <c r="EJ256" s="14"/>
      <c r="EK256" s="14"/>
      <c r="EL256" s="14"/>
    </row>
    <row r="257" spans="1:142" x14ac:dyDescent="0.25">
      <c r="A257" s="14"/>
      <c r="B257" s="19"/>
      <c r="C257" s="40"/>
      <c r="D257" s="41"/>
      <c r="E257" s="40"/>
      <c r="F257" s="40"/>
      <c r="G257" s="40"/>
      <c r="H257" s="41"/>
      <c r="I257" s="72"/>
      <c r="J257" s="14"/>
      <c r="K257" s="14"/>
      <c r="L257" s="14"/>
      <c r="M257" s="14"/>
      <c r="N257" s="14"/>
      <c r="O257" s="14"/>
      <c r="P257" s="14"/>
      <c r="Q257" s="47"/>
      <c r="R257" s="19"/>
      <c r="S257" s="19"/>
      <c r="T257" s="14"/>
      <c r="U257" s="14"/>
      <c r="V257" s="14"/>
      <c r="W257" s="14"/>
      <c r="X257" s="14"/>
      <c r="Y257" s="14"/>
      <c r="Z257" s="14"/>
      <c r="AA257" s="14"/>
      <c r="AB257" s="14"/>
      <c r="AC257" s="14"/>
      <c r="AD257" s="14"/>
      <c r="AE257" s="14"/>
      <c r="AF257" s="47"/>
      <c r="AG257" s="19"/>
      <c r="AH257" s="19"/>
      <c r="AI257" s="14"/>
      <c r="AJ257" s="14"/>
      <c r="AK257" s="14"/>
      <c r="AL257" s="14"/>
      <c r="AM257" s="14"/>
      <c r="AN257" s="14"/>
      <c r="AO257" s="14"/>
      <c r="AP257" s="14"/>
      <c r="AQ257" s="14"/>
      <c r="AR257" s="14"/>
      <c r="AS257" s="14"/>
      <c r="AT257" s="14"/>
      <c r="AU257" s="47"/>
      <c r="AV257" s="14"/>
      <c r="AW257" s="19"/>
      <c r="AX257" s="14"/>
      <c r="AY257" s="14"/>
      <c r="AZ257" s="14"/>
      <c r="BA257" s="14"/>
      <c r="BB257" s="14"/>
      <c r="BC257" s="14"/>
      <c r="BD257" s="14"/>
      <c r="BE257" s="14"/>
      <c r="BF257" s="14"/>
      <c r="BG257" s="14"/>
      <c r="BH257" s="14"/>
      <c r="BI257" s="14"/>
      <c r="BJ257" s="47"/>
      <c r="BK257" s="19"/>
      <c r="BL257" s="19"/>
      <c r="BM257" s="14"/>
      <c r="BN257" s="14"/>
      <c r="BO257" s="14"/>
      <c r="BP257" s="14"/>
      <c r="BQ257" s="14"/>
      <c r="BR257" s="14"/>
      <c r="BS257" s="14"/>
      <c r="BT257" s="14"/>
      <c r="BU257" s="14"/>
      <c r="BV257" s="14"/>
      <c r="BW257" s="14"/>
      <c r="BX257" s="14"/>
      <c r="BY257" s="47"/>
      <c r="BZ257" s="14"/>
      <c r="CA257" s="14"/>
      <c r="CB257" s="21"/>
      <c r="CC257" s="21"/>
      <c r="CD257" s="180"/>
      <c r="CE257" s="180"/>
      <c r="CF257" s="21"/>
      <c r="CG257" s="14"/>
      <c r="CH257" s="14"/>
      <c r="CI257" s="14"/>
      <c r="CJ257" s="14"/>
      <c r="CK257" s="14"/>
      <c r="CL257" s="14"/>
      <c r="CM257" s="14"/>
      <c r="CN257" s="14"/>
      <c r="CO257" s="129"/>
      <c r="CP257" s="14"/>
      <c r="CQ257" s="47"/>
      <c r="CR257" s="14"/>
      <c r="CS257" s="14"/>
      <c r="CT257" s="14"/>
      <c r="CU257" s="14"/>
      <c r="CV257" s="180"/>
      <c r="CW257" s="189"/>
      <c r="CX257" s="189"/>
      <c r="CY257" s="14"/>
      <c r="CZ257" s="14"/>
      <c r="DA257" s="14"/>
      <c r="DB257" s="14"/>
      <c r="DC257" s="14"/>
      <c r="DD257" s="14"/>
      <c r="DE257" s="14"/>
      <c r="DF257" s="14"/>
      <c r="DG257" s="129"/>
      <c r="DH257" s="14"/>
      <c r="DI257" s="47"/>
      <c r="DJ257" s="14"/>
      <c r="DK257" s="19"/>
      <c r="DL257" s="40"/>
      <c r="DM257" s="41"/>
      <c r="DN257" s="40"/>
      <c r="DO257" s="40"/>
      <c r="DP257" s="40"/>
      <c r="DQ257" s="41"/>
      <c r="DR257" s="72"/>
      <c r="DS257" s="14"/>
      <c r="DT257" s="14"/>
      <c r="DU257" s="14"/>
      <c r="DV257" s="14"/>
      <c r="DW257" s="14"/>
      <c r="DX257" s="14"/>
      <c r="DY257" s="14"/>
      <c r="DZ257" s="14"/>
      <c r="EA257" s="14"/>
      <c r="EB257" s="14"/>
      <c r="EC257" s="14"/>
      <c r="ED257" s="14"/>
      <c r="EE257" s="14"/>
      <c r="EF257" s="14"/>
      <c r="EG257" s="14"/>
      <c r="EH257" s="14"/>
      <c r="EI257" s="14"/>
      <c r="EJ257" s="14"/>
      <c r="EK257" s="14"/>
      <c r="EL257" s="14"/>
    </row>
    <row r="258" spans="1:142" x14ac:dyDescent="0.25">
      <c r="A258" s="14"/>
      <c r="B258" s="19"/>
      <c r="C258" s="40"/>
      <c r="D258" s="41"/>
      <c r="E258" s="40"/>
      <c r="F258" s="40"/>
      <c r="G258" s="40"/>
      <c r="H258" s="41"/>
      <c r="I258" s="72"/>
      <c r="J258" s="14"/>
      <c r="K258" s="14"/>
      <c r="L258" s="14"/>
      <c r="M258" s="14"/>
      <c r="N258" s="14"/>
      <c r="O258" s="14"/>
      <c r="P258" s="14"/>
      <c r="Q258" s="47"/>
      <c r="R258" s="19"/>
      <c r="S258" s="19"/>
      <c r="T258" s="14"/>
      <c r="U258" s="14"/>
      <c r="V258" s="14"/>
      <c r="W258" s="14"/>
      <c r="X258" s="14"/>
      <c r="Y258" s="14"/>
      <c r="Z258" s="14"/>
      <c r="AA258" s="14"/>
      <c r="AB258" s="14"/>
      <c r="AC258" s="14"/>
      <c r="AD258" s="14"/>
      <c r="AE258" s="14"/>
      <c r="AF258" s="47"/>
      <c r="AG258" s="19"/>
      <c r="AH258" s="19"/>
      <c r="AI258" s="14"/>
      <c r="AJ258" s="14"/>
      <c r="AK258" s="14"/>
      <c r="AL258" s="14"/>
      <c r="AM258" s="14"/>
      <c r="AN258" s="14"/>
      <c r="AO258" s="14"/>
      <c r="AP258" s="14"/>
      <c r="AQ258" s="14"/>
      <c r="AR258" s="14"/>
      <c r="AS258" s="14"/>
      <c r="AT258" s="14"/>
      <c r="AU258" s="47"/>
      <c r="AV258" s="14"/>
      <c r="AW258" s="19"/>
      <c r="AX258" s="14"/>
      <c r="AY258" s="14"/>
      <c r="AZ258" s="14"/>
      <c r="BA258" s="14"/>
      <c r="BB258" s="14"/>
      <c r="BC258" s="14"/>
      <c r="BD258" s="14"/>
      <c r="BE258" s="14"/>
      <c r="BF258" s="14"/>
      <c r="BG258" s="14"/>
      <c r="BH258" s="14"/>
      <c r="BI258" s="14"/>
      <c r="BJ258" s="47"/>
      <c r="BK258" s="19"/>
      <c r="BL258" s="19"/>
      <c r="BM258" s="14"/>
      <c r="BN258" s="14"/>
      <c r="BO258" s="14"/>
      <c r="BP258" s="14"/>
      <c r="BQ258" s="14"/>
      <c r="BR258" s="14"/>
      <c r="BS258" s="14"/>
      <c r="BT258" s="14"/>
      <c r="BU258" s="14"/>
      <c r="BV258" s="14"/>
      <c r="BW258" s="14"/>
      <c r="BX258" s="14"/>
      <c r="BY258" s="47"/>
      <c r="BZ258" s="14"/>
      <c r="CA258" s="14"/>
      <c r="CB258" s="21"/>
      <c r="CC258" s="21"/>
      <c r="CD258" s="180"/>
      <c r="CE258" s="180"/>
      <c r="CF258" s="21"/>
      <c r="CG258" s="14"/>
      <c r="CH258" s="14"/>
      <c r="CI258" s="14"/>
      <c r="CJ258" s="14"/>
      <c r="CK258" s="14"/>
      <c r="CL258" s="14"/>
      <c r="CM258" s="14"/>
      <c r="CN258" s="14"/>
      <c r="CO258" s="129"/>
      <c r="CP258" s="14"/>
      <c r="CQ258" s="47"/>
      <c r="CR258" s="14"/>
      <c r="CS258" s="14"/>
      <c r="CT258" s="14"/>
      <c r="CU258" s="14"/>
      <c r="CV258" s="180"/>
      <c r="CW258" s="189"/>
      <c r="CX258" s="189"/>
      <c r="CY258" s="14"/>
      <c r="CZ258" s="14"/>
      <c r="DA258" s="14"/>
      <c r="DB258" s="14"/>
      <c r="DC258" s="14"/>
      <c r="DD258" s="14"/>
      <c r="DE258" s="14"/>
      <c r="DF258" s="14"/>
      <c r="DG258" s="129"/>
      <c r="DH258" s="14"/>
      <c r="DI258" s="47"/>
      <c r="DJ258" s="14"/>
      <c r="DK258" s="19"/>
      <c r="DL258" s="40"/>
      <c r="DM258" s="41"/>
      <c r="DN258" s="40"/>
      <c r="DO258" s="40"/>
      <c r="DP258" s="40"/>
      <c r="DQ258" s="41"/>
      <c r="DR258" s="72"/>
      <c r="DS258" s="14"/>
      <c r="DT258" s="14"/>
      <c r="DU258" s="14"/>
      <c r="DV258" s="14"/>
      <c r="DW258" s="14"/>
      <c r="DX258" s="14"/>
      <c r="DY258" s="14"/>
      <c r="DZ258" s="14"/>
      <c r="EA258" s="14"/>
      <c r="EB258" s="14"/>
      <c r="EC258" s="14"/>
      <c r="ED258" s="14"/>
      <c r="EE258" s="14"/>
      <c r="EF258" s="14"/>
      <c r="EG258" s="14"/>
      <c r="EH258" s="14"/>
      <c r="EI258" s="14"/>
      <c r="EJ258" s="14"/>
      <c r="EK258" s="14"/>
      <c r="EL258" s="14"/>
    </row>
    <row r="259" spans="1:142" x14ac:dyDescent="0.25">
      <c r="A259" s="14"/>
      <c r="B259" s="19"/>
      <c r="C259" s="40"/>
      <c r="D259" s="41"/>
      <c r="E259" s="40"/>
      <c r="F259" s="40"/>
      <c r="G259" s="40"/>
      <c r="H259" s="41"/>
      <c r="I259" s="72"/>
      <c r="J259" s="14"/>
      <c r="K259" s="14"/>
      <c r="L259" s="14"/>
      <c r="M259" s="14"/>
      <c r="N259" s="14"/>
      <c r="O259" s="14"/>
      <c r="P259" s="14"/>
      <c r="Q259" s="47"/>
      <c r="R259" s="19"/>
      <c r="S259" s="19"/>
      <c r="T259" s="14"/>
      <c r="U259" s="14"/>
      <c r="V259" s="14"/>
      <c r="W259" s="14"/>
      <c r="X259" s="14"/>
      <c r="Y259" s="14"/>
      <c r="Z259" s="14"/>
      <c r="AA259" s="14"/>
      <c r="AB259" s="14"/>
      <c r="AC259" s="14"/>
      <c r="AD259" s="14"/>
      <c r="AE259" s="14"/>
      <c r="AF259" s="47"/>
      <c r="AG259" s="19"/>
      <c r="AH259" s="19"/>
      <c r="AI259" s="14"/>
      <c r="AJ259" s="14"/>
      <c r="AK259" s="14"/>
      <c r="AL259" s="14"/>
      <c r="AM259" s="14"/>
      <c r="AN259" s="14"/>
      <c r="AO259" s="14"/>
      <c r="AP259" s="14"/>
      <c r="AQ259" s="14"/>
      <c r="AR259" s="14"/>
      <c r="AS259" s="14"/>
      <c r="AT259" s="14"/>
      <c r="AU259" s="47"/>
      <c r="AV259" s="14"/>
      <c r="AW259" s="19"/>
      <c r="AX259" s="14"/>
      <c r="AY259" s="14"/>
      <c r="AZ259" s="14"/>
      <c r="BA259" s="14"/>
      <c r="BB259" s="14"/>
      <c r="BC259" s="14"/>
      <c r="BD259" s="14"/>
      <c r="BE259" s="14"/>
      <c r="BF259" s="14"/>
      <c r="BG259" s="14"/>
      <c r="BH259" s="14"/>
      <c r="BI259" s="14"/>
      <c r="BJ259" s="47"/>
      <c r="BK259" s="19"/>
      <c r="BL259" s="19"/>
      <c r="BM259" s="14"/>
      <c r="BN259" s="14"/>
      <c r="BO259" s="14"/>
      <c r="BP259" s="14"/>
      <c r="BQ259" s="14"/>
      <c r="BR259" s="14"/>
      <c r="BS259" s="14"/>
      <c r="BT259" s="14"/>
      <c r="BU259" s="14"/>
      <c r="BV259" s="14"/>
      <c r="BW259" s="14"/>
      <c r="BX259" s="14"/>
      <c r="BY259" s="47"/>
      <c r="BZ259" s="14"/>
      <c r="CA259" s="14"/>
      <c r="CB259" s="21"/>
      <c r="CC259" s="21"/>
      <c r="CD259" s="180"/>
      <c r="CE259" s="180"/>
      <c r="CF259" s="21"/>
      <c r="CG259" s="14"/>
      <c r="CH259" s="14"/>
      <c r="CI259" s="14"/>
      <c r="CJ259" s="14"/>
      <c r="CK259" s="14"/>
      <c r="CL259" s="14"/>
      <c r="CM259" s="14"/>
      <c r="CN259" s="14"/>
      <c r="CO259" s="129"/>
      <c r="CP259" s="14"/>
      <c r="CQ259" s="47"/>
      <c r="CR259" s="14"/>
      <c r="CS259" s="14"/>
      <c r="CT259" s="14"/>
      <c r="CU259" s="14"/>
      <c r="CV259" s="180"/>
      <c r="CW259" s="189"/>
      <c r="CX259" s="189"/>
      <c r="CY259" s="14"/>
      <c r="CZ259" s="14"/>
      <c r="DA259" s="14"/>
      <c r="DB259" s="14"/>
      <c r="DC259" s="14"/>
      <c r="DD259" s="14"/>
      <c r="DE259" s="14"/>
      <c r="DF259" s="14"/>
      <c r="DG259" s="129"/>
      <c r="DH259" s="14"/>
      <c r="DI259" s="47"/>
      <c r="DJ259" s="14"/>
      <c r="DK259" s="19"/>
      <c r="DL259" s="40"/>
      <c r="DM259" s="41"/>
      <c r="DN259" s="40"/>
      <c r="DO259" s="40"/>
      <c r="DP259" s="40"/>
      <c r="DQ259" s="41"/>
      <c r="DR259" s="72"/>
      <c r="DS259" s="14"/>
      <c r="DT259" s="14"/>
      <c r="DU259" s="14"/>
      <c r="DV259" s="14"/>
      <c r="DW259" s="14"/>
      <c r="DX259" s="14"/>
      <c r="DY259" s="14"/>
      <c r="DZ259" s="14"/>
      <c r="EA259" s="14"/>
      <c r="EB259" s="14"/>
      <c r="EC259" s="14"/>
      <c r="ED259" s="14"/>
      <c r="EE259" s="14"/>
      <c r="EF259" s="14"/>
      <c r="EG259" s="14"/>
      <c r="EH259" s="14"/>
      <c r="EI259" s="14"/>
      <c r="EJ259" s="14"/>
      <c r="EK259" s="14"/>
      <c r="EL259" s="14"/>
    </row>
    <row r="260" spans="1:142" x14ac:dyDescent="0.25">
      <c r="A260" s="14"/>
      <c r="B260" s="19"/>
      <c r="C260" s="40"/>
      <c r="D260" s="41"/>
      <c r="E260" s="40"/>
      <c r="F260" s="40"/>
      <c r="G260" s="40"/>
      <c r="H260" s="41"/>
      <c r="I260" s="72"/>
      <c r="J260" s="14"/>
      <c r="K260" s="14"/>
      <c r="L260" s="14"/>
      <c r="M260" s="14"/>
      <c r="N260" s="14"/>
      <c r="O260" s="14"/>
      <c r="P260" s="14"/>
      <c r="Q260" s="47"/>
      <c r="R260" s="19"/>
      <c r="S260" s="19"/>
      <c r="T260" s="14"/>
      <c r="U260" s="14"/>
      <c r="V260" s="14"/>
      <c r="W260" s="14"/>
      <c r="X260" s="14"/>
      <c r="Y260" s="14"/>
      <c r="Z260" s="14"/>
      <c r="AA260" s="14"/>
      <c r="AB260" s="14"/>
      <c r="AC260" s="14"/>
      <c r="AD260" s="14"/>
      <c r="AE260" s="14"/>
      <c r="AF260" s="47"/>
      <c r="AG260" s="19"/>
      <c r="AH260" s="19"/>
      <c r="AI260" s="14"/>
      <c r="AJ260" s="14"/>
      <c r="AK260" s="14"/>
      <c r="AL260" s="14"/>
      <c r="AM260" s="14"/>
      <c r="AN260" s="14"/>
      <c r="AO260" s="14"/>
      <c r="AP260" s="14"/>
      <c r="AQ260" s="14"/>
      <c r="AR260" s="14"/>
      <c r="AS260" s="14"/>
      <c r="AT260" s="14"/>
      <c r="AU260" s="47"/>
      <c r="AV260" s="14"/>
      <c r="AW260" s="19"/>
      <c r="AX260" s="14"/>
      <c r="AY260" s="14"/>
      <c r="AZ260" s="14"/>
      <c r="BA260" s="14"/>
      <c r="BB260" s="14"/>
      <c r="BC260" s="14"/>
      <c r="BD260" s="14"/>
      <c r="BE260" s="14"/>
      <c r="BF260" s="14"/>
      <c r="BG260" s="14"/>
      <c r="BH260" s="14"/>
      <c r="BI260" s="14"/>
      <c r="BJ260" s="47"/>
      <c r="BK260" s="19"/>
      <c r="BL260" s="19"/>
      <c r="BM260" s="14"/>
      <c r="BN260" s="14"/>
      <c r="BO260" s="14"/>
      <c r="BP260" s="14"/>
      <c r="BQ260" s="14"/>
      <c r="BR260" s="14"/>
      <c r="BS260" s="14"/>
      <c r="BT260" s="14"/>
      <c r="BU260" s="14"/>
      <c r="BV260" s="14"/>
      <c r="BW260" s="14"/>
      <c r="BX260" s="14"/>
      <c r="BY260" s="47"/>
      <c r="BZ260" s="14"/>
      <c r="CA260" s="14"/>
      <c r="CB260" s="21"/>
      <c r="CC260" s="21"/>
      <c r="CD260" s="180"/>
      <c r="CE260" s="180"/>
      <c r="CF260" s="21"/>
      <c r="CG260" s="14"/>
      <c r="CH260" s="14"/>
      <c r="CI260" s="14"/>
      <c r="CJ260" s="14"/>
      <c r="CK260" s="14"/>
      <c r="CL260" s="14"/>
      <c r="CM260" s="14"/>
      <c r="CN260" s="14"/>
      <c r="CO260" s="129"/>
      <c r="CP260" s="14"/>
      <c r="CQ260" s="47"/>
      <c r="CR260" s="14"/>
      <c r="CS260" s="14"/>
      <c r="CT260" s="14"/>
      <c r="CU260" s="14"/>
      <c r="CV260" s="180"/>
      <c r="CW260" s="189"/>
      <c r="CX260" s="189"/>
      <c r="CY260" s="14"/>
      <c r="CZ260" s="14"/>
      <c r="DA260" s="14"/>
      <c r="DB260" s="14"/>
      <c r="DC260" s="14"/>
      <c r="DD260" s="14"/>
      <c r="DE260" s="14"/>
      <c r="DF260" s="14"/>
      <c r="DG260" s="129"/>
      <c r="DH260" s="14"/>
      <c r="DI260" s="47"/>
      <c r="DJ260" s="14"/>
      <c r="DK260" s="19"/>
      <c r="DL260" s="40"/>
      <c r="DM260" s="41"/>
      <c r="DN260" s="40"/>
      <c r="DO260" s="40"/>
      <c r="DP260" s="40"/>
      <c r="DQ260" s="41"/>
      <c r="DR260" s="72"/>
      <c r="DS260" s="14"/>
      <c r="DT260" s="14"/>
      <c r="DU260" s="14"/>
      <c r="DV260" s="14"/>
      <c r="DW260" s="14"/>
      <c r="DX260" s="14"/>
      <c r="DY260" s="14"/>
      <c r="DZ260" s="14"/>
      <c r="EA260" s="14"/>
      <c r="EB260" s="14"/>
      <c r="EC260" s="14"/>
      <c r="ED260" s="14"/>
      <c r="EE260" s="14"/>
      <c r="EF260" s="14"/>
      <c r="EG260" s="14"/>
      <c r="EH260" s="14"/>
      <c r="EI260" s="14"/>
      <c r="EJ260" s="14"/>
      <c r="EK260" s="14"/>
      <c r="EL260" s="14"/>
    </row>
    <row r="261" spans="1:142" x14ac:dyDescent="0.25">
      <c r="A261" s="14"/>
      <c r="B261" s="19"/>
      <c r="C261" s="40"/>
      <c r="D261" s="41"/>
      <c r="E261" s="40"/>
      <c r="F261" s="40"/>
      <c r="G261" s="40"/>
      <c r="H261" s="41"/>
      <c r="I261" s="72"/>
      <c r="J261" s="14"/>
      <c r="K261" s="14"/>
      <c r="L261" s="14"/>
      <c r="M261" s="14"/>
      <c r="N261" s="14"/>
      <c r="O261" s="14"/>
      <c r="P261" s="14"/>
      <c r="Q261" s="47"/>
      <c r="R261" s="19"/>
      <c r="S261" s="19"/>
      <c r="T261" s="14"/>
      <c r="U261" s="14"/>
      <c r="V261" s="14"/>
      <c r="W261" s="14"/>
      <c r="X261" s="14"/>
      <c r="Y261" s="14"/>
      <c r="Z261" s="14"/>
      <c r="AA261" s="14"/>
      <c r="AB261" s="14"/>
      <c r="AC261" s="14"/>
      <c r="AD261" s="14"/>
      <c r="AE261" s="14"/>
      <c r="AF261" s="47"/>
      <c r="AG261" s="19"/>
      <c r="AH261" s="19"/>
      <c r="AI261" s="14"/>
      <c r="AJ261" s="14"/>
      <c r="AK261" s="14"/>
      <c r="AL261" s="14"/>
      <c r="AM261" s="14"/>
      <c r="AN261" s="14"/>
      <c r="AO261" s="14"/>
      <c r="AP261" s="14"/>
      <c r="AQ261" s="14"/>
      <c r="AR261" s="14"/>
      <c r="AS261" s="14"/>
      <c r="AT261" s="14"/>
      <c r="AU261" s="47"/>
      <c r="AV261" s="14"/>
      <c r="AW261" s="19"/>
      <c r="AX261" s="14"/>
      <c r="AY261" s="14"/>
      <c r="AZ261" s="14"/>
      <c r="BA261" s="14"/>
      <c r="BB261" s="14"/>
      <c r="BC261" s="14"/>
      <c r="BD261" s="14"/>
      <c r="BE261" s="14"/>
      <c r="BF261" s="14"/>
      <c r="BG261" s="14"/>
      <c r="BH261" s="14"/>
      <c r="BI261" s="14"/>
      <c r="BJ261" s="47"/>
      <c r="BK261" s="19"/>
      <c r="BL261" s="19"/>
      <c r="BM261" s="14"/>
      <c r="BN261" s="14"/>
      <c r="BO261" s="14"/>
      <c r="BP261" s="14"/>
      <c r="BQ261" s="14"/>
      <c r="BR261" s="14"/>
      <c r="BS261" s="14"/>
      <c r="BT261" s="14"/>
      <c r="BU261" s="14"/>
      <c r="BV261" s="14"/>
      <c r="BW261" s="14"/>
      <c r="BX261" s="14"/>
      <c r="BY261" s="47"/>
      <c r="BZ261" s="14"/>
      <c r="CA261" s="14"/>
      <c r="CB261" s="21"/>
      <c r="CC261" s="21"/>
      <c r="CD261" s="180"/>
      <c r="CE261" s="180"/>
      <c r="CF261" s="21"/>
      <c r="CG261" s="14"/>
      <c r="CH261" s="14"/>
      <c r="CI261" s="14"/>
      <c r="CJ261" s="14"/>
      <c r="CK261" s="14"/>
      <c r="CL261" s="14"/>
      <c r="CM261" s="14"/>
      <c r="CN261" s="14"/>
      <c r="CO261" s="129"/>
      <c r="CP261" s="14"/>
      <c r="CQ261" s="47"/>
      <c r="CR261" s="14"/>
      <c r="CS261" s="14"/>
      <c r="CT261" s="14"/>
      <c r="CU261" s="14"/>
      <c r="CV261" s="180"/>
      <c r="CW261" s="189"/>
      <c r="CX261" s="189"/>
      <c r="CY261" s="14"/>
      <c r="CZ261" s="14"/>
      <c r="DA261" s="14"/>
      <c r="DB261" s="14"/>
      <c r="DC261" s="14"/>
      <c r="DD261" s="14"/>
      <c r="DE261" s="14"/>
      <c r="DF261" s="14"/>
      <c r="DG261" s="129"/>
      <c r="DH261" s="14"/>
      <c r="DI261" s="47"/>
      <c r="DJ261" s="14"/>
      <c r="DK261" s="19"/>
      <c r="DL261" s="40"/>
      <c r="DM261" s="41"/>
      <c r="DN261" s="40"/>
      <c r="DO261" s="40"/>
      <c r="DP261" s="40"/>
      <c r="DQ261" s="41"/>
      <c r="DR261" s="72"/>
      <c r="DS261" s="14"/>
      <c r="DT261" s="14"/>
      <c r="DU261" s="14"/>
      <c r="DV261" s="14"/>
      <c r="DW261" s="14"/>
      <c r="DX261" s="14"/>
      <c r="DY261" s="14"/>
      <c r="DZ261" s="14"/>
      <c r="EA261" s="14"/>
      <c r="EB261" s="14"/>
      <c r="EC261" s="14"/>
      <c r="ED261" s="14"/>
      <c r="EE261" s="14"/>
      <c r="EF261" s="14"/>
      <c r="EG261" s="14"/>
      <c r="EH261" s="14"/>
      <c r="EI261" s="14"/>
      <c r="EJ261" s="14"/>
      <c r="EK261" s="14"/>
      <c r="EL261" s="14"/>
    </row>
    <row r="262" spans="1:142" x14ac:dyDescent="0.25">
      <c r="A262" s="14"/>
      <c r="B262" s="19"/>
      <c r="C262" s="40"/>
      <c r="D262" s="41"/>
      <c r="E262" s="40"/>
      <c r="F262" s="40"/>
      <c r="G262" s="40"/>
      <c r="H262" s="41"/>
      <c r="I262" s="72"/>
      <c r="J262" s="14"/>
      <c r="K262" s="14"/>
      <c r="L262" s="14"/>
      <c r="M262" s="14"/>
      <c r="N262" s="14"/>
      <c r="O262" s="14"/>
      <c r="P262" s="14"/>
      <c r="Q262" s="47"/>
      <c r="R262" s="19"/>
      <c r="S262" s="19"/>
      <c r="T262" s="14"/>
      <c r="U262" s="14"/>
      <c r="V262" s="14"/>
      <c r="W262" s="14"/>
      <c r="X262" s="14"/>
      <c r="Y262" s="14"/>
      <c r="Z262" s="14"/>
      <c r="AA262" s="14"/>
      <c r="AB262" s="14"/>
      <c r="AC262" s="14"/>
      <c r="AD262" s="14"/>
      <c r="AE262" s="14"/>
      <c r="AF262" s="47"/>
      <c r="AG262" s="19"/>
      <c r="AH262" s="19"/>
      <c r="AI262" s="14"/>
      <c r="AJ262" s="14"/>
      <c r="AK262" s="14"/>
      <c r="AL262" s="14"/>
      <c r="AM262" s="14"/>
      <c r="AN262" s="14"/>
      <c r="AO262" s="14"/>
      <c r="AP262" s="14"/>
      <c r="AQ262" s="14"/>
      <c r="AR262" s="14"/>
      <c r="AS262" s="14"/>
      <c r="AT262" s="14"/>
      <c r="AU262" s="47"/>
      <c r="AV262" s="14"/>
      <c r="AW262" s="19"/>
      <c r="AX262" s="14"/>
      <c r="AY262" s="14"/>
      <c r="AZ262" s="14"/>
      <c r="BA262" s="14"/>
      <c r="BB262" s="14"/>
      <c r="BC262" s="14"/>
      <c r="BD262" s="14"/>
      <c r="BE262" s="14"/>
      <c r="BF262" s="14"/>
      <c r="BG262" s="14"/>
      <c r="BH262" s="14"/>
      <c r="BI262" s="14"/>
      <c r="BJ262" s="47"/>
      <c r="BK262" s="19"/>
      <c r="BL262" s="19"/>
      <c r="BM262" s="14"/>
      <c r="BN262" s="14"/>
      <c r="BO262" s="14"/>
      <c r="BP262" s="14"/>
      <c r="BQ262" s="14"/>
      <c r="BR262" s="14"/>
      <c r="BS262" s="14"/>
      <c r="BT262" s="14"/>
      <c r="BU262" s="14"/>
      <c r="BV262" s="14"/>
      <c r="BW262" s="14"/>
      <c r="BX262" s="14"/>
      <c r="BY262" s="47"/>
      <c r="BZ262" s="14"/>
      <c r="CA262" s="14"/>
      <c r="CB262" s="21"/>
      <c r="CC262" s="21"/>
      <c r="CD262" s="180"/>
      <c r="CE262" s="180"/>
      <c r="CF262" s="21"/>
      <c r="CG262" s="14"/>
      <c r="CH262" s="14"/>
      <c r="CI262" s="14"/>
      <c r="CJ262" s="14"/>
      <c r="CK262" s="14"/>
      <c r="CL262" s="14"/>
      <c r="CM262" s="14"/>
      <c r="CN262" s="14"/>
      <c r="CO262" s="129"/>
      <c r="CP262" s="14"/>
      <c r="CQ262" s="47"/>
      <c r="CR262" s="14"/>
      <c r="CS262" s="14"/>
      <c r="CT262" s="14"/>
      <c r="CU262" s="14"/>
      <c r="CV262" s="180"/>
      <c r="CW262" s="189"/>
      <c r="CX262" s="189"/>
      <c r="CY262" s="14"/>
      <c r="CZ262" s="14"/>
      <c r="DA262" s="14"/>
      <c r="DB262" s="14"/>
      <c r="DC262" s="14"/>
      <c r="DD262" s="14"/>
      <c r="DE262" s="14"/>
      <c r="DF262" s="14"/>
      <c r="DG262" s="129"/>
      <c r="DH262" s="14"/>
      <c r="DI262" s="47"/>
      <c r="DJ262" s="14"/>
      <c r="DK262" s="19"/>
      <c r="DL262" s="40"/>
      <c r="DM262" s="41"/>
      <c r="DN262" s="40"/>
      <c r="DO262" s="40"/>
      <c r="DP262" s="40"/>
      <c r="DQ262" s="41"/>
      <c r="DR262" s="72"/>
      <c r="DS262" s="14"/>
      <c r="DT262" s="14"/>
      <c r="DU262" s="14"/>
      <c r="DV262" s="14"/>
      <c r="DW262" s="14"/>
      <c r="DX262" s="14"/>
      <c r="DY262" s="14"/>
      <c r="DZ262" s="14"/>
      <c r="EA262" s="14"/>
      <c r="EB262" s="14"/>
      <c r="EC262" s="14"/>
      <c r="ED262" s="14"/>
      <c r="EE262" s="14"/>
      <c r="EF262" s="14"/>
      <c r="EG262" s="14"/>
      <c r="EH262" s="14"/>
      <c r="EI262" s="14"/>
      <c r="EJ262" s="14"/>
      <c r="EK262" s="14"/>
      <c r="EL262" s="14"/>
    </row>
    <row r="263" spans="1:142" x14ac:dyDescent="0.25">
      <c r="A263" s="14"/>
      <c r="B263" s="19"/>
      <c r="C263" s="40"/>
      <c r="D263" s="41"/>
      <c r="E263" s="40"/>
      <c r="F263" s="40"/>
      <c r="G263" s="40"/>
      <c r="H263" s="41"/>
      <c r="I263" s="72"/>
      <c r="J263" s="14"/>
      <c r="K263" s="14"/>
      <c r="L263" s="14"/>
      <c r="M263" s="14"/>
      <c r="N263" s="14"/>
      <c r="O263" s="14"/>
      <c r="P263" s="14"/>
      <c r="Q263" s="47"/>
      <c r="R263" s="19"/>
      <c r="S263" s="19"/>
      <c r="T263" s="14"/>
      <c r="U263" s="14"/>
      <c r="V263" s="14"/>
      <c r="W263" s="14"/>
      <c r="X263" s="14"/>
      <c r="Y263" s="14"/>
      <c r="Z263" s="14"/>
      <c r="AA263" s="14"/>
      <c r="AB263" s="14"/>
      <c r="AC263" s="14"/>
      <c r="AD263" s="14"/>
      <c r="AE263" s="14"/>
      <c r="AF263" s="47"/>
      <c r="AG263" s="19"/>
      <c r="AH263" s="19"/>
      <c r="AI263" s="14"/>
      <c r="AJ263" s="14"/>
      <c r="AK263" s="14"/>
      <c r="AL263" s="14"/>
      <c r="AM263" s="14"/>
      <c r="AN263" s="14"/>
      <c r="AO263" s="14"/>
      <c r="AP263" s="14"/>
      <c r="AQ263" s="14"/>
      <c r="AR263" s="14"/>
      <c r="AS263" s="14"/>
      <c r="AT263" s="14"/>
      <c r="AU263" s="47"/>
      <c r="AV263" s="14"/>
      <c r="AW263" s="19"/>
      <c r="AX263" s="14"/>
      <c r="AY263" s="14"/>
      <c r="AZ263" s="14"/>
      <c r="BA263" s="14"/>
      <c r="BB263" s="14"/>
      <c r="BC263" s="14"/>
      <c r="BD263" s="14"/>
      <c r="BE263" s="14"/>
      <c r="BF263" s="14"/>
      <c r="BG263" s="14"/>
      <c r="BH263" s="14"/>
      <c r="BI263" s="14"/>
      <c r="BJ263" s="47"/>
      <c r="BK263" s="19"/>
      <c r="BL263" s="19"/>
      <c r="BM263" s="14"/>
      <c r="BN263" s="14"/>
      <c r="BO263" s="14"/>
      <c r="BP263" s="14"/>
      <c r="BQ263" s="14"/>
      <c r="BR263" s="14"/>
      <c r="BS263" s="14"/>
      <c r="BT263" s="14"/>
      <c r="BU263" s="14"/>
      <c r="BV263" s="14"/>
      <c r="BW263" s="14"/>
      <c r="BX263" s="14"/>
      <c r="BY263" s="47"/>
      <c r="BZ263" s="14"/>
      <c r="CA263" s="14"/>
      <c r="CB263" s="21"/>
      <c r="CC263" s="21"/>
      <c r="CD263" s="180"/>
      <c r="CE263" s="180"/>
      <c r="CF263" s="21"/>
      <c r="CG263" s="14"/>
      <c r="CH263" s="14"/>
      <c r="CI263" s="14"/>
      <c r="CJ263" s="14"/>
      <c r="CK263" s="14"/>
      <c r="CL263" s="14"/>
      <c r="CM263" s="14"/>
      <c r="CN263" s="14"/>
      <c r="CO263" s="129"/>
      <c r="CP263" s="14"/>
      <c r="CQ263" s="47"/>
      <c r="CR263" s="14"/>
      <c r="CS263" s="14"/>
      <c r="CT263" s="14"/>
      <c r="CU263" s="14"/>
      <c r="CV263" s="180"/>
      <c r="CW263" s="189"/>
      <c r="CX263" s="189"/>
      <c r="CY263" s="14"/>
      <c r="CZ263" s="14"/>
      <c r="DA263" s="14"/>
      <c r="DB263" s="14"/>
      <c r="DC263" s="14"/>
      <c r="DD263" s="14"/>
      <c r="DE263" s="14"/>
      <c r="DF263" s="14"/>
      <c r="DG263" s="129"/>
      <c r="DH263" s="14"/>
      <c r="DI263" s="47"/>
      <c r="DJ263" s="14"/>
      <c r="DK263" s="19"/>
      <c r="DL263" s="40"/>
      <c r="DM263" s="41"/>
      <c r="DN263" s="40"/>
      <c r="DO263" s="40"/>
      <c r="DP263" s="40"/>
      <c r="DQ263" s="41"/>
      <c r="DR263" s="72"/>
      <c r="DS263" s="14"/>
      <c r="DT263" s="14"/>
      <c r="DU263" s="14"/>
      <c r="DV263" s="14"/>
      <c r="DW263" s="14"/>
      <c r="DX263" s="14"/>
      <c r="DY263" s="14"/>
      <c r="DZ263" s="14"/>
      <c r="EA263" s="14"/>
      <c r="EB263" s="14"/>
      <c r="EC263" s="14"/>
      <c r="ED263" s="14"/>
      <c r="EE263" s="14"/>
      <c r="EF263" s="14"/>
      <c r="EG263" s="14"/>
      <c r="EH263" s="14"/>
      <c r="EI263" s="14"/>
      <c r="EJ263" s="14"/>
      <c r="EK263" s="14"/>
      <c r="EL263" s="14"/>
    </row>
    <row r="264" spans="1:142" x14ac:dyDescent="0.25">
      <c r="A264" s="14"/>
      <c r="B264" s="19"/>
      <c r="C264" s="40"/>
      <c r="D264" s="41"/>
      <c r="E264" s="40"/>
      <c r="F264" s="40"/>
      <c r="G264" s="40"/>
      <c r="H264" s="41"/>
      <c r="I264" s="72"/>
      <c r="J264" s="14"/>
      <c r="K264" s="14"/>
      <c r="L264" s="14"/>
      <c r="M264" s="14"/>
      <c r="N264" s="14"/>
      <c r="O264" s="14"/>
      <c r="P264" s="14"/>
      <c r="Q264" s="47"/>
      <c r="R264" s="19"/>
      <c r="S264" s="19"/>
      <c r="T264" s="14"/>
      <c r="U264" s="14"/>
      <c r="V264" s="14"/>
      <c r="W264" s="14"/>
      <c r="X264" s="14"/>
      <c r="Y264" s="14"/>
      <c r="Z264" s="14"/>
      <c r="AA264" s="14"/>
      <c r="AB264" s="14"/>
      <c r="AC264" s="14"/>
      <c r="AD264" s="14"/>
      <c r="AE264" s="14"/>
      <c r="AF264" s="47"/>
      <c r="AG264" s="19"/>
      <c r="AH264" s="19"/>
      <c r="AI264" s="14"/>
      <c r="AJ264" s="14"/>
      <c r="AK264" s="14"/>
      <c r="AL264" s="14"/>
      <c r="AM264" s="14"/>
      <c r="AN264" s="14"/>
      <c r="AO264" s="14"/>
      <c r="AP264" s="14"/>
      <c r="AQ264" s="14"/>
      <c r="AR264" s="14"/>
      <c r="AS264" s="14"/>
      <c r="AT264" s="14"/>
      <c r="AU264" s="47"/>
      <c r="AV264" s="14"/>
      <c r="AW264" s="19"/>
      <c r="AX264" s="14"/>
      <c r="AY264" s="14"/>
      <c r="AZ264" s="14"/>
      <c r="BA264" s="14"/>
      <c r="BB264" s="14"/>
      <c r="BC264" s="14"/>
      <c r="BD264" s="14"/>
      <c r="BE264" s="14"/>
      <c r="BF264" s="14"/>
      <c r="BG264" s="14"/>
      <c r="BH264" s="14"/>
      <c r="BI264" s="14"/>
      <c r="BJ264" s="47"/>
      <c r="BK264" s="19"/>
      <c r="BL264" s="19"/>
      <c r="BM264" s="14"/>
      <c r="BN264" s="14"/>
      <c r="BO264" s="14"/>
      <c r="BP264" s="14"/>
      <c r="BQ264" s="14"/>
      <c r="BR264" s="14"/>
      <c r="BS264" s="14"/>
      <c r="BT264" s="14"/>
      <c r="BU264" s="14"/>
      <c r="BV264" s="14"/>
      <c r="BW264" s="14"/>
      <c r="BX264" s="14"/>
      <c r="BY264" s="47"/>
      <c r="BZ264" s="14"/>
      <c r="CA264" s="14"/>
      <c r="CB264" s="21"/>
      <c r="CC264" s="21"/>
      <c r="CD264" s="180"/>
      <c r="CE264" s="180"/>
      <c r="CF264" s="21"/>
      <c r="CG264" s="14"/>
      <c r="CH264" s="14"/>
      <c r="CI264" s="14"/>
      <c r="CJ264" s="14"/>
      <c r="CK264" s="14"/>
      <c r="CL264" s="14"/>
      <c r="CM264" s="14"/>
      <c r="CN264" s="14"/>
      <c r="CO264" s="129"/>
      <c r="CP264" s="14"/>
      <c r="CQ264" s="47"/>
      <c r="CR264" s="14"/>
      <c r="CS264" s="14"/>
      <c r="CT264" s="14"/>
      <c r="CU264" s="14"/>
      <c r="CV264" s="180"/>
      <c r="CW264" s="189"/>
      <c r="CX264" s="189"/>
      <c r="CY264" s="14"/>
      <c r="CZ264" s="14"/>
      <c r="DA264" s="14"/>
      <c r="DB264" s="14"/>
      <c r="DC264" s="14"/>
      <c r="DD264" s="14"/>
      <c r="DE264" s="14"/>
      <c r="DF264" s="14"/>
      <c r="DG264" s="129"/>
      <c r="DH264" s="14"/>
      <c r="DI264" s="47"/>
      <c r="DJ264" s="14"/>
      <c r="DK264" s="19"/>
      <c r="DL264" s="40"/>
      <c r="DM264" s="41"/>
      <c r="DN264" s="40"/>
      <c r="DO264" s="40"/>
      <c r="DP264" s="40"/>
      <c r="DQ264" s="41"/>
      <c r="DR264" s="72"/>
      <c r="DS264" s="14"/>
      <c r="DT264" s="14"/>
      <c r="DU264" s="14"/>
      <c r="DV264" s="14"/>
      <c r="DW264" s="14"/>
      <c r="DX264" s="14"/>
      <c r="DY264" s="14"/>
      <c r="DZ264" s="14"/>
      <c r="EA264" s="14"/>
      <c r="EB264" s="14"/>
      <c r="EC264" s="14"/>
      <c r="ED264" s="14"/>
      <c r="EE264" s="14"/>
      <c r="EF264" s="14"/>
      <c r="EG264" s="14"/>
      <c r="EH264" s="14"/>
      <c r="EI264" s="14"/>
      <c r="EJ264" s="14"/>
      <c r="EK264" s="14"/>
      <c r="EL264" s="14"/>
    </row>
    <row r="265" spans="1:142" x14ac:dyDescent="0.25">
      <c r="A265" s="14"/>
      <c r="B265" s="19"/>
      <c r="C265" s="40"/>
      <c r="D265" s="41"/>
      <c r="E265" s="40"/>
      <c r="F265" s="40"/>
      <c r="G265" s="40"/>
      <c r="H265" s="41"/>
      <c r="I265" s="72"/>
      <c r="J265" s="14"/>
      <c r="K265" s="14"/>
      <c r="L265" s="14"/>
      <c r="M265" s="14"/>
      <c r="N265" s="14"/>
      <c r="O265" s="14"/>
      <c r="P265" s="14"/>
      <c r="Q265" s="47"/>
      <c r="R265" s="19"/>
      <c r="S265" s="19"/>
      <c r="T265" s="14"/>
      <c r="U265" s="14"/>
      <c r="V265" s="14"/>
      <c r="W265" s="14"/>
      <c r="X265" s="14"/>
      <c r="Y265" s="14"/>
      <c r="Z265" s="14"/>
      <c r="AA265" s="14"/>
      <c r="AB265" s="14"/>
      <c r="AC265" s="14"/>
      <c r="AD265" s="14"/>
      <c r="AE265" s="14"/>
      <c r="AF265" s="47"/>
      <c r="AG265" s="19"/>
      <c r="AH265" s="19"/>
      <c r="AI265" s="14"/>
      <c r="AJ265" s="14"/>
      <c r="AK265" s="14"/>
      <c r="AL265" s="14"/>
      <c r="AM265" s="14"/>
      <c r="AN265" s="14"/>
      <c r="AO265" s="14"/>
      <c r="AP265" s="14"/>
      <c r="AQ265" s="14"/>
      <c r="AR265" s="14"/>
      <c r="AS265" s="14"/>
      <c r="AT265" s="14"/>
      <c r="AU265" s="47"/>
      <c r="AV265" s="14"/>
      <c r="AW265" s="19"/>
      <c r="AX265" s="14"/>
      <c r="AY265" s="14"/>
      <c r="AZ265" s="14"/>
      <c r="BA265" s="14"/>
      <c r="BB265" s="14"/>
      <c r="BC265" s="14"/>
      <c r="BD265" s="14"/>
      <c r="BE265" s="14"/>
      <c r="BF265" s="14"/>
      <c r="BG265" s="14"/>
      <c r="BH265" s="14"/>
      <c r="BI265" s="14"/>
      <c r="BJ265" s="47"/>
      <c r="BK265" s="19"/>
      <c r="BL265" s="19"/>
      <c r="BM265" s="14"/>
      <c r="BN265" s="14"/>
      <c r="BO265" s="14"/>
      <c r="BP265" s="14"/>
      <c r="BQ265" s="14"/>
      <c r="BR265" s="14"/>
      <c r="BS265" s="14"/>
      <c r="BT265" s="14"/>
      <c r="BU265" s="14"/>
      <c r="BV265" s="14"/>
      <c r="BW265" s="14"/>
      <c r="BX265" s="14"/>
      <c r="BY265" s="47"/>
      <c r="BZ265" s="14"/>
      <c r="CA265" s="14"/>
      <c r="CB265" s="21"/>
      <c r="CC265" s="21"/>
      <c r="CD265" s="180"/>
      <c r="CE265" s="180"/>
      <c r="CF265" s="21"/>
      <c r="CG265" s="14"/>
      <c r="CH265" s="14"/>
      <c r="CI265" s="14"/>
      <c r="CJ265" s="14"/>
      <c r="CK265" s="14"/>
      <c r="CL265" s="14"/>
      <c r="CM265" s="14"/>
      <c r="CN265" s="14"/>
      <c r="CO265" s="129"/>
      <c r="CP265" s="14"/>
      <c r="CQ265" s="47"/>
      <c r="CR265" s="14"/>
      <c r="CS265" s="14"/>
      <c r="CT265" s="14"/>
      <c r="CU265" s="14"/>
      <c r="CV265" s="180"/>
      <c r="CW265" s="189"/>
      <c r="CX265" s="189"/>
      <c r="CY265" s="14"/>
      <c r="CZ265" s="14"/>
      <c r="DA265" s="14"/>
      <c r="DB265" s="14"/>
      <c r="DC265" s="14"/>
      <c r="DD265" s="14"/>
      <c r="DE265" s="14"/>
      <c r="DF265" s="14"/>
      <c r="DG265" s="129"/>
      <c r="DH265" s="14"/>
      <c r="DI265" s="47"/>
      <c r="DJ265" s="14"/>
      <c r="DK265" s="19"/>
      <c r="DL265" s="40"/>
      <c r="DM265" s="41"/>
      <c r="DN265" s="40"/>
      <c r="DO265" s="40"/>
      <c r="DP265" s="40"/>
      <c r="DQ265" s="41"/>
      <c r="DR265" s="72"/>
      <c r="DS265" s="14"/>
      <c r="DT265" s="14"/>
      <c r="DU265" s="14"/>
      <c r="DV265" s="14"/>
      <c r="DW265" s="14"/>
      <c r="DX265" s="14"/>
      <c r="DY265" s="14"/>
      <c r="DZ265" s="14"/>
      <c r="EA265" s="14"/>
      <c r="EB265" s="14"/>
      <c r="EC265" s="14"/>
      <c r="ED265" s="14"/>
      <c r="EE265" s="14"/>
      <c r="EF265" s="14"/>
      <c r="EG265" s="14"/>
      <c r="EH265" s="14"/>
      <c r="EI265" s="14"/>
      <c r="EJ265" s="14"/>
      <c r="EK265" s="14"/>
      <c r="EL265" s="14"/>
    </row>
    <row r="266" spans="1:142" x14ac:dyDescent="0.25">
      <c r="A266" s="14"/>
      <c r="B266" s="19"/>
      <c r="C266" s="40"/>
      <c r="D266" s="41"/>
      <c r="E266" s="40"/>
      <c r="F266" s="40"/>
      <c r="G266" s="40"/>
      <c r="H266" s="41"/>
      <c r="I266" s="72"/>
      <c r="J266" s="14"/>
      <c r="K266" s="14"/>
      <c r="L266" s="14"/>
      <c r="M266" s="14"/>
      <c r="N266" s="14"/>
      <c r="O266" s="14"/>
      <c r="P266" s="14"/>
      <c r="Q266" s="47"/>
      <c r="R266" s="19"/>
      <c r="S266" s="19"/>
      <c r="T266" s="14"/>
      <c r="U266" s="14"/>
      <c r="V266" s="14"/>
      <c r="W266" s="14"/>
      <c r="X266" s="14"/>
      <c r="Y266" s="14"/>
      <c r="Z266" s="14"/>
      <c r="AA266" s="14"/>
      <c r="AB266" s="14"/>
      <c r="AC266" s="14"/>
      <c r="AD266" s="14"/>
      <c r="AE266" s="14"/>
      <c r="AF266" s="47"/>
      <c r="AG266" s="19"/>
      <c r="AH266" s="19"/>
      <c r="AI266" s="14"/>
      <c r="AJ266" s="14"/>
      <c r="AK266" s="14"/>
      <c r="AL266" s="14"/>
      <c r="AM266" s="14"/>
      <c r="AN266" s="14"/>
      <c r="AO266" s="14"/>
      <c r="AP266" s="14"/>
      <c r="AQ266" s="14"/>
      <c r="AR266" s="14"/>
      <c r="AS266" s="14"/>
      <c r="AT266" s="14"/>
      <c r="AU266" s="47"/>
      <c r="AV266" s="14"/>
      <c r="AW266" s="19"/>
      <c r="AX266" s="14"/>
      <c r="AY266" s="14"/>
      <c r="AZ266" s="14"/>
      <c r="BA266" s="14"/>
      <c r="BB266" s="14"/>
      <c r="BC266" s="14"/>
      <c r="BD266" s="14"/>
      <c r="BE266" s="14"/>
      <c r="BF266" s="14"/>
      <c r="BG266" s="14"/>
      <c r="BH266" s="14"/>
      <c r="BI266" s="14"/>
      <c r="BJ266" s="47"/>
      <c r="BK266" s="19"/>
      <c r="BL266" s="19"/>
      <c r="BM266" s="14"/>
      <c r="BN266" s="14"/>
      <c r="BO266" s="14"/>
      <c r="BP266" s="14"/>
      <c r="BQ266" s="14"/>
      <c r="BR266" s="14"/>
      <c r="BS266" s="14"/>
      <c r="BT266" s="14"/>
      <c r="BU266" s="14"/>
      <c r="BV266" s="14"/>
      <c r="BW266" s="14"/>
      <c r="BX266" s="14"/>
      <c r="BY266" s="47"/>
      <c r="BZ266" s="14"/>
      <c r="CA266" s="14"/>
      <c r="CB266" s="21"/>
      <c r="CC266" s="21"/>
      <c r="CD266" s="180"/>
      <c r="CE266" s="180"/>
      <c r="CF266" s="21"/>
      <c r="CG266" s="14"/>
      <c r="CH266" s="14"/>
      <c r="CI266" s="14"/>
      <c r="CJ266" s="14"/>
      <c r="CK266" s="14"/>
      <c r="CL266" s="14"/>
      <c r="CM266" s="14"/>
      <c r="CN266" s="14"/>
      <c r="CO266" s="129"/>
      <c r="CP266" s="14"/>
      <c r="CQ266" s="47"/>
      <c r="CR266" s="14"/>
      <c r="CS266" s="14"/>
      <c r="CT266" s="14"/>
      <c r="CU266" s="14"/>
      <c r="CV266" s="180"/>
      <c r="CW266" s="189"/>
      <c r="CX266" s="189"/>
      <c r="CY266" s="14"/>
      <c r="CZ266" s="14"/>
      <c r="DA266" s="14"/>
      <c r="DB266" s="14"/>
      <c r="DC266" s="14"/>
      <c r="DD266" s="14"/>
      <c r="DE266" s="14"/>
      <c r="DF266" s="14"/>
      <c r="DG266" s="129"/>
      <c r="DH266" s="14"/>
      <c r="DI266" s="47"/>
      <c r="DJ266" s="14"/>
      <c r="DK266" s="19"/>
      <c r="DL266" s="40"/>
      <c r="DM266" s="41"/>
      <c r="DN266" s="40"/>
      <c r="DO266" s="40"/>
      <c r="DP266" s="40"/>
      <c r="DQ266" s="41"/>
      <c r="DR266" s="72"/>
      <c r="DS266" s="14"/>
      <c r="DT266" s="14"/>
      <c r="DU266" s="14"/>
      <c r="DV266" s="14"/>
      <c r="DW266" s="14"/>
      <c r="DX266" s="14"/>
      <c r="DY266" s="14"/>
      <c r="DZ266" s="14"/>
      <c r="EA266" s="14"/>
      <c r="EB266" s="14"/>
      <c r="EC266" s="14"/>
      <c r="ED266" s="14"/>
      <c r="EE266" s="14"/>
      <c r="EF266" s="14"/>
      <c r="EG266" s="14"/>
      <c r="EH266" s="14"/>
      <c r="EI266" s="14"/>
      <c r="EJ266" s="14"/>
      <c r="EK266" s="14"/>
      <c r="EL266" s="14"/>
    </row>
    <row r="267" spans="1:142" x14ac:dyDescent="0.25">
      <c r="A267" s="14"/>
      <c r="B267" s="19"/>
      <c r="C267" s="40"/>
      <c r="D267" s="41"/>
      <c r="E267" s="40"/>
      <c r="F267" s="40"/>
      <c r="G267" s="40"/>
      <c r="H267" s="41"/>
      <c r="I267" s="72"/>
      <c r="J267" s="14"/>
      <c r="K267" s="14"/>
      <c r="L267" s="14"/>
      <c r="M267" s="14"/>
      <c r="N267" s="14"/>
      <c r="O267" s="14"/>
      <c r="P267" s="14"/>
      <c r="Q267" s="47"/>
      <c r="R267" s="19"/>
      <c r="S267" s="19"/>
      <c r="T267" s="14"/>
      <c r="U267" s="14"/>
      <c r="V267" s="14"/>
      <c r="W267" s="14"/>
      <c r="X267" s="14"/>
      <c r="Y267" s="14"/>
      <c r="Z267" s="14"/>
      <c r="AA267" s="14"/>
      <c r="AB267" s="14"/>
      <c r="AC267" s="14"/>
      <c r="AD267" s="14"/>
      <c r="AE267" s="14"/>
      <c r="AF267" s="47"/>
      <c r="AG267" s="19"/>
      <c r="AH267" s="19"/>
      <c r="AI267" s="14"/>
      <c r="AJ267" s="14"/>
      <c r="AK267" s="14"/>
      <c r="AL267" s="14"/>
      <c r="AM267" s="14"/>
      <c r="AN267" s="14"/>
      <c r="AO267" s="14"/>
      <c r="AP267" s="14"/>
      <c r="AQ267" s="14"/>
      <c r="AR267" s="14"/>
      <c r="AS267" s="14"/>
      <c r="AT267" s="14"/>
      <c r="AU267" s="47"/>
      <c r="AV267" s="14"/>
      <c r="AW267" s="19"/>
      <c r="AX267" s="14"/>
      <c r="AY267" s="14"/>
      <c r="AZ267" s="14"/>
      <c r="BA267" s="14"/>
      <c r="BB267" s="14"/>
      <c r="BC267" s="14"/>
      <c r="BD267" s="14"/>
      <c r="BE267" s="14"/>
      <c r="BF267" s="14"/>
      <c r="BG267" s="14"/>
      <c r="BH267" s="14"/>
      <c r="BI267" s="14"/>
      <c r="BJ267" s="47"/>
      <c r="BK267" s="19"/>
      <c r="BL267" s="19"/>
      <c r="BM267" s="14"/>
      <c r="BN267" s="14"/>
      <c r="BO267" s="14"/>
      <c r="BP267" s="14"/>
      <c r="BQ267" s="14"/>
      <c r="BR267" s="14"/>
      <c r="BS267" s="14"/>
      <c r="BT267" s="14"/>
      <c r="BU267" s="14"/>
      <c r="BV267" s="14"/>
      <c r="BW267" s="14"/>
      <c r="BX267" s="14"/>
      <c r="BY267" s="47"/>
      <c r="BZ267" s="14"/>
      <c r="CA267" s="14"/>
      <c r="CB267" s="21"/>
      <c r="CC267" s="21"/>
      <c r="CD267" s="180"/>
      <c r="CE267" s="180"/>
      <c r="CF267" s="21"/>
      <c r="CG267" s="14"/>
      <c r="CH267" s="14"/>
      <c r="CI267" s="14"/>
      <c r="CJ267" s="14"/>
      <c r="CK267" s="14"/>
      <c r="CL267" s="14"/>
      <c r="CM267" s="14"/>
      <c r="CN267" s="14"/>
      <c r="CO267" s="129"/>
      <c r="CP267" s="14"/>
      <c r="CQ267" s="47"/>
      <c r="CR267" s="14"/>
      <c r="CS267" s="14"/>
      <c r="CT267" s="14"/>
      <c r="CU267" s="14"/>
      <c r="CV267" s="180"/>
      <c r="CW267" s="189"/>
      <c r="CX267" s="189"/>
      <c r="CY267" s="14"/>
      <c r="CZ267" s="14"/>
      <c r="DA267" s="14"/>
      <c r="DB267" s="14"/>
      <c r="DC267" s="14"/>
      <c r="DD267" s="14"/>
      <c r="DE267" s="14"/>
      <c r="DF267" s="14"/>
      <c r="DG267" s="129"/>
      <c r="DH267" s="14"/>
      <c r="DI267" s="47"/>
      <c r="DJ267" s="14"/>
      <c r="DK267" s="19"/>
      <c r="DL267" s="40"/>
      <c r="DM267" s="41"/>
      <c r="DN267" s="40"/>
      <c r="DO267" s="40"/>
      <c r="DP267" s="40"/>
      <c r="DQ267" s="41"/>
      <c r="DR267" s="72"/>
      <c r="DS267" s="14"/>
      <c r="DT267" s="14"/>
      <c r="DU267" s="14"/>
      <c r="DV267" s="14"/>
      <c r="DW267" s="14"/>
      <c r="DX267" s="14"/>
      <c r="DY267" s="14"/>
      <c r="DZ267" s="14"/>
      <c r="EA267" s="14"/>
      <c r="EB267" s="14"/>
      <c r="EC267" s="14"/>
      <c r="ED267" s="14"/>
      <c r="EE267" s="14"/>
      <c r="EF267" s="14"/>
      <c r="EG267" s="14"/>
      <c r="EH267" s="14"/>
      <c r="EI267" s="14"/>
      <c r="EJ267" s="14"/>
      <c r="EK267" s="14"/>
      <c r="EL267" s="14"/>
    </row>
    <row r="268" spans="1:142" x14ac:dyDescent="0.25">
      <c r="A268" s="14"/>
      <c r="B268" s="19"/>
      <c r="C268" s="40"/>
      <c r="D268" s="41"/>
      <c r="E268" s="40"/>
      <c r="F268" s="40"/>
      <c r="G268" s="40"/>
      <c r="H268" s="41"/>
      <c r="I268" s="72"/>
      <c r="J268" s="14"/>
      <c r="K268" s="14"/>
      <c r="L268" s="14"/>
      <c r="M268" s="14"/>
      <c r="N268" s="14"/>
      <c r="O268" s="14"/>
      <c r="P268" s="14"/>
      <c r="Q268" s="47"/>
      <c r="R268" s="19"/>
      <c r="S268" s="19"/>
      <c r="T268" s="14"/>
      <c r="U268" s="14"/>
      <c r="V268" s="14"/>
      <c r="W268" s="14"/>
      <c r="X268" s="14"/>
      <c r="Y268" s="14"/>
      <c r="Z268" s="14"/>
      <c r="AA268" s="14"/>
      <c r="AB268" s="14"/>
      <c r="AC268" s="14"/>
      <c r="AD268" s="14"/>
      <c r="AE268" s="14"/>
      <c r="AF268" s="47"/>
      <c r="AG268" s="19"/>
      <c r="AH268" s="19"/>
      <c r="AI268" s="14"/>
      <c r="AJ268" s="14"/>
      <c r="AK268" s="14"/>
      <c r="AL268" s="14"/>
      <c r="AM268" s="14"/>
      <c r="AN268" s="14"/>
      <c r="AO268" s="14"/>
      <c r="AP268" s="14"/>
      <c r="AQ268" s="14"/>
      <c r="AR268" s="14"/>
      <c r="AS268" s="14"/>
      <c r="AT268" s="14"/>
      <c r="AU268" s="47"/>
      <c r="AV268" s="14"/>
      <c r="AW268" s="19"/>
      <c r="AX268" s="14"/>
      <c r="AY268" s="14"/>
      <c r="AZ268" s="14"/>
      <c r="BA268" s="14"/>
      <c r="BB268" s="14"/>
      <c r="BC268" s="14"/>
      <c r="BD268" s="14"/>
      <c r="BE268" s="14"/>
      <c r="BF268" s="14"/>
      <c r="BG268" s="14"/>
      <c r="BH268" s="14"/>
      <c r="BI268" s="14"/>
      <c r="BJ268" s="47"/>
      <c r="BK268" s="19"/>
      <c r="BL268" s="19"/>
      <c r="BM268" s="14"/>
      <c r="BN268" s="14"/>
      <c r="BO268" s="14"/>
      <c r="BP268" s="14"/>
      <c r="BQ268" s="14"/>
      <c r="BR268" s="14"/>
      <c r="BS268" s="14"/>
      <c r="BT268" s="14"/>
      <c r="BU268" s="14"/>
      <c r="BV268" s="14"/>
      <c r="BW268" s="14"/>
      <c r="BX268" s="14"/>
      <c r="BY268" s="47"/>
      <c r="BZ268" s="14"/>
      <c r="CA268" s="14"/>
      <c r="CB268" s="21"/>
      <c r="CC268" s="21"/>
      <c r="CD268" s="180"/>
      <c r="CE268" s="180"/>
      <c r="CF268" s="21"/>
      <c r="CG268" s="14"/>
      <c r="CH268" s="14"/>
      <c r="CI268" s="14"/>
      <c r="CJ268" s="14"/>
      <c r="CK268" s="14"/>
      <c r="CL268" s="14"/>
      <c r="CM268" s="14"/>
      <c r="CN268" s="14"/>
      <c r="CO268" s="129"/>
      <c r="CP268" s="14"/>
      <c r="CQ268" s="47"/>
      <c r="CR268" s="14"/>
      <c r="CS268" s="14"/>
      <c r="CT268" s="14"/>
      <c r="CU268" s="14"/>
      <c r="CV268" s="180"/>
      <c r="CW268" s="189"/>
      <c r="CX268" s="189"/>
      <c r="CY268" s="14"/>
      <c r="CZ268" s="14"/>
      <c r="DA268" s="14"/>
      <c r="DB268" s="14"/>
      <c r="DC268" s="14"/>
      <c r="DD268" s="14"/>
      <c r="DE268" s="14"/>
      <c r="DF268" s="14"/>
      <c r="DG268" s="129"/>
      <c r="DH268" s="14"/>
      <c r="DI268" s="47"/>
      <c r="DJ268" s="14"/>
      <c r="DK268" s="19"/>
      <c r="DL268" s="40"/>
      <c r="DM268" s="41"/>
      <c r="DN268" s="40"/>
      <c r="DO268" s="40"/>
      <c r="DP268" s="40"/>
      <c r="DQ268" s="41"/>
      <c r="DR268" s="72"/>
      <c r="DS268" s="14"/>
      <c r="DT268" s="14"/>
      <c r="DU268" s="14"/>
      <c r="DV268" s="14"/>
      <c r="DW268" s="14"/>
      <c r="DX268" s="14"/>
      <c r="DY268" s="14"/>
      <c r="DZ268" s="14"/>
      <c r="EA268" s="14"/>
      <c r="EB268" s="14"/>
      <c r="EC268" s="14"/>
      <c r="ED268" s="14"/>
      <c r="EE268" s="14"/>
      <c r="EF268" s="14"/>
      <c r="EG268" s="14"/>
      <c r="EH268" s="14"/>
      <c r="EI268" s="14"/>
      <c r="EJ268" s="14"/>
      <c r="EK268" s="14"/>
      <c r="EL268" s="14"/>
    </row>
    <row r="269" spans="1:142" x14ac:dyDescent="0.25">
      <c r="A269" s="14"/>
      <c r="B269" s="19"/>
      <c r="C269" s="40"/>
      <c r="D269" s="41"/>
      <c r="E269" s="40"/>
      <c r="F269" s="40"/>
      <c r="G269" s="40"/>
      <c r="H269" s="41"/>
      <c r="I269" s="72"/>
      <c r="J269" s="14"/>
      <c r="K269" s="14"/>
      <c r="L269" s="14"/>
      <c r="M269" s="14"/>
      <c r="N269" s="14"/>
      <c r="O269" s="14"/>
      <c r="P269" s="14"/>
      <c r="Q269" s="47"/>
      <c r="R269" s="19"/>
      <c r="S269" s="19"/>
      <c r="T269" s="14"/>
      <c r="U269" s="14"/>
      <c r="V269" s="14"/>
      <c r="W269" s="14"/>
      <c r="X269" s="14"/>
      <c r="Y269" s="14"/>
      <c r="Z269" s="14"/>
      <c r="AA269" s="14"/>
      <c r="AB269" s="14"/>
      <c r="AC269" s="14"/>
      <c r="AD269" s="14"/>
      <c r="AE269" s="14"/>
      <c r="AF269" s="47"/>
      <c r="AG269" s="19"/>
      <c r="AH269" s="19"/>
      <c r="AI269" s="14"/>
      <c r="AJ269" s="14"/>
      <c r="AK269" s="14"/>
      <c r="AL269" s="14"/>
      <c r="AM269" s="14"/>
      <c r="AN269" s="14"/>
      <c r="AO269" s="14"/>
      <c r="AP269" s="14"/>
      <c r="AQ269" s="14"/>
      <c r="AR269" s="14"/>
      <c r="AS269" s="14"/>
      <c r="AT269" s="14"/>
      <c r="AU269" s="47"/>
      <c r="AV269" s="14"/>
      <c r="AW269" s="19"/>
      <c r="AX269" s="14"/>
      <c r="AY269" s="14"/>
      <c r="AZ269" s="14"/>
      <c r="BA269" s="14"/>
      <c r="BB269" s="14"/>
      <c r="BC269" s="14"/>
      <c r="BD269" s="14"/>
      <c r="BE269" s="14"/>
      <c r="BF269" s="14"/>
      <c r="BG269" s="14"/>
      <c r="BH269" s="14"/>
      <c r="BI269" s="14"/>
      <c r="BJ269" s="47"/>
      <c r="BK269" s="19"/>
      <c r="BL269" s="19"/>
      <c r="BM269" s="14"/>
      <c r="BN269" s="14"/>
      <c r="BO269" s="14"/>
      <c r="BP269" s="14"/>
      <c r="BQ269" s="14"/>
      <c r="BR269" s="14"/>
      <c r="BS269" s="14"/>
      <c r="BT269" s="14"/>
      <c r="BU269" s="14"/>
      <c r="BV269" s="14"/>
      <c r="BW269" s="14"/>
      <c r="BX269" s="14"/>
      <c r="BY269" s="47"/>
      <c r="BZ269" s="14"/>
      <c r="CA269" s="14"/>
      <c r="CB269" s="21"/>
      <c r="CC269" s="21"/>
      <c r="CD269" s="180"/>
      <c r="CE269" s="180"/>
      <c r="CF269" s="21"/>
      <c r="CG269" s="14"/>
      <c r="CH269" s="14"/>
      <c r="CI269" s="14"/>
      <c r="CJ269" s="14"/>
      <c r="CK269" s="14"/>
      <c r="CL269" s="14"/>
      <c r="CM269" s="14"/>
      <c r="CN269" s="14"/>
      <c r="CO269" s="129"/>
      <c r="CP269" s="14"/>
      <c r="CQ269" s="47"/>
      <c r="CR269" s="14"/>
      <c r="CS269" s="14"/>
      <c r="CT269" s="14"/>
      <c r="CU269" s="14"/>
      <c r="CV269" s="180"/>
      <c r="CW269" s="189"/>
      <c r="CX269" s="189"/>
      <c r="CY269" s="14"/>
      <c r="CZ269" s="14"/>
      <c r="DA269" s="14"/>
      <c r="DB269" s="14"/>
      <c r="DC269" s="14"/>
      <c r="DD269" s="14"/>
      <c r="DE269" s="14"/>
      <c r="DF269" s="14"/>
      <c r="DG269" s="129"/>
      <c r="DH269" s="14"/>
      <c r="DI269" s="47"/>
      <c r="DJ269" s="14"/>
      <c r="DK269" s="19"/>
      <c r="DL269" s="40"/>
      <c r="DM269" s="41"/>
      <c r="DN269" s="40"/>
      <c r="DO269" s="40"/>
      <c r="DP269" s="40"/>
      <c r="DQ269" s="41"/>
      <c r="DR269" s="72"/>
      <c r="DS269" s="14"/>
      <c r="DT269" s="14"/>
      <c r="DU269" s="14"/>
      <c r="DV269" s="14"/>
      <c r="DW269" s="14"/>
      <c r="DX269" s="14"/>
      <c r="DY269" s="14"/>
      <c r="DZ269" s="14"/>
      <c r="EA269" s="14"/>
      <c r="EB269" s="14"/>
      <c r="EC269" s="14"/>
      <c r="ED269" s="14"/>
      <c r="EE269" s="14"/>
      <c r="EF269" s="14"/>
      <c r="EG269" s="14"/>
      <c r="EH269" s="14"/>
      <c r="EI269" s="14"/>
      <c r="EJ269" s="14"/>
      <c r="EK269" s="14"/>
      <c r="EL269" s="14"/>
    </row>
    <row r="270" spans="1:142" x14ac:dyDescent="0.25">
      <c r="A270" s="14"/>
      <c r="B270" s="19"/>
      <c r="C270" s="40"/>
      <c r="D270" s="41"/>
      <c r="E270" s="40"/>
      <c r="F270" s="40"/>
      <c r="G270" s="40"/>
      <c r="H270" s="41"/>
      <c r="I270" s="72"/>
      <c r="J270" s="14"/>
      <c r="K270" s="14"/>
      <c r="L270" s="14"/>
      <c r="M270" s="14"/>
      <c r="N270" s="14"/>
      <c r="O270" s="14"/>
      <c r="P270" s="14"/>
      <c r="Q270" s="47"/>
      <c r="R270" s="19"/>
      <c r="S270" s="19"/>
      <c r="T270" s="14"/>
      <c r="U270" s="14"/>
      <c r="V270" s="14"/>
      <c r="W270" s="14"/>
      <c r="X270" s="14"/>
      <c r="Y270" s="14"/>
      <c r="Z270" s="14"/>
      <c r="AA270" s="14"/>
      <c r="AB270" s="14"/>
      <c r="AC270" s="14"/>
      <c r="AD270" s="14"/>
      <c r="AE270" s="14"/>
      <c r="AF270" s="47"/>
      <c r="AG270" s="19"/>
      <c r="AH270" s="19"/>
      <c r="AI270" s="14"/>
      <c r="AJ270" s="14"/>
      <c r="AK270" s="14"/>
      <c r="AL270" s="14"/>
      <c r="AM270" s="14"/>
      <c r="AN270" s="14"/>
      <c r="AO270" s="14"/>
      <c r="AP270" s="14"/>
      <c r="AQ270" s="14"/>
      <c r="AR270" s="14"/>
      <c r="AS270" s="14"/>
      <c r="AT270" s="14"/>
      <c r="AU270" s="47"/>
      <c r="AV270" s="14"/>
      <c r="AW270" s="19"/>
      <c r="AX270" s="14"/>
      <c r="AY270" s="14"/>
      <c r="AZ270" s="14"/>
      <c r="BA270" s="14"/>
      <c r="BB270" s="14"/>
      <c r="BC270" s="14"/>
      <c r="BD270" s="14"/>
      <c r="BE270" s="14"/>
      <c r="BF270" s="14"/>
      <c r="BG270" s="14"/>
      <c r="BH270" s="14"/>
      <c r="BI270" s="14"/>
      <c r="BJ270" s="47"/>
      <c r="BK270" s="19"/>
      <c r="BL270" s="19"/>
      <c r="BM270" s="14"/>
      <c r="BN270" s="14"/>
      <c r="BO270" s="14"/>
      <c r="BP270" s="14"/>
      <c r="BQ270" s="14"/>
      <c r="BR270" s="14"/>
      <c r="BS270" s="14"/>
      <c r="BT270" s="14"/>
      <c r="BU270" s="14"/>
      <c r="BV270" s="14"/>
      <c r="BW270" s="14"/>
      <c r="BX270" s="14"/>
      <c r="BY270" s="47"/>
      <c r="BZ270" s="14"/>
      <c r="CA270" s="14"/>
      <c r="CB270" s="21"/>
      <c r="CC270" s="21"/>
      <c r="CD270" s="180"/>
      <c r="CE270" s="180"/>
      <c r="CF270" s="21"/>
      <c r="CG270" s="14"/>
      <c r="CH270" s="14"/>
      <c r="CI270" s="14"/>
      <c r="CJ270" s="14"/>
      <c r="CK270" s="14"/>
      <c r="CL270" s="14"/>
      <c r="CM270" s="14"/>
      <c r="CN270" s="14"/>
      <c r="CO270" s="129"/>
      <c r="CP270" s="14"/>
      <c r="CQ270" s="47"/>
      <c r="CR270" s="14"/>
      <c r="CS270" s="14"/>
      <c r="CT270" s="14"/>
      <c r="CU270" s="14"/>
      <c r="CV270" s="180"/>
      <c r="CW270" s="189"/>
      <c r="CX270" s="189"/>
      <c r="CY270" s="14"/>
      <c r="CZ270" s="14"/>
      <c r="DA270" s="14"/>
      <c r="DB270" s="14"/>
      <c r="DC270" s="14"/>
      <c r="DD270" s="14"/>
      <c r="DE270" s="14"/>
      <c r="DF270" s="14"/>
      <c r="DG270" s="129"/>
      <c r="DH270" s="14"/>
      <c r="DI270" s="47"/>
      <c r="DJ270" s="14"/>
      <c r="DK270" s="19"/>
      <c r="DL270" s="40"/>
      <c r="DM270" s="41"/>
      <c r="DN270" s="40"/>
      <c r="DO270" s="40"/>
      <c r="DP270" s="40"/>
      <c r="DQ270" s="41"/>
      <c r="DR270" s="72"/>
      <c r="DS270" s="14"/>
      <c r="DT270" s="14"/>
      <c r="DU270" s="14"/>
      <c r="DV270" s="14"/>
      <c r="DW270" s="14"/>
      <c r="DX270" s="14"/>
      <c r="DY270" s="14"/>
      <c r="DZ270" s="14"/>
      <c r="EA270" s="14"/>
      <c r="EB270" s="14"/>
      <c r="EC270" s="14"/>
      <c r="ED270" s="14"/>
      <c r="EE270" s="14"/>
      <c r="EF270" s="14"/>
      <c r="EG270" s="14"/>
      <c r="EH270" s="14"/>
      <c r="EI270" s="14"/>
      <c r="EJ270" s="14"/>
      <c r="EK270" s="14"/>
      <c r="EL270" s="14"/>
    </row>
    <row r="271" spans="1:142" x14ac:dyDescent="0.25">
      <c r="A271" s="14"/>
      <c r="B271" s="19"/>
      <c r="C271" s="40"/>
      <c r="D271" s="41"/>
      <c r="E271" s="40"/>
      <c r="F271" s="40"/>
      <c r="G271" s="40"/>
      <c r="H271" s="41"/>
      <c r="I271" s="72"/>
      <c r="J271" s="14"/>
      <c r="K271" s="14"/>
      <c r="L271" s="14"/>
      <c r="M271" s="14"/>
      <c r="N271" s="14"/>
      <c r="O271" s="14"/>
      <c r="P271" s="14"/>
      <c r="Q271" s="47"/>
      <c r="R271" s="19"/>
      <c r="S271" s="19"/>
      <c r="T271" s="14"/>
      <c r="U271" s="14"/>
      <c r="V271" s="14"/>
      <c r="W271" s="14"/>
      <c r="X271" s="14"/>
      <c r="Y271" s="14"/>
      <c r="Z271" s="14"/>
      <c r="AA271" s="14"/>
      <c r="AB271" s="14"/>
      <c r="AC271" s="14"/>
      <c r="AD271" s="14"/>
      <c r="AE271" s="14"/>
      <c r="AF271" s="47"/>
      <c r="AG271" s="19"/>
      <c r="AH271" s="19"/>
      <c r="AI271" s="14"/>
      <c r="AJ271" s="14"/>
      <c r="AK271" s="14"/>
      <c r="AL271" s="14"/>
      <c r="AM271" s="14"/>
      <c r="AN271" s="14"/>
      <c r="AO271" s="14"/>
      <c r="AP271" s="14"/>
      <c r="AQ271" s="14"/>
      <c r="AR271" s="14"/>
      <c r="AS271" s="14"/>
      <c r="AT271" s="14"/>
      <c r="AU271" s="47"/>
      <c r="AV271" s="14"/>
      <c r="AW271" s="19"/>
      <c r="AX271" s="14"/>
      <c r="AY271" s="14"/>
      <c r="AZ271" s="14"/>
      <c r="BA271" s="14"/>
      <c r="BB271" s="14"/>
      <c r="BC271" s="14"/>
      <c r="BD271" s="14"/>
      <c r="BE271" s="14"/>
      <c r="BF271" s="14"/>
      <c r="BG271" s="14"/>
      <c r="BH271" s="14"/>
      <c r="BI271" s="14"/>
      <c r="BJ271" s="47"/>
      <c r="BK271" s="19"/>
      <c r="BL271" s="19"/>
      <c r="BM271" s="14"/>
      <c r="BN271" s="14"/>
      <c r="BO271" s="14"/>
      <c r="BP271" s="14"/>
      <c r="BQ271" s="14"/>
      <c r="BR271" s="14"/>
      <c r="BS271" s="14"/>
      <c r="BT271" s="14"/>
      <c r="BU271" s="14"/>
      <c r="BV271" s="14"/>
      <c r="BW271" s="14"/>
      <c r="BX271" s="14"/>
      <c r="BY271" s="47"/>
      <c r="BZ271" s="14"/>
      <c r="CA271" s="14"/>
      <c r="CB271" s="21"/>
      <c r="CC271" s="21"/>
      <c r="CD271" s="180"/>
      <c r="CE271" s="180"/>
      <c r="CF271" s="21"/>
      <c r="CG271" s="14"/>
      <c r="CH271" s="14"/>
      <c r="CI271" s="14"/>
      <c r="CJ271" s="14"/>
      <c r="CK271" s="14"/>
      <c r="CL271" s="14"/>
      <c r="CM271" s="14"/>
      <c r="CN271" s="14"/>
      <c r="CO271" s="129"/>
      <c r="CP271" s="14"/>
      <c r="CQ271" s="47"/>
      <c r="CR271" s="14"/>
      <c r="CS271" s="14"/>
      <c r="CT271" s="14"/>
      <c r="CU271" s="14"/>
      <c r="CV271" s="180"/>
      <c r="CW271" s="189"/>
      <c r="CX271" s="189"/>
      <c r="CY271" s="14"/>
      <c r="CZ271" s="14"/>
      <c r="DA271" s="14"/>
      <c r="DB271" s="14"/>
      <c r="DC271" s="14"/>
      <c r="DD271" s="14"/>
      <c r="DE271" s="14"/>
      <c r="DF271" s="14"/>
      <c r="DG271" s="129"/>
      <c r="DH271" s="14"/>
      <c r="DI271" s="47"/>
      <c r="DJ271" s="14"/>
      <c r="DK271" s="19"/>
      <c r="DL271" s="40"/>
      <c r="DM271" s="41"/>
      <c r="DN271" s="40"/>
      <c r="DO271" s="40"/>
      <c r="DP271" s="40"/>
      <c r="DQ271" s="41"/>
      <c r="DR271" s="72"/>
      <c r="DS271" s="14"/>
      <c r="DT271" s="14"/>
      <c r="DU271" s="14"/>
      <c r="DV271" s="14"/>
      <c r="DW271" s="14"/>
      <c r="DX271" s="14"/>
      <c r="DY271" s="14"/>
      <c r="DZ271" s="14"/>
      <c r="EA271" s="14"/>
      <c r="EB271" s="14"/>
      <c r="EC271" s="14"/>
      <c r="ED271" s="14"/>
      <c r="EE271" s="14"/>
      <c r="EF271" s="14"/>
      <c r="EG271" s="14"/>
      <c r="EH271" s="14"/>
      <c r="EI271" s="14"/>
      <c r="EJ271" s="14"/>
      <c r="EK271" s="14"/>
      <c r="EL271" s="14"/>
    </row>
    <row r="272" spans="1:142" x14ac:dyDescent="0.25">
      <c r="A272" s="14"/>
      <c r="B272" s="19"/>
      <c r="C272" s="40"/>
      <c r="D272" s="41"/>
      <c r="E272" s="40"/>
      <c r="F272" s="40"/>
      <c r="G272" s="40"/>
      <c r="H272" s="41"/>
      <c r="I272" s="72"/>
      <c r="J272" s="14"/>
      <c r="K272" s="14"/>
      <c r="L272" s="14"/>
      <c r="M272" s="14"/>
      <c r="N272" s="14"/>
      <c r="O272" s="14"/>
      <c r="P272" s="14"/>
      <c r="Q272" s="47"/>
      <c r="R272" s="19"/>
      <c r="S272" s="19"/>
      <c r="T272" s="14"/>
      <c r="U272" s="14"/>
      <c r="V272" s="14"/>
      <c r="W272" s="14"/>
      <c r="X272" s="14"/>
      <c r="Y272" s="14"/>
      <c r="Z272" s="14"/>
      <c r="AA272" s="14"/>
      <c r="AB272" s="14"/>
      <c r="AC272" s="14"/>
      <c r="AD272" s="14"/>
      <c r="AE272" s="14"/>
      <c r="AF272" s="47"/>
      <c r="AG272" s="19"/>
      <c r="AH272" s="19"/>
      <c r="AI272" s="14"/>
      <c r="AJ272" s="14"/>
      <c r="AK272" s="14"/>
      <c r="AL272" s="14"/>
      <c r="AM272" s="14"/>
      <c r="AN272" s="14"/>
      <c r="AO272" s="14"/>
      <c r="AP272" s="14"/>
      <c r="AQ272" s="14"/>
      <c r="AR272" s="14"/>
      <c r="AS272" s="14"/>
      <c r="AT272" s="14"/>
      <c r="AU272" s="47"/>
      <c r="AV272" s="14"/>
      <c r="AW272" s="19"/>
      <c r="AX272" s="14"/>
      <c r="AY272" s="14"/>
      <c r="AZ272" s="14"/>
      <c r="BA272" s="14"/>
      <c r="BB272" s="14"/>
      <c r="BC272" s="14"/>
      <c r="BD272" s="14"/>
      <c r="BE272" s="14"/>
      <c r="BF272" s="14"/>
      <c r="BG272" s="14"/>
      <c r="BH272" s="14"/>
      <c r="BI272" s="14"/>
      <c r="BJ272" s="47"/>
      <c r="BK272" s="19"/>
      <c r="BL272" s="19"/>
      <c r="BM272" s="14"/>
      <c r="BN272" s="14"/>
      <c r="BO272" s="14"/>
      <c r="BP272" s="14"/>
      <c r="BQ272" s="14"/>
      <c r="BR272" s="14"/>
      <c r="BS272" s="14"/>
      <c r="BT272" s="14"/>
      <c r="BU272" s="14"/>
      <c r="BV272" s="14"/>
      <c r="BW272" s="14"/>
      <c r="BX272" s="14"/>
      <c r="BY272" s="47"/>
      <c r="BZ272" s="14"/>
      <c r="CA272" s="14"/>
      <c r="CB272" s="21"/>
      <c r="CC272" s="21"/>
      <c r="CD272" s="180"/>
      <c r="CE272" s="180"/>
      <c r="CF272" s="21"/>
      <c r="CG272" s="14"/>
      <c r="CH272" s="14"/>
      <c r="CI272" s="14"/>
      <c r="CJ272" s="14"/>
      <c r="CK272" s="14"/>
      <c r="CL272" s="14"/>
      <c r="CM272" s="14"/>
      <c r="CN272" s="14"/>
      <c r="CO272" s="129"/>
      <c r="CP272" s="14"/>
      <c r="CQ272" s="47"/>
      <c r="CR272" s="14"/>
      <c r="CS272" s="14"/>
      <c r="CT272" s="14"/>
      <c r="CU272" s="14"/>
      <c r="CV272" s="180"/>
      <c r="CW272" s="189"/>
      <c r="CX272" s="189"/>
      <c r="CY272" s="14"/>
      <c r="CZ272" s="14"/>
      <c r="DA272" s="14"/>
      <c r="DB272" s="14"/>
      <c r="DC272" s="14"/>
      <c r="DD272" s="14"/>
      <c r="DE272" s="14"/>
      <c r="DF272" s="14"/>
      <c r="DG272" s="129"/>
      <c r="DH272" s="14"/>
      <c r="DI272" s="47"/>
      <c r="DJ272" s="14"/>
      <c r="DK272" s="19"/>
      <c r="DL272" s="40"/>
      <c r="DM272" s="41"/>
      <c r="DN272" s="40"/>
      <c r="DO272" s="40"/>
      <c r="DP272" s="40"/>
      <c r="DQ272" s="41"/>
      <c r="DR272" s="72"/>
      <c r="DS272" s="14"/>
      <c r="DT272" s="14"/>
      <c r="DU272" s="14"/>
      <c r="DV272" s="14"/>
      <c r="DW272" s="14"/>
      <c r="DX272" s="14"/>
      <c r="DY272" s="14"/>
      <c r="DZ272" s="14"/>
      <c r="EA272" s="14"/>
      <c r="EB272" s="14"/>
      <c r="EC272" s="14"/>
      <c r="ED272" s="14"/>
      <c r="EE272" s="14"/>
      <c r="EF272" s="14"/>
      <c r="EG272" s="14"/>
      <c r="EH272" s="14"/>
      <c r="EI272" s="14"/>
      <c r="EJ272" s="14"/>
      <c r="EK272" s="14"/>
      <c r="EL272" s="14"/>
    </row>
    <row r="273" spans="1:142" x14ac:dyDescent="0.25">
      <c r="A273" s="14"/>
      <c r="B273" s="19"/>
      <c r="C273" s="40"/>
      <c r="D273" s="41"/>
      <c r="E273" s="40"/>
      <c r="F273" s="40"/>
      <c r="G273" s="40"/>
      <c r="H273" s="41"/>
      <c r="I273" s="72"/>
      <c r="J273" s="14"/>
      <c r="K273" s="14"/>
      <c r="L273" s="14"/>
      <c r="M273" s="14"/>
      <c r="N273" s="14"/>
      <c r="O273" s="14"/>
      <c r="P273" s="14"/>
      <c r="Q273" s="47"/>
      <c r="R273" s="19"/>
      <c r="S273" s="19"/>
      <c r="T273" s="14"/>
      <c r="U273" s="14"/>
      <c r="V273" s="14"/>
      <c r="W273" s="14"/>
      <c r="X273" s="14"/>
      <c r="Y273" s="14"/>
      <c r="Z273" s="14"/>
      <c r="AA273" s="14"/>
      <c r="AB273" s="14"/>
      <c r="AC273" s="14"/>
      <c r="AD273" s="14"/>
      <c r="AE273" s="14"/>
      <c r="AF273" s="47"/>
      <c r="AG273" s="19"/>
      <c r="AH273" s="19"/>
      <c r="AI273" s="14"/>
      <c r="AJ273" s="14"/>
      <c r="AK273" s="14"/>
      <c r="AL273" s="14"/>
      <c r="AM273" s="14"/>
      <c r="AN273" s="14"/>
      <c r="AO273" s="14"/>
      <c r="AP273" s="14"/>
      <c r="AQ273" s="14"/>
      <c r="AR273" s="14"/>
      <c r="AS273" s="14"/>
      <c r="AT273" s="14"/>
      <c r="AU273" s="47"/>
      <c r="AV273" s="14"/>
      <c r="AW273" s="19"/>
      <c r="AX273" s="14"/>
      <c r="AY273" s="14"/>
      <c r="AZ273" s="14"/>
      <c r="BA273" s="14"/>
      <c r="BB273" s="14"/>
      <c r="BC273" s="14"/>
      <c r="BD273" s="14"/>
      <c r="BE273" s="14"/>
      <c r="BF273" s="14"/>
      <c r="BG273" s="14"/>
      <c r="BH273" s="14"/>
      <c r="BI273" s="14"/>
      <c r="BJ273" s="47"/>
      <c r="BK273" s="19"/>
      <c r="BL273" s="19"/>
      <c r="BM273" s="14"/>
      <c r="BN273" s="14"/>
      <c r="BO273" s="14"/>
      <c r="BP273" s="14"/>
      <c r="BQ273" s="14"/>
      <c r="BR273" s="14"/>
      <c r="BS273" s="14"/>
      <c r="BT273" s="14"/>
      <c r="BU273" s="14"/>
      <c r="BV273" s="14"/>
      <c r="BW273" s="14"/>
      <c r="BX273" s="14"/>
      <c r="BY273" s="47"/>
      <c r="BZ273" s="14"/>
      <c r="CA273" s="14"/>
      <c r="CB273" s="21"/>
      <c r="CC273" s="21"/>
      <c r="CD273" s="180"/>
      <c r="CE273" s="180"/>
      <c r="CF273" s="21"/>
      <c r="CG273" s="14"/>
      <c r="CH273" s="14"/>
      <c r="CI273" s="14"/>
      <c r="CJ273" s="14"/>
      <c r="CK273" s="14"/>
      <c r="CL273" s="14"/>
      <c r="CM273" s="14"/>
      <c r="CN273" s="14"/>
      <c r="CO273" s="129"/>
      <c r="CP273" s="14"/>
      <c r="CQ273" s="47"/>
      <c r="CR273" s="14"/>
      <c r="CS273" s="14"/>
      <c r="CT273" s="14"/>
      <c r="CU273" s="14"/>
      <c r="CV273" s="180"/>
      <c r="CW273" s="189"/>
      <c r="CX273" s="189"/>
      <c r="CY273" s="14"/>
      <c r="CZ273" s="14"/>
      <c r="DA273" s="14"/>
      <c r="DB273" s="14"/>
      <c r="DC273" s="14"/>
      <c r="DD273" s="14"/>
      <c r="DE273" s="14"/>
      <c r="DF273" s="14"/>
      <c r="DG273" s="129"/>
      <c r="DH273" s="14"/>
      <c r="DI273" s="47"/>
      <c r="DJ273" s="14"/>
      <c r="DK273" s="19"/>
      <c r="DL273" s="40"/>
      <c r="DM273" s="41"/>
      <c r="DN273" s="40"/>
      <c r="DO273" s="40"/>
      <c r="DP273" s="40"/>
      <c r="DQ273" s="41"/>
      <c r="DR273" s="72"/>
      <c r="DS273" s="14"/>
      <c r="DT273" s="14"/>
      <c r="DU273" s="14"/>
      <c r="DV273" s="14"/>
      <c r="DW273" s="14"/>
      <c r="DX273" s="14"/>
      <c r="DY273" s="14"/>
      <c r="DZ273" s="14"/>
      <c r="EA273" s="14"/>
      <c r="EB273" s="14"/>
      <c r="EC273" s="14"/>
      <c r="ED273" s="14"/>
      <c r="EE273" s="14"/>
      <c r="EF273" s="14"/>
      <c r="EG273" s="14"/>
      <c r="EH273" s="14"/>
      <c r="EI273" s="14"/>
      <c r="EJ273" s="14"/>
      <c r="EK273" s="14"/>
      <c r="EL273" s="14"/>
    </row>
    <row r="274" spans="1:142" x14ac:dyDescent="0.25">
      <c r="A274" s="14"/>
      <c r="B274" s="19"/>
      <c r="C274" s="40"/>
      <c r="D274" s="41"/>
      <c r="E274" s="40"/>
      <c r="F274" s="40"/>
      <c r="G274" s="40"/>
      <c r="H274" s="41"/>
      <c r="I274" s="72"/>
      <c r="J274" s="14"/>
      <c r="K274" s="14"/>
      <c r="L274" s="14"/>
      <c r="M274" s="14"/>
      <c r="N274" s="14"/>
      <c r="O274" s="14"/>
      <c r="P274" s="14"/>
      <c r="Q274" s="47"/>
      <c r="R274" s="19"/>
      <c r="S274" s="19"/>
      <c r="T274" s="14"/>
      <c r="U274" s="14"/>
      <c r="V274" s="14"/>
      <c r="W274" s="14"/>
      <c r="X274" s="14"/>
      <c r="Y274" s="14"/>
      <c r="Z274" s="14"/>
      <c r="AA274" s="14"/>
      <c r="AB274" s="14"/>
      <c r="AC274" s="14"/>
      <c r="AD274" s="14"/>
      <c r="AE274" s="14"/>
      <c r="AF274" s="47"/>
      <c r="AG274" s="19"/>
      <c r="AH274" s="19"/>
      <c r="AI274" s="14"/>
      <c r="AJ274" s="14"/>
      <c r="AK274" s="14"/>
      <c r="AL274" s="14"/>
      <c r="AM274" s="14"/>
      <c r="AN274" s="14"/>
      <c r="AO274" s="14"/>
      <c r="AP274" s="14"/>
      <c r="AQ274" s="14"/>
      <c r="AR274" s="14"/>
      <c r="AS274" s="14"/>
      <c r="AT274" s="14"/>
      <c r="AU274" s="47"/>
      <c r="AV274" s="14"/>
      <c r="AW274" s="19"/>
      <c r="AX274" s="14"/>
      <c r="AY274" s="14"/>
      <c r="AZ274" s="14"/>
      <c r="BA274" s="14"/>
      <c r="BB274" s="14"/>
      <c r="BC274" s="14"/>
      <c r="BD274" s="14"/>
      <c r="BE274" s="14"/>
      <c r="BF274" s="14"/>
      <c r="BG274" s="14"/>
      <c r="BH274" s="14"/>
      <c r="BI274" s="14"/>
      <c r="BJ274" s="47"/>
      <c r="BK274" s="19"/>
      <c r="BL274" s="19"/>
      <c r="BM274" s="14"/>
      <c r="BN274" s="14"/>
      <c r="BO274" s="14"/>
      <c r="BP274" s="14"/>
      <c r="BQ274" s="14"/>
      <c r="BR274" s="14"/>
      <c r="BS274" s="14"/>
      <c r="BT274" s="14"/>
      <c r="BU274" s="14"/>
      <c r="BV274" s="14"/>
      <c r="BW274" s="14"/>
      <c r="BX274" s="14"/>
      <c r="BY274" s="47"/>
      <c r="BZ274" s="14"/>
      <c r="CA274" s="14"/>
      <c r="CB274" s="21"/>
      <c r="CC274" s="21"/>
      <c r="CD274" s="180"/>
      <c r="CE274" s="180"/>
      <c r="CF274" s="21"/>
      <c r="CG274" s="14"/>
      <c r="CH274" s="14"/>
      <c r="CI274" s="14"/>
      <c r="CJ274" s="14"/>
      <c r="CK274" s="14"/>
      <c r="CL274" s="14"/>
      <c r="CM274" s="14"/>
      <c r="CN274" s="14"/>
      <c r="CO274" s="129"/>
      <c r="CP274" s="14"/>
      <c r="CQ274" s="47"/>
      <c r="CR274" s="14"/>
      <c r="CS274" s="14"/>
      <c r="CT274" s="14"/>
      <c r="CU274" s="14"/>
      <c r="CV274" s="180"/>
      <c r="CW274" s="189"/>
      <c r="CX274" s="189"/>
      <c r="CY274" s="14"/>
      <c r="CZ274" s="14"/>
      <c r="DA274" s="14"/>
      <c r="DB274" s="14"/>
      <c r="DC274" s="14"/>
      <c r="DD274" s="14"/>
      <c r="DE274" s="14"/>
      <c r="DF274" s="14"/>
      <c r="DG274" s="129"/>
      <c r="DH274" s="14"/>
      <c r="DI274" s="47"/>
      <c r="DJ274" s="14"/>
      <c r="DK274" s="19"/>
      <c r="DL274" s="40"/>
      <c r="DM274" s="41"/>
      <c r="DN274" s="40"/>
      <c r="DO274" s="40"/>
      <c r="DP274" s="40"/>
      <c r="DQ274" s="41"/>
      <c r="DR274" s="72"/>
      <c r="DS274" s="14"/>
      <c r="DT274" s="14"/>
      <c r="DU274" s="14"/>
      <c r="DV274" s="14"/>
      <c r="DW274" s="14"/>
      <c r="DX274" s="14"/>
      <c r="DY274" s="14"/>
      <c r="DZ274" s="14"/>
      <c r="EA274" s="14"/>
      <c r="EB274" s="14"/>
      <c r="EC274" s="14"/>
      <c r="ED274" s="14"/>
      <c r="EE274" s="14"/>
      <c r="EF274" s="14"/>
      <c r="EG274" s="14"/>
      <c r="EH274" s="14"/>
      <c r="EI274" s="14"/>
      <c r="EJ274" s="14"/>
      <c r="EK274" s="14"/>
      <c r="EL274" s="14"/>
    </row>
    <row r="275" spans="1:142" x14ac:dyDescent="0.25">
      <c r="A275" s="14"/>
      <c r="B275" s="19"/>
      <c r="C275" s="40"/>
      <c r="D275" s="41"/>
      <c r="E275" s="40"/>
      <c r="F275" s="40"/>
      <c r="G275" s="40"/>
      <c r="H275" s="41"/>
      <c r="I275" s="72"/>
      <c r="J275" s="14"/>
      <c r="K275" s="14"/>
      <c r="L275" s="14"/>
      <c r="M275" s="14"/>
      <c r="N275" s="14"/>
      <c r="O275" s="14"/>
      <c r="P275" s="14"/>
      <c r="Q275" s="47"/>
      <c r="R275" s="19"/>
      <c r="S275" s="19"/>
      <c r="T275" s="14"/>
      <c r="U275" s="14"/>
      <c r="V275" s="14"/>
      <c r="W275" s="14"/>
      <c r="X275" s="14"/>
      <c r="Y275" s="14"/>
      <c r="Z275" s="14"/>
      <c r="AA275" s="14"/>
      <c r="AB275" s="14"/>
      <c r="AC275" s="14"/>
      <c r="AD275" s="14"/>
      <c r="AE275" s="14"/>
      <c r="AF275" s="47"/>
      <c r="AG275" s="19"/>
      <c r="AH275" s="19"/>
      <c r="AI275" s="14"/>
      <c r="AJ275" s="14"/>
      <c r="AK275" s="14"/>
      <c r="AL275" s="14"/>
      <c r="AM275" s="14"/>
      <c r="AN275" s="14"/>
      <c r="AO275" s="14"/>
      <c r="AP275" s="14"/>
      <c r="AQ275" s="14"/>
      <c r="AR275" s="14"/>
      <c r="AS275" s="14"/>
      <c r="AT275" s="14"/>
      <c r="AU275" s="47"/>
      <c r="AV275" s="14"/>
      <c r="AW275" s="19"/>
      <c r="AX275" s="14"/>
      <c r="AY275" s="14"/>
      <c r="AZ275" s="14"/>
      <c r="BA275" s="14"/>
      <c r="BB275" s="14"/>
      <c r="BC275" s="14"/>
      <c r="BD275" s="14"/>
      <c r="BE275" s="14"/>
      <c r="BF275" s="14"/>
      <c r="BG275" s="14"/>
      <c r="BH275" s="14"/>
      <c r="BI275" s="14"/>
      <c r="BJ275" s="47"/>
      <c r="BK275" s="19"/>
      <c r="BL275" s="19"/>
      <c r="BM275" s="14"/>
      <c r="BN275" s="14"/>
      <c r="BO275" s="14"/>
      <c r="BP275" s="14"/>
      <c r="BQ275" s="14"/>
      <c r="BR275" s="14"/>
      <c r="BS275" s="14"/>
      <c r="BT275" s="14"/>
      <c r="BU275" s="14"/>
      <c r="BV275" s="14"/>
      <c r="BW275" s="14"/>
      <c r="BX275" s="14"/>
      <c r="BY275" s="47"/>
      <c r="BZ275" s="14"/>
      <c r="CA275" s="14"/>
      <c r="CB275" s="21"/>
      <c r="CC275" s="21"/>
      <c r="CD275" s="180"/>
      <c r="CE275" s="180"/>
      <c r="CF275" s="21"/>
      <c r="CG275" s="14"/>
      <c r="CH275" s="14"/>
      <c r="CI275" s="14"/>
      <c r="CJ275" s="14"/>
      <c r="CK275" s="14"/>
      <c r="CL275" s="14"/>
      <c r="CM275" s="14"/>
      <c r="CN275" s="14"/>
      <c r="CO275" s="129"/>
      <c r="CP275" s="14"/>
      <c r="CQ275" s="47"/>
      <c r="CR275" s="14"/>
      <c r="CS275" s="14"/>
      <c r="CT275" s="14"/>
      <c r="CU275" s="14"/>
      <c r="CV275" s="180"/>
      <c r="CW275" s="189"/>
      <c r="CX275" s="189"/>
      <c r="CY275" s="14"/>
      <c r="CZ275" s="14"/>
      <c r="DA275" s="14"/>
      <c r="DB275" s="14"/>
      <c r="DC275" s="14"/>
      <c r="DD275" s="14"/>
      <c r="DE275" s="14"/>
      <c r="DF275" s="14"/>
      <c r="DG275" s="129"/>
      <c r="DH275" s="14"/>
      <c r="DI275" s="47"/>
      <c r="DJ275" s="14"/>
      <c r="DK275" s="19"/>
      <c r="DL275" s="40"/>
      <c r="DM275" s="41"/>
      <c r="DN275" s="40"/>
      <c r="DO275" s="40"/>
      <c r="DP275" s="40"/>
      <c r="DQ275" s="41"/>
      <c r="DR275" s="72"/>
      <c r="DS275" s="14"/>
      <c r="DT275" s="14"/>
      <c r="DU275" s="14"/>
      <c r="DV275" s="14"/>
      <c r="DW275" s="14"/>
      <c r="DX275" s="14"/>
      <c r="DY275" s="14"/>
      <c r="DZ275" s="14"/>
      <c r="EA275" s="14"/>
      <c r="EB275" s="14"/>
      <c r="EC275" s="14"/>
      <c r="ED275" s="14"/>
      <c r="EE275" s="14"/>
      <c r="EF275" s="14"/>
      <c r="EG275" s="14"/>
      <c r="EH275" s="14"/>
      <c r="EI275" s="14"/>
      <c r="EJ275" s="14"/>
      <c r="EK275" s="14"/>
      <c r="EL275" s="14"/>
    </row>
    <row r="276" spans="1:142" x14ac:dyDescent="0.25">
      <c r="A276" s="14"/>
      <c r="B276" s="14"/>
      <c r="C276" s="14"/>
      <c r="D276" s="21"/>
      <c r="E276" s="14"/>
      <c r="F276" s="14"/>
      <c r="G276" s="14"/>
      <c r="H276" s="21"/>
      <c r="I276" s="21"/>
      <c r="J276" s="14"/>
      <c r="K276" s="14"/>
      <c r="L276" s="14"/>
      <c r="M276" s="14"/>
      <c r="N276" s="14"/>
      <c r="O276" s="14"/>
      <c r="P276" s="14"/>
      <c r="Q276" s="47"/>
      <c r="R276" s="19"/>
      <c r="S276" s="19"/>
      <c r="T276" s="19"/>
      <c r="U276" s="14"/>
      <c r="V276" s="14"/>
      <c r="W276" s="14"/>
      <c r="X276" s="14"/>
      <c r="Y276" s="14"/>
      <c r="Z276" s="14"/>
      <c r="AA276" s="14"/>
      <c r="AB276" s="14"/>
      <c r="AC276" s="14"/>
      <c r="AD276" s="14"/>
      <c r="AE276" s="14"/>
      <c r="AF276" s="47"/>
      <c r="AG276" s="19"/>
      <c r="AH276" s="19"/>
      <c r="AI276" s="19"/>
      <c r="AJ276" s="14"/>
      <c r="AK276" s="14"/>
      <c r="AL276" s="14"/>
      <c r="AM276" s="14"/>
      <c r="AN276" s="14"/>
      <c r="AO276" s="14"/>
      <c r="AP276" s="14"/>
      <c r="AQ276" s="14"/>
      <c r="AR276" s="14"/>
      <c r="AS276" s="14"/>
      <c r="AT276" s="14"/>
      <c r="AU276" s="47"/>
      <c r="AV276" s="14"/>
      <c r="AW276" s="19"/>
      <c r="AX276" s="19"/>
      <c r="AY276" s="14"/>
      <c r="AZ276" s="14"/>
      <c r="BA276" s="14"/>
      <c r="BB276" s="14"/>
      <c r="BC276" s="14"/>
      <c r="BD276" s="14"/>
      <c r="BE276" s="14"/>
      <c r="BF276" s="14"/>
      <c r="BG276" s="14"/>
      <c r="BH276" s="14"/>
      <c r="BI276" s="14"/>
      <c r="BJ276" s="47"/>
      <c r="BK276" s="19"/>
      <c r="BL276" s="42"/>
      <c r="BM276" s="19"/>
      <c r="BN276" s="14"/>
      <c r="BO276" s="14"/>
      <c r="BP276" s="14"/>
      <c r="BQ276" s="14"/>
      <c r="BR276" s="14"/>
      <c r="BS276" s="14"/>
      <c r="BT276" s="14"/>
      <c r="BU276" s="14"/>
      <c r="BV276" s="14"/>
      <c r="BW276" s="14"/>
      <c r="BX276" s="14"/>
      <c r="BY276" s="47"/>
      <c r="BZ276" s="14"/>
      <c r="CA276" s="14"/>
      <c r="CB276" s="21"/>
      <c r="CC276" s="21"/>
      <c r="CD276" s="180"/>
      <c r="CE276" s="180"/>
      <c r="CF276" s="21"/>
      <c r="CG276" s="14"/>
      <c r="CH276" s="14"/>
      <c r="CI276" s="14"/>
      <c r="CJ276" s="14"/>
      <c r="CK276" s="14"/>
      <c r="CL276" s="14"/>
      <c r="CM276" s="14"/>
      <c r="CN276" s="14"/>
      <c r="CO276" s="129"/>
      <c r="CP276" s="14"/>
      <c r="CQ276" s="47"/>
      <c r="CR276" s="14"/>
      <c r="CS276" s="14"/>
      <c r="CT276" s="14"/>
      <c r="CU276" s="14"/>
      <c r="CV276" s="180"/>
      <c r="CW276" s="189"/>
      <c r="CX276" s="189"/>
      <c r="CY276" s="14"/>
      <c r="CZ276" s="14"/>
      <c r="DA276" s="14"/>
      <c r="DB276" s="14"/>
      <c r="DC276" s="14"/>
      <c r="DD276" s="14"/>
      <c r="DE276" s="14"/>
      <c r="DF276" s="14"/>
      <c r="DG276" s="129"/>
      <c r="DH276" s="14"/>
      <c r="DI276" s="47"/>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row>
    <row r="277" spans="1:142" s="131" customFormat="1" x14ac:dyDescent="0.25">
      <c r="A277" s="78"/>
      <c r="B277" s="78" t="s">
        <v>157</v>
      </c>
      <c r="C277" s="78"/>
      <c r="D277" s="79"/>
      <c r="E277" s="78"/>
      <c r="F277" s="78"/>
      <c r="G277" s="78"/>
      <c r="H277" s="79"/>
      <c r="I277" s="79"/>
      <c r="J277" s="78"/>
      <c r="K277" s="78"/>
      <c r="L277" s="78"/>
      <c r="M277" s="78"/>
      <c r="N277" s="78"/>
      <c r="O277" s="78"/>
      <c r="P277" s="78"/>
      <c r="Q277" s="82"/>
      <c r="R277" s="83"/>
      <c r="S277" s="83" t="s">
        <v>157</v>
      </c>
      <c r="T277" s="78"/>
      <c r="U277" s="78"/>
      <c r="V277" s="78"/>
      <c r="W277" s="78"/>
      <c r="X277" s="78"/>
      <c r="Y277" s="78"/>
      <c r="Z277" s="78"/>
      <c r="AA277" s="78"/>
      <c r="AB277" s="78"/>
      <c r="AC277" s="78"/>
      <c r="AD277" s="78"/>
      <c r="AE277" s="78"/>
      <c r="AF277" s="82"/>
      <c r="AG277" s="83"/>
      <c r="AH277" s="83" t="s">
        <v>157</v>
      </c>
      <c r="AI277" s="78"/>
      <c r="AJ277" s="78"/>
      <c r="AK277" s="78"/>
      <c r="AL277" s="78"/>
      <c r="AM277" s="78"/>
      <c r="AN277" s="78"/>
      <c r="AO277" s="78"/>
      <c r="AP277" s="78"/>
      <c r="AQ277" s="78"/>
      <c r="AR277" s="78"/>
      <c r="AS277" s="78"/>
      <c r="AT277" s="78"/>
      <c r="AU277" s="82"/>
      <c r="AV277" s="78"/>
      <c r="AW277" s="83" t="s">
        <v>157</v>
      </c>
      <c r="AX277" s="78"/>
      <c r="AY277" s="78"/>
      <c r="AZ277" s="78"/>
      <c r="BA277" s="78"/>
      <c r="BB277" s="78"/>
      <c r="BC277" s="78"/>
      <c r="BD277" s="78"/>
      <c r="BE277" s="78"/>
      <c r="BF277" s="78"/>
      <c r="BG277" s="78"/>
      <c r="BH277" s="78"/>
      <c r="BI277" s="78"/>
      <c r="BJ277" s="82"/>
      <c r="BK277" s="83"/>
      <c r="BL277" s="78" t="s">
        <v>157</v>
      </c>
      <c r="BM277" s="78"/>
      <c r="BN277" s="78"/>
      <c r="BO277" s="78"/>
      <c r="BP277" s="78"/>
      <c r="BQ277" s="78"/>
      <c r="BR277" s="78"/>
      <c r="BS277" s="78"/>
      <c r="BT277" s="78"/>
      <c r="BU277" s="78"/>
      <c r="BV277" s="78"/>
      <c r="BW277" s="78"/>
      <c r="BX277" s="78"/>
      <c r="BY277" s="82"/>
      <c r="BZ277" s="78"/>
      <c r="CA277" s="78"/>
      <c r="CB277" s="79"/>
      <c r="CC277" s="79"/>
      <c r="CD277" s="182"/>
      <c r="CE277" s="182"/>
      <c r="CF277" s="79"/>
      <c r="CG277" s="78"/>
      <c r="CH277" s="78"/>
      <c r="CI277" s="78"/>
      <c r="CJ277" s="78"/>
      <c r="CK277" s="78"/>
      <c r="CL277" s="78"/>
      <c r="CM277" s="78"/>
      <c r="CN277" s="78"/>
      <c r="CO277" s="78"/>
      <c r="CP277" s="78"/>
      <c r="CQ277" s="82"/>
      <c r="CR277" s="78"/>
      <c r="CS277" s="78"/>
      <c r="CT277" s="78"/>
      <c r="CU277" s="78"/>
      <c r="CV277" s="182"/>
      <c r="CW277" s="192"/>
      <c r="CX277" s="192"/>
      <c r="CY277" s="78"/>
      <c r="CZ277" s="78"/>
      <c r="DA277" s="78"/>
      <c r="DB277" s="78"/>
      <c r="DC277" s="78"/>
      <c r="DD277" s="78"/>
      <c r="DE277" s="78"/>
      <c r="DF277" s="78"/>
      <c r="DG277" s="78"/>
      <c r="DH277" s="78"/>
      <c r="DI277" s="82"/>
      <c r="DJ277" s="78"/>
      <c r="DK277" s="78" t="s">
        <v>157</v>
      </c>
      <c r="DL277" s="78"/>
      <c r="DM277" s="78"/>
      <c r="DN277" s="78"/>
      <c r="DO277" s="78"/>
      <c r="DP277" s="78"/>
      <c r="DQ277" s="78"/>
      <c r="DR277" s="78"/>
      <c r="DS277" s="78"/>
      <c r="DT277" s="78"/>
      <c r="DU277" s="78"/>
      <c r="DV277" s="78"/>
      <c r="DW277" s="78"/>
      <c r="DX277" s="78"/>
      <c r="DY277" s="78"/>
      <c r="DZ277" s="78"/>
      <c r="EA277" s="78"/>
      <c r="EB277" s="78"/>
      <c r="EC277" s="78"/>
      <c r="ED277" s="78"/>
      <c r="EE277" s="78"/>
      <c r="EF277" s="78"/>
      <c r="EG277" s="78"/>
      <c r="EH277" s="78"/>
      <c r="EI277" s="78"/>
      <c r="EJ277" s="78"/>
      <c r="EK277" s="78"/>
      <c r="EL277" s="78"/>
    </row>
    <row r="278" spans="1:142" x14ac:dyDescent="0.25">
      <c r="A278" s="14"/>
      <c r="B278" s="14"/>
      <c r="C278" s="14"/>
      <c r="D278" s="21"/>
      <c r="E278" s="14"/>
      <c r="F278" s="14"/>
      <c r="G278" s="14"/>
      <c r="H278" s="21"/>
      <c r="I278" s="21"/>
      <c r="J278" s="14"/>
      <c r="K278" s="14"/>
      <c r="L278" s="14"/>
      <c r="M278" s="14"/>
      <c r="N278" s="14"/>
      <c r="O278" s="14"/>
      <c r="P278" s="14"/>
      <c r="Q278" s="47"/>
      <c r="R278" s="19"/>
      <c r="S278" s="19"/>
      <c r="T278" s="19"/>
      <c r="U278" s="14"/>
      <c r="V278" s="14"/>
      <c r="W278" s="14"/>
      <c r="X278" s="14"/>
      <c r="Y278" s="14"/>
      <c r="Z278" s="14"/>
      <c r="AA278" s="14"/>
      <c r="AB278" s="14"/>
      <c r="AC278" s="14"/>
      <c r="AD278" s="14"/>
      <c r="AE278" s="14"/>
      <c r="AF278" s="47"/>
      <c r="AG278" s="19"/>
      <c r="AH278" s="19"/>
      <c r="AI278" s="19"/>
      <c r="AJ278" s="14"/>
      <c r="AK278" s="14"/>
      <c r="AL278" s="14"/>
      <c r="AM278" s="14"/>
      <c r="AN278" s="14"/>
      <c r="AO278" s="14"/>
      <c r="AP278" s="14"/>
      <c r="AQ278" s="14"/>
      <c r="AR278" s="14"/>
      <c r="AS278" s="14"/>
      <c r="AT278" s="14"/>
      <c r="AU278" s="47"/>
      <c r="AV278" s="14"/>
      <c r="AW278" s="19"/>
      <c r="AX278" s="19"/>
      <c r="AY278" s="14"/>
      <c r="AZ278" s="14"/>
      <c r="BA278" s="14"/>
      <c r="BB278" s="14"/>
      <c r="BC278" s="14"/>
      <c r="BD278" s="14"/>
      <c r="BE278" s="14"/>
      <c r="BF278" s="14"/>
      <c r="BG278" s="14"/>
      <c r="BH278" s="14"/>
      <c r="BI278" s="14"/>
      <c r="BJ278" s="47"/>
      <c r="BK278" s="19"/>
      <c r="BL278" s="19"/>
      <c r="BM278" s="19"/>
      <c r="BN278" s="19"/>
      <c r="BO278" s="19"/>
      <c r="BP278" s="19"/>
      <c r="BQ278" s="19"/>
      <c r="BR278" s="19"/>
      <c r="BS278" s="19"/>
      <c r="BT278" s="14"/>
      <c r="BU278" s="14"/>
      <c r="BV278" s="14"/>
      <c r="BW278" s="14"/>
      <c r="BX278" s="14"/>
      <c r="BY278" s="47"/>
      <c r="BZ278" s="14"/>
      <c r="CA278" s="14"/>
      <c r="CB278" s="21"/>
      <c r="CC278" s="21"/>
      <c r="CD278" s="180"/>
      <c r="CE278" s="180"/>
      <c r="CF278" s="21"/>
      <c r="CG278" s="14"/>
      <c r="CH278" s="14"/>
      <c r="CI278" s="14"/>
      <c r="CJ278" s="14"/>
      <c r="CK278" s="14"/>
      <c r="CL278" s="14"/>
      <c r="CM278" s="14"/>
      <c r="CN278" s="14"/>
      <c r="CO278" s="129"/>
      <c r="CP278" s="14"/>
      <c r="CQ278" s="47"/>
      <c r="CR278" s="14"/>
      <c r="CS278" s="14"/>
      <c r="CT278" s="14"/>
      <c r="CU278" s="14"/>
      <c r="CV278" s="180"/>
      <c r="CW278" s="189"/>
      <c r="CX278" s="189"/>
      <c r="CY278" s="14"/>
      <c r="CZ278" s="14"/>
      <c r="DA278" s="14"/>
      <c r="DB278" s="14"/>
      <c r="DC278" s="14"/>
      <c r="DD278" s="14"/>
      <c r="DE278" s="14"/>
      <c r="DF278" s="14"/>
      <c r="DG278" s="129"/>
      <c r="DH278" s="14"/>
      <c r="DI278" s="47"/>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row>
    <row r="279" spans="1:142" s="134" customFormat="1" ht="24.75" customHeight="1" x14ac:dyDescent="0.25">
      <c r="A279" s="8"/>
      <c r="B279" s="109"/>
      <c r="C279" s="110" t="str">
        <f t="shared" ref="C279:H279" si="208">C247</f>
        <v>Forest owners/managers</v>
      </c>
      <c r="D279" s="110" t="str">
        <f t="shared" si="208"/>
        <v>Pellet producers</v>
      </c>
      <c r="E279" s="110" t="str">
        <f t="shared" si="208"/>
        <v>Pellet users</v>
      </c>
      <c r="F279" s="110" t="str">
        <f t="shared" si="208"/>
        <v>Non-bioenergy wood users</v>
      </c>
      <c r="G279" s="110" t="str">
        <f t="shared" si="208"/>
        <v>Policy makers and academia</v>
      </c>
      <c r="H279" s="110" t="str">
        <f t="shared" si="208"/>
        <v>NGOs</v>
      </c>
      <c r="I279" s="110" t="s">
        <v>8</v>
      </c>
      <c r="J279" s="8"/>
      <c r="K279" s="8"/>
      <c r="L279" s="8"/>
      <c r="M279" s="8"/>
      <c r="N279" s="8"/>
      <c r="O279" s="8"/>
      <c r="P279" s="8"/>
      <c r="Q279" s="48"/>
      <c r="R279" s="44"/>
      <c r="S279" s="109"/>
      <c r="T279" s="110" t="str">
        <f t="shared" ref="T279:Y279" si="209">T247</f>
        <v>Forest owners/managers</v>
      </c>
      <c r="U279" s="110" t="str">
        <f t="shared" si="209"/>
        <v>Pellet producers</v>
      </c>
      <c r="V279" s="110" t="str">
        <f t="shared" si="209"/>
        <v>Pellet users</v>
      </c>
      <c r="W279" s="110" t="str">
        <f t="shared" si="209"/>
        <v>Non-bioenergy wood users</v>
      </c>
      <c r="X279" s="110" t="str">
        <f t="shared" si="209"/>
        <v>Policy makers and academia</v>
      </c>
      <c r="Y279" s="110" t="str">
        <f t="shared" si="209"/>
        <v>NGOs</v>
      </c>
      <c r="Z279" s="110" t="s">
        <v>8</v>
      </c>
      <c r="AA279" s="17"/>
      <c r="AB279" s="17"/>
      <c r="AC279" s="17"/>
      <c r="AD279" s="17"/>
      <c r="AE279" s="17"/>
      <c r="AF279" s="48"/>
      <c r="AG279" s="44"/>
      <c r="AH279" s="109"/>
      <c r="AI279" s="110" t="str">
        <f t="shared" ref="AI279:AN279" si="210">AI247</f>
        <v>Forest owners/managers</v>
      </c>
      <c r="AJ279" s="110" t="str">
        <f t="shared" si="210"/>
        <v>Pellet producers</v>
      </c>
      <c r="AK279" s="110" t="str">
        <f t="shared" si="210"/>
        <v>Pellet users</v>
      </c>
      <c r="AL279" s="110" t="str">
        <f t="shared" si="210"/>
        <v>Non-bioenergy wood users</v>
      </c>
      <c r="AM279" s="110" t="str">
        <f t="shared" si="210"/>
        <v>Policy makers and academia</v>
      </c>
      <c r="AN279" s="110" t="str">
        <f t="shared" si="210"/>
        <v>NGOs</v>
      </c>
      <c r="AO279" s="110" t="s">
        <v>8</v>
      </c>
      <c r="AP279" s="17"/>
      <c r="AQ279" s="17"/>
      <c r="AR279" s="17"/>
      <c r="AS279" s="17"/>
      <c r="AT279" s="17"/>
      <c r="AU279" s="48"/>
      <c r="AV279" s="8"/>
      <c r="AW279" s="109"/>
      <c r="AX279" s="110" t="str">
        <f t="shared" ref="AX279:BC279" si="211">AX247</f>
        <v>Forest owners/managers</v>
      </c>
      <c r="AY279" s="110" t="str">
        <f t="shared" si="211"/>
        <v>Pellet producers</v>
      </c>
      <c r="AZ279" s="110" t="str">
        <f t="shared" si="211"/>
        <v>Pellet users</v>
      </c>
      <c r="BA279" s="110" t="str">
        <f t="shared" si="211"/>
        <v>Non-bioenergy wood users</v>
      </c>
      <c r="BB279" s="110" t="str">
        <f t="shared" si="211"/>
        <v>Policy makers and academia</v>
      </c>
      <c r="BC279" s="110" t="str">
        <f t="shared" si="211"/>
        <v>NGOs</v>
      </c>
      <c r="BD279" s="110" t="s">
        <v>8</v>
      </c>
      <c r="BE279" s="17"/>
      <c r="BF279" s="17"/>
      <c r="BG279" s="17"/>
      <c r="BH279" s="17"/>
      <c r="BI279" s="17"/>
      <c r="BJ279" s="48"/>
      <c r="BK279" s="44"/>
      <c r="BL279" s="109"/>
      <c r="BM279" s="110" t="str">
        <f t="shared" ref="BM279:BR279" si="212">BM247</f>
        <v>Forest owners/managers</v>
      </c>
      <c r="BN279" s="110" t="str">
        <f t="shared" si="212"/>
        <v>Pellet producers</v>
      </c>
      <c r="BO279" s="110" t="str">
        <f t="shared" si="212"/>
        <v>Pellet users</v>
      </c>
      <c r="BP279" s="110" t="str">
        <f t="shared" si="212"/>
        <v>Non-bioenergy wood users</v>
      </c>
      <c r="BQ279" s="110" t="str">
        <f t="shared" si="212"/>
        <v>Policy makers and academia</v>
      </c>
      <c r="BR279" s="110" t="str">
        <f t="shared" si="212"/>
        <v>NGOs</v>
      </c>
      <c r="BS279" s="110" t="s">
        <v>8</v>
      </c>
      <c r="BT279" s="17"/>
      <c r="BU279" s="17"/>
      <c r="BV279" s="17"/>
      <c r="BW279" s="17"/>
      <c r="BX279" s="17"/>
      <c r="BY279" s="48"/>
      <c r="BZ279" s="8"/>
      <c r="CA279" s="8"/>
      <c r="CB279" s="77"/>
      <c r="CC279" s="77"/>
      <c r="CD279" s="187"/>
      <c r="CE279" s="187"/>
      <c r="CF279" s="77"/>
      <c r="CG279" s="8"/>
      <c r="CH279" s="8"/>
      <c r="CI279" s="8"/>
      <c r="CJ279" s="8"/>
      <c r="CK279" s="8"/>
      <c r="CL279" s="8"/>
      <c r="CM279" s="8"/>
      <c r="CN279" s="8"/>
      <c r="CO279" s="315"/>
      <c r="CP279" s="8"/>
      <c r="CQ279" s="48"/>
      <c r="CR279" s="8"/>
      <c r="CS279" s="8"/>
      <c r="CT279" s="8"/>
      <c r="CU279" s="8"/>
      <c r="CV279" s="187"/>
      <c r="CW279" s="195"/>
      <c r="CX279" s="195"/>
      <c r="CY279" s="8"/>
      <c r="CZ279" s="8"/>
      <c r="DA279" s="8"/>
      <c r="DB279" s="8"/>
      <c r="DC279" s="8"/>
      <c r="DD279" s="8"/>
      <c r="DE279" s="8"/>
      <c r="DF279" s="8"/>
      <c r="DG279" s="315"/>
      <c r="DH279" s="8"/>
      <c r="DI279" s="48"/>
      <c r="DJ279" s="8"/>
      <c r="DK279" s="109"/>
      <c r="DL279" s="110" t="str">
        <f t="shared" ref="DL279:DQ279" si="213">DL247</f>
        <v>Forest owners/managers</v>
      </c>
      <c r="DM279" s="110" t="str">
        <f t="shared" si="213"/>
        <v>Pellet producers</v>
      </c>
      <c r="DN279" s="110" t="str">
        <f t="shared" si="213"/>
        <v>Pellet users</v>
      </c>
      <c r="DO279" s="110" t="str">
        <f t="shared" si="213"/>
        <v>Non-bioenergy wood users</v>
      </c>
      <c r="DP279" s="110" t="str">
        <f t="shared" si="213"/>
        <v>Policy makers and academia</v>
      </c>
      <c r="DQ279" s="110" t="str">
        <f t="shared" si="213"/>
        <v>NGOs</v>
      </c>
      <c r="DR279" s="110" t="s">
        <v>8</v>
      </c>
      <c r="DS279" s="8"/>
      <c r="DT279" s="8"/>
      <c r="DU279" s="8"/>
      <c r="DV279" s="8"/>
      <c r="DW279" s="8"/>
      <c r="DX279" s="8"/>
      <c r="DY279" s="8"/>
      <c r="DZ279" s="8"/>
      <c r="EA279" s="8"/>
      <c r="EB279" s="8"/>
      <c r="EC279" s="8"/>
      <c r="ED279" s="8"/>
      <c r="EE279" s="8"/>
      <c r="EF279" s="8"/>
      <c r="EG279" s="8"/>
      <c r="EH279" s="8"/>
      <c r="EI279" s="8"/>
      <c r="EJ279" s="8"/>
      <c r="EK279" s="8"/>
      <c r="EL279" s="8"/>
    </row>
    <row r="280" spans="1:142" x14ac:dyDescent="0.25">
      <c r="A280" s="14"/>
      <c r="B280" s="107" t="s">
        <v>34</v>
      </c>
      <c r="C280" s="41">
        <f t="shared" ref="C280:H284" si="214">IF(OR(C$253=0,C248=0),"",C248/C$253/6)</f>
        <v>0.16666666666666666</v>
      </c>
      <c r="D280" s="41">
        <f t="shared" si="214"/>
        <v>0.1111111111111111</v>
      </c>
      <c r="E280" s="118">
        <f t="shared" si="214"/>
        <v>8.3333333333333329E-2</v>
      </c>
      <c r="F280" s="41" t="str">
        <f t="shared" si="214"/>
        <v/>
      </c>
      <c r="G280" s="41">
        <f t="shared" si="214"/>
        <v>8.3333333333333329E-2</v>
      </c>
      <c r="H280" s="118" t="str">
        <f t="shared" si="214"/>
        <v/>
      </c>
      <c r="I280" s="41">
        <f>SUM(C280:H280)</f>
        <v>0.44444444444444442</v>
      </c>
      <c r="J280" s="14"/>
      <c r="K280" s="14"/>
      <c r="L280" s="14"/>
      <c r="M280" s="14"/>
      <c r="N280" s="14"/>
      <c r="O280" s="14"/>
      <c r="P280" s="14"/>
      <c r="Q280" s="47"/>
      <c r="R280" s="19"/>
      <c r="S280" s="107" t="s">
        <v>5</v>
      </c>
      <c r="T280" s="41">
        <f t="shared" ref="T280:Y286" si="215">IF(OR(T$255=0,T248=0),"",T248/T$255/6)</f>
        <v>5.5555555555555552E-2</v>
      </c>
      <c r="U280" s="41">
        <f t="shared" si="215"/>
        <v>0.16666666666666666</v>
      </c>
      <c r="V280" s="118">
        <f t="shared" si="215"/>
        <v>0.16666666666666666</v>
      </c>
      <c r="W280" s="41">
        <f t="shared" si="215"/>
        <v>0.16666666666666666</v>
      </c>
      <c r="X280" s="41" t="str">
        <f t="shared" si="215"/>
        <v/>
      </c>
      <c r="Y280" s="118" t="str">
        <f t="shared" si="215"/>
        <v/>
      </c>
      <c r="Z280" s="41">
        <f>SUM(T280:Y280)</f>
        <v>0.55555555555555547</v>
      </c>
      <c r="AA280" s="35"/>
      <c r="AB280" s="35"/>
      <c r="AC280" s="35"/>
      <c r="AD280" s="35"/>
      <c r="AE280" s="35"/>
      <c r="AF280" s="47"/>
      <c r="AG280" s="19"/>
      <c r="AH280" s="107" t="s">
        <v>5</v>
      </c>
      <c r="AI280" s="41">
        <f t="shared" ref="AI280:AN286" si="216">IF(OR(AI$255=0,AI248=0),"",AI248/AI$255/6)</f>
        <v>0.125</v>
      </c>
      <c r="AJ280" s="41">
        <f t="shared" si="216"/>
        <v>0.16666666666666666</v>
      </c>
      <c r="AK280" s="118">
        <f t="shared" si="216"/>
        <v>0.16666666666666666</v>
      </c>
      <c r="AL280" s="41" t="str">
        <f t="shared" si="216"/>
        <v/>
      </c>
      <c r="AM280" s="41" t="str">
        <f t="shared" si="216"/>
        <v/>
      </c>
      <c r="AN280" s="118" t="str">
        <f t="shared" si="216"/>
        <v/>
      </c>
      <c r="AO280" s="41">
        <f>SUM(AI280:AN280)</f>
        <v>0.45833333333333326</v>
      </c>
      <c r="AP280" s="35"/>
      <c r="AQ280" s="35"/>
      <c r="AR280" s="35"/>
      <c r="AS280" s="35"/>
      <c r="AT280" s="35"/>
      <c r="AU280" s="47"/>
      <c r="AV280" s="14"/>
      <c r="AW280" s="107" t="s">
        <v>5</v>
      </c>
      <c r="AX280" s="41">
        <f t="shared" ref="AX280:BC286" si="217">IF(OR(AX$255=0,AX248=0),"",AX248/AX$255/6)</f>
        <v>0.125</v>
      </c>
      <c r="AY280" s="41">
        <f t="shared" si="217"/>
        <v>0.16666666666666666</v>
      </c>
      <c r="AZ280" s="118">
        <f t="shared" si="217"/>
        <v>8.3333333333333329E-2</v>
      </c>
      <c r="BA280" s="41" t="str">
        <f t="shared" si="217"/>
        <v/>
      </c>
      <c r="BB280" s="41" t="str">
        <f t="shared" si="217"/>
        <v/>
      </c>
      <c r="BC280" s="118" t="str">
        <f t="shared" si="217"/>
        <v/>
      </c>
      <c r="BD280" s="41">
        <f>SUM(AX280:BC280)</f>
        <v>0.37499999999999994</v>
      </c>
      <c r="BE280" s="35"/>
      <c r="BF280" s="35"/>
      <c r="BG280" s="35"/>
      <c r="BH280" s="35"/>
      <c r="BI280" s="35"/>
      <c r="BJ280" s="47"/>
      <c r="BK280" s="19"/>
      <c r="BL280" s="107" t="s">
        <v>5</v>
      </c>
      <c r="BM280" s="41">
        <f t="shared" ref="BM280:BR286" si="218">IF(OR(BM$255=0,BM248=0),"",BM248/BM$255/6)</f>
        <v>0.125</v>
      </c>
      <c r="BN280" s="41">
        <f t="shared" si="218"/>
        <v>0.16666666666666666</v>
      </c>
      <c r="BO280" s="118">
        <f t="shared" si="218"/>
        <v>8.3333333333333329E-2</v>
      </c>
      <c r="BP280" s="41" t="str">
        <f t="shared" si="218"/>
        <v/>
      </c>
      <c r="BQ280" s="41" t="str">
        <f t="shared" si="218"/>
        <v/>
      </c>
      <c r="BR280" s="118" t="str">
        <f t="shared" si="218"/>
        <v/>
      </c>
      <c r="BS280" s="41">
        <f>SUM(BM280:BR280)</f>
        <v>0.37499999999999994</v>
      </c>
      <c r="BT280" s="35"/>
      <c r="BU280" s="35"/>
      <c r="BV280" s="35"/>
      <c r="BW280" s="35"/>
      <c r="BX280" s="35"/>
      <c r="BY280" s="47"/>
      <c r="BZ280" s="14"/>
      <c r="CA280" s="14"/>
      <c r="CB280" s="21"/>
      <c r="CC280" s="21"/>
      <c r="CD280" s="180"/>
      <c r="CE280" s="180"/>
      <c r="CF280" s="21"/>
      <c r="CG280" s="14"/>
      <c r="CH280" s="14"/>
      <c r="CI280" s="14"/>
      <c r="CJ280" s="14"/>
      <c r="CK280" s="14"/>
      <c r="CL280" s="14"/>
      <c r="CM280" s="14"/>
      <c r="CN280" s="14"/>
      <c r="CO280" s="129"/>
      <c r="CP280" s="14"/>
      <c r="CQ280" s="47"/>
      <c r="CR280" s="14"/>
      <c r="CS280" s="14"/>
      <c r="CT280" s="14"/>
      <c r="CU280" s="14"/>
      <c r="CV280" s="180"/>
      <c r="CW280" s="189"/>
      <c r="CX280" s="189"/>
      <c r="CY280" s="14"/>
      <c r="CZ280" s="14"/>
      <c r="DA280" s="14"/>
      <c r="DB280" s="14"/>
      <c r="DC280" s="14"/>
      <c r="DD280" s="14"/>
      <c r="DE280" s="14"/>
      <c r="DF280" s="14"/>
      <c r="DG280" s="129"/>
      <c r="DH280" s="14"/>
      <c r="DI280" s="47"/>
      <c r="DJ280" s="14"/>
      <c r="DK280" s="107" t="s">
        <v>34</v>
      </c>
      <c r="DL280" s="41">
        <f t="shared" ref="DL280:DQ284" si="219">IF(OR(DL$253=0,DL248=0),"",DL248/DL$253/6)</f>
        <v>0.16666666666666666</v>
      </c>
      <c r="DM280" s="41">
        <f t="shared" si="219"/>
        <v>0.1111111111111111</v>
      </c>
      <c r="DN280" s="118">
        <f t="shared" si="219"/>
        <v>8.3333333333333329E-2</v>
      </c>
      <c r="DO280" s="41" t="str">
        <f t="shared" si="219"/>
        <v/>
      </c>
      <c r="DP280" s="41">
        <f t="shared" si="219"/>
        <v>8.3333333333333329E-2</v>
      </c>
      <c r="DQ280" s="118" t="str">
        <f t="shared" si="219"/>
        <v/>
      </c>
      <c r="DR280" s="41">
        <f>SUM(DL280:DQ280)</f>
        <v>0.44444444444444442</v>
      </c>
      <c r="DS280" s="14"/>
      <c r="DT280" s="14"/>
      <c r="DU280" s="14"/>
      <c r="DV280" s="14"/>
      <c r="DW280" s="14"/>
      <c r="DX280" s="14"/>
      <c r="DY280" s="14"/>
      <c r="DZ280" s="14"/>
      <c r="EA280" s="14"/>
      <c r="EB280" s="14"/>
      <c r="EC280" s="14"/>
      <c r="ED280" s="14"/>
      <c r="EE280" s="14"/>
      <c r="EF280" s="14"/>
      <c r="EG280" s="14"/>
      <c r="EH280" s="14"/>
      <c r="EI280" s="14"/>
      <c r="EJ280" s="14"/>
      <c r="EK280" s="14"/>
      <c r="EL280" s="14"/>
    </row>
    <row r="281" spans="1:142" x14ac:dyDescent="0.25">
      <c r="A281" s="14"/>
      <c r="B281" s="107" t="s">
        <v>35</v>
      </c>
      <c r="C281" s="41" t="str">
        <f t="shared" si="214"/>
        <v/>
      </c>
      <c r="D281" s="41">
        <f t="shared" si="214"/>
        <v>5.5555555555555552E-2</v>
      </c>
      <c r="E281" s="118">
        <f t="shared" si="214"/>
        <v>8.3333333333333329E-2</v>
      </c>
      <c r="F281" s="41">
        <f t="shared" si="214"/>
        <v>0.16666666666666666</v>
      </c>
      <c r="G281" s="41">
        <f t="shared" si="214"/>
        <v>8.3333333333333329E-2</v>
      </c>
      <c r="H281" s="118" t="str">
        <f t="shared" si="214"/>
        <v/>
      </c>
      <c r="I281" s="41">
        <f>SUM(C281:H281)</f>
        <v>0.3888888888888889</v>
      </c>
      <c r="J281" s="14"/>
      <c r="K281" s="14"/>
      <c r="L281" s="14"/>
      <c r="M281" s="14"/>
      <c r="N281" s="14"/>
      <c r="O281" s="14"/>
      <c r="P281" s="14"/>
      <c r="Q281" s="47"/>
      <c r="R281" s="19"/>
      <c r="S281" s="107" t="s">
        <v>4</v>
      </c>
      <c r="T281" s="41">
        <f t="shared" si="215"/>
        <v>5.5555555555555552E-2</v>
      </c>
      <c r="U281" s="41" t="str">
        <f t="shared" si="215"/>
        <v/>
      </c>
      <c r="V281" s="118" t="str">
        <f t="shared" si="215"/>
        <v/>
      </c>
      <c r="W281" s="41" t="str">
        <f t="shared" si="215"/>
        <v/>
      </c>
      <c r="X281" s="41" t="str">
        <f t="shared" si="215"/>
        <v/>
      </c>
      <c r="Y281" s="118" t="str">
        <f t="shared" si="215"/>
        <v/>
      </c>
      <c r="Z281" s="41">
        <f t="shared" ref="Z281:Z286" si="220">SUM(T281:Y281)</f>
        <v>5.5555555555555552E-2</v>
      </c>
      <c r="AA281" s="35"/>
      <c r="AB281" s="35"/>
      <c r="AC281" s="35"/>
      <c r="AD281" s="35"/>
      <c r="AE281" s="35"/>
      <c r="AF281" s="47"/>
      <c r="AG281" s="19"/>
      <c r="AH281" s="107" t="s">
        <v>4</v>
      </c>
      <c r="AI281" s="41">
        <f t="shared" si="216"/>
        <v>4.1666666666666664E-2</v>
      </c>
      <c r="AJ281" s="41" t="str">
        <f t="shared" si="216"/>
        <v/>
      </c>
      <c r="AK281" s="118" t="str">
        <f t="shared" si="216"/>
        <v/>
      </c>
      <c r="AL281" s="41">
        <f t="shared" si="216"/>
        <v>8.3333333333333329E-2</v>
      </c>
      <c r="AM281" s="41" t="str">
        <f t="shared" si="216"/>
        <v/>
      </c>
      <c r="AN281" s="118" t="str">
        <f t="shared" si="216"/>
        <v/>
      </c>
      <c r="AO281" s="41">
        <f t="shared" ref="AO281:AO286" si="221">SUM(AI281:AN281)</f>
        <v>0.125</v>
      </c>
      <c r="AP281" s="35"/>
      <c r="AQ281" s="35"/>
      <c r="AR281" s="35"/>
      <c r="AS281" s="35"/>
      <c r="AT281" s="35"/>
      <c r="AU281" s="47"/>
      <c r="AV281" s="14"/>
      <c r="AW281" s="107" t="s">
        <v>4</v>
      </c>
      <c r="AX281" s="41">
        <f t="shared" si="217"/>
        <v>4.1666666666666664E-2</v>
      </c>
      <c r="AY281" s="41" t="str">
        <f t="shared" si="217"/>
        <v/>
      </c>
      <c r="AZ281" s="118">
        <f t="shared" si="217"/>
        <v>8.3333333333333329E-2</v>
      </c>
      <c r="BA281" s="41">
        <f t="shared" si="217"/>
        <v>8.3333333333333329E-2</v>
      </c>
      <c r="BB281" s="41" t="str">
        <f t="shared" si="217"/>
        <v/>
      </c>
      <c r="BC281" s="118" t="str">
        <f t="shared" si="217"/>
        <v/>
      </c>
      <c r="BD281" s="41">
        <f t="shared" ref="BD281:BD286" si="222">SUM(AX281:BC281)</f>
        <v>0.20833333333333331</v>
      </c>
      <c r="BE281" s="35"/>
      <c r="BF281" s="35"/>
      <c r="BG281" s="35"/>
      <c r="BH281" s="35"/>
      <c r="BI281" s="35"/>
      <c r="BJ281" s="47"/>
      <c r="BK281" s="19"/>
      <c r="BL281" s="107" t="s">
        <v>4</v>
      </c>
      <c r="BM281" s="41">
        <f t="shared" si="218"/>
        <v>4.1666666666666664E-2</v>
      </c>
      <c r="BN281" s="41" t="str">
        <f t="shared" si="218"/>
        <v/>
      </c>
      <c r="BO281" s="118" t="str">
        <f t="shared" si="218"/>
        <v/>
      </c>
      <c r="BP281" s="41">
        <f t="shared" si="218"/>
        <v>8.3333333333333329E-2</v>
      </c>
      <c r="BQ281" s="41" t="str">
        <f t="shared" si="218"/>
        <v/>
      </c>
      <c r="BR281" s="118" t="str">
        <f t="shared" si="218"/>
        <v/>
      </c>
      <c r="BS281" s="41">
        <f t="shared" ref="BS281:BS286" si="223">SUM(BM281:BR281)</f>
        <v>0.125</v>
      </c>
      <c r="BT281" s="35"/>
      <c r="BU281" s="35"/>
      <c r="BV281" s="35"/>
      <c r="BW281" s="35"/>
      <c r="BX281" s="35"/>
      <c r="BY281" s="47"/>
      <c r="BZ281" s="14"/>
      <c r="CA281" s="14"/>
      <c r="CB281" s="21"/>
      <c r="CC281" s="21"/>
      <c r="CD281" s="180"/>
      <c r="CE281" s="180"/>
      <c r="CF281" s="21"/>
      <c r="CG281" s="14"/>
      <c r="CH281" s="14"/>
      <c r="CI281" s="14"/>
      <c r="CJ281" s="14"/>
      <c r="CK281" s="14"/>
      <c r="CL281" s="14"/>
      <c r="CM281" s="14"/>
      <c r="CN281" s="14"/>
      <c r="CO281" s="129"/>
      <c r="CP281" s="14"/>
      <c r="CQ281" s="47"/>
      <c r="CR281" s="14"/>
      <c r="CS281" s="14"/>
      <c r="CT281" s="14"/>
      <c r="CU281" s="14"/>
      <c r="CV281" s="180"/>
      <c r="CW281" s="189"/>
      <c r="CX281" s="189"/>
      <c r="CY281" s="14"/>
      <c r="CZ281" s="14"/>
      <c r="DA281" s="14"/>
      <c r="DB281" s="14"/>
      <c r="DC281" s="14"/>
      <c r="DD281" s="14"/>
      <c r="DE281" s="14"/>
      <c r="DF281" s="14"/>
      <c r="DG281" s="129"/>
      <c r="DH281" s="14"/>
      <c r="DI281" s="47"/>
      <c r="DJ281" s="14"/>
      <c r="DK281" s="107" t="s">
        <v>35</v>
      </c>
      <c r="DL281" s="41" t="str">
        <f t="shared" si="219"/>
        <v/>
      </c>
      <c r="DM281" s="41">
        <f t="shared" si="219"/>
        <v>5.5555555555555552E-2</v>
      </c>
      <c r="DN281" s="118">
        <f t="shared" si="219"/>
        <v>8.3333333333333329E-2</v>
      </c>
      <c r="DO281" s="41">
        <f t="shared" si="219"/>
        <v>0.16666666666666666</v>
      </c>
      <c r="DP281" s="41">
        <f t="shared" si="219"/>
        <v>8.3333333333333329E-2</v>
      </c>
      <c r="DQ281" s="118" t="str">
        <f>IF(OR(DQ$253=0,DQ249=0),"",DQ249/DQ$253/6)</f>
        <v/>
      </c>
      <c r="DR281" s="41">
        <f>SUM(DL281:DQ281)</f>
        <v>0.3888888888888889</v>
      </c>
      <c r="DS281" s="14"/>
      <c r="DT281" s="14"/>
      <c r="DU281" s="14"/>
      <c r="DV281" s="14"/>
      <c r="DW281" s="14"/>
      <c r="DX281" s="14"/>
      <c r="DY281" s="14"/>
      <c r="DZ281" s="14"/>
      <c r="EA281" s="14"/>
      <c r="EB281" s="14"/>
      <c r="EC281" s="14"/>
      <c r="ED281" s="14"/>
      <c r="EE281" s="14"/>
      <c r="EF281" s="14"/>
      <c r="EG281" s="14"/>
      <c r="EH281" s="14"/>
      <c r="EI281" s="14"/>
      <c r="EJ281" s="14"/>
      <c r="EK281" s="14"/>
      <c r="EL281" s="14"/>
    </row>
    <row r="282" spans="1:142" x14ac:dyDescent="0.25">
      <c r="A282" s="14"/>
      <c r="B282" s="107" t="s">
        <v>36</v>
      </c>
      <c r="C282" s="41" t="str">
        <f t="shared" si="214"/>
        <v/>
      </c>
      <c r="D282" s="41" t="str">
        <f t="shared" si="214"/>
        <v/>
      </c>
      <c r="E282" s="118" t="str">
        <f t="shared" si="214"/>
        <v/>
      </c>
      <c r="F282" s="41" t="str">
        <f t="shared" si="214"/>
        <v/>
      </c>
      <c r="G282" s="41" t="str">
        <f t="shared" si="214"/>
        <v/>
      </c>
      <c r="H282" s="118" t="str">
        <f t="shared" si="214"/>
        <v/>
      </c>
      <c r="I282" s="41">
        <f>SUM(C282:H282)</f>
        <v>0</v>
      </c>
      <c r="J282" s="14"/>
      <c r="K282" s="14"/>
      <c r="L282" s="14"/>
      <c r="M282" s="14"/>
      <c r="N282" s="14"/>
      <c r="O282" s="14"/>
      <c r="P282" s="14"/>
      <c r="Q282" s="47"/>
      <c r="R282" s="14"/>
      <c r="S282" s="107" t="s">
        <v>33</v>
      </c>
      <c r="T282" s="41" t="str">
        <f t="shared" si="215"/>
        <v/>
      </c>
      <c r="U282" s="41" t="str">
        <f t="shared" si="215"/>
        <v/>
      </c>
      <c r="V282" s="118" t="str">
        <f t="shared" si="215"/>
        <v/>
      </c>
      <c r="W282" s="41" t="str">
        <f t="shared" si="215"/>
        <v/>
      </c>
      <c r="X282" s="41" t="str">
        <f t="shared" si="215"/>
        <v/>
      </c>
      <c r="Y282" s="118" t="str">
        <f t="shared" si="215"/>
        <v/>
      </c>
      <c r="Z282" s="41">
        <f t="shared" si="220"/>
        <v>0</v>
      </c>
      <c r="AA282" s="35"/>
      <c r="AB282" s="35"/>
      <c r="AC282" s="35"/>
      <c r="AD282" s="35"/>
      <c r="AE282" s="35"/>
      <c r="AF282" s="47"/>
      <c r="AG282" s="14"/>
      <c r="AH282" s="107" t="s">
        <v>33</v>
      </c>
      <c r="AI282" s="41" t="str">
        <f t="shared" si="216"/>
        <v/>
      </c>
      <c r="AJ282" s="41" t="str">
        <f t="shared" si="216"/>
        <v/>
      </c>
      <c r="AK282" s="118" t="str">
        <f t="shared" si="216"/>
        <v/>
      </c>
      <c r="AL282" s="41" t="str">
        <f t="shared" si="216"/>
        <v/>
      </c>
      <c r="AM282" s="41" t="str">
        <f t="shared" si="216"/>
        <v/>
      </c>
      <c r="AN282" s="118">
        <f t="shared" si="216"/>
        <v>0.125</v>
      </c>
      <c r="AO282" s="41">
        <f t="shared" si="221"/>
        <v>0.125</v>
      </c>
      <c r="AP282" s="35"/>
      <c r="AQ282" s="35"/>
      <c r="AR282" s="35"/>
      <c r="AS282" s="35"/>
      <c r="AT282" s="35"/>
      <c r="AU282" s="47"/>
      <c r="AV282" s="14"/>
      <c r="AW282" s="107" t="s">
        <v>33</v>
      </c>
      <c r="AX282" s="41" t="str">
        <f t="shared" si="217"/>
        <v/>
      </c>
      <c r="AY282" s="41" t="str">
        <f t="shared" si="217"/>
        <v/>
      </c>
      <c r="AZ282" s="118" t="str">
        <f t="shared" si="217"/>
        <v/>
      </c>
      <c r="BA282" s="41" t="str">
        <f t="shared" si="217"/>
        <v/>
      </c>
      <c r="BB282" s="41" t="str">
        <f t="shared" si="217"/>
        <v/>
      </c>
      <c r="BC282" s="118" t="str">
        <f t="shared" si="217"/>
        <v/>
      </c>
      <c r="BD282" s="41">
        <f t="shared" si="222"/>
        <v>0</v>
      </c>
      <c r="BE282" s="35"/>
      <c r="BF282" s="35"/>
      <c r="BG282" s="35"/>
      <c r="BH282" s="35"/>
      <c r="BI282" s="35"/>
      <c r="BJ282" s="47"/>
      <c r="BK282" s="14"/>
      <c r="BL282" s="107" t="s">
        <v>33</v>
      </c>
      <c r="BM282" s="41" t="str">
        <f t="shared" si="218"/>
        <v/>
      </c>
      <c r="BN282" s="41" t="str">
        <f t="shared" si="218"/>
        <v/>
      </c>
      <c r="BO282" s="118">
        <f t="shared" si="218"/>
        <v>8.3333333333333329E-2</v>
      </c>
      <c r="BP282" s="41" t="str">
        <f t="shared" si="218"/>
        <v/>
      </c>
      <c r="BQ282" s="41" t="str">
        <f t="shared" si="218"/>
        <v/>
      </c>
      <c r="BR282" s="118" t="str">
        <f t="shared" si="218"/>
        <v/>
      </c>
      <c r="BS282" s="41">
        <f t="shared" si="223"/>
        <v>8.3333333333333329E-2</v>
      </c>
      <c r="BT282" s="35"/>
      <c r="BU282" s="35"/>
      <c r="BV282" s="35"/>
      <c r="BW282" s="35"/>
      <c r="BX282" s="35"/>
      <c r="BY282" s="47"/>
      <c r="BZ282" s="14"/>
      <c r="CA282" s="14"/>
      <c r="CB282" s="21"/>
      <c r="CC282" s="21"/>
      <c r="CD282" s="180"/>
      <c r="CE282" s="180"/>
      <c r="CF282" s="21"/>
      <c r="CG282" s="14"/>
      <c r="CH282" s="14"/>
      <c r="CI282" s="14"/>
      <c r="CJ282" s="14"/>
      <c r="CK282" s="14"/>
      <c r="CL282" s="14"/>
      <c r="CM282" s="14"/>
      <c r="CN282" s="14"/>
      <c r="CO282" s="129"/>
      <c r="CP282" s="14"/>
      <c r="CQ282" s="47"/>
      <c r="CR282" s="14"/>
      <c r="CS282" s="14"/>
      <c r="CT282" s="14"/>
      <c r="CU282" s="14"/>
      <c r="CV282" s="180"/>
      <c r="CW282" s="189"/>
      <c r="CX282" s="189"/>
      <c r="CY282" s="14"/>
      <c r="CZ282" s="14"/>
      <c r="DA282" s="14"/>
      <c r="DB282" s="14"/>
      <c r="DC282" s="14"/>
      <c r="DD282" s="14"/>
      <c r="DE282" s="14"/>
      <c r="DF282" s="14"/>
      <c r="DG282" s="129"/>
      <c r="DH282" s="14"/>
      <c r="DI282" s="47"/>
      <c r="DJ282" s="14"/>
      <c r="DK282" s="107" t="s">
        <v>36</v>
      </c>
      <c r="DL282" s="41" t="str">
        <f t="shared" si="219"/>
        <v/>
      </c>
      <c r="DM282" s="41" t="str">
        <f t="shared" si="219"/>
        <v/>
      </c>
      <c r="DN282" s="118" t="str">
        <f t="shared" si="219"/>
        <v/>
      </c>
      <c r="DO282" s="41" t="str">
        <f t="shared" si="219"/>
        <v/>
      </c>
      <c r="DP282" s="41" t="str">
        <f t="shared" si="219"/>
        <v/>
      </c>
      <c r="DQ282" s="118" t="str">
        <f t="shared" si="219"/>
        <v/>
      </c>
      <c r="DR282" s="41">
        <f>SUM(DL282:DQ282)</f>
        <v>0</v>
      </c>
      <c r="DS282" s="14"/>
      <c r="DT282" s="14"/>
      <c r="DU282" s="14"/>
      <c r="DV282" s="14"/>
      <c r="DW282" s="14"/>
      <c r="DX282" s="14"/>
      <c r="DY282" s="14"/>
      <c r="DZ282" s="14"/>
      <c r="EA282" s="14"/>
      <c r="EB282" s="14"/>
      <c r="EC282" s="14"/>
      <c r="ED282" s="14"/>
      <c r="EE282" s="14"/>
      <c r="EF282" s="14"/>
      <c r="EG282" s="14"/>
      <c r="EH282" s="14"/>
      <c r="EI282" s="14"/>
      <c r="EJ282" s="14"/>
      <c r="EK282" s="14"/>
      <c r="EL282" s="14"/>
    </row>
    <row r="283" spans="1:142" x14ac:dyDescent="0.25">
      <c r="A283" s="14"/>
      <c r="B283" s="107" t="s">
        <v>38</v>
      </c>
      <c r="C283" s="41" t="str">
        <f t="shared" si="214"/>
        <v/>
      </c>
      <c r="D283" s="41" t="str">
        <f t="shared" si="214"/>
        <v/>
      </c>
      <c r="E283" s="118" t="str">
        <f t="shared" si="214"/>
        <v/>
      </c>
      <c r="F283" s="41" t="str">
        <f t="shared" si="214"/>
        <v/>
      </c>
      <c r="G283" s="41" t="str">
        <f t="shared" si="214"/>
        <v/>
      </c>
      <c r="H283" s="118" t="str">
        <f t="shared" si="214"/>
        <v/>
      </c>
      <c r="I283" s="41">
        <f>SUM(C283:H283)</f>
        <v>0</v>
      </c>
      <c r="J283" s="14"/>
      <c r="K283" s="14"/>
      <c r="L283" s="14"/>
      <c r="M283" s="14"/>
      <c r="N283" s="14"/>
      <c r="O283" s="14"/>
      <c r="P283" s="14"/>
      <c r="Q283" s="47"/>
      <c r="R283" s="14"/>
      <c r="S283" s="107" t="s">
        <v>29</v>
      </c>
      <c r="T283" s="41">
        <f t="shared" si="215"/>
        <v>5.5555555555555552E-2</v>
      </c>
      <c r="U283" s="41" t="str">
        <f t="shared" si="215"/>
        <v/>
      </c>
      <c r="V283" s="118" t="str">
        <f t="shared" si="215"/>
        <v/>
      </c>
      <c r="W283" s="41" t="str">
        <f t="shared" si="215"/>
        <v/>
      </c>
      <c r="X283" s="41" t="str">
        <f t="shared" si="215"/>
        <v/>
      </c>
      <c r="Y283" s="118" t="str">
        <f t="shared" si="215"/>
        <v/>
      </c>
      <c r="Z283" s="41">
        <f t="shared" si="220"/>
        <v>5.5555555555555552E-2</v>
      </c>
      <c r="AA283" s="35"/>
      <c r="AB283" s="35"/>
      <c r="AC283" s="35"/>
      <c r="AD283" s="35"/>
      <c r="AE283" s="35"/>
      <c r="AF283" s="47"/>
      <c r="AG283" s="14"/>
      <c r="AH283" s="107" t="s">
        <v>29</v>
      </c>
      <c r="AI283" s="41" t="str">
        <f t="shared" si="216"/>
        <v/>
      </c>
      <c r="AJ283" s="41" t="str">
        <f t="shared" si="216"/>
        <v/>
      </c>
      <c r="AK283" s="118" t="str">
        <f t="shared" si="216"/>
        <v/>
      </c>
      <c r="AL283" s="41" t="str">
        <f t="shared" si="216"/>
        <v/>
      </c>
      <c r="AM283" s="41" t="str">
        <f t="shared" si="216"/>
        <v/>
      </c>
      <c r="AN283" s="118">
        <f t="shared" si="216"/>
        <v>4.1666666666666664E-2</v>
      </c>
      <c r="AO283" s="41">
        <f t="shared" si="221"/>
        <v>4.1666666666666664E-2</v>
      </c>
      <c r="AP283" s="35"/>
      <c r="AQ283" s="35"/>
      <c r="AR283" s="35"/>
      <c r="AS283" s="35"/>
      <c r="AT283" s="35"/>
      <c r="AU283" s="47"/>
      <c r="AV283" s="14"/>
      <c r="AW283" s="107" t="s">
        <v>29</v>
      </c>
      <c r="AX283" s="41" t="str">
        <f t="shared" si="217"/>
        <v/>
      </c>
      <c r="AY283" s="41" t="str">
        <f t="shared" si="217"/>
        <v/>
      </c>
      <c r="AZ283" s="118" t="str">
        <f t="shared" si="217"/>
        <v/>
      </c>
      <c r="BA283" s="41" t="str">
        <f t="shared" si="217"/>
        <v/>
      </c>
      <c r="BB283" s="41" t="str">
        <f t="shared" si="217"/>
        <v/>
      </c>
      <c r="BC283" s="118">
        <f t="shared" si="217"/>
        <v>0.16666666666666666</v>
      </c>
      <c r="BD283" s="41">
        <f t="shared" si="222"/>
        <v>0.16666666666666666</v>
      </c>
      <c r="BE283" s="35"/>
      <c r="BF283" s="35"/>
      <c r="BG283" s="35"/>
      <c r="BH283" s="35"/>
      <c r="BI283" s="35"/>
      <c r="BJ283" s="47"/>
      <c r="BK283" s="14"/>
      <c r="BL283" s="107" t="s">
        <v>29</v>
      </c>
      <c r="BM283" s="41" t="str">
        <f t="shared" si="218"/>
        <v/>
      </c>
      <c r="BN283" s="41" t="str">
        <f t="shared" si="218"/>
        <v/>
      </c>
      <c r="BO283" s="118" t="str">
        <f t="shared" si="218"/>
        <v/>
      </c>
      <c r="BP283" s="41" t="str">
        <f t="shared" si="218"/>
        <v/>
      </c>
      <c r="BQ283" s="41" t="str">
        <f t="shared" si="218"/>
        <v/>
      </c>
      <c r="BR283" s="118">
        <f t="shared" si="218"/>
        <v>0.16666666666666666</v>
      </c>
      <c r="BS283" s="41">
        <f t="shared" si="223"/>
        <v>0.16666666666666666</v>
      </c>
      <c r="BT283" s="35"/>
      <c r="BU283" s="35"/>
      <c r="BV283" s="35"/>
      <c r="BW283" s="35"/>
      <c r="BX283" s="35"/>
      <c r="BY283" s="47"/>
      <c r="BZ283" s="14"/>
      <c r="CA283" s="14"/>
      <c r="CB283" s="21"/>
      <c r="CC283" s="21"/>
      <c r="CD283" s="180"/>
      <c r="CE283" s="180"/>
      <c r="CF283" s="21"/>
      <c r="CG283" s="14"/>
      <c r="CH283" s="14"/>
      <c r="CI283" s="14"/>
      <c r="CJ283" s="14"/>
      <c r="CK283" s="14"/>
      <c r="CL283" s="14"/>
      <c r="CM283" s="14"/>
      <c r="CN283" s="14"/>
      <c r="CO283" s="129"/>
      <c r="CP283" s="14"/>
      <c r="CQ283" s="47"/>
      <c r="CR283" s="14"/>
      <c r="CS283" s="14"/>
      <c r="CT283" s="14"/>
      <c r="CU283" s="14"/>
      <c r="CV283" s="180"/>
      <c r="CW283" s="189"/>
      <c r="CX283" s="189"/>
      <c r="CY283" s="14"/>
      <c r="CZ283" s="14"/>
      <c r="DA283" s="14"/>
      <c r="DB283" s="14"/>
      <c r="DC283" s="14"/>
      <c r="DD283" s="14"/>
      <c r="DE283" s="14"/>
      <c r="DF283" s="14"/>
      <c r="DG283" s="129"/>
      <c r="DH283" s="14"/>
      <c r="DI283" s="47"/>
      <c r="DJ283" s="14"/>
      <c r="DK283" s="107" t="s">
        <v>38</v>
      </c>
      <c r="DL283" s="41" t="str">
        <f t="shared" si="219"/>
        <v/>
      </c>
      <c r="DM283" s="41" t="str">
        <f t="shared" si="219"/>
        <v/>
      </c>
      <c r="DN283" s="118" t="str">
        <f t="shared" si="219"/>
        <v/>
      </c>
      <c r="DO283" s="41" t="str">
        <f t="shared" si="219"/>
        <v/>
      </c>
      <c r="DP283" s="41" t="str">
        <f t="shared" si="219"/>
        <v/>
      </c>
      <c r="DQ283" s="118" t="str">
        <f t="shared" si="219"/>
        <v/>
      </c>
      <c r="DR283" s="41">
        <f>SUM(DL283:DQ283)</f>
        <v>0</v>
      </c>
      <c r="DS283" s="14"/>
      <c r="DT283" s="14"/>
      <c r="DU283" s="14"/>
      <c r="DV283" s="14"/>
      <c r="DW283" s="14"/>
      <c r="DX283" s="14"/>
      <c r="DY283" s="14"/>
      <c r="DZ283" s="14"/>
      <c r="EA283" s="14"/>
      <c r="EB283" s="14"/>
      <c r="EC283" s="14"/>
      <c r="ED283" s="14"/>
      <c r="EE283" s="14"/>
      <c r="EF283" s="14"/>
      <c r="EG283" s="14"/>
      <c r="EH283" s="14"/>
      <c r="EI283" s="14"/>
      <c r="EJ283" s="14"/>
      <c r="EK283" s="14"/>
      <c r="EL283" s="14"/>
    </row>
    <row r="284" spans="1:142" x14ac:dyDescent="0.25">
      <c r="A284" s="14"/>
      <c r="B284" s="107" t="s">
        <v>39</v>
      </c>
      <c r="C284" s="41" t="str">
        <f t="shared" si="214"/>
        <v/>
      </c>
      <c r="D284" s="41" t="str">
        <f t="shared" si="214"/>
        <v/>
      </c>
      <c r="E284" s="118" t="str">
        <f t="shared" si="214"/>
        <v/>
      </c>
      <c r="F284" s="41" t="str">
        <f t="shared" si="214"/>
        <v/>
      </c>
      <c r="G284" s="41" t="str">
        <f t="shared" si="214"/>
        <v/>
      </c>
      <c r="H284" s="118" t="str">
        <f t="shared" si="214"/>
        <v/>
      </c>
      <c r="I284" s="41">
        <f>SUM(C284:H284)</f>
        <v>0</v>
      </c>
      <c r="J284" s="14"/>
      <c r="K284" s="14"/>
      <c r="L284" s="14"/>
      <c r="M284" s="14"/>
      <c r="N284" s="14"/>
      <c r="O284" s="14"/>
      <c r="P284" s="14"/>
      <c r="Q284" s="47"/>
      <c r="R284" s="14"/>
      <c r="S284" s="107" t="s">
        <v>3</v>
      </c>
      <c r="T284" s="41" t="str">
        <f t="shared" si="215"/>
        <v/>
      </c>
      <c r="U284" s="41" t="str">
        <f t="shared" si="215"/>
        <v/>
      </c>
      <c r="V284" s="118" t="str">
        <f t="shared" si="215"/>
        <v/>
      </c>
      <c r="W284" s="41" t="str">
        <f t="shared" si="215"/>
        <v/>
      </c>
      <c r="X284" s="41" t="str">
        <f t="shared" si="215"/>
        <v/>
      </c>
      <c r="Y284" s="118" t="str">
        <f t="shared" si="215"/>
        <v/>
      </c>
      <c r="Z284" s="41">
        <f t="shared" si="220"/>
        <v>0</v>
      </c>
      <c r="AA284" s="35"/>
      <c r="AB284" s="35"/>
      <c r="AC284" s="35"/>
      <c r="AD284" s="35"/>
      <c r="AE284" s="35"/>
      <c r="AF284" s="47"/>
      <c r="AG284" s="14"/>
      <c r="AH284" s="107" t="s">
        <v>3</v>
      </c>
      <c r="AI284" s="41" t="str">
        <f t="shared" si="216"/>
        <v/>
      </c>
      <c r="AJ284" s="41" t="str">
        <f t="shared" si="216"/>
        <v/>
      </c>
      <c r="AK284" s="118" t="str">
        <f t="shared" si="216"/>
        <v/>
      </c>
      <c r="AL284" s="41" t="str">
        <f t="shared" si="216"/>
        <v/>
      </c>
      <c r="AM284" s="41" t="str">
        <f t="shared" si="216"/>
        <v/>
      </c>
      <c r="AN284" s="118" t="str">
        <f t="shared" si="216"/>
        <v/>
      </c>
      <c r="AO284" s="41">
        <f t="shared" si="221"/>
        <v>0</v>
      </c>
      <c r="AP284" s="35"/>
      <c r="AQ284" s="35"/>
      <c r="AR284" s="35"/>
      <c r="AS284" s="35"/>
      <c r="AT284" s="35"/>
      <c r="AU284" s="47"/>
      <c r="AV284" s="14"/>
      <c r="AW284" s="107" t="s">
        <v>3</v>
      </c>
      <c r="AX284" s="41" t="str">
        <f t="shared" si="217"/>
        <v/>
      </c>
      <c r="AY284" s="41" t="str">
        <f t="shared" si="217"/>
        <v/>
      </c>
      <c r="AZ284" s="118" t="str">
        <f t="shared" si="217"/>
        <v/>
      </c>
      <c r="BA284" s="41" t="str">
        <f t="shared" si="217"/>
        <v/>
      </c>
      <c r="BB284" s="41" t="str">
        <f t="shared" si="217"/>
        <v/>
      </c>
      <c r="BC284" s="118" t="str">
        <f t="shared" si="217"/>
        <v/>
      </c>
      <c r="BD284" s="41">
        <f t="shared" si="222"/>
        <v>0</v>
      </c>
      <c r="BE284" s="35"/>
      <c r="BF284" s="35"/>
      <c r="BG284" s="35"/>
      <c r="BH284" s="35"/>
      <c r="BI284" s="35"/>
      <c r="BJ284" s="47"/>
      <c r="BK284" s="14"/>
      <c r="BL284" s="107" t="s">
        <v>3</v>
      </c>
      <c r="BM284" s="41" t="str">
        <f t="shared" si="218"/>
        <v/>
      </c>
      <c r="BN284" s="41" t="str">
        <f t="shared" si="218"/>
        <v/>
      </c>
      <c r="BO284" s="118" t="str">
        <f t="shared" si="218"/>
        <v/>
      </c>
      <c r="BP284" s="41" t="str">
        <f t="shared" si="218"/>
        <v/>
      </c>
      <c r="BQ284" s="41" t="str">
        <f t="shared" si="218"/>
        <v/>
      </c>
      <c r="BR284" s="118" t="str">
        <f t="shared" si="218"/>
        <v/>
      </c>
      <c r="BS284" s="41">
        <f t="shared" si="223"/>
        <v>0</v>
      </c>
      <c r="BT284" s="35"/>
      <c r="BU284" s="35"/>
      <c r="BV284" s="35"/>
      <c r="BW284" s="35"/>
      <c r="BX284" s="35"/>
      <c r="BY284" s="47"/>
      <c r="BZ284" s="14"/>
      <c r="CA284" s="14"/>
      <c r="CB284" s="21"/>
      <c r="CC284" s="21"/>
      <c r="CD284" s="180"/>
      <c r="CE284" s="180"/>
      <c r="CF284" s="21"/>
      <c r="CG284" s="14"/>
      <c r="CH284" s="14"/>
      <c r="CI284" s="14"/>
      <c r="CJ284" s="14"/>
      <c r="CK284" s="14"/>
      <c r="CL284" s="14"/>
      <c r="CM284" s="14"/>
      <c r="CN284" s="14"/>
      <c r="CO284" s="129"/>
      <c r="CP284" s="14"/>
      <c r="CQ284" s="47"/>
      <c r="CR284" s="14"/>
      <c r="CS284" s="14"/>
      <c r="CT284" s="14"/>
      <c r="CU284" s="14"/>
      <c r="CV284" s="180"/>
      <c r="CW284" s="189"/>
      <c r="CX284" s="189"/>
      <c r="CY284" s="14"/>
      <c r="CZ284" s="14"/>
      <c r="DA284" s="14"/>
      <c r="DB284" s="14"/>
      <c r="DC284" s="14"/>
      <c r="DD284" s="14"/>
      <c r="DE284" s="14"/>
      <c r="DF284" s="14"/>
      <c r="DG284" s="129"/>
      <c r="DH284" s="14"/>
      <c r="DI284" s="47"/>
      <c r="DJ284" s="14"/>
      <c r="DK284" s="107" t="s">
        <v>39</v>
      </c>
      <c r="DL284" s="41" t="str">
        <f t="shared" si="219"/>
        <v/>
      </c>
      <c r="DM284" s="41" t="str">
        <f t="shared" si="219"/>
        <v/>
      </c>
      <c r="DN284" s="118" t="str">
        <f t="shared" si="219"/>
        <v/>
      </c>
      <c r="DO284" s="41" t="str">
        <f t="shared" si="219"/>
        <v/>
      </c>
      <c r="DP284" s="41" t="str">
        <f t="shared" si="219"/>
        <v/>
      </c>
      <c r="DQ284" s="118" t="str">
        <f t="shared" si="219"/>
        <v/>
      </c>
      <c r="DR284" s="41">
        <f>SUM(DL284:DQ284)</f>
        <v>0</v>
      </c>
      <c r="DS284" s="14"/>
      <c r="DT284" s="14"/>
      <c r="DU284" s="14"/>
      <c r="DV284" s="14"/>
      <c r="DW284" s="14"/>
      <c r="DX284" s="14"/>
      <c r="DY284" s="14"/>
      <c r="DZ284" s="14"/>
      <c r="EA284" s="14"/>
      <c r="EB284" s="14"/>
      <c r="EC284" s="14"/>
      <c r="ED284" s="14"/>
      <c r="EE284" s="14"/>
      <c r="EF284" s="14"/>
      <c r="EG284" s="14"/>
      <c r="EH284" s="14"/>
      <c r="EI284" s="14"/>
      <c r="EJ284" s="14"/>
      <c r="EK284" s="14"/>
      <c r="EL284" s="14"/>
    </row>
    <row r="285" spans="1:142" x14ac:dyDescent="0.25">
      <c r="A285" s="14"/>
      <c r="B285" s="86" t="s">
        <v>8</v>
      </c>
      <c r="C285" s="119">
        <f t="shared" ref="C285:I285" si="224">SUM(C280:C284)</f>
        <v>0.16666666666666666</v>
      </c>
      <c r="D285" s="119">
        <f t="shared" si="224"/>
        <v>0.16666666666666666</v>
      </c>
      <c r="E285" s="119">
        <f t="shared" si="224"/>
        <v>0.16666666666666666</v>
      </c>
      <c r="F285" s="119">
        <f t="shared" si="224"/>
        <v>0.16666666666666666</v>
      </c>
      <c r="G285" s="119">
        <f t="shared" si="224"/>
        <v>0.16666666666666666</v>
      </c>
      <c r="H285" s="119">
        <f t="shared" si="224"/>
        <v>0</v>
      </c>
      <c r="I285" s="119">
        <f t="shared" si="224"/>
        <v>0.83333333333333326</v>
      </c>
      <c r="J285" s="14"/>
      <c r="K285" s="14"/>
      <c r="L285" s="14"/>
      <c r="M285" s="14"/>
      <c r="N285" s="14"/>
      <c r="O285" s="14"/>
      <c r="P285" s="14"/>
      <c r="Q285" s="47"/>
      <c r="R285" s="14"/>
      <c r="S285" s="107" t="s">
        <v>54</v>
      </c>
      <c r="T285" s="41" t="str">
        <f t="shared" si="215"/>
        <v/>
      </c>
      <c r="U285" s="41" t="str">
        <f t="shared" si="215"/>
        <v/>
      </c>
      <c r="V285" s="118" t="str">
        <f t="shared" si="215"/>
        <v/>
      </c>
      <c r="W285" s="41" t="str">
        <f t="shared" si="215"/>
        <v/>
      </c>
      <c r="X285" s="41" t="str">
        <f t="shared" si="215"/>
        <v/>
      </c>
      <c r="Y285" s="118" t="str">
        <f t="shared" si="215"/>
        <v/>
      </c>
      <c r="Z285" s="41">
        <f t="shared" si="220"/>
        <v>0</v>
      </c>
      <c r="AA285" s="35"/>
      <c r="AB285" s="35"/>
      <c r="AC285" s="35"/>
      <c r="AD285" s="35"/>
      <c r="AE285" s="35"/>
      <c r="AF285" s="47"/>
      <c r="AG285" s="14"/>
      <c r="AH285" s="107" t="s">
        <v>54</v>
      </c>
      <c r="AI285" s="41" t="str">
        <f t="shared" si="216"/>
        <v/>
      </c>
      <c r="AJ285" s="41" t="str">
        <f t="shared" si="216"/>
        <v/>
      </c>
      <c r="AK285" s="118" t="str">
        <f t="shared" si="216"/>
        <v/>
      </c>
      <c r="AL285" s="41" t="str">
        <f t="shared" si="216"/>
        <v/>
      </c>
      <c r="AM285" s="41" t="str">
        <f t="shared" si="216"/>
        <v/>
      </c>
      <c r="AN285" s="118" t="str">
        <f t="shared" si="216"/>
        <v/>
      </c>
      <c r="AO285" s="41">
        <f t="shared" si="221"/>
        <v>0</v>
      </c>
      <c r="AP285" s="35"/>
      <c r="AQ285" s="35"/>
      <c r="AR285" s="35"/>
      <c r="AS285" s="35"/>
      <c r="AT285" s="35"/>
      <c r="AU285" s="47"/>
      <c r="AV285" s="14"/>
      <c r="AW285" s="107" t="s">
        <v>54</v>
      </c>
      <c r="AX285" s="41" t="str">
        <f t="shared" si="217"/>
        <v/>
      </c>
      <c r="AY285" s="41" t="str">
        <f t="shared" si="217"/>
        <v/>
      </c>
      <c r="AZ285" s="118" t="str">
        <f t="shared" si="217"/>
        <v/>
      </c>
      <c r="BA285" s="41" t="str">
        <f t="shared" si="217"/>
        <v/>
      </c>
      <c r="BB285" s="41" t="str">
        <f t="shared" si="217"/>
        <v/>
      </c>
      <c r="BC285" s="118" t="str">
        <f t="shared" si="217"/>
        <v/>
      </c>
      <c r="BD285" s="41">
        <f t="shared" si="222"/>
        <v>0</v>
      </c>
      <c r="BE285" s="35"/>
      <c r="BF285" s="35"/>
      <c r="BG285" s="35"/>
      <c r="BH285" s="35"/>
      <c r="BI285" s="35"/>
      <c r="BJ285" s="47"/>
      <c r="BK285" s="14"/>
      <c r="BL285" s="107" t="s">
        <v>54</v>
      </c>
      <c r="BM285" s="41" t="str">
        <f t="shared" si="218"/>
        <v/>
      </c>
      <c r="BN285" s="41" t="str">
        <f t="shared" si="218"/>
        <v/>
      </c>
      <c r="BO285" s="118" t="str">
        <f t="shared" si="218"/>
        <v/>
      </c>
      <c r="BP285" s="41" t="str">
        <f t="shared" si="218"/>
        <v/>
      </c>
      <c r="BQ285" s="41" t="str">
        <f t="shared" si="218"/>
        <v/>
      </c>
      <c r="BR285" s="118" t="str">
        <f t="shared" si="218"/>
        <v/>
      </c>
      <c r="BS285" s="41">
        <f t="shared" si="223"/>
        <v>0</v>
      </c>
      <c r="BT285" s="35"/>
      <c r="BU285" s="35"/>
      <c r="BV285" s="35"/>
      <c r="BW285" s="35"/>
      <c r="BX285" s="35"/>
      <c r="BY285" s="47"/>
      <c r="BZ285" s="14"/>
      <c r="CA285" s="14"/>
      <c r="CB285" s="21"/>
      <c r="CC285" s="21"/>
      <c r="CD285" s="180"/>
      <c r="CE285" s="180"/>
      <c r="CF285" s="21"/>
      <c r="CG285" s="14"/>
      <c r="CH285" s="14"/>
      <c r="CI285" s="14"/>
      <c r="CJ285" s="14"/>
      <c r="CK285" s="14"/>
      <c r="CL285" s="14"/>
      <c r="CM285" s="14"/>
      <c r="CN285" s="14"/>
      <c r="CO285" s="129"/>
      <c r="CP285" s="14"/>
      <c r="CQ285" s="47"/>
      <c r="CR285" s="14"/>
      <c r="CS285" s="14"/>
      <c r="CT285" s="14"/>
      <c r="CU285" s="14"/>
      <c r="CV285" s="180"/>
      <c r="CW285" s="189"/>
      <c r="CX285" s="189"/>
      <c r="CY285" s="14"/>
      <c r="CZ285" s="14"/>
      <c r="DA285" s="14"/>
      <c r="DB285" s="14"/>
      <c r="DC285" s="14"/>
      <c r="DD285" s="14"/>
      <c r="DE285" s="14"/>
      <c r="DF285" s="14"/>
      <c r="DG285" s="129"/>
      <c r="DH285" s="14"/>
      <c r="DI285" s="47"/>
      <c r="DJ285" s="14"/>
      <c r="DK285" s="86" t="s">
        <v>8</v>
      </c>
      <c r="DL285" s="119">
        <f t="shared" ref="DL285:DR285" si="225">SUM(DL280:DL284)</f>
        <v>0.16666666666666666</v>
      </c>
      <c r="DM285" s="119">
        <f t="shared" si="225"/>
        <v>0.16666666666666666</v>
      </c>
      <c r="DN285" s="119">
        <f t="shared" si="225"/>
        <v>0.16666666666666666</v>
      </c>
      <c r="DO285" s="119">
        <f t="shared" si="225"/>
        <v>0.16666666666666666</v>
      </c>
      <c r="DP285" s="119">
        <f t="shared" si="225"/>
        <v>0.16666666666666666</v>
      </c>
      <c r="DQ285" s="119">
        <f t="shared" si="225"/>
        <v>0</v>
      </c>
      <c r="DR285" s="119">
        <f t="shared" si="225"/>
        <v>0.83333333333333326</v>
      </c>
      <c r="DS285" s="14"/>
      <c r="DT285" s="14"/>
      <c r="DU285" s="14"/>
      <c r="DV285" s="14"/>
      <c r="DW285" s="14"/>
      <c r="DX285" s="14"/>
      <c r="DY285" s="14"/>
      <c r="DZ285" s="14"/>
      <c r="EA285" s="14"/>
      <c r="EB285" s="14"/>
      <c r="EC285" s="14"/>
      <c r="ED285" s="14"/>
      <c r="EE285" s="14"/>
      <c r="EF285" s="14"/>
      <c r="EG285" s="14"/>
      <c r="EH285" s="14"/>
      <c r="EI285" s="14"/>
      <c r="EJ285" s="14"/>
      <c r="EK285" s="14"/>
      <c r="EL285" s="14"/>
    </row>
    <row r="286" spans="1:142" x14ac:dyDescent="0.25">
      <c r="A286" s="14"/>
      <c r="B286" s="107"/>
      <c r="C286" s="41"/>
      <c r="D286" s="41"/>
      <c r="E286" s="118"/>
      <c r="F286" s="41"/>
      <c r="G286" s="41"/>
      <c r="H286" s="118"/>
      <c r="I286" s="41"/>
      <c r="J286" s="14"/>
      <c r="K286" s="14"/>
      <c r="L286" s="14"/>
      <c r="M286" s="14"/>
      <c r="N286" s="14"/>
      <c r="O286" s="14"/>
      <c r="P286" s="14"/>
      <c r="Q286" s="47"/>
      <c r="R286" s="14"/>
      <c r="S286" s="107" t="s">
        <v>39</v>
      </c>
      <c r="T286" s="41" t="str">
        <f t="shared" si="215"/>
        <v/>
      </c>
      <c r="U286" s="41" t="str">
        <f t="shared" si="215"/>
        <v/>
      </c>
      <c r="V286" s="118" t="str">
        <f t="shared" si="215"/>
        <v/>
      </c>
      <c r="W286" s="41" t="str">
        <f t="shared" si="215"/>
        <v/>
      </c>
      <c r="X286" s="41" t="str">
        <f t="shared" si="215"/>
        <v/>
      </c>
      <c r="Y286" s="118" t="str">
        <f t="shared" si="215"/>
        <v/>
      </c>
      <c r="Z286" s="41">
        <f t="shared" si="220"/>
        <v>0</v>
      </c>
      <c r="AA286" s="35"/>
      <c r="AB286" s="35"/>
      <c r="AC286" s="35"/>
      <c r="AD286" s="35"/>
      <c r="AE286" s="35"/>
      <c r="AF286" s="47"/>
      <c r="AG286" s="14"/>
      <c r="AH286" s="107" t="s">
        <v>39</v>
      </c>
      <c r="AI286" s="41" t="str">
        <f t="shared" si="216"/>
        <v/>
      </c>
      <c r="AJ286" s="41" t="str">
        <f t="shared" si="216"/>
        <v/>
      </c>
      <c r="AK286" s="118" t="str">
        <f t="shared" si="216"/>
        <v/>
      </c>
      <c r="AL286" s="41">
        <f t="shared" si="216"/>
        <v>8.3333333333333329E-2</v>
      </c>
      <c r="AM286" s="41" t="str">
        <f t="shared" si="216"/>
        <v/>
      </c>
      <c r="AN286" s="118" t="str">
        <f t="shared" si="216"/>
        <v/>
      </c>
      <c r="AO286" s="41">
        <f t="shared" si="221"/>
        <v>8.3333333333333329E-2</v>
      </c>
      <c r="AP286" s="35"/>
      <c r="AQ286" s="35"/>
      <c r="AR286" s="35"/>
      <c r="AS286" s="35"/>
      <c r="AT286" s="35"/>
      <c r="AU286" s="47"/>
      <c r="AV286" s="14"/>
      <c r="AW286" s="107" t="s">
        <v>39</v>
      </c>
      <c r="AX286" s="41" t="str">
        <f t="shared" si="217"/>
        <v/>
      </c>
      <c r="AY286" s="41" t="str">
        <f t="shared" si="217"/>
        <v/>
      </c>
      <c r="AZ286" s="118" t="str">
        <f t="shared" si="217"/>
        <v/>
      </c>
      <c r="BA286" s="41">
        <f t="shared" si="217"/>
        <v>8.3333333333333329E-2</v>
      </c>
      <c r="BB286" s="41" t="str">
        <f t="shared" si="217"/>
        <v/>
      </c>
      <c r="BC286" s="118" t="str">
        <f t="shared" si="217"/>
        <v/>
      </c>
      <c r="BD286" s="41">
        <f t="shared" si="222"/>
        <v>8.3333333333333329E-2</v>
      </c>
      <c r="BE286" s="35"/>
      <c r="BF286" s="35"/>
      <c r="BG286" s="35"/>
      <c r="BH286" s="35"/>
      <c r="BI286" s="35"/>
      <c r="BJ286" s="47"/>
      <c r="BK286" s="14"/>
      <c r="BL286" s="107" t="s">
        <v>39</v>
      </c>
      <c r="BM286" s="41" t="str">
        <f t="shared" si="218"/>
        <v/>
      </c>
      <c r="BN286" s="41" t="str">
        <f t="shared" si="218"/>
        <v/>
      </c>
      <c r="BO286" s="118" t="str">
        <f t="shared" si="218"/>
        <v/>
      </c>
      <c r="BP286" s="41">
        <f t="shared" si="218"/>
        <v>8.3333333333333329E-2</v>
      </c>
      <c r="BQ286" s="41" t="str">
        <f t="shared" si="218"/>
        <v/>
      </c>
      <c r="BR286" s="118" t="str">
        <f t="shared" si="218"/>
        <v/>
      </c>
      <c r="BS286" s="41">
        <f t="shared" si="223"/>
        <v>8.3333333333333329E-2</v>
      </c>
      <c r="BT286" s="35"/>
      <c r="BU286" s="35"/>
      <c r="BV286" s="35"/>
      <c r="BW286" s="35"/>
      <c r="BX286" s="35"/>
      <c r="BY286" s="47"/>
      <c r="BZ286" s="14"/>
      <c r="CA286" s="14"/>
      <c r="CB286" s="21"/>
      <c r="CC286" s="21"/>
      <c r="CD286" s="180"/>
      <c r="CE286" s="180"/>
      <c r="CF286" s="21"/>
      <c r="CG286" s="14"/>
      <c r="CH286" s="14"/>
      <c r="CI286" s="14"/>
      <c r="CJ286" s="14"/>
      <c r="CK286" s="14"/>
      <c r="CL286" s="14"/>
      <c r="CM286" s="14"/>
      <c r="CN286" s="14"/>
      <c r="CO286" s="129"/>
      <c r="CP286" s="14"/>
      <c r="CQ286" s="47"/>
      <c r="CR286" s="14"/>
      <c r="CS286" s="14"/>
      <c r="CT286" s="14"/>
      <c r="CU286" s="14"/>
      <c r="CV286" s="180"/>
      <c r="CW286" s="189"/>
      <c r="CX286" s="189"/>
      <c r="CY286" s="14"/>
      <c r="CZ286" s="14"/>
      <c r="DA286" s="14"/>
      <c r="DB286" s="14"/>
      <c r="DC286" s="14"/>
      <c r="DD286" s="14"/>
      <c r="DE286" s="14"/>
      <c r="DF286" s="14"/>
      <c r="DG286" s="129"/>
      <c r="DH286" s="14"/>
      <c r="DI286" s="47"/>
      <c r="DJ286" s="14"/>
      <c r="DK286" s="107"/>
      <c r="DL286" s="41"/>
      <c r="DM286" s="41"/>
      <c r="DN286" s="118"/>
      <c r="DO286" s="41"/>
      <c r="DP286" s="41"/>
      <c r="DQ286" s="118"/>
      <c r="DR286" s="41"/>
      <c r="DS286" s="14"/>
      <c r="DT286" s="14"/>
      <c r="DU286" s="14"/>
      <c r="DV286" s="14"/>
      <c r="DW286" s="14"/>
      <c r="DX286" s="14"/>
      <c r="DY286" s="14"/>
      <c r="DZ286" s="14"/>
      <c r="EA286" s="14"/>
      <c r="EB286" s="14"/>
      <c r="EC286" s="14"/>
      <c r="ED286" s="14"/>
      <c r="EE286" s="14"/>
      <c r="EF286" s="14"/>
      <c r="EG286" s="14"/>
      <c r="EH286" s="14"/>
      <c r="EI286" s="14"/>
      <c r="EJ286" s="14"/>
      <c r="EK286" s="14"/>
      <c r="EL286" s="14"/>
    </row>
    <row r="287" spans="1:142" x14ac:dyDescent="0.25">
      <c r="A287" s="14"/>
      <c r="B287" s="103"/>
      <c r="C287" s="120"/>
      <c r="D287" s="120"/>
      <c r="E287" s="120"/>
      <c r="F287" s="120"/>
      <c r="G287" s="120"/>
      <c r="H287" s="120"/>
      <c r="I287" s="120"/>
      <c r="J287" s="14"/>
      <c r="K287" s="14"/>
      <c r="L287" s="14"/>
      <c r="M287" s="14"/>
      <c r="N287" s="14"/>
      <c r="O287" s="14"/>
      <c r="P287" s="14"/>
      <c r="Q287" s="47"/>
      <c r="R287" s="14"/>
      <c r="S287" s="86" t="s">
        <v>8</v>
      </c>
      <c r="T287" s="119">
        <f t="shared" ref="T287:Y287" si="226">SUM(T280:T286)</f>
        <v>0.16666666666666666</v>
      </c>
      <c r="U287" s="119">
        <f t="shared" si="226"/>
        <v>0.16666666666666666</v>
      </c>
      <c r="V287" s="119">
        <f t="shared" si="226"/>
        <v>0.16666666666666666</v>
      </c>
      <c r="W287" s="119">
        <f t="shared" si="226"/>
        <v>0.16666666666666666</v>
      </c>
      <c r="X287" s="119">
        <f t="shared" si="226"/>
        <v>0</v>
      </c>
      <c r="Y287" s="119">
        <f t="shared" si="226"/>
        <v>0</v>
      </c>
      <c r="Z287" s="119">
        <f>SUM(T287:Y287)</f>
        <v>0.66666666666666663</v>
      </c>
      <c r="AA287" s="35"/>
      <c r="AB287" s="35"/>
      <c r="AC287" s="35"/>
      <c r="AD287" s="35"/>
      <c r="AE287" s="35"/>
      <c r="AF287" s="47"/>
      <c r="AG287" s="14"/>
      <c r="AH287" s="86" t="s">
        <v>8</v>
      </c>
      <c r="AI287" s="119">
        <f t="shared" ref="AI287:AN287" si="227">SUM(AI280:AI286)</f>
        <v>0.16666666666666666</v>
      </c>
      <c r="AJ287" s="119">
        <f t="shared" si="227"/>
        <v>0.16666666666666666</v>
      </c>
      <c r="AK287" s="119">
        <f t="shared" si="227"/>
        <v>0.16666666666666666</v>
      </c>
      <c r="AL287" s="119">
        <f t="shared" si="227"/>
        <v>0.16666666666666666</v>
      </c>
      <c r="AM287" s="119">
        <f t="shared" si="227"/>
        <v>0</v>
      </c>
      <c r="AN287" s="119">
        <f t="shared" si="227"/>
        <v>0.16666666666666666</v>
      </c>
      <c r="AO287" s="119">
        <f>SUM(AI287:AN287)</f>
        <v>0.83333333333333326</v>
      </c>
      <c r="AP287" s="35"/>
      <c r="AQ287" s="35"/>
      <c r="AR287" s="35"/>
      <c r="AS287" s="35"/>
      <c r="AT287" s="35"/>
      <c r="AU287" s="47"/>
      <c r="AV287" s="14"/>
      <c r="AW287" s="86" t="s">
        <v>8</v>
      </c>
      <c r="AX287" s="119">
        <f t="shared" ref="AX287:BC287" si="228">SUM(AX280:AX286)</f>
        <v>0.16666666666666666</v>
      </c>
      <c r="AY287" s="119">
        <f t="shared" si="228"/>
        <v>0.16666666666666666</v>
      </c>
      <c r="AZ287" s="119">
        <f t="shared" si="228"/>
        <v>0.16666666666666666</v>
      </c>
      <c r="BA287" s="119">
        <f t="shared" si="228"/>
        <v>0.16666666666666666</v>
      </c>
      <c r="BB287" s="119">
        <f t="shared" si="228"/>
        <v>0</v>
      </c>
      <c r="BC287" s="119">
        <f t="shared" si="228"/>
        <v>0.16666666666666666</v>
      </c>
      <c r="BD287" s="119">
        <f>SUM(AX287:BC287)</f>
        <v>0.83333333333333326</v>
      </c>
      <c r="BE287" s="35"/>
      <c r="BF287" s="35"/>
      <c r="BG287" s="35"/>
      <c r="BH287" s="35"/>
      <c r="BI287" s="35"/>
      <c r="BJ287" s="47"/>
      <c r="BK287" s="14"/>
      <c r="BL287" s="86" t="s">
        <v>8</v>
      </c>
      <c r="BM287" s="119">
        <f t="shared" ref="BM287:BR287" si="229">SUM(BM280:BM286)</f>
        <v>0.16666666666666666</v>
      </c>
      <c r="BN287" s="119">
        <f t="shared" si="229"/>
        <v>0.16666666666666666</v>
      </c>
      <c r="BO287" s="119">
        <f t="shared" si="229"/>
        <v>0.16666666666666666</v>
      </c>
      <c r="BP287" s="119">
        <f t="shared" si="229"/>
        <v>0.16666666666666666</v>
      </c>
      <c r="BQ287" s="119">
        <f t="shared" si="229"/>
        <v>0</v>
      </c>
      <c r="BR287" s="119">
        <f t="shared" si="229"/>
        <v>0.16666666666666666</v>
      </c>
      <c r="BS287" s="119">
        <f>SUM(BM287:BR287)</f>
        <v>0.83333333333333326</v>
      </c>
      <c r="BT287" s="35"/>
      <c r="BU287" s="35"/>
      <c r="BV287" s="35"/>
      <c r="BW287" s="35"/>
      <c r="BX287" s="35"/>
      <c r="BY287" s="47"/>
      <c r="BZ287" s="14"/>
      <c r="CA287" s="14"/>
      <c r="CB287" s="21"/>
      <c r="CC287" s="21"/>
      <c r="CD287" s="180"/>
      <c r="CE287" s="180"/>
      <c r="CF287" s="21"/>
      <c r="CG287" s="14"/>
      <c r="CH287" s="14"/>
      <c r="CI287" s="14"/>
      <c r="CJ287" s="14"/>
      <c r="CK287" s="14"/>
      <c r="CL287" s="14"/>
      <c r="CM287" s="14"/>
      <c r="CN287" s="14"/>
      <c r="CO287" s="129"/>
      <c r="CP287" s="14"/>
      <c r="CQ287" s="47"/>
      <c r="CR287" s="14"/>
      <c r="CS287" s="14"/>
      <c r="CT287" s="14"/>
      <c r="CU287" s="14"/>
      <c r="CV287" s="180"/>
      <c r="CW287" s="189"/>
      <c r="CX287" s="189"/>
      <c r="CY287" s="14"/>
      <c r="CZ287" s="14"/>
      <c r="DA287" s="14"/>
      <c r="DB287" s="14"/>
      <c r="DC287" s="14"/>
      <c r="DD287" s="14"/>
      <c r="DE287" s="14"/>
      <c r="DF287" s="14"/>
      <c r="DG287" s="129"/>
      <c r="DH287" s="14"/>
      <c r="DI287" s="47"/>
      <c r="DJ287" s="14"/>
      <c r="DK287" s="103"/>
      <c r="DL287" s="120"/>
      <c r="DM287" s="120"/>
      <c r="DN287" s="120"/>
      <c r="DO287" s="120"/>
      <c r="DP287" s="120"/>
      <c r="DQ287" s="120"/>
      <c r="DR287" s="120"/>
      <c r="DS287" s="14"/>
      <c r="DT287" s="14"/>
      <c r="DU287" s="14"/>
      <c r="DV287" s="14"/>
      <c r="DW287" s="14"/>
      <c r="DX287" s="14"/>
      <c r="DY287" s="14"/>
      <c r="DZ287" s="14"/>
      <c r="EA287" s="14"/>
      <c r="EB287" s="14"/>
      <c r="EC287" s="14"/>
      <c r="ED287" s="14"/>
      <c r="EE287" s="14"/>
      <c r="EF287" s="14"/>
      <c r="EG287" s="14"/>
      <c r="EH287" s="14"/>
      <c r="EI287" s="14"/>
      <c r="EJ287" s="14"/>
      <c r="EK287" s="14"/>
      <c r="EL287" s="14"/>
    </row>
    <row r="288" spans="1:142" x14ac:dyDescent="0.25">
      <c r="A288" s="14"/>
      <c r="B288" s="19"/>
      <c r="C288" s="19"/>
      <c r="D288" s="19"/>
      <c r="E288" s="19"/>
      <c r="F288" s="19"/>
      <c r="G288" s="19"/>
      <c r="H288" s="19"/>
      <c r="I288" s="19"/>
      <c r="J288" s="14"/>
      <c r="K288" s="14"/>
      <c r="L288" s="14"/>
      <c r="M288" s="14"/>
      <c r="N288" s="14"/>
      <c r="O288" s="14"/>
      <c r="P288" s="14"/>
      <c r="Q288" s="47"/>
      <c r="R288" s="14"/>
      <c r="S288" s="19"/>
      <c r="T288" s="14"/>
      <c r="U288" s="14"/>
      <c r="V288" s="14"/>
      <c r="W288" s="14"/>
      <c r="X288" s="14"/>
      <c r="Y288" s="14"/>
      <c r="Z288" s="14"/>
      <c r="AA288" s="14"/>
      <c r="AB288" s="14"/>
      <c r="AC288" s="14"/>
      <c r="AD288" s="14"/>
      <c r="AE288" s="14"/>
      <c r="AF288" s="47"/>
      <c r="AG288" s="14"/>
      <c r="AH288" s="19"/>
      <c r="AI288" s="19"/>
      <c r="AJ288" s="19"/>
      <c r="AK288" s="19"/>
      <c r="AL288" s="19"/>
      <c r="AM288" s="19"/>
      <c r="AN288" s="19"/>
      <c r="AO288" s="19"/>
      <c r="AP288" s="14"/>
      <c r="AQ288" s="14"/>
      <c r="AR288" s="14"/>
      <c r="AS288" s="14"/>
      <c r="AT288" s="14"/>
      <c r="AU288" s="47"/>
      <c r="AV288" s="14"/>
      <c r="AW288" s="19"/>
      <c r="AX288" s="14"/>
      <c r="AY288" s="14"/>
      <c r="AZ288" s="14"/>
      <c r="BA288" s="14"/>
      <c r="BB288" s="14"/>
      <c r="BC288" s="14"/>
      <c r="BD288" s="14"/>
      <c r="BE288" s="14"/>
      <c r="BF288" s="14"/>
      <c r="BG288" s="14"/>
      <c r="BH288" s="14"/>
      <c r="BI288" s="14"/>
      <c r="BJ288" s="47"/>
      <c r="BK288" s="14"/>
      <c r="BL288" s="19"/>
      <c r="BM288" s="14"/>
      <c r="BN288" s="14"/>
      <c r="BO288" s="14"/>
      <c r="BP288" s="14"/>
      <c r="BQ288" s="14"/>
      <c r="BR288" s="14"/>
      <c r="BS288" s="14"/>
      <c r="BT288" s="14"/>
      <c r="BU288" s="14"/>
      <c r="BV288" s="14"/>
      <c r="BW288" s="14"/>
      <c r="BX288" s="14"/>
      <c r="BY288" s="47"/>
      <c r="BZ288" s="14"/>
      <c r="CA288" s="14"/>
      <c r="CB288" s="21"/>
      <c r="CC288" s="21"/>
      <c r="CD288" s="180"/>
      <c r="CE288" s="180"/>
      <c r="CF288" s="21"/>
      <c r="CG288" s="14"/>
      <c r="CH288" s="14"/>
      <c r="CI288" s="14"/>
      <c r="CJ288" s="14"/>
      <c r="CK288" s="14"/>
      <c r="CL288" s="14"/>
      <c r="CM288" s="14"/>
      <c r="CN288" s="14"/>
      <c r="CO288" s="129"/>
      <c r="CP288" s="14"/>
      <c r="CQ288" s="47"/>
      <c r="CR288" s="14"/>
      <c r="CS288" s="14"/>
      <c r="CT288" s="14"/>
      <c r="CU288" s="14"/>
      <c r="CV288" s="180"/>
      <c r="CW288" s="189"/>
      <c r="CX288" s="189"/>
      <c r="CY288" s="14"/>
      <c r="CZ288" s="14"/>
      <c r="DA288" s="14"/>
      <c r="DB288" s="14"/>
      <c r="DC288" s="14"/>
      <c r="DD288" s="14"/>
      <c r="DE288" s="14"/>
      <c r="DF288" s="14"/>
      <c r="DG288" s="129"/>
      <c r="DH288" s="14"/>
      <c r="DI288" s="47"/>
      <c r="DJ288" s="14"/>
      <c r="DK288" s="19"/>
      <c r="DL288" s="19"/>
      <c r="DM288" s="19"/>
      <c r="DN288" s="19"/>
      <c r="DO288" s="19"/>
      <c r="DP288" s="19"/>
      <c r="DQ288" s="19"/>
      <c r="DR288" s="19"/>
      <c r="DS288" s="14"/>
      <c r="DT288" s="14"/>
      <c r="DU288" s="14"/>
      <c r="DV288" s="14"/>
      <c r="DW288" s="14"/>
      <c r="DX288" s="14"/>
      <c r="DY288" s="14"/>
      <c r="DZ288" s="14"/>
      <c r="EA288" s="14"/>
      <c r="EB288" s="14"/>
      <c r="EC288" s="14"/>
      <c r="ED288" s="14"/>
      <c r="EE288" s="14"/>
      <c r="EF288" s="14"/>
      <c r="EG288" s="14"/>
      <c r="EH288" s="14"/>
      <c r="EI288" s="14"/>
      <c r="EJ288" s="14"/>
      <c r="EK288" s="14"/>
      <c r="EL288" s="14"/>
    </row>
    <row r="289" spans="1:142" x14ac:dyDescent="0.25">
      <c r="A289" s="14"/>
      <c r="B289" s="19"/>
      <c r="C289" s="40"/>
      <c r="D289" s="41"/>
      <c r="E289" s="40"/>
      <c r="F289" s="40"/>
      <c r="G289" s="40"/>
      <c r="H289" s="41"/>
      <c r="I289" s="72"/>
      <c r="J289" s="14"/>
      <c r="K289" s="14"/>
      <c r="L289" s="14"/>
      <c r="M289" s="14"/>
      <c r="N289" s="14"/>
      <c r="O289" s="14"/>
      <c r="P289" s="14"/>
      <c r="Q289" s="47"/>
      <c r="R289" s="14"/>
      <c r="S289" s="19"/>
      <c r="T289" s="14"/>
      <c r="U289" s="14"/>
      <c r="V289" s="14"/>
      <c r="W289" s="14"/>
      <c r="X289" s="14"/>
      <c r="Y289" s="14"/>
      <c r="Z289" s="14"/>
      <c r="AA289" s="14"/>
      <c r="AB289" s="14"/>
      <c r="AC289" s="14"/>
      <c r="AD289" s="14"/>
      <c r="AE289" s="14"/>
      <c r="AF289" s="47"/>
      <c r="AG289" s="14"/>
      <c r="AH289" s="19"/>
      <c r="AI289" s="14"/>
      <c r="AJ289" s="14"/>
      <c r="AK289" s="14"/>
      <c r="AL289" s="14"/>
      <c r="AM289" s="14"/>
      <c r="AN289" s="14"/>
      <c r="AO289" s="14"/>
      <c r="AP289" s="14"/>
      <c r="AQ289" s="14"/>
      <c r="AR289" s="14"/>
      <c r="AS289" s="14"/>
      <c r="AT289" s="14"/>
      <c r="AU289" s="47"/>
      <c r="AV289" s="14"/>
      <c r="AW289" s="19"/>
      <c r="AX289" s="14"/>
      <c r="AY289" s="14"/>
      <c r="AZ289" s="14"/>
      <c r="BA289" s="14"/>
      <c r="BB289" s="14"/>
      <c r="BC289" s="14"/>
      <c r="BD289" s="14"/>
      <c r="BE289" s="14"/>
      <c r="BF289" s="14"/>
      <c r="BG289" s="14"/>
      <c r="BH289" s="14"/>
      <c r="BI289" s="14"/>
      <c r="BJ289" s="47"/>
      <c r="BK289" s="14"/>
      <c r="BL289" s="19"/>
      <c r="BM289" s="14"/>
      <c r="BN289" s="14"/>
      <c r="BO289" s="14"/>
      <c r="BP289" s="14"/>
      <c r="BQ289" s="14"/>
      <c r="BR289" s="14"/>
      <c r="BS289" s="14"/>
      <c r="BT289" s="14"/>
      <c r="BU289" s="14"/>
      <c r="BV289" s="14"/>
      <c r="BW289" s="14"/>
      <c r="BX289" s="14"/>
      <c r="BY289" s="47"/>
      <c r="BZ289" s="14"/>
      <c r="CA289" s="14"/>
      <c r="CB289" s="21"/>
      <c r="CC289" s="21"/>
      <c r="CD289" s="180"/>
      <c r="CE289" s="180"/>
      <c r="CF289" s="21"/>
      <c r="CG289" s="14"/>
      <c r="CH289" s="14"/>
      <c r="CI289" s="14"/>
      <c r="CJ289" s="14"/>
      <c r="CK289" s="14"/>
      <c r="CL289" s="14"/>
      <c r="CM289" s="14"/>
      <c r="CN289" s="14"/>
      <c r="CO289" s="129"/>
      <c r="CP289" s="14"/>
      <c r="CQ289" s="47"/>
      <c r="CR289" s="14"/>
      <c r="CS289" s="14"/>
      <c r="CT289" s="14"/>
      <c r="CU289" s="14"/>
      <c r="CV289" s="180"/>
      <c r="CW289" s="189"/>
      <c r="CX289" s="189"/>
      <c r="CY289" s="14"/>
      <c r="CZ289" s="14"/>
      <c r="DA289" s="14"/>
      <c r="DB289" s="14"/>
      <c r="DC289" s="14"/>
      <c r="DD289" s="14"/>
      <c r="DE289" s="14"/>
      <c r="DF289" s="14"/>
      <c r="DG289" s="129"/>
      <c r="DH289" s="14"/>
      <c r="DI289" s="47"/>
      <c r="DJ289" s="14"/>
      <c r="DK289" s="19"/>
      <c r="DL289" s="40"/>
      <c r="DM289" s="41"/>
      <c r="DN289" s="40"/>
      <c r="DO289" s="40"/>
      <c r="DP289" s="40"/>
      <c r="DQ289" s="41"/>
      <c r="DR289" s="72"/>
      <c r="DS289" s="14"/>
      <c r="DT289" s="14"/>
      <c r="DU289" s="14"/>
      <c r="DV289" s="14"/>
      <c r="DW289" s="14"/>
      <c r="DX289" s="14"/>
      <c r="DY289" s="14"/>
      <c r="DZ289" s="14"/>
      <c r="EA289" s="14"/>
      <c r="EB289" s="14"/>
      <c r="EC289" s="14"/>
      <c r="ED289" s="14"/>
      <c r="EE289" s="14"/>
      <c r="EF289" s="14"/>
      <c r="EG289" s="14"/>
      <c r="EH289" s="14"/>
      <c r="EI289" s="14"/>
      <c r="EJ289" s="14"/>
      <c r="EK289" s="14"/>
      <c r="EL289" s="14"/>
    </row>
    <row r="290" spans="1:142" x14ac:dyDescent="0.25">
      <c r="A290" s="14"/>
      <c r="B290" s="19"/>
      <c r="C290" s="40"/>
      <c r="D290" s="41"/>
      <c r="E290" s="40"/>
      <c r="F290" s="40"/>
      <c r="G290" s="40"/>
      <c r="H290" s="41"/>
      <c r="I290" s="72"/>
      <c r="J290" s="14"/>
      <c r="K290" s="14"/>
      <c r="L290" s="14"/>
      <c r="M290" s="14"/>
      <c r="N290" s="14"/>
      <c r="O290" s="14"/>
      <c r="P290" s="14"/>
      <c r="Q290" s="47"/>
      <c r="R290" s="14"/>
      <c r="S290" s="19"/>
      <c r="T290" s="14"/>
      <c r="U290" s="14"/>
      <c r="V290" s="14"/>
      <c r="W290" s="14"/>
      <c r="X290" s="14"/>
      <c r="Y290" s="14"/>
      <c r="Z290" s="14"/>
      <c r="AA290" s="14"/>
      <c r="AB290" s="14"/>
      <c r="AC290" s="44"/>
      <c r="AD290" s="44"/>
      <c r="AE290" s="366"/>
      <c r="AF290" s="47"/>
      <c r="AG290" s="14"/>
      <c r="AH290" s="19"/>
      <c r="AI290" s="14"/>
      <c r="AJ290" s="14"/>
      <c r="AK290" s="14"/>
      <c r="AL290" s="14"/>
      <c r="AM290" s="14"/>
      <c r="AN290" s="14"/>
      <c r="AO290" s="14"/>
      <c r="AP290" s="14"/>
      <c r="AQ290" s="14"/>
      <c r="AR290" s="14"/>
      <c r="AS290" s="14"/>
      <c r="AT290" s="14"/>
      <c r="AU290" s="47"/>
      <c r="AV290" s="14"/>
      <c r="AW290" s="19"/>
      <c r="AX290" s="14"/>
      <c r="AY290" s="14"/>
      <c r="AZ290" s="14"/>
      <c r="BA290" s="14"/>
      <c r="BB290" s="14"/>
      <c r="BC290" s="14"/>
      <c r="BD290" s="14"/>
      <c r="BE290" s="14"/>
      <c r="BF290" s="14"/>
      <c r="BG290" s="14"/>
      <c r="BH290" s="14"/>
      <c r="BI290" s="14"/>
      <c r="BJ290" s="47"/>
      <c r="BK290" s="14"/>
      <c r="BL290" s="19"/>
      <c r="BM290" s="14"/>
      <c r="BN290" s="14"/>
      <c r="BO290" s="14"/>
      <c r="BP290" s="14"/>
      <c r="BQ290" s="14"/>
      <c r="BR290" s="14"/>
      <c r="BS290" s="14"/>
      <c r="BT290" s="14"/>
      <c r="BU290" s="14"/>
      <c r="BV290" s="14"/>
      <c r="BW290" s="14"/>
      <c r="BX290" s="14"/>
      <c r="BY290" s="47"/>
      <c r="BZ290" s="14"/>
      <c r="CA290" s="14"/>
      <c r="CB290" s="21"/>
      <c r="CC290" s="21"/>
      <c r="CD290" s="180"/>
      <c r="CE290" s="180"/>
      <c r="CF290" s="21"/>
      <c r="CG290" s="14"/>
      <c r="CH290" s="14"/>
      <c r="CI290" s="14"/>
      <c r="CJ290" s="14"/>
      <c r="CK290" s="14"/>
      <c r="CL290" s="14"/>
      <c r="CM290" s="14"/>
      <c r="CN290" s="14"/>
      <c r="CO290" s="129"/>
      <c r="CP290" s="14"/>
      <c r="CQ290" s="47"/>
      <c r="CR290" s="14"/>
      <c r="CS290" s="14"/>
      <c r="CT290" s="14"/>
      <c r="CU290" s="14"/>
      <c r="CV290" s="180"/>
      <c r="CW290" s="189"/>
      <c r="CX290" s="189"/>
      <c r="CY290" s="14"/>
      <c r="CZ290" s="14"/>
      <c r="DA290" s="14"/>
      <c r="DB290" s="14"/>
      <c r="DC290" s="14"/>
      <c r="DD290" s="14"/>
      <c r="DE290" s="14"/>
      <c r="DF290" s="14"/>
      <c r="DG290" s="129"/>
      <c r="DH290" s="14"/>
      <c r="DI290" s="47"/>
      <c r="DJ290" s="14"/>
      <c r="DK290" s="19"/>
      <c r="DL290" s="40"/>
      <c r="DM290" s="41"/>
      <c r="DN290" s="40"/>
      <c r="DO290" s="40"/>
      <c r="DP290" s="40"/>
      <c r="DQ290" s="41"/>
      <c r="DR290" s="72"/>
      <c r="DS290" s="14"/>
      <c r="DT290" s="14"/>
      <c r="DU290" s="14"/>
      <c r="DV290" s="14"/>
      <c r="DW290" s="14"/>
      <c r="DX290" s="14"/>
      <c r="DY290" s="14"/>
      <c r="DZ290" s="14"/>
      <c r="EA290" s="14"/>
      <c r="EB290" s="14"/>
      <c r="EC290" s="14"/>
      <c r="ED290" s="14"/>
      <c r="EE290" s="14"/>
      <c r="EF290" s="14"/>
      <c r="EG290" s="14"/>
      <c r="EH290" s="14"/>
      <c r="EI290" s="14"/>
      <c r="EJ290" s="14"/>
      <c r="EK290" s="14"/>
      <c r="EL290" s="14"/>
    </row>
    <row r="291" spans="1:142" x14ac:dyDescent="0.25">
      <c r="A291" s="14"/>
      <c r="B291" s="19"/>
      <c r="C291" s="40"/>
      <c r="D291" s="41"/>
      <c r="E291" s="40"/>
      <c r="F291" s="40"/>
      <c r="G291" s="40"/>
      <c r="H291" s="41"/>
      <c r="I291" s="72"/>
      <c r="J291" s="14"/>
      <c r="K291" s="14"/>
      <c r="L291" s="14"/>
      <c r="M291" s="14"/>
      <c r="N291" s="14"/>
      <c r="O291" s="14"/>
      <c r="P291" s="14"/>
      <c r="Q291" s="47"/>
      <c r="R291" s="14"/>
      <c r="S291" s="19"/>
      <c r="T291" s="14"/>
      <c r="U291" s="14"/>
      <c r="V291" s="14"/>
      <c r="W291" s="14"/>
      <c r="X291" s="14"/>
      <c r="Y291" s="14"/>
      <c r="Z291" s="14"/>
      <c r="AA291" s="14"/>
      <c r="AB291" s="14"/>
      <c r="AC291" s="44"/>
      <c r="AD291" s="44"/>
      <c r="AE291" s="366"/>
      <c r="AF291" s="47"/>
      <c r="AG291" s="14"/>
      <c r="AH291" s="19"/>
      <c r="AI291" s="14"/>
      <c r="AJ291" s="14"/>
      <c r="AK291" s="14"/>
      <c r="AL291" s="14"/>
      <c r="AM291" s="14"/>
      <c r="AN291" s="14"/>
      <c r="AO291" s="14"/>
      <c r="AP291" s="14"/>
      <c r="AQ291" s="14"/>
      <c r="AR291" s="14"/>
      <c r="AS291" s="14"/>
      <c r="AT291" s="14"/>
      <c r="AU291" s="47"/>
      <c r="AV291" s="14"/>
      <c r="AW291" s="19"/>
      <c r="AX291" s="14"/>
      <c r="AY291" s="14"/>
      <c r="AZ291" s="14"/>
      <c r="BA291" s="14"/>
      <c r="BB291" s="14"/>
      <c r="BC291" s="14"/>
      <c r="BD291" s="14"/>
      <c r="BE291" s="14"/>
      <c r="BF291" s="14"/>
      <c r="BG291" s="14"/>
      <c r="BH291" s="14"/>
      <c r="BI291" s="14"/>
      <c r="BJ291" s="47"/>
      <c r="BK291" s="14"/>
      <c r="BL291" s="19"/>
      <c r="BM291" s="14"/>
      <c r="BN291" s="14"/>
      <c r="BO291" s="14"/>
      <c r="BP291" s="14"/>
      <c r="BQ291" s="14"/>
      <c r="BR291" s="14"/>
      <c r="BS291" s="14"/>
      <c r="BT291" s="14"/>
      <c r="BU291" s="14"/>
      <c r="BV291" s="14"/>
      <c r="BW291" s="14"/>
      <c r="BX291" s="14"/>
      <c r="BY291" s="47"/>
      <c r="BZ291" s="14"/>
      <c r="CA291" s="14"/>
      <c r="CB291" s="21"/>
      <c r="CC291" s="21"/>
      <c r="CD291" s="180"/>
      <c r="CE291" s="180"/>
      <c r="CF291" s="21"/>
      <c r="CG291" s="14"/>
      <c r="CH291" s="14"/>
      <c r="CI291" s="14"/>
      <c r="CJ291" s="14"/>
      <c r="CK291" s="14"/>
      <c r="CL291" s="14"/>
      <c r="CM291" s="14"/>
      <c r="CN291" s="14"/>
      <c r="CO291" s="129"/>
      <c r="CP291" s="14"/>
      <c r="CQ291" s="47"/>
      <c r="CR291" s="14"/>
      <c r="CS291" s="14"/>
      <c r="CT291" s="14"/>
      <c r="CU291" s="14"/>
      <c r="CV291" s="180"/>
      <c r="CW291" s="189"/>
      <c r="CX291" s="189"/>
      <c r="CY291" s="14"/>
      <c r="CZ291" s="14"/>
      <c r="DA291" s="14"/>
      <c r="DB291" s="14"/>
      <c r="DC291" s="14"/>
      <c r="DD291" s="14"/>
      <c r="DE291" s="14"/>
      <c r="DF291" s="14"/>
      <c r="DG291" s="129"/>
      <c r="DH291" s="14"/>
      <c r="DI291" s="47"/>
      <c r="DJ291" s="14"/>
      <c r="DK291" s="19"/>
      <c r="DL291" s="40"/>
      <c r="DM291" s="41"/>
      <c r="DN291" s="40"/>
      <c r="DO291" s="40"/>
      <c r="DP291" s="40"/>
      <c r="DQ291" s="41"/>
      <c r="DR291" s="72"/>
      <c r="DS291" s="14"/>
      <c r="DT291" s="14"/>
      <c r="DU291" s="14"/>
      <c r="DV291" s="14"/>
      <c r="DW291" s="14"/>
      <c r="DX291" s="14"/>
      <c r="DY291" s="14"/>
      <c r="DZ291" s="14"/>
      <c r="EA291" s="14"/>
      <c r="EB291" s="14"/>
      <c r="EC291" s="14"/>
      <c r="ED291" s="14"/>
      <c r="EE291" s="14"/>
      <c r="EF291" s="14"/>
      <c r="EG291" s="14"/>
      <c r="EH291" s="14"/>
      <c r="EI291" s="14"/>
      <c r="EJ291" s="14"/>
      <c r="EK291" s="14"/>
      <c r="EL291" s="14"/>
    </row>
    <row r="292" spans="1:142" x14ac:dyDescent="0.25">
      <c r="A292" s="14"/>
      <c r="B292" s="19"/>
      <c r="C292" s="40"/>
      <c r="D292" s="41"/>
      <c r="E292" s="40"/>
      <c r="F292" s="40"/>
      <c r="G292" s="40"/>
      <c r="H292" s="41"/>
      <c r="I292" s="72"/>
      <c r="J292" s="14"/>
      <c r="K292" s="14"/>
      <c r="L292" s="14"/>
      <c r="M292" s="14"/>
      <c r="N292" s="14"/>
      <c r="O292" s="14"/>
      <c r="P292" s="14"/>
      <c r="Q292" s="47"/>
      <c r="R292" s="14"/>
      <c r="S292" s="19"/>
      <c r="T292" s="14"/>
      <c r="U292" s="14"/>
      <c r="V292" s="14"/>
      <c r="W292" s="14"/>
      <c r="X292" s="14"/>
      <c r="Y292" s="14"/>
      <c r="Z292" s="14"/>
      <c r="AA292" s="14"/>
      <c r="AB292" s="14"/>
      <c r="AC292" s="44"/>
      <c r="AD292" s="44"/>
      <c r="AE292" s="366"/>
      <c r="AF292" s="47"/>
      <c r="AG292" s="14"/>
      <c r="AH292" s="19"/>
      <c r="AI292" s="14"/>
      <c r="AJ292" s="14"/>
      <c r="AK292" s="14"/>
      <c r="AL292" s="14"/>
      <c r="AM292" s="14"/>
      <c r="AN292" s="14"/>
      <c r="AO292" s="14"/>
      <c r="AP292" s="14"/>
      <c r="AQ292" s="14"/>
      <c r="AR292" s="14"/>
      <c r="AS292" s="14"/>
      <c r="AT292" s="14"/>
      <c r="AU292" s="47"/>
      <c r="AV292" s="14"/>
      <c r="AW292" s="19"/>
      <c r="AX292" s="14"/>
      <c r="AY292" s="14"/>
      <c r="AZ292" s="14"/>
      <c r="BA292" s="14"/>
      <c r="BB292" s="14"/>
      <c r="BC292" s="14"/>
      <c r="BD292" s="14"/>
      <c r="BE292" s="14"/>
      <c r="BF292" s="14"/>
      <c r="BG292" s="14"/>
      <c r="BH292" s="14"/>
      <c r="BI292" s="14"/>
      <c r="BJ292" s="47"/>
      <c r="BK292" s="14"/>
      <c r="BL292" s="19"/>
      <c r="BM292" s="14"/>
      <c r="BN292" s="14"/>
      <c r="BO292" s="14"/>
      <c r="BP292" s="14"/>
      <c r="BQ292" s="14"/>
      <c r="BR292" s="14"/>
      <c r="BS292" s="14"/>
      <c r="BT292" s="14"/>
      <c r="BU292" s="14"/>
      <c r="BV292" s="14"/>
      <c r="BW292" s="14"/>
      <c r="BX292" s="14"/>
      <c r="BY292" s="47"/>
      <c r="BZ292" s="14"/>
      <c r="CA292" s="14"/>
      <c r="CB292" s="21"/>
      <c r="CC292" s="21"/>
      <c r="CD292" s="180"/>
      <c r="CE292" s="180"/>
      <c r="CF292" s="21"/>
      <c r="CG292" s="14"/>
      <c r="CH292" s="14"/>
      <c r="CI292" s="14"/>
      <c r="CJ292" s="14"/>
      <c r="CK292" s="14"/>
      <c r="CL292" s="14"/>
      <c r="CM292" s="14"/>
      <c r="CN292" s="14"/>
      <c r="CO292" s="129"/>
      <c r="CP292" s="14"/>
      <c r="CQ292" s="47"/>
      <c r="CR292" s="14"/>
      <c r="CS292" s="14"/>
      <c r="CT292" s="14"/>
      <c r="CU292" s="14"/>
      <c r="CV292" s="180"/>
      <c r="CW292" s="189"/>
      <c r="CX292" s="189"/>
      <c r="CY292" s="14"/>
      <c r="CZ292" s="14"/>
      <c r="DA292" s="14"/>
      <c r="DB292" s="14"/>
      <c r="DC292" s="14"/>
      <c r="DD292" s="14"/>
      <c r="DE292" s="14"/>
      <c r="DF292" s="14"/>
      <c r="DG292" s="129"/>
      <c r="DH292" s="14"/>
      <c r="DI292" s="47"/>
      <c r="DJ292" s="14"/>
      <c r="DK292" s="19"/>
      <c r="DL292" s="40"/>
      <c r="DM292" s="41"/>
      <c r="DN292" s="40"/>
      <c r="DO292" s="40"/>
      <c r="DP292" s="40"/>
      <c r="DQ292" s="41"/>
      <c r="DR292" s="72"/>
      <c r="DS292" s="14"/>
      <c r="DT292" s="14"/>
      <c r="DU292" s="14"/>
      <c r="DV292" s="14"/>
      <c r="DW292" s="14"/>
      <c r="DX292" s="14"/>
      <c r="DY292" s="14"/>
      <c r="DZ292" s="14"/>
      <c r="EA292" s="14"/>
      <c r="EB292" s="14"/>
      <c r="EC292" s="14"/>
      <c r="ED292" s="14"/>
      <c r="EE292" s="14"/>
      <c r="EF292" s="14"/>
      <c r="EG292" s="14"/>
      <c r="EH292" s="14"/>
      <c r="EI292" s="14"/>
      <c r="EJ292" s="14"/>
      <c r="EK292" s="14"/>
      <c r="EL292" s="14"/>
    </row>
    <row r="293" spans="1:142" x14ac:dyDescent="0.25">
      <c r="A293" s="14"/>
      <c r="B293" s="19"/>
      <c r="C293" s="40"/>
      <c r="D293" s="41"/>
      <c r="E293" s="40"/>
      <c r="F293" s="40"/>
      <c r="G293" s="40"/>
      <c r="H293" s="41"/>
      <c r="I293" s="72"/>
      <c r="J293" s="14"/>
      <c r="K293" s="14"/>
      <c r="L293" s="14"/>
      <c r="M293" s="14"/>
      <c r="N293" s="14"/>
      <c r="O293" s="14"/>
      <c r="P293" s="14"/>
      <c r="Q293" s="47"/>
      <c r="R293" s="14"/>
      <c r="S293" s="19"/>
      <c r="T293" s="14"/>
      <c r="U293" s="14"/>
      <c r="V293" s="14"/>
      <c r="W293" s="14"/>
      <c r="X293" s="14"/>
      <c r="Y293" s="14"/>
      <c r="Z293" s="14"/>
      <c r="AA293" s="14"/>
      <c r="AB293" s="14"/>
      <c r="AC293" s="44"/>
      <c r="AD293" s="44"/>
      <c r="AE293" s="366"/>
      <c r="AF293" s="47"/>
      <c r="AG293" s="14"/>
      <c r="AH293" s="19"/>
      <c r="AI293" s="14"/>
      <c r="AJ293" s="14"/>
      <c r="AK293" s="14"/>
      <c r="AL293" s="14"/>
      <c r="AM293" s="14"/>
      <c r="AN293" s="14"/>
      <c r="AO293" s="14"/>
      <c r="AP293" s="14"/>
      <c r="AQ293" s="14"/>
      <c r="AR293" s="14"/>
      <c r="AS293" s="14"/>
      <c r="AT293" s="14"/>
      <c r="AU293" s="47"/>
      <c r="AV293" s="14"/>
      <c r="AW293" s="19"/>
      <c r="AX293" s="14"/>
      <c r="AY293" s="14"/>
      <c r="AZ293" s="14"/>
      <c r="BA293" s="14"/>
      <c r="BB293" s="14"/>
      <c r="BC293" s="14"/>
      <c r="BD293" s="14"/>
      <c r="BE293" s="14"/>
      <c r="BF293" s="14"/>
      <c r="BG293" s="14"/>
      <c r="BH293" s="14"/>
      <c r="BI293" s="14"/>
      <c r="BJ293" s="47"/>
      <c r="BK293" s="14"/>
      <c r="BL293" s="19"/>
      <c r="BM293" s="14"/>
      <c r="BN293" s="14"/>
      <c r="BO293" s="14"/>
      <c r="BP293" s="14"/>
      <c r="BQ293" s="14"/>
      <c r="BR293" s="14"/>
      <c r="BS293" s="14"/>
      <c r="BT293" s="14"/>
      <c r="BU293" s="14"/>
      <c r="BV293" s="14"/>
      <c r="BW293" s="14"/>
      <c r="BX293" s="14"/>
      <c r="BY293" s="47"/>
      <c r="BZ293" s="14"/>
      <c r="CA293" s="14"/>
      <c r="CB293" s="21"/>
      <c r="CC293" s="21"/>
      <c r="CD293" s="180"/>
      <c r="CE293" s="180"/>
      <c r="CF293" s="21"/>
      <c r="CG293" s="14"/>
      <c r="CH293" s="14"/>
      <c r="CI293" s="14"/>
      <c r="CJ293" s="14"/>
      <c r="CK293" s="14"/>
      <c r="CL293" s="14"/>
      <c r="CM293" s="14"/>
      <c r="CN293" s="14"/>
      <c r="CO293" s="129"/>
      <c r="CP293" s="14"/>
      <c r="CQ293" s="47"/>
      <c r="CR293" s="14"/>
      <c r="CS293" s="14"/>
      <c r="CT293" s="14"/>
      <c r="CU293" s="14"/>
      <c r="CV293" s="180"/>
      <c r="CW293" s="189"/>
      <c r="CX293" s="189"/>
      <c r="CY293" s="14"/>
      <c r="CZ293" s="14"/>
      <c r="DA293" s="14"/>
      <c r="DB293" s="14"/>
      <c r="DC293" s="14"/>
      <c r="DD293" s="14"/>
      <c r="DE293" s="14"/>
      <c r="DF293" s="14"/>
      <c r="DG293" s="129"/>
      <c r="DH293" s="14"/>
      <c r="DI293" s="47"/>
      <c r="DJ293" s="14"/>
      <c r="DK293" s="19"/>
      <c r="DL293" s="40"/>
      <c r="DM293" s="41"/>
      <c r="DN293" s="40"/>
      <c r="DO293" s="40"/>
      <c r="DP293" s="40"/>
      <c r="DQ293" s="41"/>
      <c r="DR293" s="72"/>
      <c r="DS293" s="14"/>
      <c r="DT293" s="14"/>
      <c r="DU293" s="14"/>
      <c r="DV293" s="14"/>
      <c r="DW293" s="14"/>
      <c r="DX293" s="14"/>
      <c r="DY293" s="14"/>
      <c r="DZ293" s="14"/>
      <c r="EA293" s="14"/>
      <c r="EB293" s="14"/>
      <c r="EC293" s="14"/>
      <c r="ED293" s="14"/>
      <c r="EE293" s="14"/>
      <c r="EF293" s="14"/>
      <c r="EG293" s="14"/>
      <c r="EH293" s="14"/>
      <c r="EI293" s="14"/>
      <c r="EJ293" s="14"/>
      <c r="EK293" s="14"/>
      <c r="EL293" s="14"/>
    </row>
    <row r="294" spans="1:142" x14ac:dyDescent="0.25">
      <c r="A294" s="14"/>
      <c r="B294" s="19"/>
      <c r="C294" s="40"/>
      <c r="D294" s="41"/>
      <c r="E294" s="40"/>
      <c r="F294" s="40"/>
      <c r="G294" s="40"/>
      <c r="H294" s="41"/>
      <c r="I294" s="72"/>
      <c r="J294" s="14"/>
      <c r="K294" s="14"/>
      <c r="L294" s="14"/>
      <c r="M294" s="14"/>
      <c r="N294" s="14"/>
      <c r="O294" s="14"/>
      <c r="P294" s="14"/>
      <c r="Q294" s="47"/>
      <c r="R294" s="14"/>
      <c r="S294" s="19"/>
      <c r="T294" s="14"/>
      <c r="U294" s="14"/>
      <c r="V294" s="14"/>
      <c r="W294" s="14"/>
      <c r="X294" s="14"/>
      <c r="Y294" s="14"/>
      <c r="Z294" s="14"/>
      <c r="AA294" s="14"/>
      <c r="AB294" s="14"/>
      <c r="AC294" s="44"/>
      <c r="AD294" s="44"/>
      <c r="AE294" s="366"/>
      <c r="AF294" s="47"/>
      <c r="AG294" s="14"/>
      <c r="AH294" s="19"/>
      <c r="AI294" s="14"/>
      <c r="AJ294" s="14"/>
      <c r="AK294" s="14"/>
      <c r="AL294" s="14"/>
      <c r="AM294" s="14"/>
      <c r="AN294" s="14"/>
      <c r="AO294" s="14"/>
      <c r="AP294" s="14"/>
      <c r="AQ294" s="14"/>
      <c r="AR294" s="14"/>
      <c r="AS294" s="14"/>
      <c r="AT294" s="14"/>
      <c r="AU294" s="47"/>
      <c r="AV294" s="14"/>
      <c r="AW294" s="19"/>
      <c r="AX294" s="14"/>
      <c r="AY294" s="14"/>
      <c r="AZ294" s="14"/>
      <c r="BA294" s="14"/>
      <c r="BB294" s="14"/>
      <c r="BC294" s="14"/>
      <c r="BD294" s="14"/>
      <c r="BE294" s="14"/>
      <c r="BF294" s="14"/>
      <c r="BG294" s="14"/>
      <c r="BH294" s="14"/>
      <c r="BI294" s="14"/>
      <c r="BJ294" s="47"/>
      <c r="BK294" s="14"/>
      <c r="BL294" s="19"/>
      <c r="BM294" s="14"/>
      <c r="BN294" s="14"/>
      <c r="BO294" s="14"/>
      <c r="BP294" s="14"/>
      <c r="BQ294" s="14"/>
      <c r="BR294" s="14"/>
      <c r="BS294" s="14"/>
      <c r="BT294" s="14"/>
      <c r="BU294" s="14"/>
      <c r="BV294" s="14"/>
      <c r="BW294" s="14"/>
      <c r="BX294" s="14"/>
      <c r="BY294" s="47"/>
      <c r="BZ294" s="14"/>
      <c r="CA294" s="14"/>
      <c r="CB294" s="21"/>
      <c r="CC294" s="21"/>
      <c r="CD294" s="180"/>
      <c r="CE294" s="180"/>
      <c r="CF294" s="21"/>
      <c r="CG294" s="14"/>
      <c r="CH294" s="14"/>
      <c r="CI294" s="14"/>
      <c r="CJ294" s="14"/>
      <c r="CK294" s="14"/>
      <c r="CL294" s="14"/>
      <c r="CM294" s="14"/>
      <c r="CN294" s="14"/>
      <c r="CO294" s="129"/>
      <c r="CP294" s="14"/>
      <c r="CQ294" s="47"/>
      <c r="CR294" s="14"/>
      <c r="CS294" s="14"/>
      <c r="CT294" s="14"/>
      <c r="CU294" s="14"/>
      <c r="CV294" s="180"/>
      <c r="CW294" s="189"/>
      <c r="CX294" s="189"/>
      <c r="CY294" s="14"/>
      <c r="CZ294" s="14"/>
      <c r="DA294" s="14"/>
      <c r="DB294" s="14"/>
      <c r="DC294" s="14"/>
      <c r="DD294" s="14"/>
      <c r="DE294" s="14"/>
      <c r="DF294" s="14"/>
      <c r="DG294" s="129"/>
      <c r="DH294" s="14"/>
      <c r="DI294" s="47"/>
      <c r="DJ294" s="14"/>
      <c r="DK294" s="19"/>
      <c r="DL294" s="40"/>
      <c r="DM294" s="41"/>
      <c r="DN294" s="40"/>
      <c r="DO294" s="40"/>
      <c r="DP294" s="40"/>
      <c r="DQ294" s="41"/>
      <c r="DR294" s="72"/>
      <c r="DS294" s="14"/>
      <c r="DT294" s="14"/>
      <c r="DU294" s="14"/>
      <c r="DV294" s="14"/>
      <c r="DW294" s="14"/>
      <c r="DX294" s="14"/>
      <c r="DY294" s="14"/>
      <c r="DZ294" s="14"/>
      <c r="EA294" s="14"/>
      <c r="EB294" s="14"/>
      <c r="EC294" s="14"/>
      <c r="ED294" s="14"/>
      <c r="EE294" s="14"/>
      <c r="EF294" s="14"/>
      <c r="EG294" s="14"/>
      <c r="EH294" s="14"/>
      <c r="EI294" s="14"/>
      <c r="EJ294" s="14"/>
      <c r="EK294" s="14"/>
      <c r="EL294" s="14"/>
    </row>
    <row r="295" spans="1:142" x14ac:dyDescent="0.25">
      <c r="A295" s="14"/>
      <c r="B295" s="19"/>
      <c r="C295" s="40"/>
      <c r="D295" s="41"/>
      <c r="E295" s="40"/>
      <c r="F295" s="40"/>
      <c r="G295" s="40"/>
      <c r="H295" s="41"/>
      <c r="I295" s="72"/>
      <c r="J295" s="14"/>
      <c r="K295" s="14"/>
      <c r="L295" s="14"/>
      <c r="M295" s="14"/>
      <c r="N295" s="14"/>
      <c r="O295" s="14"/>
      <c r="P295" s="14"/>
      <c r="Q295" s="47"/>
      <c r="R295" s="14"/>
      <c r="S295" s="19"/>
      <c r="T295" s="14"/>
      <c r="U295" s="14"/>
      <c r="V295" s="14"/>
      <c r="W295" s="14"/>
      <c r="X295" s="14"/>
      <c r="Y295" s="14"/>
      <c r="Z295" s="14"/>
      <c r="AA295" s="14"/>
      <c r="AB295" s="14"/>
      <c r="AC295" s="44"/>
      <c r="AD295" s="44"/>
      <c r="AE295" s="366"/>
      <c r="AF295" s="47"/>
      <c r="AG295" s="14"/>
      <c r="AH295" s="19"/>
      <c r="AI295" s="14"/>
      <c r="AJ295" s="14"/>
      <c r="AK295" s="14"/>
      <c r="AL295" s="14"/>
      <c r="AM295" s="14"/>
      <c r="AN295" s="14"/>
      <c r="AO295" s="14"/>
      <c r="AP295" s="14"/>
      <c r="AQ295" s="14"/>
      <c r="AR295" s="14"/>
      <c r="AS295" s="14"/>
      <c r="AT295" s="14"/>
      <c r="AU295" s="47"/>
      <c r="AV295" s="14"/>
      <c r="AW295" s="19"/>
      <c r="AX295" s="14"/>
      <c r="AY295" s="14"/>
      <c r="AZ295" s="14"/>
      <c r="BA295" s="14"/>
      <c r="BB295" s="14"/>
      <c r="BC295" s="14"/>
      <c r="BD295" s="14"/>
      <c r="BE295" s="14"/>
      <c r="BF295" s="14"/>
      <c r="BG295" s="14"/>
      <c r="BH295" s="14"/>
      <c r="BI295" s="14"/>
      <c r="BJ295" s="47"/>
      <c r="BK295" s="14"/>
      <c r="BL295" s="19"/>
      <c r="BM295" s="14"/>
      <c r="BN295" s="14"/>
      <c r="BO295" s="14"/>
      <c r="BP295" s="14"/>
      <c r="BQ295" s="14"/>
      <c r="BR295" s="14"/>
      <c r="BS295" s="14"/>
      <c r="BT295" s="14"/>
      <c r="BU295" s="14"/>
      <c r="BV295" s="14"/>
      <c r="BW295" s="14"/>
      <c r="BX295" s="14"/>
      <c r="BY295" s="47"/>
      <c r="BZ295" s="14"/>
      <c r="CA295" s="14"/>
      <c r="CB295" s="21"/>
      <c r="CC295" s="21"/>
      <c r="CD295" s="180"/>
      <c r="CE295" s="180"/>
      <c r="CF295" s="21"/>
      <c r="CG295" s="14"/>
      <c r="CH295" s="14"/>
      <c r="CI295" s="14"/>
      <c r="CJ295" s="14"/>
      <c r="CK295" s="14"/>
      <c r="CL295" s="14"/>
      <c r="CM295" s="14"/>
      <c r="CN295" s="14"/>
      <c r="CO295" s="129"/>
      <c r="CP295" s="14"/>
      <c r="CQ295" s="47"/>
      <c r="CR295" s="14"/>
      <c r="CS295" s="14"/>
      <c r="CT295" s="14"/>
      <c r="CU295" s="14"/>
      <c r="CV295" s="180"/>
      <c r="CW295" s="189"/>
      <c r="CX295" s="189"/>
      <c r="CY295" s="14"/>
      <c r="CZ295" s="14"/>
      <c r="DA295" s="14"/>
      <c r="DB295" s="14"/>
      <c r="DC295" s="14"/>
      <c r="DD295" s="14"/>
      <c r="DE295" s="14"/>
      <c r="DF295" s="14"/>
      <c r="DG295" s="129"/>
      <c r="DH295" s="14"/>
      <c r="DI295" s="47"/>
      <c r="DJ295" s="14"/>
      <c r="DK295" s="19"/>
      <c r="DL295" s="40"/>
      <c r="DM295" s="41"/>
      <c r="DN295" s="40"/>
      <c r="DO295" s="40"/>
      <c r="DP295" s="40"/>
      <c r="DQ295" s="41"/>
      <c r="DR295" s="72"/>
      <c r="DS295" s="14"/>
      <c r="DT295" s="14"/>
      <c r="DU295" s="14"/>
      <c r="DV295" s="14"/>
      <c r="DW295" s="14"/>
      <c r="DX295" s="14"/>
      <c r="DY295" s="14"/>
      <c r="DZ295" s="14"/>
      <c r="EA295" s="14"/>
      <c r="EB295" s="14"/>
      <c r="EC295" s="14"/>
      <c r="ED295" s="14"/>
      <c r="EE295" s="14"/>
      <c r="EF295" s="14"/>
      <c r="EG295" s="14"/>
      <c r="EH295" s="14"/>
      <c r="EI295" s="14"/>
      <c r="EJ295" s="14"/>
      <c r="EK295" s="14"/>
      <c r="EL295" s="14"/>
    </row>
    <row r="296" spans="1:142" x14ac:dyDescent="0.25">
      <c r="A296" s="14"/>
      <c r="B296" s="19"/>
      <c r="C296" s="40"/>
      <c r="D296" s="41"/>
      <c r="E296" s="40"/>
      <c r="F296" s="40"/>
      <c r="G296" s="40"/>
      <c r="H296" s="41"/>
      <c r="I296" s="72"/>
      <c r="J296" s="14"/>
      <c r="K296" s="14"/>
      <c r="L296" s="14"/>
      <c r="M296" s="14"/>
      <c r="N296" s="14"/>
      <c r="O296" s="14"/>
      <c r="P296" s="14"/>
      <c r="Q296" s="47"/>
      <c r="R296" s="14"/>
      <c r="S296" s="19"/>
      <c r="T296" s="14"/>
      <c r="U296" s="14"/>
      <c r="V296" s="14"/>
      <c r="W296" s="14"/>
      <c r="X296" s="14"/>
      <c r="Y296" s="14"/>
      <c r="Z296" s="14"/>
      <c r="AA296" s="14"/>
      <c r="AB296" s="14"/>
      <c r="AC296" s="44"/>
      <c r="AD296" s="44"/>
      <c r="AE296" s="366"/>
      <c r="AF296" s="47"/>
      <c r="AG296" s="14"/>
      <c r="AH296" s="19"/>
      <c r="AI296" s="14"/>
      <c r="AJ296" s="14"/>
      <c r="AK296" s="14"/>
      <c r="AL296" s="14"/>
      <c r="AM296" s="14"/>
      <c r="AN296" s="14"/>
      <c r="AO296" s="14"/>
      <c r="AP296" s="14"/>
      <c r="AQ296" s="14"/>
      <c r="AR296" s="14"/>
      <c r="AS296" s="14"/>
      <c r="AT296" s="14"/>
      <c r="AU296" s="47"/>
      <c r="AV296" s="14"/>
      <c r="AW296" s="19"/>
      <c r="AX296" s="14"/>
      <c r="AY296" s="14"/>
      <c r="AZ296" s="14"/>
      <c r="BA296" s="14"/>
      <c r="BB296" s="14"/>
      <c r="BC296" s="14"/>
      <c r="BD296" s="14"/>
      <c r="BE296" s="14"/>
      <c r="BF296" s="14"/>
      <c r="BG296" s="14"/>
      <c r="BH296" s="14"/>
      <c r="BI296" s="14"/>
      <c r="BJ296" s="47"/>
      <c r="BK296" s="14"/>
      <c r="BL296" s="19"/>
      <c r="BM296" s="14"/>
      <c r="BN296" s="14"/>
      <c r="BO296" s="14"/>
      <c r="BP296" s="14"/>
      <c r="BQ296" s="14"/>
      <c r="BR296" s="14"/>
      <c r="BS296" s="14"/>
      <c r="BT296" s="14"/>
      <c r="BU296" s="14"/>
      <c r="BV296" s="14"/>
      <c r="BW296" s="14"/>
      <c r="BX296" s="14"/>
      <c r="BY296" s="47"/>
      <c r="BZ296" s="14"/>
      <c r="CA296" s="14"/>
      <c r="CB296" s="21"/>
      <c r="CC296" s="21"/>
      <c r="CD296" s="180"/>
      <c r="CE296" s="180"/>
      <c r="CF296" s="21"/>
      <c r="CG296" s="14"/>
      <c r="CH296" s="14"/>
      <c r="CI296" s="14"/>
      <c r="CJ296" s="14"/>
      <c r="CK296" s="14"/>
      <c r="CL296" s="14"/>
      <c r="CM296" s="14"/>
      <c r="CN296" s="14"/>
      <c r="CO296" s="129"/>
      <c r="CP296" s="14"/>
      <c r="CQ296" s="47"/>
      <c r="CR296" s="14"/>
      <c r="CS296" s="14"/>
      <c r="CT296" s="14"/>
      <c r="CU296" s="14"/>
      <c r="CV296" s="180"/>
      <c r="CW296" s="189"/>
      <c r="CX296" s="189"/>
      <c r="CY296" s="14"/>
      <c r="CZ296" s="14"/>
      <c r="DA296" s="14"/>
      <c r="DB296" s="14"/>
      <c r="DC296" s="14"/>
      <c r="DD296" s="14"/>
      <c r="DE296" s="14"/>
      <c r="DF296" s="14"/>
      <c r="DG296" s="129"/>
      <c r="DH296" s="14"/>
      <c r="DI296" s="47"/>
      <c r="DJ296" s="14"/>
      <c r="DK296" s="19"/>
      <c r="DL296" s="40"/>
      <c r="DM296" s="41"/>
      <c r="DN296" s="40"/>
      <c r="DO296" s="40"/>
      <c r="DP296" s="40"/>
      <c r="DQ296" s="41"/>
      <c r="DR296" s="72"/>
      <c r="DS296" s="14"/>
      <c r="DT296" s="14"/>
      <c r="DU296" s="14"/>
      <c r="DV296" s="14"/>
      <c r="DW296" s="14"/>
      <c r="DX296" s="14"/>
      <c r="DY296" s="14"/>
      <c r="DZ296" s="14"/>
      <c r="EA296" s="14"/>
      <c r="EB296" s="14"/>
      <c r="EC296" s="14"/>
      <c r="ED296" s="14"/>
      <c r="EE296" s="14"/>
      <c r="EF296" s="14"/>
      <c r="EG296" s="14"/>
      <c r="EH296" s="14"/>
      <c r="EI296" s="14"/>
      <c r="EJ296" s="14"/>
      <c r="EK296" s="14"/>
      <c r="EL296" s="14"/>
    </row>
    <row r="297" spans="1:142" x14ac:dyDescent="0.25">
      <c r="A297" s="14"/>
      <c r="B297" s="19"/>
      <c r="C297" s="40"/>
      <c r="D297" s="41"/>
      <c r="E297" s="40"/>
      <c r="F297" s="40"/>
      <c r="G297" s="40"/>
      <c r="H297" s="41"/>
      <c r="I297" s="72"/>
      <c r="J297" s="14"/>
      <c r="K297" s="14"/>
      <c r="L297" s="14"/>
      <c r="M297" s="14"/>
      <c r="N297" s="14"/>
      <c r="O297" s="14"/>
      <c r="P297" s="14"/>
      <c r="Q297" s="47"/>
      <c r="R297" s="14"/>
      <c r="S297" s="19"/>
      <c r="T297" s="14"/>
      <c r="U297" s="14"/>
      <c r="V297" s="14"/>
      <c r="W297" s="14"/>
      <c r="X297" s="14"/>
      <c r="Y297" s="14"/>
      <c r="Z297" s="14"/>
      <c r="AA297" s="14"/>
      <c r="AB297" s="14"/>
      <c r="AC297" s="44"/>
      <c r="AD297" s="44"/>
      <c r="AE297" s="366"/>
      <c r="AF297" s="47"/>
      <c r="AG297" s="14"/>
      <c r="AH297" s="19"/>
      <c r="AI297" s="14"/>
      <c r="AJ297" s="14"/>
      <c r="AK297" s="14"/>
      <c r="AL297" s="14"/>
      <c r="AM297" s="14"/>
      <c r="AN297" s="14"/>
      <c r="AO297" s="14"/>
      <c r="AP297" s="14"/>
      <c r="AQ297" s="14"/>
      <c r="AR297" s="14"/>
      <c r="AS297" s="14"/>
      <c r="AT297" s="14"/>
      <c r="AU297" s="47"/>
      <c r="AV297" s="14"/>
      <c r="AW297" s="19"/>
      <c r="AX297" s="14"/>
      <c r="AY297" s="14"/>
      <c r="AZ297" s="14"/>
      <c r="BA297" s="14"/>
      <c r="BB297" s="14"/>
      <c r="BC297" s="14"/>
      <c r="BD297" s="14"/>
      <c r="BE297" s="14"/>
      <c r="BF297" s="14"/>
      <c r="BG297" s="14"/>
      <c r="BH297" s="14"/>
      <c r="BI297" s="14"/>
      <c r="BJ297" s="47"/>
      <c r="BK297" s="14"/>
      <c r="BL297" s="19"/>
      <c r="BM297" s="14"/>
      <c r="BN297" s="14"/>
      <c r="BO297" s="14"/>
      <c r="BP297" s="14"/>
      <c r="BQ297" s="14"/>
      <c r="BR297" s="14"/>
      <c r="BS297" s="14"/>
      <c r="BT297" s="14"/>
      <c r="BU297" s="14"/>
      <c r="BV297" s="14"/>
      <c r="BW297" s="14"/>
      <c r="BX297" s="14"/>
      <c r="BY297" s="47"/>
      <c r="BZ297" s="14"/>
      <c r="CA297" s="14"/>
      <c r="CB297" s="21"/>
      <c r="CC297" s="21"/>
      <c r="CD297" s="180"/>
      <c r="CE297" s="180"/>
      <c r="CF297" s="21"/>
      <c r="CG297" s="14"/>
      <c r="CH297" s="14"/>
      <c r="CI297" s="14"/>
      <c r="CJ297" s="14"/>
      <c r="CK297" s="14"/>
      <c r="CL297" s="14"/>
      <c r="CM297" s="14"/>
      <c r="CN297" s="14"/>
      <c r="CO297" s="129"/>
      <c r="CP297" s="14"/>
      <c r="CQ297" s="47"/>
      <c r="CR297" s="14"/>
      <c r="CS297" s="14"/>
      <c r="CT297" s="14"/>
      <c r="CU297" s="14"/>
      <c r="CV297" s="180"/>
      <c r="CW297" s="189"/>
      <c r="CX297" s="189"/>
      <c r="CY297" s="14"/>
      <c r="CZ297" s="14"/>
      <c r="DA297" s="14"/>
      <c r="DB297" s="14"/>
      <c r="DC297" s="14"/>
      <c r="DD297" s="14"/>
      <c r="DE297" s="14"/>
      <c r="DF297" s="14"/>
      <c r="DG297" s="129"/>
      <c r="DH297" s="14"/>
      <c r="DI297" s="47"/>
      <c r="DJ297" s="14"/>
      <c r="DK297" s="19"/>
      <c r="DL297" s="40"/>
      <c r="DM297" s="41"/>
      <c r="DN297" s="40"/>
      <c r="DO297" s="40"/>
      <c r="DP297" s="40"/>
      <c r="DQ297" s="41"/>
      <c r="DR297" s="72"/>
      <c r="DS297" s="14"/>
      <c r="DT297" s="14"/>
      <c r="DU297" s="14"/>
      <c r="DV297" s="14"/>
      <c r="DW297" s="14"/>
      <c r="DX297" s="14"/>
      <c r="DY297" s="14"/>
      <c r="DZ297" s="14"/>
      <c r="EA297" s="14"/>
      <c r="EB297" s="14"/>
      <c r="EC297" s="14"/>
      <c r="ED297" s="14"/>
      <c r="EE297" s="14"/>
      <c r="EF297" s="14"/>
      <c r="EG297" s="14"/>
      <c r="EH297" s="14"/>
      <c r="EI297" s="14"/>
      <c r="EJ297" s="14"/>
      <c r="EK297" s="14"/>
      <c r="EL297" s="14"/>
    </row>
    <row r="298" spans="1:142" x14ac:dyDescent="0.25">
      <c r="A298" s="14"/>
      <c r="B298" s="19"/>
      <c r="C298" s="40"/>
      <c r="D298" s="41"/>
      <c r="E298" s="40"/>
      <c r="F298" s="40"/>
      <c r="G298" s="40"/>
      <c r="H298" s="41"/>
      <c r="I298" s="72"/>
      <c r="J298" s="14"/>
      <c r="K298" s="14"/>
      <c r="L298" s="14"/>
      <c r="M298" s="14"/>
      <c r="N298" s="14"/>
      <c r="O298" s="14"/>
      <c r="P298" s="14"/>
      <c r="Q298" s="47"/>
      <c r="R298" s="14"/>
      <c r="S298" s="19"/>
      <c r="T298" s="14"/>
      <c r="U298" s="14"/>
      <c r="V298" s="14"/>
      <c r="W298" s="14"/>
      <c r="X298" s="14"/>
      <c r="Y298" s="14"/>
      <c r="Z298" s="14"/>
      <c r="AA298" s="14"/>
      <c r="AB298" s="14"/>
      <c r="AC298" s="44"/>
      <c r="AD298" s="44"/>
      <c r="AE298" s="366"/>
      <c r="AF298" s="47"/>
      <c r="AG298" s="14"/>
      <c r="AH298" s="19"/>
      <c r="AI298" s="14"/>
      <c r="AJ298" s="14"/>
      <c r="AK298" s="14"/>
      <c r="AL298" s="14"/>
      <c r="AM298" s="14"/>
      <c r="AN298" s="14"/>
      <c r="AO298" s="14"/>
      <c r="AP298" s="14"/>
      <c r="AQ298" s="14"/>
      <c r="AR298" s="14"/>
      <c r="AS298" s="14"/>
      <c r="AT298" s="14"/>
      <c r="AU298" s="47"/>
      <c r="AV298" s="14"/>
      <c r="AW298" s="19"/>
      <c r="AX298" s="14"/>
      <c r="AY298" s="14"/>
      <c r="AZ298" s="14"/>
      <c r="BA298" s="14"/>
      <c r="BB298" s="14"/>
      <c r="BC298" s="14"/>
      <c r="BD298" s="14"/>
      <c r="BE298" s="14"/>
      <c r="BF298" s="14"/>
      <c r="BG298" s="14"/>
      <c r="BH298" s="14"/>
      <c r="BI298" s="14"/>
      <c r="BJ298" s="47"/>
      <c r="BK298" s="14"/>
      <c r="BL298" s="19"/>
      <c r="BM298" s="14"/>
      <c r="BN298" s="14"/>
      <c r="BO298" s="14"/>
      <c r="BP298" s="14"/>
      <c r="BQ298" s="14"/>
      <c r="BR298" s="14"/>
      <c r="BS298" s="14"/>
      <c r="BT298" s="14"/>
      <c r="BU298" s="14"/>
      <c r="BV298" s="14"/>
      <c r="BW298" s="14"/>
      <c r="BX298" s="14"/>
      <c r="BY298" s="47"/>
      <c r="BZ298" s="14"/>
      <c r="CA298" s="14"/>
      <c r="CB298" s="21"/>
      <c r="CC298" s="21"/>
      <c r="CD298" s="180"/>
      <c r="CE298" s="180"/>
      <c r="CF298" s="21"/>
      <c r="CG298" s="14"/>
      <c r="CH298" s="14"/>
      <c r="CI298" s="14"/>
      <c r="CJ298" s="14"/>
      <c r="CK298" s="14"/>
      <c r="CL298" s="14"/>
      <c r="CM298" s="14"/>
      <c r="CN298" s="14"/>
      <c r="CO298" s="129"/>
      <c r="CP298" s="14"/>
      <c r="CQ298" s="47"/>
      <c r="CR298" s="14"/>
      <c r="CS298" s="14"/>
      <c r="CT298" s="14"/>
      <c r="CU298" s="14"/>
      <c r="CV298" s="180"/>
      <c r="CW298" s="189"/>
      <c r="CX298" s="189"/>
      <c r="CY298" s="14"/>
      <c r="CZ298" s="14"/>
      <c r="DA298" s="14"/>
      <c r="DB298" s="14"/>
      <c r="DC298" s="14"/>
      <c r="DD298" s="14"/>
      <c r="DE298" s="14"/>
      <c r="DF298" s="14"/>
      <c r="DG298" s="129"/>
      <c r="DH298" s="14"/>
      <c r="DI298" s="47"/>
      <c r="DJ298" s="14"/>
      <c r="DK298" s="19"/>
      <c r="DL298" s="40"/>
      <c r="DM298" s="41"/>
      <c r="DN298" s="40"/>
      <c r="DO298" s="40"/>
      <c r="DP298" s="40"/>
      <c r="DQ298" s="41"/>
      <c r="DR298" s="72"/>
      <c r="DS298" s="14"/>
      <c r="DT298" s="14"/>
      <c r="DU298" s="14"/>
      <c r="DV298" s="14"/>
      <c r="DW298" s="14"/>
      <c r="DX298" s="14"/>
      <c r="DY298" s="14"/>
      <c r="DZ298" s="14"/>
      <c r="EA298" s="14"/>
      <c r="EB298" s="14"/>
      <c r="EC298" s="14"/>
      <c r="ED298" s="14"/>
      <c r="EE298" s="14"/>
      <c r="EF298" s="14"/>
      <c r="EG298" s="14"/>
      <c r="EH298" s="14"/>
      <c r="EI298" s="14"/>
      <c r="EJ298" s="14"/>
      <c r="EK298" s="14"/>
      <c r="EL298" s="14"/>
    </row>
    <row r="299" spans="1:142" x14ac:dyDescent="0.25">
      <c r="A299" s="14"/>
      <c r="B299" s="19"/>
      <c r="C299" s="40"/>
      <c r="D299" s="41"/>
      <c r="E299" s="40"/>
      <c r="F299" s="40"/>
      <c r="G299" s="40"/>
      <c r="H299" s="41"/>
      <c r="I299" s="72"/>
      <c r="J299" s="14"/>
      <c r="K299" s="14"/>
      <c r="L299" s="14"/>
      <c r="M299" s="14"/>
      <c r="N299" s="14"/>
      <c r="O299" s="14"/>
      <c r="P299" s="14"/>
      <c r="Q299" s="47"/>
      <c r="R299" s="14"/>
      <c r="S299" s="19"/>
      <c r="T299" s="14"/>
      <c r="U299" s="14"/>
      <c r="V299" s="14"/>
      <c r="W299" s="14"/>
      <c r="X299" s="14"/>
      <c r="Y299" s="14"/>
      <c r="Z299" s="14"/>
      <c r="AA299" s="14"/>
      <c r="AB299" s="14"/>
      <c r="AC299" s="44"/>
      <c r="AD299" s="44"/>
      <c r="AE299" s="366"/>
      <c r="AF299" s="47"/>
      <c r="AG299" s="14"/>
      <c r="AH299" s="19"/>
      <c r="AI299" s="14"/>
      <c r="AJ299" s="14"/>
      <c r="AK299" s="14"/>
      <c r="AL299" s="14"/>
      <c r="AM299" s="14"/>
      <c r="AN299" s="14"/>
      <c r="AO299" s="14"/>
      <c r="AP299" s="14"/>
      <c r="AQ299" s="14"/>
      <c r="AR299" s="14"/>
      <c r="AS299" s="14"/>
      <c r="AT299" s="14"/>
      <c r="AU299" s="47"/>
      <c r="AV299" s="14"/>
      <c r="AW299" s="19"/>
      <c r="AX299" s="14"/>
      <c r="AY299" s="14"/>
      <c r="AZ299" s="14"/>
      <c r="BA299" s="14"/>
      <c r="BB299" s="14"/>
      <c r="BC299" s="14"/>
      <c r="BD299" s="14"/>
      <c r="BE299" s="14"/>
      <c r="BF299" s="14"/>
      <c r="BG299" s="14"/>
      <c r="BH299" s="14"/>
      <c r="BI299" s="14"/>
      <c r="BJ299" s="47"/>
      <c r="BK299" s="14"/>
      <c r="BL299" s="19"/>
      <c r="BM299" s="14"/>
      <c r="BN299" s="14"/>
      <c r="BO299" s="14"/>
      <c r="BP299" s="14"/>
      <c r="BQ299" s="14"/>
      <c r="BR299" s="14"/>
      <c r="BS299" s="14"/>
      <c r="BT299" s="14"/>
      <c r="BU299" s="14"/>
      <c r="BV299" s="14"/>
      <c r="BW299" s="14"/>
      <c r="BX299" s="14"/>
      <c r="BY299" s="47"/>
      <c r="BZ299" s="14"/>
      <c r="CA299" s="14"/>
      <c r="CB299" s="21"/>
      <c r="CC299" s="21"/>
      <c r="CD299" s="180"/>
      <c r="CE299" s="180"/>
      <c r="CF299" s="21"/>
      <c r="CG299" s="14"/>
      <c r="CH299" s="14"/>
      <c r="CI299" s="14"/>
      <c r="CJ299" s="14"/>
      <c r="CK299" s="14"/>
      <c r="CL299" s="14"/>
      <c r="CM299" s="14"/>
      <c r="CN299" s="14"/>
      <c r="CO299" s="129"/>
      <c r="CP299" s="14"/>
      <c r="CQ299" s="47"/>
      <c r="CR299" s="14"/>
      <c r="CS299" s="14"/>
      <c r="CT299" s="14"/>
      <c r="CU299" s="14"/>
      <c r="CV299" s="180"/>
      <c r="CW299" s="189"/>
      <c r="CX299" s="189"/>
      <c r="CY299" s="14"/>
      <c r="CZ299" s="14"/>
      <c r="DA299" s="14"/>
      <c r="DB299" s="14"/>
      <c r="DC299" s="14"/>
      <c r="DD299" s="14"/>
      <c r="DE299" s="14"/>
      <c r="DF299" s="14"/>
      <c r="DG299" s="129"/>
      <c r="DH299" s="14"/>
      <c r="DI299" s="47"/>
      <c r="DJ299" s="14"/>
      <c r="DK299" s="19"/>
      <c r="DL299" s="40"/>
      <c r="DM299" s="41"/>
      <c r="DN299" s="40"/>
      <c r="DO299" s="40"/>
      <c r="DP299" s="40"/>
      <c r="DQ299" s="41"/>
      <c r="DR299" s="72"/>
      <c r="DS299" s="14"/>
      <c r="DT299" s="14"/>
      <c r="DU299" s="14"/>
      <c r="DV299" s="14"/>
      <c r="DW299" s="14"/>
      <c r="DX299" s="14"/>
      <c r="DY299" s="14"/>
      <c r="DZ299" s="14"/>
      <c r="EA299" s="14"/>
      <c r="EB299" s="14"/>
      <c r="EC299" s="14"/>
      <c r="ED299" s="14"/>
      <c r="EE299" s="14"/>
      <c r="EF299" s="14"/>
      <c r="EG299" s="14"/>
      <c r="EH299" s="14"/>
      <c r="EI299" s="14"/>
      <c r="EJ299" s="14"/>
      <c r="EK299" s="14"/>
      <c r="EL299" s="14"/>
    </row>
    <row r="300" spans="1:142" x14ac:dyDescent="0.25">
      <c r="A300" s="14"/>
      <c r="B300" s="19"/>
      <c r="C300" s="40"/>
      <c r="D300" s="41"/>
      <c r="E300" s="40"/>
      <c r="F300" s="40"/>
      <c r="G300" s="40"/>
      <c r="H300" s="41"/>
      <c r="I300" s="72"/>
      <c r="J300" s="14"/>
      <c r="K300" s="14"/>
      <c r="L300" s="14"/>
      <c r="M300" s="14"/>
      <c r="N300" s="14"/>
      <c r="O300" s="14"/>
      <c r="P300" s="14"/>
      <c r="Q300" s="47"/>
      <c r="R300" s="14"/>
      <c r="S300" s="19"/>
      <c r="T300" s="14"/>
      <c r="U300" s="14"/>
      <c r="V300" s="14"/>
      <c r="W300" s="14"/>
      <c r="X300" s="14"/>
      <c r="Y300" s="14"/>
      <c r="Z300" s="14"/>
      <c r="AA300" s="14"/>
      <c r="AB300" s="14"/>
      <c r="AC300" s="44"/>
      <c r="AD300" s="44"/>
      <c r="AE300" s="366"/>
      <c r="AF300" s="47"/>
      <c r="AG300" s="14"/>
      <c r="AH300" s="19"/>
      <c r="AI300" s="14"/>
      <c r="AJ300" s="14"/>
      <c r="AK300" s="14"/>
      <c r="AL300" s="14"/>
      <c r="AM300" s="14"/>
      <c r="AN300" s="14"/>
      <c r="AO300" s="14"/>
      <c r="AP300" s="14"/>
      <c r="AQ300" s="14"/>
      <c r="AR300" s="14"/>
      <c r="AS300" s="14"/>
      <c r="AT300" s="14"/>
      <c r="AU300" s="47"/>
      <c r="AV300" s="14"/>
      <c r="AW300" s="19"/>
      <c r="AX300" s="14"/>
      <c r="AY300" s="14"/>
      <c r="AZ300" s="14"/>
      <c r="BA300" s="14"/>
      <c r="BB300" s="14"/>
      <c r="BC300" s="14"/>
      <c r="BD300" s="14"/>
      <c r="BE300" s="14"/>
      <c r="BF300" s="14"/>
      <c r="BG300" s="14"/>
      <c r="BH300" s="14"/>
      <c r="BI300" s="14"/>
      <c r="BJ300" s="47"/>
      <c r="BK300" s="14"/>
      <c r="BL300" s="19"/>
      <c r="BM300" s="14"/>
      <c r="BN300" s="14"/>
      <c r="BO300" s="14"/>
      <c r="BP300" s="14"/>
      <c r="BQ300" s="14"/>
      <c r="BR300" s="14"/>
      <c r="BS300" s="14"/>
      <c r="BT300" s="14"/>
      <c r="BU300" s="14"/>
      <c r="BV300" s="14"/>
      <c r="BW300" s="14"/>
      <c r="BX300" s="14"/>
      <c r="BY300" s="47"/>
      <c r="BZ300" s="14"/>
      <c r="CA300" s="14"/>
      <c r="CB300" s="21"/>
      <c r="CC300" s="21"/>
      <c r="CD300" s="180"/>
      <c r="CE300" s="180"/>
      <c r="CF300" s="21"/>
      <c r="CG300" s="14"/>
      <c r="CH300" s="14"/>
      <c r="CI300" s="14"/>
      <c r="CJ300" s="14"/>
      <c r="CK300" s="14"/>
      <c r="CL300" s="14"/>
      <c r="CM300" s="14"/>
      <c r="CN300" s="14"/>
      <c r="CO300" s="129"/>
      <c r="CP300" s="14"/>
      <c r="CQ300" s="47"/>
      <c r="CR300" s="14"/>
      <c r="CS300" s="14"/>
      <c r="CT300" s="14"/>
      <c r="CU300" s="14"/>
      <c r="CV300" s="180"/>
      <c r="CW300" s="189"/>
      <c r="CX300" s="189"/>
      <c r="CY300" s="14"/>
      <c r="CZ300" s="14"/>
      <c r="DA300" s="14"/>
      <c r="DB300" s="14"/>
      <c r="DC300" s="14"/>
      <c r="DD300" s="14"/>
      <c r="DE300" s="14"/>
      <c r="DF300" s="14"/>
      <c r="DG300" s="129"/>
      <c r="DH300" s="14"/>
      <c r="DI300" s="47"/>
      <c r="DJ300" s="14"/>
      <c r="DK300" s="19"/>
      <c r="DL300" s="40"/>
      <c r="DM300" s="41"/>
      <c r="DN300" s="40"/>
      <c r="DO300" s="40"/>
      <c r="DP300" s="40"/>
      <c r="DQ300" s="41"/>
      <c r="DR300" s="72"/>
      <c r="DS300" s="14"/>
      <c r="DT300" s="14"/>
      <c r="DU300" s="14"/>
      <c r="DV300" s="14"/>
      <c r="DW300" s="14"/>
      <c r="DX300" s="14"/>
      <c r="DY300" s="14"/>
      <c r="DZ300" s="14"/>
      <c r="EA300" s="14"/>
      <c r="EB300" s="14"/>
      <c r="EC300" s="14"/>
      <c r="ED300" s="14"/>
      <c r="EE300" s="14"/>
      <c r="EF300" s="14"/>
      <c r="EG300" s="14"/>
      <c r="EH300" s="14"/>
      <c r="EI300" s="14"/>
      <c r="EJ300" s="14"/>
      <c r="EK300" s="14"/>
      <c r="EL300" s="14"/>
    </row>
    <row r="301" spans="1:142" x14ac:dyDescent="0.25">
      <c r="A301" s="14"/>
      <c r="B301" s="19"/>
      <c r="C301" s="40"/>
      <c r="D301" s="41"/>
      <c r="E301" s="40"/>
      <c r="F301" s="40"/>
      <c r="G301" s="40"/>
      <c r="H301" s="41"/>
      <c r="I301" s="72"/>
      <c r="J301" s="14"/>
      <c r="K301" s="14"/>
      <c r="L301" s="14"/>
      <c r="M301" s="14"/>
      <c r="N301" s="14"/>
      <c r="O301" s="14"/>
      <c r="P301" s="14"/>
      <c r="Q301" s="47"/>
      <c r="R301" s="14"/>
      <c r="S301" s="19"/>
      <c r="T301" s="14"/>
      <c r="U301" s="14"/>
      <c r="V301" s="14"/>
      <c r="W301" s="14"/>
      <c r="X301" s="14"/>
      <c r="Y301" s="14"/>
      <c r="Z301" s="14"/>
      <c r="AA301" s="14"/>
      <c r="AB301" s="14"/>
      <c r="AC301" s="44"/>
      <c r="AD301" s="44"/>
      <c r="AE301" s="366"/>
      <c r="AF301" s="47"/>
      <c r="AG301" s="14"/>
      <c r="AH301" s="19"/>
      <c r="AI301" s="14"/>
      <c r="AJ301" s="14"/>
      <c r="AK301" s="14"/>
      <c r="AL301" s="14"/>
      <c r="AM301" s="14"/>
      <c r="AN301" s="14"/>
      <c r="AO301" s="14"/>
      <c r="AP301" s="14"/>
      <c r="AQ301" s="14"/>
      <c r="AR301" s="14"/>
      <c r="AS301" s="14"/>
      <c r="AT301" s="14"/>
      <c r="AU301" s="47"/>
      <c r="AV301" s="14"/>
      <c r="AW301" s="19"/>
      <c r="AX301" s="14"/>
      <c r="AY301" s="14"/>
      <c r="AZ301" s="14"/>
      <c r="BA301" s="14"/>
      <c r="BB301" s="14"/>
      <c r="BC301" s="14"/>
      <c r="BD301" s="14"/>
      <c r="BE301" s="14"/>
      <c r="BF301" s="14"/>
      <c r="BG301" s="14"/>
      <c r="BH301" s="14"/>
      <c r="BI301" s="14"/>
      <c r="BJ301" s="47"/>
      <c r="BK301" s="14"/>
      <c r="BL301" s="19"/>
      <c r="BM301" s="14"/>
      <c r="BN301" s="14"/>
      <c r="BO301" s="14"/>
      <c r="BP301" s="14"/>
      <c r="BQ301" s="14"/>
      <c r="BR301" s="14"/>
      <c r="BS301" s="14"/>
      <c r="BT301" s="14"/>
      <c r="BU301" s="14"/>
      <c r="BV301" s="14"/>
      <c r="BW301" s="14"/>
      <c r="BX301" s="14"/>
      <c r="BY301" s="47"/>
      <c r="BZ301" s="14"/>
      <c r="CA301" s="14"/>
      <c r="CB301" s="21"/>
      <c r="CC301" s="21"/>
      <c r="CD301" s="180"/>
      <c r="CE301" s="180"/>
      <c r="CF301" s="21"/>
      <c r="CG301" s="14"/>
      <c r="CH301" s="14"/>
      <c r="CI301" s="14"/>
      <c r="CJ301" s="14"/>
      <c r="CK301" s="14"/>
      <c r="CL301" s="14"/>
      <c r="CM301" s="14"/>
      <c r="CN301" s="14"/>
      <c r="CO301" s="129"/>
      <c r="CP301" s="14"/>
      <c r="CQ301" s="47"/>
      <c r="CR301" s="14"/>
      <c r="CS301" s="14"/>
      <c r="CT301" s="14"/>
      <c r="CU301" s="14"/>
      <c r="CV301" s="180"/>
      <c r="CW301" s="189"/>
      <c r="CX301" s="189"/>
      <c r="CY301" s="14"/>
      <c r="CZ301" s="14"/>
      <c r="DA301" s="14"/>
      <c r="DB301" s="14"/>
      <c r="DC301" s="14"/>
      <c r="DD301" s="14"/>
      <c r="DE301" s="14"/>
      <c r="DF301" s="14"/>
      <c r="DG301" s="129"/>
      <c r="DH301" s="14"/>
      <c r="DI301" s="47"/>
      <c r="DJ301" s="14"/>
      <c r="DK301" s="19"/>
      <c r="DL301" s="40"/>
      <c r="DM301" s="41"/>
      <c r="DN301" s="40"/>
      <c r="DO301" s="40"/>
      <c r="DP301" s="40"/>
      <c r="DQ301" s="41"/>
      <c r="DR301" s="72"/>
      <c r="DS301" s="14"/>
      <c r="DT301" s="14"/>
      <c r="DU301" s="14"/>
      <c r="DV301" s="14"/>
      <c r="DW301" s="14"/>
      <c r="DX301" s="14"/>
      <c r="DY301" s="14"/>
      <c r="DZ301" s="14"/>
      <c r="EA301" s="14"/>
      <c r="EB301" s="14"/>
      <c r="EC301" s="14"/>
      <c r="ED301" s="14"/>
      <c r="EE301" s="14"/>
      <c r="EF301" s="14"/>
      <c r="EG301" s="14"/>
      <c r="EH301" s="14"/>
      <c r="EI301" s="14"/>
      <c r="EJ301" s="14"/>
      <c r="EK301" s="14"/>
      <c r="EL301" s="14"/>
    </row>
    <row r="302" spans="1:142" x14ac:dyDescent="0.25">
      <c r="A302" s="14"/>
      <c r="B302" s="19"/>
      <c r="C302" s="40"/>
      <c r="D302" s="41"/>
      <c r="E302" s="40"/>
      <c r="F302" s="40"/>
      <c r="G302" s="40"/>
      <c r="H302" s="41"/>
      <c r="I302" s="72"/>
      <c r="J302" s="14"/>
      <c r="K302" s="14"/>
      <c r="L302" s="14"/>
      <c r="M302" s="14"/>
      <c r="N302" s="14"/>
      <c r="O302" s="14"/>
      <c r="P302" s="14"/>
      <c r="Q302" s="47"/>
      <c r="R302" s="14"/>
      <c r="S302" s="19"/>
      <c r="T302" s="14"/>
      <c r="U302" s="14"/>
      <c r="V302" s="14"/>
      <c r="W302" s="14"/>
      <c r="X302" s="14"/>
      <c r="Y302" s="14"/>
      <c r="Z302" s="14"/>
      <c r="AA302" s="14"/>
      <c r="AB302" s="14"/>
      <c r="AC302" s="44"/>
      <c r="AD302" s="44"/>
      <c r="AE302" s="366"/>
      <c r="AF302" s="47"/>
      <c r="AG302" s="14"/>
      <c r="AH302" s="19"/>
      <c r="AI302" s="14"/>
      <c r="AJ302" s="14"/>
      <c r="AK302" s="14"/>
      <c r="AL302" s="14"/>
      <c r="AM302" s="14"/>
      <c r="AN302" s="14"/>
      <c r="AO302" s="14"/>
      <c r="AP302" s="14"/>
      <c r="AQ302" s="14"/>
      <c r="AR302" s="14"/>
      <c r="AS302" s="14"/>
      <c r="AT302" s="14"/>
      <c r="AU302" s="47"/>
      <c r="AV302" s="14"/>
      <c r="AW302" s="19"/>
      <c r="AX302" s="14"/>
      <c r="AY302" s="14"/>
      <c r="AZ302" s="14"/>
      <c r="BA302" s="14"/>
      <c r="BB302" s="14"/>
      <c r="BC302" s="14"/>
      <c r="BD302" s="14"/>
      <c r="BE302" s="14"/>
      <c r="BF302" s="14"/>
      <c r="BG302" s="14"/>
      <c r="BH302" s="14"/>
      <c r="BI302" s="14"/>
      <c r="BJ302" s="47"/>
      <c r="BK302" s="14"/>
      <c r="BL302" s="19"/>
      <c r="BM302" s="14"/>
      <c r="BN302" s="14"/>
      <c r="BO302" s="14"/>
      <c r="BP302" s="14"/>
      <c r="BQ302" s="14"/>
      <c r="BR302" s="14"/>
      <c r="BS302" s="14"/>
      <c r="BT302" s="14"/>
      <c r="BU302" s="14"/>
      <c r="BV302" s="14"/>
      <c r="BW302" s="14"/>
      <c r="BX302" s="14"/>
      <c r="BY302" s="47"/>
      <c r="BZ302" s="14"/>
      <c r="CA302" s="14"/>
      <c r="CB302" s="21"/>
      <c r="CC302" s="21"/>
      <c r="CD302" s="180"/>
      <c r="CE302" s="180"/>
      <c r="CF302" s="21"/>
      <c r="CG302" s="14"/>
      <c r="CH302" s="14"/>
      <c r="CI302" s="14"/>
      <c r="CJ302" s="14"/>
      <c r="CK302" s="14"/>
      <c r="CL302" s="14"/>
      <c r="CM302" s="14"/>
      <c r="CN302" s="14"/>
      <c r="CO302" s="129"/>
      <c r="CP302" s="14"/>
      <c r="CQ302" s="47"/>
      <c r="CR302" s="14"/>
      <c r="CS302" s="14"/>
      <c r="CT302" s="14"/>
      <c r="CU302" s="14"/>
      <c r="CV302" s="180"/>
      <c r="CW302" s="189"/>
      <c r="CX302" s="189"/>
      <c r="CY302" s="14"/>
      <c r="CZ302" s="14"/>
      <c r="DA302" s="14"/>
      <c r="DB302" s="14"/>
      <c r="DC302" s="14"/>
      <c r="DD302" s="14"/>
      <c r="DE302" s="14"/>
      <c r="DF302" s="14"/>
      <c r="DG302" s="129"/>
      <c r="DH302" s="14"/>
      <c r="DI302" s="47"/>
      <c r="DJ302" s="14"/>
      <c r="DK302" s="19"/>
      <c r="DL302" s="40"/>
      <c r="DM302" s="41"/>
      <c r="DN302" s="40"/>
      <c r="DO302" s="40"/>
      <c r="DP302" s="40"/>
      <c r="DQ302" s="41"/>
      <c r="DR302" s="72"/>
      <c r="DS302" s="14"/>
      <c r="DT302" s="14"/>
      <c r="DU302" s="14"/>
      <c r="DV302" s="14"/>
      <c r="DW302" s="14"/>
      <c r="DX302" s="14"/>
      <c r="DY302" s="14"/>
      <c r="DZ302" s="14"/>
      <c r="EA302" s="14"/>
      <c r="EB302" s="14"/>
      <c r="EC302" s="14"/>
      <c r="ED302" s="14"/>
      <c r="EE302" s="14"/>
      <c r="EF302" s="14"/>
      <c r="EG302" s="14"/>
      <c r="EH302" s="14"/>
      <c r="EI302" s="14"/>
      <c r="EJ302" s="14"/>
      <c r="EK302" s="14"/>
      <c r="EL302" s="14"/>
    </row>
    <row r="303" spans="1:142" x14ac:dyDescent="0.25">
      <c r="A303" s="14"/>
      <c r="B303" s="19"/>
      <c r="C303" s="40"/>
      <c r="D303" s="41"/>
      <c r="E303" s="40"/>
      <c r="F303" s="40"/>
      <c r="G303" s="40"/>
      <c r="H303" s="41"/>
      <c r="I303" s="72"/>
      <c r="J303" s="14"/>
      <c r="K303" s="14"/>
      <c r="L303" s="14"/>
      <c r="M303" s="14"/>
      <c r="N303" s="14"/>
      <c r="O303" s="14"/>
      <c r="P303" s="14"/>
      <c r="Q303" s="47"/>
      <c r="R303" s="14"/>
      <c r="S303" s="19"/>
      <c r="T303" s="14"/>
      <c r="U303" s="14"/>
      <c r="V303" s="14"/>
      <c r="W303" s="14"/>
      <c r="X303" s="14"/>
      <c r="Y303" s="14"/>
      <c r="Z303" s="14"/>
      <c r="AA303" s="14"/>
      <c r="AB303" s="14"/>
      <c r="AC303" s="44"/>
      <c r="AD303" s="44"/>
      <c r="AE303" s="366"/>
      <c r="AF303" s="47"/>
      <c r="AG303" s="14"/>
      <c r="AH303" s="19"/>
      <c r="AI303" s="14"/>
      <c r="AJ303" s="14"/>
      <c r="AK303" s="14"/>
      <c r="AL303" s="14"/>
      <c r="AM303" s="14"/>
      <c r="AN303" s="14"/>
      <c r="AO303" s="14"/>
      <c r="AP303" s="14"/>
      <c r="AQ303" s="14"/>
      <c r="AR303" s="14"/>
      <c r="AS303" s="14"/>
      <c r="AT303" s="14"/>
      <c r="AU303" s="47"/>
      <c r="AV303" s="14"/>
      <c r="AW303" s="19"/>
      <c r="AX303" s="14"/>
      <c r="AY303" s="14"/>
      <c r="AZ303" s="14"/>
      <c r="BA303" s="14"/>
      <c r="BB303" s="14"/>
      <c r="BC303" s="14"/>
      <c r="BD303" s="14"/>
      <c r="BE303" s="14"/>
      <c r="BF303" s="14"/>
      <c r="BG303" s="14"/>
      <c r="BH303" s="14"/>
      <c r="BI303" s="14"/>
      <c r="BJ303" s="47"/>
      <c r="BK303" s="14"/>
      <c r="BL303" s="19"/>
      <c r="BM303" s="14"/>
      <c r="BN303" s="14"/>
      <c r="BO303" s="14"/>
      <c r="BP303" s="14"/>
      <c r="BQ303" s="14"/>
      <c r="BR303" s="14"/>
      <c r="BS303" s="14"/>
      <c r="BT303" s="14"/>
      <c r="BU303" s="14"/>
      <c r="BV303" s="14"/>
      <c r="BW303" s="14"/>
      <c r="BX303" s="14"/>
      <c r="BY303" s="47"/>
      <c r="BZ303" s="14"/>
      <c r="CA303" s="14"/>
      <c r="CB303" s="21"/>
      <c r="CC303" s="21"/>
      <c r="CD303" s="180"/>
      <c r="CE303" s="180"/>
      <c r="CF303" s="21"/>
      <c r="CG303" s="14"/>
      <c r="CH303" s="14"/>
      <c r="CI303" s="14"/>
      <c r="CJ303" s="14"/>
      <c r="CK303" s="14"/>
      <c r="CL303" s="14"/>
      <c r="CM303" s="14"/>
      <c r="CN303" s="14"/>
      <c r="CO303" s="129"/>
      <c r="CP303" s="14"/>
      <c r="CQ303" s="47"/>
      <c r="CR303" s="14"/>
      <c r="CS303" s="14"/>
      <c r="CT303" s="14"/>
      <c r="CU303" s="14"/>
      <c r="CV303" s="180"/>
      <c r="CW303" s="189"/>
      <c r="CX303" s="189"/>
      <c r="CY303" s="14"/>
      <c r="CZ303" s="14"/>
      <c r="DA303" s="14"/>
      <c r="DB303" s="14"/>
      <c r="DC303" s="14"/>
      <c r="DD303" s="14"/>
      <c r="DE303" s="14"/>
      <c r="DF303" s="14"/>
      <c r="DG303" s="129"/>
      <c r="DH303" s="14"/>
      <c r="DI303" s="47"/>
      <c r="DJ303" s="14"/>
      <c r="DK303" s="19"/>
      <c r="DL303" s="40"/>
      <c r="DM303" s="41"/>
      <c r="DN303" s="40"/>
      <c r="DO303" s="40"/>
      <c r="DP303" s="40"/>
      <c r="DQ303" s="41"/>
      <c r="DR303" s="72"/>
      <c r="DS303" s="14"/>
      <c r="DT303" s="14"/>
      <c r="DU303" s="14"/>
      <c r="DV303" s="14"/>
      <c r="DW303" s="14"/>
      <c r="DX303" s="14"/>
      <c r="DY303" s="14"/>
      <c r="DZ303" s="14"/>
      <c r="EA303" s="14"/>
      <c r="EB303" s="14"/>
      <c r="EC303" s="14"/>
      <c r="ED303" s="14"/>
      <c r="EE303" s="14"/>
      <c r="EF303" s="14"/>
      <c r="EG303" s="14"/>
      <c r="EH303" s="14"/>
      <c r="EI303" s="14"/>
      <c r="EJ303" s="14"/>
      <c r="EK303" s="14"/>
      <c r="EL303" s="14"/>
    </row>
    <row r="304" spans="1:142" x14ac:dyDescent="0.25">
      <c r="A304" s="14"/>
      <c r="B304" s="19"/>
      <c r="C304" s="40"/>
      <c r="D304" s="41"/>
      <c r="E304" s="40"/>
      <c r="F304" s="40"/>
      <c r="G304" s="40"/>
      <c r="H304" s="41"/>
      <c r="I304" s="72"/>
      <c r="J304" s="14"/>
      <c r="K304" s="14"/>
      <c r="L304" s="14"/>
      <c r="M304" s="14"/>
      <c r="N304" s="14"/>
      <c r="O304" s="14"/>
      <c r="P304" s="14"/>
      <c r="Q304" s="47"/>
      <c r="R304" s="14"/>
      <c r="S304" s="19"/>
      <c r="T304" s="14"/>
      <c r="U304" s="14"/>
      <c r="V304" s="14"/>
      <c r="W304" s="14"/>
      <c r="X304" s="14"/>
      <c r="Y304" s="14"/>
      <c r="Z304" s="14"/>
      <c r="AA304" s="14"/>
      <c r="AB304" s="14"/>
      <c r="AC304" s="44"/>
      <c r="AD304" s="44"/>
      <c r="AE304" s="366"/>
      <c r="AF304" s="47"/>
      <c r="AG304" s="14"/>
      <c r="AH304" s="19"/>
      <c r="AI304" s="14"/>
      <c r="AJ304" s="14"/>
      <c r="AK304" s="14"/>
      <c r="AL304" s="14"/>
      <c r="AM304" s="14"/>
      <c r="AN304" s="14"/>
      <c r="AO304" s="14"/>
      <c r="AP304" s="14"/>
      <c r="AQ304" s="14"/>
      <c r="AR304" s="14"/>
      <c r="AS304" s="14"/>
      <c r="AT304" s="14"/>
      <c r="AU304" s="47"/>
      <c r="AV304" s="14"/>
      <c r="AW304" s="19"/>
      <c r="AX304" s="14"/>
      <c r="AY304" s="14"/>
      <c r="AZ304" s="14"/>
      <c r="BA304" s="14"/>
      <c r="BB304" s="14"/>
      <c r="BC304" s="14"/>
      <c r="BD304" s="14"/>
      <c r="BE304" s="14"/>
      <c r="BF304" s="14"/>
      <c r="BG304" s="14"/>
      <c r="BH304" s="14"/>
      <c r="BI304" s="14"/>
      <c r="BJ304" s="47"/>
      <c r="BK304" s="14"/>
      <c r="BL304" s="19"/>
      <c r="BM304" s="14"/>
      <c r="BN304" s="14"/>
      <c r="BO304" s="14"/>
      <c r="BP304" s="14"/>
      <c r="BQ304" s="14"/>
      <c r="BR304" s="14"/>
      <c r="BS304" s="14"/>
      <c r="BT304" s="14"/>
      <c r="BU304" s="14"/>
      <c r="BV304" s="14"/>
      <c r="BW304" s="14"/>
      <c r="BX304" s="14"/>
      <c r="BY304" s="47"/>
      <c r="BZ304" s="14"/>
      <c r="CA304" s="14"/>
      <c r="CB304" s="21"/>
      <c r="CC304" s="21"/>
      <c r="CD304" s="180"/>
      <c r="CE304" s="180"/>
      <c r="CF304" s="21"/>
      <c r="CG304" s="14"/>
      <c r="CH304" s="14"/>
      <c r="CI304" s="14"/>
      <c r="CJ304" s="14"/>
      <c r="CK304" s="14"/>
      <c r="CL304" s="14"/>
      <c r="CM304" s="14"/>
      <c r="CN304" s="14"/>
      <c r="CO304" s="129"/>
      <c r="CP304" s="14"/>
      <c r="CQ304" s="47"/>
      <c r="CR304" s="14"/>
      <c r="CS304" s="14"/>
      <c r="CT304" s="14"/>
      <c r="CU304" s="14"/>
      <c r="CV304" s="180"/>
      <c r="CW304" s="189"/>
      <c r="CX304" s="189"/>
      <c r="CY304" s="14"/>
      <c r="CZ304" s="14"/>
      <c r="DA304" s="14"/>
      <c r="DB304" s="14"/>
      <c r="DC304" s="14"/>
      <c r="DD304" s="14"/>
      <c r="DE304" s="14"/>
      <c r="DF304" s="14"/>
      <c r="DG304" s="129"/>
      <c r="DH304" s="14"/>
      <c r="DI304" s="47"/>
      <c r="DJ304" s="14"/>
      <c r="DK304" s="19"/>
      <c r="DL304" s="40"/>
      <c r="DM304" s="41"/>
      <c r="DN304" s="40"/>
      <c r="DO304" s="40"/>
      <c r="DP304" s="40"/>
      <c r="DQ304" s="41"/>
      <c r="DR304" s="72"/>
      <c r="DS304" s="14"/>
      <c r="DT304" s="14"/>
      <c r="DU304" s="14"/>
      <c r="DV304" s="14"/>
      <c r="DW304" s="14"/>
      <c r="DX304" s="14"/>
      <c r="DY304" s="14"/>
      <c r="DZ304" s="14"/>
      <c r="EA304" s="14"/>
      <c r="EB304" s="14"/>
      <c r="EC304" s="14"/>
      <c r="ED304" s="14"/>
      <c r="EE304" s="14"/>
      <c r="EF304" s="14"/>
      <c r="EG304" s="14"/>
      <c r="EH304" s="14"/>
      <c r="EI304" s="14"/>
      <c r="EJ304" s="14"/>
      <c r="EK304" s="14"/>
      <c r="EL304" s="14"/>
    </row>
    <row r="305" spans="1:142" x14ac:dyDescent="0.25">
      <c r="A305" s="14"/>
      <c r="B305" s="19"/>
      <c r="C305" s="40"/>
      <c r="D305" s="41"/>
      <c r="E305" s="40"/>
      <c r="F305" s="40"/>
      <c r="G305" s="40"/>
      <c r="H305" s="41"/>
      <c r="I305" s="72"/>
      <c r="J305" s="14"/>
      <c r="K305" s="14"/>
      <c r="L305" s="14"/>
      <c r="M305" s="14"/>
      <c r="N305" s="14"/>
      <c r="O305" s="14"/>
      <c r="P305" s="14"/>
      <c r="Q305" s="47"/>
      <c r="R305" s="14"/>
      <c r="S305" s="19"/>
      <c r="T305" s="14"/>
      <c r="U305" s="14"/>
      <c r="V305" s="14"/>
      <c r="W305" s="14"/>
      <c r="X305" s="14"/>
      <c r="Y305" s="14"/>
      <c r="Z305" s="14"/>
      <c r="AA305" s="14"/>
      <c r="AB305" s="14"/>
      <c r="AC305" s="44"/>
      <c r="AD305" s="44"/>
      <c r="AE305" s="366"/>
      <c r="AF305" s="47"/>
      <c r="AG305" s="14"/>
      <c r="AH305" s="19"/>
      <c r="AI305" s="14"/>
      <c r="AJ305" s="14"/>
      <c r="AK305" s="14"/>
      <c r="AL305" s="14"/>
      <c r="AM305" s="14"/>
      <c r="AN305" s="14"/>
      <c r="AO305" s="14"/>
      <c r="AP305" s="14"/>
      <c r="AQ305" s="14"/>
      <c r="AR305" s="14"/>
      <c r="AS305" s="14"/>
      <c r="AT305" s="14"/>
      <c r="AU305" s="47"/>
      <c r="AV305" s="14"/>
      <c r="AW305" s="19"/>
      <c r="AX305" s="14"/>
      <c r="AY305" s="14"/>
      <c r="AZ305" s="14"/>
      <c r="BA305" s="14"/>
      <c r="BB305" s="14"/>
      <c r="BC305" s="14"/>
      <c r="BD305" s="14"/>
      <c r="BE305" s="14"/>
      <c r="BF305" s="14"/>
      <c r="BG305" s="14"/>
      <c r="BH305" s="14"/>
      <c r="BI305" s="14"/>
      <c r="BJ305" s="47"/>
      <c r="BK305" s="14"/>
      <c r="BL305" s="19"/>
      <c r="BM305" s="14"/>
      <c r="BN305" s="14"/>
      <c r="BO305" s="14"/>
      <c r="BP305" s="14"/>
      <c r="BQ305" s="14"/>
      <c r="BR305" s="14"/>
      <c r="BS305" s="14"/>
      <c r="BT305" s="14"/>
      <c r="BU305" s="14"/>
      <c r="BV305" s="14"/>
      <c r="BW305" s="14"/>
      <c r="BX305" s="14"/>
      <c r="BY305" s="47"/>
      <c r="BZ305" s="14"/>
      <c r="CA305" s="14"/>
      <c r="CB305" s="21"/>
      <c r="CC305" s="21"/>
      <c r="CD305" s="180"/>
      <c r="CE305" s="180"/>
      <c r="CF305" s="21"/>
      <c r="CG305" s="14"/>
      <c r="CH305" s="14"/>
      <c r="CI305" s="14"/>
      <c r="CJ305" s="14"/>
      <c r="CK305" s="14"/>
      <c r="CL305" s="14"/>
      <c r="CM305" s="14"/>
      <c r="CN305" s="14"/>
      <c r="CO305" s="129"/>
      <c r="CP305" s="14"/>
      <c r="CQ305" s="47"/>
      <c r="CR305" s="14"/>
      <c r="CS305" s="14"/>
      <c r="CT305" s="14"/>
      <c r="CU305" s="14"/>
      <c r="CV305" s="180"/>
      <c r="CW305" s="189"/>
      <c r="CX305" s="189"/>
      <c r="CY305" s="14"/>
      <c r="CZ305" s="14"/>
      <c r="DA305" s="14"/>
      <c r="DB305" s="14"/>
      <c r="DC305" s="14"/>
      <c r="DD305" s="14"/>
      <c r="DE305" s="14"/>
      <c r="DF305" s="14"/>
      <c r="DG305" s="129"/>
      <c r="DH305" s="14"/>
      <c r="DI305" s="47"/>
      <c r="DJ305" s="14"/>
      <c r="DK305" s="19"/>
      <c r="DL305" s="40"/>
      <c r="DM305" s="41"/>
      <c r="DN305" s="40"/>
      <c r="DO305" s="40"/>
      <c r="DP305" s="40"/>
      <c r="DQ305" s="41"/>
      <c r="DR305" s="72"/>
      <c r="DS305" s="14"/>
      <c r="DT305" s="14"/>
      <c r="DU305" s="14"/>
      <c r="DV305" s="14"/>
      <c r="DW305" s="14"/>
      <c r="DX305" s="14"/>
      <c r="DY305" s="14"/>
      <c r="DZ305" s="14"/>
      <c r="EA305" s="14"/>
      <c r="EB305" s="14"/>
      <c r="EC305" s="14"/>
      <c r="ED305" s="14"/>
      <c r="EE305" s="14"/>
      <c r="EF305" s="14"/>
      <c r="EG305" s="14"/>
      <c r="EH305" s="14"/>
      <c r="EI305" s="14"/>
      <c r="EJ305" s="14"/>
      <c r="EK305" s="14"/>
      <c r="EL305" s="14"/>
    </row>
    <row r="306" spans="1:142" x14ac:dyDescent="0.25">
      <c r="A306" s="14"/>
      <c r="B306" s="19"/>
      <c r="C306" s="40"/>
      <c r="D306" s="41"/>
      <c r="E306" s="40"/>
      <c r="F306" s="40"/>
      <c r="G306" s="40"/>
      <c r="H306" s="41"/>
      <c r="I306" s="72"/>
      <c r="J306" s="14"/>
      <c r="K306" s="14"/>
      <c r="L306" s="14"/>
      <c r="M306" s="14"/>
      <c r="N306" s="14"/>
      <c r="O306" s="14"/>
      <c r="P306" s="14"/>
      <c r="Q306" s="47"/>
      <c r="R306" s="14"/>
      <c r="S306" s="19"/>
      <c r="T306" s="14"/>
      <c r="U306" s="14"/>
      <c r="V306" s="14"/>
      <c r="W306" s="14"/>
      <c r="X306" s="14"/>
      <c r="Y306" s="14"/>
      <c r="Z306" s="14"/>
      <c r="AA306" s="14"/>
      <c r="AB306" s="14"/>
      <c r="AC306" s="19"/>
      <c r="AD306" s="19"/>
      <c r="AE306" s="318"/>
      <c r="AF306" s="47"/>
      <c r="AG306" s="14"/>
      <c r="AH306" s="19"/>
      <c r="AI306" s="14"/>
      <c r="AJ306" s="14"/>
      <c r="AK306" s="14"/>
      <c r="AL306" s="14"/>
      <c r="AM306" s="14"/>
      <c r="AN306" s="14"/>
      <c r="AO306" s="14"/>
      <c r="AP306" s="14"/>
      <c r="AQ306" s="14"/>
      <c r="AR306" s="14"/>
      <c r="AS306" s="14"/>
      <c r="AT306" s="14"/>
      <c r="AU306" s="47"/>
      <c r="AV306" s="14"/>
      <c r="AW306" s="19"/>
      <c r="AX306" s="14"/>
      <c r="AY306" s="14"/>
      <c r="AZ306" s="14"/>
      <c r="BA306" s="14"/>
      <c r="BB306" s="14"/>
      <c r="BC306" s="14"/>
      <c r="BD306" s="14"/>
      <c r="BE306" s="14"/>
      <c r="BF306" s="14"/>
      <c r="BG306" s="14"/>
      <c r="BH306" s="14"/>
      <c r="BI306" s="14"/>
      <c r="BJ306" s="47"/>
      <c r="BK306" s="14"/>
      <c r="BL306" s="19"/>
      <c r="BM306" s="14"/>
      <c r="BN306" s="14"/>
      <c r="BO306" s="14"/>
      <c r="BP306" s="14"/>
      <c r="BQ306" s="14"/>
      <c r="BR306" s="14"/>
      <c r="BS306" s="14"/>
      <c r="BT306" s="14"/>
      <c r="BU306" s="14"/>
      <c r="BV306" s="14"/>
      <c r="BW306" s="14"/>
      <c r="BX306" s="14"/>
      <c r="BY306" s="47"/>
      <c r="BZ306" s="14"/>
      <c r="CA306" s="14"/>
      <c r="CB306" s="21"/>
      <c r="CC306" s="21"/>
      <c r="CD306" s="180"/>
      <c r="CE306" s="180"/>
      <c r="CF306" s="21"/>
      <c r="CG306" s="14"/>
      <c r="CH306" s="14"/>
      <c r="CI306" s="14"/>
      <c r="CJ306" s="14"/>
      <c r="CK306" s="14"/>
      <c r="CL306" s="14"/>
      <c r="CM306" s="14"/>
      <c r="CN306" s="14"/>
      <c r="CO306" s="129"/>
      <c r="CP306" s="14"/>
      <c r="CQ306" s="47"/>
      <c r="CR306" s="14"/>
      <c r="CS306" s="14"/>
      <c r="CT306" s="14"/>
      <c r="CU306" s="14"/>
      <c r="CV306" s="180"/>
      <c r="CW306" s="189"/>
      <c r="CX306" s="189"/>
      <c r="CY306" s="14"/>
      <c r="CZ306" s="14"/>
      <c r="DA306" s="14"/>
      <c r="DB306" s="14"/>
      <c r="DC306" s="14"/>
      <c r="DD306" s="14"/>
      <c r="DE306" s="14"/>
      <c r="DF306" s="14"/>
      <c r="DG306" s="129"/>
      <c r="DH306" s="14"/>
      <c r="DI306" s="47"/>
      <c r="DJ306" s="14"/>
      <c r="DK306" s="19"/>
      <c r="DL306" s="40"/>
      <c r="DM306" s="41"/>
      <c r="DN306" s="40"/>
      <c r="DO306" s="40"/>
      <c r="DP306" s="40"/>
      <c r="DQ306" s="41"/>
      <c r="DR306" s="72"/>
      <c r="DS306" s="14"/>
      <c r="DT306" s="14"/>
      <c r="DU306" s="14"/>
      <c r="DV306" s="14"/>
      <c r="DW306" s="14"/>
      <c r="DX306" s="14"/>
      <c r="DY306" s="14"/>
      <c r="DZ306" s="14"/>
      <c r="EA306" s="14"/>
      <c r="EB306" s="14"/>
      <c r="EC306" s="14"/>
      <c r="ED306" s="14"/>
      <c r="EE306" s="14"/>
      <c r="EF306" s="14"/>
      <c r="EG306" s="14"/>
      <c r="EH306" s="14"/>
      <c r="EI306" s="14"/>
      <c r="EJ306" s="14"/>
      <c r="EK306" s="14"/>
      <c r="EL306" s="14"/>
    </row>
    <row r="307" spans="1:142" x14ac:dyDescent="0.25">
      <c r="A307" s="14"/>
      <c r="B307" s="19"/>
      <c r="C307" s="40"/>
      <c r="D307" s="41"/>
      <c r="E307" s="40"/>
      <c r="F307" s="40"/>
      <c r="G307" s="40"/>
      <c r="H307" s="41"/>
      <c r="I307" s="72"/>
      <c r="J307" s="14"/>
      <c r="K307" s="14"/>
      <c r="L307" s="14"/>
      <c r="M307" s="14"/>
      <c r="N307" s="14"/>
      <c r="O307" s="14"/>
      <c r="P307" s="14"/>
      <c r="Q307" s="47"/>
      <c r="R307" s="14"/>
      <c r="S307" s="19"/>
      <c r="T307" s="14"/>
      <c r="U307" s="14"/>
      <c r="V307" s="14"/>
      <c r="W307" s="14"/>
      <c r="X307" s="14"/>
      <c r="Y307" s="14"/>
      <c r="Z307" s="14"/>
      <c r="AA307" s="14"/>
      <c r="AB307" s="14"/>
      <c r="AC307" s="19"/>
      <c r="AD307" s="19"/>
      <c r="AE307" s="14"/>
      <c r="AF307" s="47"/>
      <c r="AG307" s="14"/>
      <c r="AH307" s="19"/>
      <c r="AI307" s="14"/>
      <c r="AJ307" s="14"/>
      <c r="AK307" s="14"/>
      <c r="AL307" s="14"/>
      <c r="AM307" s="14"/>
      <c r="AN307" s="14"/>
      <c r="AO307" s="14"/>
      <c r="AP307" s="14"/>
      <c r="AQ307" s="14"/>
      <c r="AR307" s="14"/>
      <c r="AS307" s="14"/>
      <c r="AT307" s="14"/>
      <c r="AU307" s="47"/>
      <c r="AV307" s="14"/>
      <c r="AW307" s="19"/>
      <c r="AX307" s="14"/>
      <c r="AY307" s="14"/>
      <c r="AZ307" s="14"/>
      <c r="BA307" s="14"/>
      <c r="BB307" s="14"/>
      <c r="BC307" s="14"/>
      <c r="BD307" s="14"/>
      <c r="BE307" s="14"/>
      <c r="BF307" s="14"/>
      <c r="BG307" s="14"/>
      <c r="BH307" s="14"/>
      <c r="BI307" s="14"/>
      <c r="BJ307" s="47"/>
      <c r="BK307" s="14"/>
      <c r="BL307" s="19"/>
      <c r="BM307" s="14"/>
      <c r="BN307" s="14"/>
      <c r="BO307" s="14"/>
      <c r="BP307" s="14"/>
      <c r="BQ307" s="14"/>
      <c r="BR307" s="14"/>
      <c r="BS307" s="14"/>
      <c r="BT307" s="14"/>
      <c r="BU307" s="14"/>
      <c r="BV307" s="14"/>
      <c r="BW307" s="14"/>
      <c r="BX307" s="14"/>
      <c r="BY307" s="47"/>
      <c r="BZ307" s="14"/>
      <c r="CA307" s="14"/>
      <c r="CB307" s="21"/>
      <c r="CC307" s="21"/>
      <c r="CD307" s="180"/>
      <c r="CE307" s="180"/>
      <c r="CF307" s="21"/>
      <c r="CG307" s="14"/>
      <c r="CH307" s="14"/>
      <c r="CI307" s="14"/>
      <c r="CJ307" s="14"/>
      <c r="CK307" s="14"/>
      <c r="CL307" s="14"/>
      <c r="CM307" s="14"/>
      <c r="CN307" s="14"/>
      <c r="CO307" s="129"/>
      <c r="CP307" s="14"/>
      <c r="CQ307" s="47"/>
      <c r="CR307" s="14"/>
      <c r="CS307" s="14"/>
      <c r="CT307" s="14"/>
      <c r="CU307" s="14"/>
      <c r="CV307" s="180"/>
      <c r="CW307" s="189"/>
      <c r="CX307" s="189"/>
      <c r="CY307" s="14"/>
      <c r="CZ307" s="14"/>
      <c r="DA307" s="14"/>
      <c r="DB307" s="14"/>
      <c r="DC307" s="14"/>
      <c r="DD307" s="14"/>
      <c r="DE307" s="14"/>
      <c r="DF307" s="14"/>
      <c r="DG307" s="129"/>
      <c r="DH307" s="14"/>
      <c r="DI307" s="47"/>
      <c r="DJ307" s="14"/>
      <c r="DK307" s="19"/>
      <c r="DL307" s="40"/>
      <c r="DM307" s="41"/>
      <c r="DN307" s="40"/>
      <c r="DO307" s="40"/>
      <c r="DP307" s="40"/>
      <c r="DQ307" s="41"/>
      <c r="DR307" s="72"/>
      <c r="DS307" s="14"/>
      <c r="DT307" s="14"/>
      <c r="DU307" s="14"/>
      <c r="DV307" s="14"/>
      <c r="DW307" s="14"/>
      <c r="DX307" s="14"/>
      <c r="DY307" s="14"/>
      <c r="DZ307" s="14"/>
      <c r="EA307" s="14"/>
      <c r="EB307" s="14"/>
      <c r="EC307" s="14"/>
      <c r="ED307" s="14"/>
      <c r="EE307" s="14"/>
      <c r="EF307" s="14"/>
      <c r="EG307" s="14"/>
      <c r="EH307" s="14"/>
      <c r="EI307" s="14"/>
      <c r="EJ307" s="14"/>
      <c r="EK307" s="14"/>
      <c r="EL307" s="14"/>
    </row>
    <row r="308" spans="1:142" x14ac:dyDescent="0.25">
      <c r="A308" s="14"/>
      <c r="B308" s="19"/>
      <c r="C308" s="40"/>
      <c r="D308" s="41"/>
      <c r="E308" s="40"/>
      <c r="F308" s="40"/>
      <c r="G308" s="40"/>
      <c r="H308" s="41"/>
      <c r="I308" s="72"/>
      <c r="J308" s="14"/>
      <c r="K308" s="14"/>
      <c r="L308" s="14"/>
      <c r="M308" s="14"/>
      <c r="N308" s="14"/>
      <c r="O308" s="14"/>
      <c r="P308" s="14"/>
      <c r="Q308" s="47"/>
      <c r="R308" s="14"/>
      <c r="S308" s="19"/>
      <c r="T308" s="14"/>
      <c r="U308" s="14"/>
      <c r="V308" s="14"/>
      <c r="W308" s="14"/>
      <c r="X308" s="14"/>
      <c r="Y308" s="14"/>
      <c r="Z308" s="14"/>
      <c r="AA308" s="14"/>
      <c r="AB308" s="14"/>
      <c r="AC308" s="14"/>
      <c r="AD308" s="14"/>
      <c r="AE308" s="14"/>
      <c r="AF308" s="47"/>
      <c r="AG308" s="14"/>
      <c r="AH308" s="19"/>
      <c r="AI308" s="14"/>
      <c r="AJ308" s="14"/>
      <c r="AK308" s="14"/>
      <c r="AL308" s="14"/>
      <c r="AM308" s="14"/>
      <c r="AN308" s="14"/>
      <c r="AO308" s="14"/>
      <c r="AP308" s="14"/>
      <c r="AQ308" s="14"/>
      <c r="AR308" s="14"/>
      <c r="AS308" s="14"/>
      <c r="AT308" s="14"/>
      <c r="AU308" s="47"/>
      <c r="AV308" s="14"/>
      <c r="AW308" s="19"/>
      <c r="AX308" s="14"/>
      <c r="AY308" s="14"/>
      <c r="AZ308" s="14"/>
      <c r="BA308" s="14"/>
      <c r="BB308" s="14"/>
      <c r="BC308" s="14"/>
      <c r="BD308" s="14"/>
      <c r="BE308" s="14"/>
      <c r="BF308" s="14"/>
      <c r="BG308" s="14"/>
      <c r="BH308" s="14"/>
      <c r="BI308" s="14"/>
      <c r="BJ308" s="47"/>
      <c r="BK308" s="14"/>
      <c r="BL308" s="19"/>
      <c r="BM308" s="14"/>
      <c r="BN308" s="14"/>
      <c r="BO308" s="14"/>
      <c r="BP308" s="14"/>
      <c r="BQ308" s="14"/>
      <c r="BR308" s="14"/>
      <c r="BS308" s="14"/>
      <c r="BT308" s="14"/>
      <c r="BU308" s="14"/>
      <c r="BV308" s="14"/>
      <c r="BW308" s="14"/>
      <c r="BX308" s="14"/>
      <c r="BY308" s="47"/>
      <c r="BZ308" s="14"/>
      <c r="CA308" s="14"/>
      <c r="CB308" s="21"/>
      <c r="CC308" s="21"/>
      <c r="CD308" s="21"/>
      <c r="CE308" s="21"/>
      <c r="CF308" s="21"/>
      <c r="CG308" s="14"/>
      <c r="CH308" s="14"/>
      <c r="CI308" s="14"/>
      <c r="CJ308" s="14"/>
      <c r="CK308" s="14"/>
      <c r="CL308" s="14"/>
      <c r="CM308" s="14"/>
      <c r="CN308" s="14"/>
      <c r="CO308" s="129"/>
      <c r="CP308" s="14"/>
      <c r="CQ308" s="47"/>
      <c r="CR308" s="14"/>
      <c r="CS308" s="14"/>
      <c r="CT308" s="14"/>
      <c r="CU308" s="14"/>
      <c r="CV308" s="180"/>
      <c r="CW308" s="189"/>
      <c r="CX308" s="189"/>
      <c r="CY308" s="14"/>
      <c r="CZ308" s="14"/>
      <c r="DA308" s="14"/>
      <c r="DB308" s="14"/>
      <c r="DC308" s="14"/>
      <c r="DD308" s="14"/>
      <c r="DE308" s="14"/>
      <c r="DF308" s="14"/>
      <c r="DG308" s="129"/>
      <c r="DH308" s="14"/>
      <c r="DI308" s="47"/>
      <c r="DJ308" s="14"/>
      <c r="DK308" s="19"/>
      <c r="DL308" s="40"/>
      <c r="DM308" s="41"/>
      <c r="DN308" s="40"/>
      <c r="DO308" s="40"/>
      <c r="DP308" s="40"/>
      <c r="DQ308" s="41"/>
      <c r="DR308" s="72"/>
      <c r="DS308" s="14"/>
      <c r="DT308" s="14"/>
      <c r="DU308" s="14"/>
      <c r="DV308" s="14"/>
      <c r="DW308" s="14"/>
      <c r="DX308" s="14"/>
      <c r="DY308" s="14"/>
      <c r="DZ308" s="14"/>
      <c r="EA308" s="14"/>
      <c r="EB308" s="14"/>
      <c r="EC308" s="14"/>
      <c r="ED308" s="14"/>
      <c r="EE308" s="14"/>
      <c r="EF308" s="14"/>
      <c r="EG308" s="14"/>
      <c r="EH308" s="14"/>
      <c r="EI308" s="14"/>
      <c r="EJ308" s="14"/>
      <c r="EK308" s="14"/>
      <c r="EL308" s="14"/>
    </row>
    <row r="309" spans="1:142" x14ac:dyDescent="0.25">
      <c r="A309" s="14"/>
      <c r="B309" s="19"/>
      <c r="C309" s="40"/>
      <c r="D309" s="41"/>
      <c r="E309" s="40"/>
      <c r="F309" s="40"/>
      <c r="G309" s="40"/>
      <c r="H309" s="41"/>
      <c r="I309" s="72"/>
      <c r="J309" s="14"/>
      <c r="K309" s="14"/>
      <c r="L309" s="14"/>
      <c r="M309" s="14"/>
      <c r="N309" s="14"/>
      <c r="O309" s="14"/>
      <c r="P309" s="14"/>
      <c r="Q309" s="47"/>
      <c r="R309" s="14"/>
      <c r="S309" s="19"/>
      <c r="T309" s="14"/>
      <c r="U309" s="14"/>
      <c r="V309" s="14"/>
      <c r="W309" s="14"/>
      <c r="X309" s="14"/>
      <c r="Y309" s="14"/>
      <c r="Z309" s="14"/>
      <c r="AA309" s="14"/>
      <c r="AB309" s="14"/>
      <c r="AC309" s="14"/>
      <c r="AD309" s="14"/>
      <c r="AE309" s="14"/>
      <c r="AF309" s="47"/>
      <c r="AG309" s="14"/>
      <c r="AH309" s="19"/>
      <c r="AI309" s="14"/>
      <c r="AJ309" s="14"/>
      <c r="AK309" s="14"/>
      <c r="AL309" s="14"/>
      <c r="AM309" s="14"/>
      <c r="AN309" s="14"/>
      <c r="AO309" s="14"/>
      <c r="AP309" s="14"/>
      <c r="AQ309" s="14"/>
      <c r="AR309" s="14"/>
      <c r="AS309" s="14"/>
      <c r="AT309" s="14"/>
      <c r="AU309" s="47"/>
      <c r="AV309" s="14"/>
      <c r="AW309" s="19"/>
      <c r="AX309" s="14"/>
      <c r="AY309" s="14"/>
      <c r="AZ309" s="14"/>
      <c r="BA309" s="14"/>
      <c r="BB309" s="14"/>
      <c r="BC309" s="14"/>
      <c r="BD309" s="14"/>
      <c r="BE309" s="14"/>
      <c r="BF309" s="14"/>
      <c r="BG309" s="14"/>
      <c r="BH309" s="14"/>
      <c r="BI309" s="14"/>
      <c r="BJ309" s="47"/>
      <c r="BK309" s="14"/>
      <c r="BL309" s="19"/>
      <c r="BM309" s="14"/>
      <c r="BN309" s="14"/>
      <c r="BO309" s="14"/>
      <c r="BP309" s="14"/>
      <c r="BQ309" s="14"/>
      <c r="BR309" s="14"/>
      <c r="BS309" s="14"/>
      <c r="BT309" s="14"/>
      <c r="BU309" s="14"/>
      <c r="BV309" s="14"/>
      <c r="BW309" s="14"/>
      <c r="BX309" s="14"/>
      <c r="BY309" s="47"/>
      <c r="BZ309" s="14"/>
      <c r="CA309" s="14"/>
      <c r="CB309" s="21"/>
      <c r="CC309" s="21"/>
      <c r="CD309" s="21"/>
      <c r="CE309" s="21"/>
      <c r="CF309" s="21"/>
      <c r="CG309" s="14"/>
      <c r="CH309" s="14"/>
      <c r="CI309" s="14"/>
      <c r="CJ309" s="14"/>
      <c r="CK309" s="14"/>
      <c r="CL309" s="14"/>
      <c r="CM309" s="14"/>
      <c r="CN309" s="14"/>
      <c r="CO309" s="129"/>
      <c r="CP309" s="14"/>
      <c r="CQ309" s="47"/>
      <c r="CR309" s="14"/>
      <c r="CS309" s="14"/>
      <c r="CT309" s="14"/>
      <c r="CU309" s="14"/>
      <c r="CV309" s="180"/>
      <c r="CW309" s="189"/>
      <c r="CX309" s="189"/>
      <c r="CY309" s="14"/>
      <c r="CZ309" s="14"/>
      <c r="DA309" s="14"/>
      <c r="DB309" s="14"/>
      <c r="DC309" s="14"/>
      <c r="DD309" s="14"/>
      <c r="DE309" s="14"/>
      <c r="DF309" s="14"/>
      <c r="DG309" s="129"/>
      <c r="DH309" s="14"/>
      <c r="DI309" s="47"/>
      <c r="DJ309" s="14"/>
      <c r="DK309" s="19"/>
      <c r="DL309" s="40"/>
      <c r="DM309" s="41"/>
      <c r="DN309" s="40"/>
      <c r="DO309" s="40"/>
      <c r="DP309" s="40"/>
      <c r="DQ309" s="41"/>
      <c r="DR309" s="72"/>
      <c r="DS309" s="14"/>
      <c r="DT309" s="14"/>
      <c r="DU309" s="14"/>
      <c r="DV309" s="14"/>
      <c r="DW309" s="14"/>
      <c r="DX309" s="14"/>
      <c r="DY309" s="14"/>
      <c r="DZ309" s="14"/>
      <c r="EA309" s="14"/>
      <c r="EB309" s="14"/>
      <c r="EC309" s="14"/>
      <c r="ED309" s="14"/>
      <c r="EE309" s="14"/>
      <c r="EF309" s="14"/>
      <c r="EG309" s="14"/>
      <c r="EH309" s="14"/>
      <c r="EI309" s="14"/>
      <c r="EJ309" s="14"/>
      <c r="EK309" s="14"/>
      <c r="EL309" s="14"/>
    </row>
    <row r="310" spans="1:142" x14ac:dyDescent="0.25">
      <c r="A310" s="14"/>
      <c r="B310" s="19"/>
      <c r="C310" s="40"/>
      <c r="D310" s="41"/>
      <c r="E310" s="40"/>
      <c r="F310" s="40"/>
      <c r="G310" s="40"/>
      <c r="H310" s="41"/>
      <c r="I310" s="72"/>
      <c r="J310" s="14"/>
      <c r="K310" s="14"/>
      <c r="L310" s="14"/>
      <c r="M310" s="14"/>
      <c r="N310" s="14"/>
      <c r="O310" s="14"/>
      <c r="P310" s="14"/>
      <c r="Q310" s="47"/>
      <c r="R310" s="14"/>
      <c r="S310" s="19"/>
      <c r="T310" s="14"/>
      <c r="U310" s="14"/>
      <c r="V310" s="14"/>
      <c r="W310" s="14"/>
      <c r="X310" s="14"/>
      <c r="Y310" s="14"/>
      <c r="Z310" s="14"/>
      <c r="AA310" s="14"/>
      <c r="AB310" s="14"/>
      <c r="AC310" s="14"/>
      <c r="AD310" s="14"/>
      <c r="AE310" s="14"/>
      <c r="AF310" s="47"/>
      <c r="AG310" s="14"/>
      <c r="AH310" s="19"/>
      <c r="AI310" s="14"/>
      <c r="AJ310" s="14"/>
      <c r="AK310" s="14"/>
      <c r="AL310" s="14"/>
      <c r="AM310" s="14"/>
      <c r="AN310" s="14"/>
      <c r="AO310" s="14"/>
      <c r="AP310" s="14"/>
      <c r="AQ310" s="14"/>
      <c r="AR310" s="14"/>
      <c r="AS310" s="14"/>
      <c r="AT310" s="14"/>
      <c r="AU310" s="47"/>
      <c r="AV310" s="14"/>
      <c r="AW310" s="19"/>
      <c r="AX310" s="14"/>
      <c r="AY310" s="14"/>
      <c r="AZ310" s="14"/>
      <c r="BA310" s="14"/>
      <c r="BB310" s="14"/>
      <c r="BC310" s="14"/>
      <c r="BD310" s="14"/>
      <c r="BE310" s="14"/>
      <c r="BF310" s="14"/>
      <c r="BG310" s="14"/>
      <c r="BH310" s="14"/>
      <c r="BI310" s="14"/>
      <c r="BJ310" s="47"/>
      <c r="BK310" s="14"/>
      <c r="BL310" s="19"/>
      <c r="BM310" s="14"/>
      <c r="BN310" s="14"/>
      <c r="BO310" s="14"/>
      <c r="BP310" s="14"/>
      <c r="BQ310" s="14"/>
      <c r="BR310" s="14"/>
      <c r="BS310" s="14"/>
      <c r="BT310" s="14"/>
      <c r="BU310" s="14"/>
      <c r="BV310" s="14"/>
      <c r="BW310" s="14"/>
      <c r="BX310" s="14"/>
      <c r="BY310" s="47"/>
      <c r="BZ310" s="14"/>
      <c r="CA310" s="14"/>
      <c r="CB310" s="21"/>
      <c r="CC310" s="21"/>
      <c r="CD310" s="21"/>
      <c r="CE310" s="21"/>
      <c r="CF310" s="21"/>
      <c r="CG310" s="14"/>
      <c r="CH310" s="14"/>
      <c r="CI310" s="14"/>
      <c r="CJ310" s="14"/>
      <c r="CK310" s="14"/>
      <c r="CL310" s="14"/>
      <c r="CM310" s="14"/>
      <c r="CN310" s="14"/>
      <c r="CO310" s="129"/>
      <c r="CP310" s="14"/>
      <c r="CQ310" s="47"/>
      <c r="CR310" s="14"/>
      <c r="CS310" s="14"/>
      <c r="CT310" s="14"/>
      <c r="CU310" s="14"/>
      <c r="CV310" s="180"/>
      <c r="CW310" s="189"/>
      <c r="CX310" s="189"/>
      <c r="CY310" s="14"/>
      <c r="CZ310" s="14"/>
      <c r="DA310" s="14"/>
      <c r="DB310" s="14"/>
      <c r="DC310" s="14"/>
      <c r="DD310" s="14"/>
      <c r="DE310" s="14"/>
      <c r="DF310" s="14"/>
      <c r="DG310" s="129"/>
      <c r="DH310" s="14"/>
      <c r="DI310" s="47"/>
      <c r="DJ310" s="14"/>
      <c r="DK310" s="19"/>
      <c r="DL310" s="40"/>
      <c r="DM310" s="41"/>
      <c r="DN310" s="40"/>
      <c r="DO310" s="40"/>
      <c r="DP310" s="40"/>
      <c r="DQ310" s="41"/>
      <c r="DR310" s="72"/>
      <c r="DS310" s="14"/>
      <c r="DT310" s="14"/>
      <c r="DU310" s="14"/>
      <c r="DV310" s="14"/>
      <c r="DW310" s="14"/>
      <c r="DX310" s="14"/>
      <c r="DY310" s="14"/>
      <c r="DZ310" s="14"/>
      <c r="EA310" s="14"/>
      <c r="EB310" s="14"/>
      <c r="EC310" s="14"/>
      <c r="ED310" s="14"/>
      <c r="EE310" s="14"/>
      <c r="EF310" s="14"/>
      <c r="EG310" s="14"/>
      <c r="EH310" s="14"/>
      <c r="EI310" s="14"/>
      <c r="EJ310" s="14"/>
      <c r="EK310" s="14"/>
      <c r="EL310" s="14"/>
    </row>
    <row r="311" spans="1:142" x14ac:dyDescent="0.25">
      <c r="A311" s="14"/>
      <c r="B311" s="19"/>
      <c r="C311" s="40"/>
      <c r="D311" s="41"/>
      <c r="E311" s="40"/>
      <c r="F311" s="40"/>
      <c r="G311" s="40"/>
      <c r="H311" s="41"/>
      <c r="I311" s="72"/>
      <c r="J311" s="14"/>
      <c r="K311" s="14"/>
      <c r="L311" s="14"/>
      <c r="M311" s="14"/>
      <c r="N311" s="14"/>
      <c r="O311" s="14"/>
      <c r="P311" s="14"/>
      <c r="Q311" s="47"/>
      <c r="R311" s="14"/>
      <c r="S311" s="19"/>
      <c r="T311" s="14"/>
      <c r="U311" s="14"/>
      <c r="V311" s="14"/>
      <c r="W311" s="14"/>
      <c r="X311" s="14"/>
      <c r="Y311" s="14"/>
      <c r="Z311" s="14"/>
      <c r="AA311" s="14"/>
      <c r="AB311" s="14"/>
      <c r="AC311" s="14"/>
      <c r="AD311" s="14"/>
      <c r="AE311" s="14"/>
      <c r="AF311" s="47"/>
      <c r="AG311" s="14"/>
      <c r="AH311" s="19"/>
      <c r="AI311" s="14"/>
      <c r="AJ311" s="14"/>
      <c r="AK311" s="14"/>
      <c r="AL311" s="14"/>
      <c r="AM311" s="14"/>
      <c r="AN311" s="14"/>
      <c r="AO311" s="14"/>
      <c r="AP311" s="14"/>
      <c r="AQ311" s="14"/>
      <c r="AR311" s="14"/>
      <c r="AS311" s="14"/>
      <c r="AT311" s="14"/>
      <c r="AU311" s="47"/>
      <c r="AV311" s="14"/>
      <c r="AW311" s="19"/>
      <c r="AX311" s="14"/>
      <c r="AY311" s="14"/>
      <c r="AZ311" s="14"/>
      <c r="BA311" s="14"/>
      <c r="BB311" s="14"/>
      <c r="BC311" s="14"/>
      <c r="BD311" s="14"/>
      <c r="BE311" s="14"/>
      <c r="BF311" s="14"/>
      <c r="BG311" s="14"/>
      <c r="BH311" s="14"/>
      <c r="BI311" s="14"/>
      <c r="BJ311" s="47"/>
      <c r="BK311" s="14"/>
      <c r="BL311" s="19"/>
      <c r="BM311" s="14"/>
      <c r="BN311" s="14"/>
      <c r="BO311" s="14"/>
      <c r="BP311" s="14"/>
      <c r="BQ311" s="14"/>
      <c r="BR311" s="14"/>
      <c r="BS311" s="14"/>
      <c r="BT311" s="14"/>
      <c r="BU311" s="14"/>
      <c r="BV311" s="14"/>
      <c r="BW311" s="14"/>
      <c r="BX311" s="14"/>
      <c r="BY311" s="47"/>
      <c r="BZ311" s="14"/>
      <c r="CA311" s="14"/>
      <c r="CB311" s="21"/>
      <c r="CC311" s="21"/>
      <c r="CD311" s="21"/>
      <c r="CE311" s="21"/>
      <c r="CF311" s="21"/>
      <c r="CG311" s="14"/>
      <c r="CH311" s="14"/>
      <c r="CI311" s="14"/>
      <c r="CJ311" s="14"/>
      <c r="CK311" s="14"/>
      <c r="CL311" s="14"/>
      <c r="CM311" s="14"/>
      <c r="CN311" s="14"/>
      <c r="CO311" s="129"/>
      <c r="CP311" s="14"/>
      <c r="CQ311" s="47"/>
      <c r="CR311" s="14"/>
      <c r="CS311" s="14"/>
      <c r="CT311" s="14"/>
      <c r="CU311" s="14"/>
      <c r="CV311" s="180"/>
      <c r="CW311" s="189"/>
      <c r="CX311" s="189"/>
      <c r="CY311" s="14"/>
      <c r="CZ311" s="14"/>
      <c r="DA311" s="14"/>
      <c r="DB311" s="14"/>
      <c r="DC311" s="14"/>
      <c r="DD311" s="14"/>
      <c r="DE311" s="14"/>
      <c r="DF311" s="14"/>
      <c r="DG311" s="129"/>
      <c r="DH311" s="14"/>
      <c r="DI311" s="47"/>
      <c r="DJ311" s="14"/>
      <c r="DK311" s="19"/>
      <c r="DL311" s="40"/>
      <c r="DM311" s="41"/>
      <c r="DN311" s="40"/>
      <c r="DO311" s="40"/>
      <c r="DP311" s="40"/>
      <c r="DQ311" s="41"/>
      <c r="DR311" s="72"/>
      <c r="DS311" s="14"/>
      <c r="DT311" s="19"/>
      <c r="DU311" s="19"/>
      <c r="DV311" s="19"/>
      <c r="DW311" s="19"/>
      <c r="DX311" s="19"/>
      <c r="DY311" s="19"/>
      <c r="DZ311" s="19"/>
      <c r="EA311" s="19"/>
      <c r="EB311" s="19"/>
      <c r="EC311" s="19"/>
      <c r="ED311" s="14"/>
      <c r="EE311" s="14"/>
      <c r="EF311" s="14"/>
      <c r="EG311" s="14"/>
      <c r="EH311" s="14"/>
      <c r="EI311" s="14"/>
      <c r="EJ311" s="14"/>
      <c r="EK311" s="14"/>
      <c r="EL311" s="14"/>
    </row>
    <row r="312" spans="1:142" x14ac:dyDescent="0.25">
      <c r="A312" s="14"/>
      <c r="B312" s="524" t="s">
        <v>755</v>
      </c>
      <c r="C312" s="542"/>
      <c r="D312" s="542"/>
      <c r="E312" s="542"/>
      <c r="F312" s="542"/>
      <c r="G312" s="542"/>
      <c r="H312" s="542"/>
      <c r="I312" s="525"/>
      <c r="J312" s="14"/>
      <c r="K312" s="14"/>
      <c r="L312" s="14"/>
      <c r="M312" s="14"/>
      <c r="N312" s="14"/>
      <c r="O312" s="14"/>
      <c r="P312" s="14"/>
      <c r="Q312" s="47"/>
      <c r="R312" s="14"/>
      <c r="S312" s="524" t="s">
        <v>755</v>
      </c>
      <c r="T312" s="542"/>
      <c r="U312" s="542"/>
      <c r="V312" s="542"/>
      <c r="W312" s="542"/>
      <c r="X312" s="542"/>
      <c r="Y312" s="542"/>
      <c r="Z312" s="525"/>
      <c r="AA312" s="14"/>
      <c r="AB312" s="14"/>
      <c r="AC312" s="14"/>
      <c r="AD312" s="14"/>
      <c r="AE312" s="14"/>
      <c r="AF312" s="47"/>
      <c r="AG312" s="14"/>
      <c r="AH312" s="524" t="s">
        <v>755</v>
      </c>
      <c r="AI312" s="542"/>
      <c r="AJ312" s="542"/>
      <c r="AK312" s="542"/>
      <c r="AL312" s="542"/>
      <c r="AM312" s="542"/>
      <c r="AN312" s="542"/>
      <c r="AO312" s="525"/>
      <c r="AP312" s="14"/>
      <c r="AQ312" s="14"/>
      <c r="AR312" s="14"/>
      <c r="AS312" s="14"/>
      <c r="AT312" s="14"/>
      <c r="AU312" s="47"/>
      <c r="AV312" s="14"/>
      <c r="AW312" s="524" t="s">
        <v>755</v>
      </c>
      <c r="AX312" s="542"/>
      <c r="AY312" s="542"/>
      <c r="AZ312" s="542"/>
      <c r="BA312" s="542"/>
      <c r="BB312" s="542"/>
      <c r="BC312" s="542"/>
      <c r="BD312" s="525"/>
      <c r="BE312" s="14"/>
      <c r="BF312" s="14"/>
      <c r="BG312" s="14"/>
      <c r="BH312" s="14"/>
      <c r="BI312" s="14"/>
      <c r="BJ312" s="47"/>
      <c r="BK312" s="14"/>
      <c r="BL312" s="524" t="s">
        <v>755</v>
      </c>
      <c r="BM312" s="542"/>
      <c r="BN312" s="542"/>
      <c r="BO312" s="542"/>
      <c r="BP312" s="542"/>
      <c r="BQ312" s="542"/>
      <c r="BR312" s="542"/>
      <c r="BS312" s="525"/>
      <c r="BT312" s="14"/>
      <c r="BU312" s="14"/>
      <c r="BV312" s="14"/>
      <c r="BW312" s="14"/>
      <c r="BX312" s="14"/>
      <c r="BY312" s="47"/>
      <c r="BZ312" s="14"/>
      <c r="CA312" s="14"/>
      <c r="CB312" s="21"/>
      <c r="CC312" s="21"/>
      <c r="CD312" s="21"/>
      <c r="CE312" s="21"/>
      <c r="CF312" s="21"/>
      <c r="CG312" s="14"/>
      <c r="CH312" s="14"/>
      <c r="CI312" s="14"/>
      <c r="CJ312" s="14"/>
      <c r="CK312" s="14"/>
      <c r="CL312" s="14"/>
      <c r="CM312" s="14"/>
      <c r="CN312" s="14"/>
      <c r="CO312" s="129"/>
      <c r="CP312" s="14"/>
      <c r="CQ312" s="47"/>
      <c r="CR312" s="14"/>
      <c r="CS312" s="14"/>
      <c r="CT312" s="14"/>
      <c r="CU312" s="14"/>
      <c r="CV312" s="180"/>
      <c r="CW312" s="189"/>
      <c r="CX312" s="189"/>
      <c r="CY312" s="14"/>
      <c r="CZ312" s="14"/>
      <c r="DA312" s="14"/>
      <c r="DB312" s="14"/>
      <c r="DC312" s="14"/>
      <c r="DD312" s="14"/>
      <c r="DE312" s="14"/>
      <c r="DF312" s="14"/>
      <c r="DG312" s="129"/>
      <c r="DH312" s="14"/>
      <c r="DI312" s="47"/>
      <c r="DJ312" s="14"/>
      <c r="DK312" s="14"/>
      <c r="DL312" s="14"/>
      <c r="DM312" s="14"/>
      <c r="DN312" s="14"/>
      <c r="DO312" s="14"/>
      <c r="DP312" s="14"/>
      <c r="DQ312" s="14"/>
      <c r="DR312" s="14"/>
      <c r="DS312" s="14"/>
      <c r="DT312" s="19"/>
      <c r="DU312" s="19"/>
      <c r="DV312" s="19"/>
      <c r="DW312" s="19"/>
      <c r="DX312" s="19"/>
      <c r="DY312" s="19"/>
      <c r="DZ312" s="19"/>
      <c r="EA312" s="19"/>
      <c r="EB312" s="19"/>
      <c r="EC312" s="19"/>
      <c r="ED312" s="14"/>
      <c r="EE312" s="14"/>
      <c r="EF312" s="14"/>
      <c r="EG312" s="14"/>
      <c r="EH312" s="14"/>
      <c r="EI312" s="14"/>
      <c r="EJ312" s="14"/>
      <c r="EK312" s="14"/>
      <c r="EL312" s="14"/>
    </row>
    <row r="313" spans="1:142" x14ac:dyDescent="0.25">
      <c r="A313" s="14"/>
      <c r="B313" s="526"/>
      <c r="C313" s="543"/>
      <c r="D313" s="543"/>
      <c r="E313" s="543"/>
      <c r="F313" s="543"/>
      <c r="G313" s="543"/>
      <c r="H313" s="543"/>
      <c r="I313" s="527"/>
      <c r="J313" s="14"/>
      <c r="K313" s="14"/>
      <c r="L313" s="14"/>
      <c r="M313" s="14"/>
      <c r="N313" s="14"/>
      <c r="O313" s="14"/>
      <c r="P313" s="14"/>
      <c r="Q313" s="47"/>
      <c r="R313" s="14"/>
      <c r="S313" s="526"/>
      <c r="T313" s="543"/>
      <c r="U313" s="543"/>
      <c r="V313" s="543"/>
      <c r="W313" s="543"/>
      <c r="X313" s="543"/>
      <c r="Y313" s="543"/>
      <c r="Z313" s="527"/>
      <c r="AA313" s="14"/>
      <c r="AB313" s="14"/>
      <c r="AC313" s="14"/>
      <c r="AD313" s="14"/>
      <c r="AE313" s="14"/>
      <c r="AF313" s="47"/>
      <c r="AG313" s="14"/>
      <c r="AH313" s="526"/>
      <c r="AI313" s="543"/>
      <c r="AJ313" s="543"/>
      <c r="AK313" s="543"/>
      <c r="AL313" s="543"/>
      <c r="AM313" s="543"/>
      <c r="AN313" s="543"/>
      <c r="AO313" s="527"/>
      <c r="AP313" s="14"/>
      <c r="AQ313" s="14"/>
      <c r="AR313" s="14"/>
      <c r="AS313" s="14"/>
      <c r="AT313" s="14"/>
      <c r="AU313" s="47"/>
      <c r="AV313" s="14"/>
      <c r="AW313" s="526"/>
      <c r="AX313" s="543"/>
      <c r="AY313" s="543"/>
      <c r="AZ313" s="543"/>
      <c r="BA313" s="543"/>
      <c r="BB313" s="543"/>
      <c r="BC313" s="543"/>
      <c r="BD313" s="527"/>
      <c r="BE313" s="14"/>
      <c r="BF313" s="14"/>
      <c r="BG313" s="14"/>
      <c r="BH313" s="14"/>
      <c r="BI313" s="14"/>
      <c r="BJ313" s="47"/>
      <c r="BK313" s="14"/>
      <c r="BL313" s="526"/>
      <c r="BM313" s="543"/>
      <c r="BN313" s="543"/>
      <c r="BO313" s="543"/>
      <c r="BP313" s="543"/>
      <c r="BQ313" s="543"/>
      <c r="BR313" s="543"/>
      <c r="BS313" s="527"/>
      <c r="BT313" s="14"/>
      <c r="BU313" s="14"/>
      <c r="BV313" s="14"/>
      <c r="BW313" s="14"/>
      <c r="BX313" s="14"/>
      <c r="BY313" s="47"/>
      <c r="BZ313" s="14"/>
      <c r="CA313" s="14"/>
      <c r="CB313" s="21"/>
      <c r="CC313" s="21"/>
      <c r="CD313" s="21"/>
      <c r="CE313" s="21"/>
      <c r="CF313" s="21"/>
      <c r="CG313" s="14"/>
      <c r="CH313" s="14"/>
      <c r="CI313" s="14"/>
      <c r="CJ313" s="14"/>
      <c r="CK313" s="14"/>
      <c r="CL313" s="14"/>
      <c r="CM313" s="14"/>
      <c r="CN313" s="14"/>
      <c r="CO313" s="129"/>
      <c r="CP313" s="14"/>
      <c r="CQ313" s="47"/>
      <c r="CR313" s="14"/>
      <c r="CS313" s="14"/>
      <c r="CT313" s="14"/>
      <c r="CU313" s="14"/>
      <c r="CV313" s="180"/>
      <c r="CW313" s="189"/>
      <c r="CX313" s="189"/>
      <c r="CY313" s="14"/>
      <c r="CZ313" s="14"/>
      <c r="DA313" s="14"/>
      <c r="DB313" s="14"/>
      <c r="DC313" s="14"/>
      <c r="DD313" s="14"/>
      <c r="DE313" s="14"/>
      <c r="DF313" s="14"/>
      <c r="DG313" s="129"/>
      <c r="DH313" s="14"/>
      <c r="DI313" s="47"/>
      <c r="DJ313" s="14"/>
      <c r="DK313" s="14"/>
      <c r="DL313" s="14"/>
      <c r="DM313" s="14"/>
      <c r="DN313" s="14"/>
      <c r="DO313" s="14"/>
      <c r="DP313" s="14"/>
      <c r="DQ313" s="14"/>
      <c r="DR313" s="14"/>
      <c r="DS313" s="14"/>
      <c r="DT313" s="19"/>
      <c r="DU313" s="17"/>
      <c r="DV313" s="51"/>
      <c r="DW313" s="51"/>
      <c r="DX313" s="51"/>
      <c r="DY313" s="51"/>
      <c r="DZ313" s="51"/>
      <c r="EA313" s="51"/>
      <c r="EB313" s="51"/>
      <c r="EC313" s="19"/>
      <c r="ED313" s="14"/>
      <c r="EE313" s="14"/>
      <c r="EF313" s="14"/>
      <c r="EG313" s="14"/>
      <c r="EH313" s="14"/>
      <c r="EI313" s="14"/>
      <c r="EJ313" s="14"/>
      <c r="EK313" s="14"/>
      <c r="EL313" s="14"/>
    </row>
    <row r="314" spans="1:142" x14ac:dyDescent="0.25">
      <c r="A314" s="14"/>
      <c r="B314" s="526"/>
      <c r="C314" s="543"/>
      <c r="D314" s="543"/>
      <c r="E314" s="543"/>
      <c r="F314" s="543"/>
      <c r="G314" s="543"/>
      <c r="H314" s="543"/>
      <c r="I314" s="527"/>
      <c r="J314" s="14"/>
      <c r="K314" s="14"/>
      <c r="L314" s="14"/>
      <c r="M314" s="14"/>
      <c r="N314" s="14"/>
      <c r="O314" s="14"/>
      <c r="P314" s="14"/>
      <c r="Q314" s="47"/>
      <c r="R314" s="14"/>
      <c r="S314" s="526"/>
      <c r="T314" s="543"/>
      <c r="U314" s="543"/>
      <c r="V314" s="543"/>
      <c r="W314" s="543"/>
      <c r="X314" s="543"/>
      <c r="Y314" s="543"/>
      <c r="Z314" s="527"/>
      <c r="AA314" s="14"/>
      <c r="AB314" s="14"/>
      <c r="AC314" s="14"/>
      <c r="AD314" s="14"/>
      <c r="AE314" s="14"/>
      <c r="AF314" s="47"/>
      <c r="AG314" s="14"/>
      <c r="AH314" s="526"/>
      <c r="AI314" s="543"/>
      <c r="AJ314" s="543"/>
      <c r="AK314" s="543"/>
      <c r="AL314" s="543"/>
      <c r="AM314" s="543"/>
      <c r="AN314" s="543"/>
      <c r="AO314" s="527"/>
      <c r="AP314" s="14"/>
      <c r="AQ314" s="14"/>
      <c r="AR314" s="14"/>
      <c r="AS314" s="14"/>
      <c r="AT314" s="14"/>
      <c r="AU314" s="47"/>
      <c r="AV314" s="14"/>
      <c r="AW314" s="526"/>
      <c r="AX314" s="543"/>
      <c r="AY314" s="543"/>
      <c r="AZ314" s="543"/>
      <c r="BA314" s="543"/>
      <c r="BB314" s="543"/>
      <c r="BC314" s="543"/>
      <c r="BD314" s="527"/>
      <c r="BE314" s="14"/>
      <c r="BF314" s="14"/>
      <c r="BG314" s="14"/>
      <c r="BH314" s="14"/>
      <c r="BI314" s="14"/>
      <c r="BJ314" s="47"/>
      <c r="BK314" s="14"/>
      <c r="BL314" s="526"/>
      <c r="BM314" s="543"/>
      <c r="BN314" s="543"/>
      <c r="BO314" s="543"/>
      <c r="BP314" s="543"/>
      <c r="BQ314" s="543"/>
      <c r="BR314" s="543"/>
      <c r="BS314" s="527"/>
      <c r="BT314" s="14"/>
      <c r="BU314" s="14"/>
      <c r="BV314" s="14"/>
      <c r="BW314" s="14"/>
      <c r="BX314" s="14"/>
      <c r="BY314" s="47"/>
      <c r="BZ314" s="14"/>
      <c r="CA314" s="14"/>
      <c r="CB314" s="21"/>
      <c r="CC314" s="21"/>
      <c r="CD314" s="21"/>
      <c r="CE314" s="21"/>
      <c r="CF314" s="21"/>
      <c r="CG314" s="14"/>
      <c r="CH314" s="14"/>
      <c r="CI314" s="14"/>
      <c r="CJ314" s="14"/>
      <c r="CK314" s="14"/>
      <c r="CL314" s="14"/>
      <c r="CM314" s="14"/>
      <c r="CN314" s="14"/>
      <c r="CO314" s="129"/>
      <c r="CP314" s="14"/>
      <c r="CQ314" s="47"/>
      <c r="CR314" s="14"/>
      <c r="CS314" s="14"/>
      <c r="CT314" s="14"/>
      <c r="CU314" s="14"/>
      <c r="CV314" s="180"/>
      <c r="CW314" s="189"/>
      <c r="CX314" s="189"/>
      <c r="CY314" s="14"/>
      <c r="CZ314" s="14"/>
      <c r="DA314" s="14"/>
      <c r="DB314" s="14"/>
      <c r="DC314" s="14"/>
      <c r="DD314" s="14"/>
      <c r="DE314" s="14"/>
      <c r="DF314" s="14"/>
      <c r="DG314" s="129"/>
      <c r="DH314" s="14"/>
      <c r="DI314" s="47"/>
      <c r="DJ314" s="14"/>
      <c r="DK314" s="14"/>
      <c r="DL314" s="14"/>
      <c r="DM314" s="14"/>
      <c r="DN314" s="14"/>
      <c r="DO314" s="14"/>
      <c r="DP314" s="14"/>
      <c r="DQ314" s="14"/>
      <c r="DR314" s="14"/>
      <c r="DS314" s="14"/>
      <c r="DT314" s="19"/>
      <c r="DU314" s="107"/>
      <c r="DV314" s="105"/>
      <c r="DW314" s="105"/>
      <c r="DX314" s="105"/>
      <c r="DY314" s="105"/>
      <c r="DZ314" s="105"/>
      <c r="EA314" s="105"/>
      <c r="EB314" s="105"/>
      <c r="EC314" s="19"/>
      <c r="ED314" s="14"/>
      <c r="EE314" s="14"/>
      <c r="EF314" s="14"/>
      <c r="EG314" s="14"/>
      <c r="EH314" s="14"/>
      <c r="EI314" s="14"/>
      <c r="EJ314" s="14"/>
      <c r="EK314" s="14"/>
      <c r="EL314" s="14"/>
    </row>
    <row r="315" spans="1:142" x14ac:dyDescent="0.25">
      <c r="A315" s="14"/>
      <c r="B315" s="528"/>
      <c r="C315" s="544"/>
      <c r="D315" s="544"/>
      <c r="E315" s="544"/>
      <c r="F315" s="544"/>
      <c r="G315" s="544"/>
      <c r="H315" s="544"/>
      <c r="I315" s="529"/>
      <c r="J315" s="14"/>
      <c r="K315" s="14"/>
      <c r="L315" s="14"/>
      <c r="M315" s="14"/>
      <c r="N315" s="14"/>
      <c r="O315" s="14"/>
      <c r="P315" s="14"/>
      <c r="Q315" s="47"/>
      <c r="R315" s="14"/>
      <c r="S315" s="528"/>
      <c r="T315" s="544"/>
      <c r="U315" s="544"/>
      <c r="V315" s="544"/>
      <c r="W315" s="544"/>
      <c r="X315" s="544"/>
      <c r="Y315" s="544"/>
      <c r="Z315" s="529"/>
      <c r="AA315" s="14"/>
      <c r="AB315" s="14"/>
      <c r="AC315" s="14"/>
      <c r="AD315" s="14"/>
      <c r="AE315" s="14"/>
      <c r="AF315" s="47"/>
      <c r="AG315" s="14"/>
      <c r="AH315" s="528"/>
      <c r="AI315" s="544"/>
      <c r="AJ315" s="544"/>
      <c r="AK315" s="544"/>
      <c r="AL315" s="544"/>
      <c r="AM315" s="544"/>
      <c r="AN315" s="544"/>
      <c r="AO315" s="529"/>
      <c r="AP315" s="14"/>
      <c r="AQ315" s="14"/>
      <c r="AR315" s="14"/>
      <c r="AS315" s="14"/>
      <c r="AT315" s="14"/>
      <c r="AU315" s="47"/>
      <c r="AV315" s="14"/>
      <c r="AW315" s="528"/>
      <c r="AX315" s="544"/>
      <c r="AY315" s="544"/>
      <c r="AZ315" s="544"/>
      <c r="BA315" s="544"/>
      <c r="BB315" s="544"/>
      <c r="BC315" s="544"/>
      <c r="BD315" s="529"/>
      <c r="BE315" s="14"/>
      <c r="BF315" s="14"/>
      <c r="BG315" s="14"/>
      <c r="BH315" s="14"/>
      <c r="BI315" s="14"/>
      <c r="BJ315" s="47"/>
      <c r="BK315" s="14"/>
      <c r="BL315" s="528"/>
      <c r="BM315" s="544"/>
      <c r="BN315" s="544"/>
      <c r="BO315" s="544"/>
      <c r="BP315" s="544"/>
      <c r="BQ315" s="544"/>
      <c r="BR315" s="544"/>
      <c r="BS315" s="529"/>
      <c r="BT315" s="14"/>
      <c r="BU315" s="14"/>
      <c r="BV315" s="14"/>
      <c r="BW315" s="14"/>
      <c r="BX315" s="14"/>
      <c r="BY315" s="47"/>
      <c r="BZ315" s="14"/>
      <c r="CA315" s="14"/>
      <c r="CB315" s="21"/>
      <c r="CC315" s="21"/>
      <c r="CD315" s="21"/>
      <c r="CE315" s="21"/>
      <c r="CF315" s="21"/>
      <c r="CG315" s="14"/>
      <c r="CH315" s="14"/>
      <c r="CI315" s="14"/>
      <c r="CJ315" s="14"/>
      <c r="CK315" s="14"/>
      <c r="CL315" s="14"/>
      <c r="CM315" s="14"/>
      <c r="CN315" s="14"/>
      <c r="CO315" s="129"/>
      <c r="CP315" s="14"/>
      <c r="CQ315" s="47"/>
      <c r="CR315" s="14"/>
      <c r="CS315" s="14"/>
      <c r="CT315" s="14"/>
      <c r="CU315" s="14"/>
      <c r="CV315" s="180"/>
      <c r="CW315" s="189"/>
      <c r="CX315" s="189"/>
      <c r="CY315" s="14"/>
      <c r="CZ315" s="14"/>
      <c r="DA315" s="14"/>
      <c r="DB315" s="14"/>
      <c r="DC315" s="14"/>
      <c r="DD315" s="14"/>
      <c r="DE315" s="14"/>
      <c r="DF315" s="14"/>
      <c r="DG315" s="129"/>
      <c r="DH315" s="14"/>
      <c r="DI315" s="47"/>
      <c r="DJ315" s="14"/>
      <c r="DK315" s="14"/>
      <c r="DL315" s="14"/>
      <c r="DM315" s="14"/>
      <c r="DN315" s="14"/>
      <c r="DO315" s="14"/>
      <c r="DP315" s="14"/>
      <c r="DQ315" s="14"/>
      <c r="DR315" s="14"/>
      <c r="DS315" s="14"/>
      <c r="DT315" s="19"/>
      <c r="DU315" s="107"/>
      <c r="DV315" s="105"/>
      <c r="DW315" s="105"/>
      <c r="DX315" s="105"/>
      <c r="DY315" s="105"/>
      <c r="DZ315" s="105"/>
      <c r="EA315" s="105"/>
      <c r="EB315" s="105"/>
      <c r="EC315" s="19"/>
      <c r="ED315" s="14"/>
      <c r="EE315" s="14"/>
      <c r="EF315" s="14"/>
      <c r="EG315" s="14"/>
      <c r="EH315" s="14"/>
      <c r="EI315" s="14"/>
      <c r="EJ315" s="14"/>
      <c r="EK315" s="14"/>
      <c r="EL315" s="14"/>
    </row>
    <row r="316" spans="1:142" x14ac:dyDescent="0.25">
      <c r="A316" s="14"/>
      <c r="B316" s="19"/>
      <c r="C316" s="40"/>
      <c r="D316" s="41"/>
      <c r="E316" s="40"/>
      <c r="F316" s="40"/>
      <c r="G316" s="40"/>
      <c r="H316" s="41"/>
      <c r="I316" s="72"/>
      <c r="J316" s="14"/>
      <c r="K316" s="14"/>
      <c r="L316" s="14"/>
      <c r="M316" s="14"/>
      <c r="N316" s="14"/>
      <c r="O316" s="14"/>
      <c r="P316" s="318"/>
      <c r="Q316" s="47"/>
      <c r="R316" s="14"/>
      <c r="S316" s="19"/>
      <c r="T316" s="14"/>
      <c r="U316" s="14"/>
      <c r="V316" s="14"/>
      <c r="W316" s="14"/>
      <c r="X316" s="14"/>
      <c r="Y316" s="14"/>
      <c r="Z316" s="14"/>
      <c r="AA316" s="14"/>
      <c r="AB316" s="14"/>
      <c r="AC316" s="14"/>
      <c r="AD316" s="14"/>
      <c r="AE316" s="14"/>
      <c r="AF316" s="47"/>
      <c r="AG316" s="14"/>
      <c r="AH316" s="19"/>
      <c r="AI316" s="14"/>
      <c r="AJ316" s="14"/>
      <c r="AK316" s="14"/>
      <c r="AL316" s="14"/>
      <c r="AM316" s="14"/>
      <c r="AN316" s="14"/>
      <c r="AO316" s="14"/>
      <c r="AP316" s="14"/>
      <c r="AQ316" s="14"/>
      <c r="AR316" s="14"/>
      <c r="AS316" s="14"/>
      <c r="AT316" s="14"/>
      <c r="AU316" s="47"/>
      <c r="AV316" s="14"/>
      <c r="AW316" s="19"/>
      <c r="AX316" s="14"/>
      <c r="AY316" s="14"/>
      <c r="AZ316" s="14"/>
      <c r="BA316" s="14"/>
      <c r="BB316" s="14"/>
      <c r="BC316" s="14"/>
      <c r="BD316" s="14"/>
      <c r="BE316" s="14"/>
      <c r="BF316" s="14"/>
      <c r="BG316" s="14"/>
      <c r="BH316" s="14"/>
      <c r="BI316" s="14"/>
      <c r="BJ316" s="47"/>
      <c r="BK316" s="14"/>
      <c r="BL316" s="19"/>
      <c r="BM316" s="14"/>
      <c r="BN316" s="14"/>
      <c r="BO316" s="14"/>
      <c r="BP316" s="14"/>
      <c r="BQ316" s="14"/>
      <c r="BR316" s="14"/>
      <c r="BS316" s="14"/>
      <c r="BT316" s="14"/>
      <c r="BU316" s="14"/>
      <c r="BV316" s="14"/>
      <c r="BW316" s="14"/>
      <c r="BX316" s="14"/>
      <c r="BY316" s="47"/>
      <c r="BZ316" s="14"/>
      <c r="CA316" s="14"/>
      <c r="CB316" s="21"/>
      <c r="CC316" s="21"/>
      <c r="CD316" s="21"/>
      <c r="CE316" s="21"/>
      <c r="CF316" s="21"/>
      <c r="CG316" s="14"/>
      <c r="CH316" s="14"/>
      <c r="CI316" s="14"/>
      <c r="CJ316" s="14"/>
      <c r="CK316" s="14"/>
      <c r="CL316" s="14"/>
      <c r="CM316" s="14"/>
      <c r="CN316" s="14"/>
      <c r="CO316" s="129"/>
      <c r="CP316" s="14"/>
      <c r="CQ316" s="49"/>
      <c r="CR316" s="14"/>
      <c r="CS316" s="14"/>
      <c r="CT316" s="14"/>
      <c r="CU316" s="14"/>
      <c r="CV316" s="180"/>
      <c r="CW316" s="189"/>
      <c r="CX316" s="189"/>
      <c r="CY316" s="14"/>
      <c r="CZ316" s="14"/>
      <c r="DA316" s="14"/>
      <c r="DB316" s="14"/>
      <c r="DC316" s="14"/>
      <c r="DD316" s="14"/>
      <c r="DE316" s="14"/>
      <c r="DF316" s="14"/>
      <c r="DG316" s="129"/>
      <c r="DH316" s="14"/>
      <c r="DI316" s="49"/>
      <c r="DJ316" s="14"/>
      <c r="DK316" s="14"/>
      <c r="DL316" s="14"/>
      <c r="DM316" s="14"/>
      <c r="DN316" s="14"/>
      <c r="DO316" s="14"/>
      <c r="DP316" s="14"/>
      <c r="DQ316" s="14"/>
      <c r="DR316" s="14"/>
      <c r="DS316" s="14"/>
      <c r="DT316" s="19"/>
      <c r="DU316" s="107"/>
      <c r="DV316" s="105"/>
      <c r="DW316" s="105"/>
      <c r="DX316" s="105"/>
      <c r="DY316" s="105"/>
      <c r="DZ316" s="105"/>
      <c r="EA316" s="105"/>
      <c r="EB316" s="105"/>
      <c r="EC316" s="19"/>
      <c r="ED316" s="14"/>
      <c r="EE316" s="14"/>
      <c r="EF316" s="14"/>
      <c r="EG316" s="14"/>
      <c r="EH316" s="14"/>
      <c r="EI316" s="14"/>
      <c r="EJ316" s="14"/>
      <c r="EK316" s="14"/>
      <c r="EL316" s="14"/>
    </row>
    <row r="317" spans="1:142" x14ac:dyDescent="0.25">
      <c r="A317" s="78"/>
      <c r="B317" s="87" t="s">
        <v>764</v>
      </c>
      <c r="C317" s="78"/>
      <c r="D317" s="79"/>
      <c r="E317" s="78"/>
      <c r="F317" s="78"/>
      <c r="G317" s="78"/>
      <c r="H317" s="79"/>
      <c r="I317" s="79"/>
      <c r="J317" s="78"/>
      <c r="K317" s="78"/>
      <c r="L317" s="78"/>
      <c r="M317" s="78"/>
      <c r="N317" s="78"/>
      <c r="O317" s="78"/>
      <c r="P317" s="78"/>
      <c r="Q317" s="47"/>
      <c r="R317" s="19"/>
      <c r="S317" s="44"/>
      <c r="T317" s="44"/>
      <c r="U317" s="44"/>
      <c r="V317" s="44"/>
      <c r="W317" s="19"/>
      <c r="X317" s="14"/>
      <c r="Y317" s="14"/>
      <c r="Z317" s="14"/>
      <c r="AA317" s="14"/>
      <c r="AB317" s="14"/>
      <c r="AC317" s="14"/>
      <c r="AD317" s="14"/>
      <c r="AE317" s="14"/>
      <c r="AF317" s="47"/>
      <c r="AG317" s="19"/>
      <c r="AH317" s="19"/>
      <c r="AI317" s="14"/>
      <c r="AJ317" s="14"/>
      <c r="AK317" s="14"/>
      <c r="AL317" s="14"/>
      <c r="AM317" s="14"/>
      <c r="AN317" s="14"/>
      <c r="AO317" s="14"/>
      <c r="AP317" s="14"/>
      <c r="AQ317" s="14"/>
      <c r="AR317" s="14"/>
      <c r="AS317" s="14"/>
      <c r="AT317" s="14"/>
      <c r="AU317" s="16"/>
      <c r="AV317" s="14"/>
      <c r="AW317" s="19"/>
      <c r="AX317" s="14"/>
      <c r="AY317" s="14"/>
      <c r="AZ317" s="14"/>
      <c r="BA317" s="14"/>
      <c r="BB317" s="14"/>
      <c r="BC317" s="14"/>
      <c r="BD317" s="14"/>
      <c r="BE317" s="14"/>
      <c r="BF317" s="14"/>
      <c r="BG317" s="14"/>
      <c r="BH317" s="14"/>
      <c r="BI317" s="14"/>
      <c r="BJ317" s="16"/>
      <c r="BK317" s="19"/>
      <c r="BL317" s="19"/>
      <c r="BM317" s="14"/>
      <c r="BN317" s="14"/>
      <c r="BO317" s="14"/>
      <c r="BP317" s="14"/>
      <c r="BQ317" s="14"/>
      <c r="BR317" s="14"/>
      <c r="BS317" s="14"/>
      <c r="BT317" s="14"/>
      <c r="BU317" s="14"/>
      <c r="BV317" s="14"/>
      <c r="BW317" s="14"/>
      <c r="BX317" s="14"/>
      <c r="BY317" s="16"/>
      <c r="BZ317" s="14"/>
      <c r="CA317" s="14"/>
      <c r="CB317" s="21"/>
      <c r="CC317" s="21"/>
      <c r="CD317" s="21"/>
      <c r="CE317" s="21"/>
      <c r="CF317" s="21"/>
      <c r="CG317" s="14"/>
      <c r="CH317" s="14"/>
      <c r="CI317" s="14"/>
      <c r="CJ317" s="14"/>
      <c r="CK317" s="14"/>
      <c r="CL317" s="14"/>
      <c r="CM317" s="14"/>
      <c r="CN317" s="14"/>
      <c r="CO317" s="129"/>
      <c r="CP317" s="14"/>
      <c r="CQ317" s="16"/>
      <c r="CR317" s="14"/>
      <c r="CS317" s="14"/>
      <c r="CT317" s="14"/>
      <c r="CU317" s="14"/>
      <c r="CV317" s="180"/>
      <c r="CW317" s="189"/>
      <c r="CX317" s="189"/>
      <c r="CY317" s="14"/>
      <c r="CZ317" s="14"/>
      <c r="DA317" s="14"/>
      <c r="DB317" s="14"/>
      <c r="DC317" s="14"/>
      <c r="DD317" s="14"/>
      <c r="DE317" s="14"/>
      <c r="DF317" s="14"/>
      <c r="DG317" s="129"/>
      <c r="DH317" s="14"/>
      <c r="DI317" s="16"/>
      <c r="DJ317" s="14"/>
      <c r="DK317" s="14"/>
      <c r="DL317" s="14"/>
      <c r="DM317" s="14"/>
      <c r="DN317" s="14"/>
      <c r="DO317" s="14"/>
      <c r="DP317" s="14"/>
      <c r="DQ317" s="14"/>
      <c r="DR317" s="14"/>
      <c r="DS317" s="14"/>
      <c r="DT317" s="19"/>
      <c r="DU317" s="107"/>
      <c r="DV317" s="105"/>
      <c r="DW317" s="105"/>
      <c r="DX317" s="105"/>
      <c r="DY317" s="105"/>
      <c r="DZ317" s="105"/>
      <c r="EA317" s="105"/>
      <c r="EB317" s="105"/>
      <c r="EC317" s="19"/>
      <c r="ED317" s="14"/>
      <c r="EE317" s="14"/>
      <c r="EF317" s="14"/>
      <c r="EG317" s="14"/>
      <c r="EH317" s="14"/>
      <c r="EI317" s="14"/>
      <c r="EJ317" s="14"/>
      <c r="EK317" s="14"/>
      <c r="EL317" s="14"/>
    </row>
    <row r="318" spans="1:142" x14ac:dyDescent="0.25">
      <c r="A318" s="14"/>
      <c r="B318" s="19" t="s">
        <v>772</v>
      </c>
      <c r="C318" s="40"/>
      <c r="D318" s="41"/>
      <c r="E318" s="40"/>
      <c r="F318" s="14"/>
      <c r="G318" s="14"/>
      <c r="H318" s="21"/>
      <c r="I318" s="21"/>
      <c r="J318" s="14"/>
      <c r="K318" s="14"/>
      <c r="L318" s="14"/>
      <c r="M318" s="14"/>
      <c r="N318" s="14"/>
      <c r="O318" s="14"/>
      <c r="P318" s="14"/>
      <c r="Q318" s="47"/>
      <c r="R318" s="19"/>
      <c r="S318" s="14"/>
      <c r="T318" s="14"/>
      <c r="U318" s="14"/>
      <c r="V318" s="14"/>
      <c r="W318" s="14"/>
      <c r="X318" s="14"/>
      <c r="Y318" s="14"/>
      <c r="Z318" s="14"/>
      <c r="AA318" s="14"/>
      <c r="AB318" s="14"/>
      <c r="AC318" s="14"/>
      <c r="AD318" s="14"/>
      <c r="AE318" s="14"/>
      <c r="AF318" s="47"/>
      <c r="AG318" s="19"/>
      <c r="AH318" s="14"/>
      <c r="AI318" s="14"/>
      <c r="AJ318" s="14"/>
      <c r="AK318" s="14"/>
      <c r="AL318" s="14"/>
      <c r="AM318" s="14"/>
      <c r="AN318" s="14"/>
      <c r="AO318" s="14"/>
      <c r="AP318" s="14"/>
      <c r="AQ318" s="14"/>
      <c r="AR318" s="14"/>
      <c r="AS318" s="14"/>
      <c r="AT318" s="14"/>
      <c r="AU318" s="16"/>
      <c r="AV318" s="14"/>
      <c r="AW318" s="14"/>
      <c r="AX318" s="14"/>
      <c r="AY318" s="14"/>
      <c r="AZ318" s="14"/>
      <c r="BA318" s="14"/>
      <c r="BB318" s="14"/>
      <c r="BC318" s="14"/>
      <c r="BD318" s="14"/>
      <c r="BE318" s="14"/>
      <c r="BF318" s="14"/>
      <c r="BG318" s="14"/>
      <c r="BH318" s="14"/>
      <c r="BI318" s="14"/>
      <c r="BJ318" s="16"/>
      <c r="BK318" s="19"/>
      <c r="BL318" s="14"/>
      <c r="BM318" s="14"/>
      <c r="BN318" s="14"/>
      <c r="BO318" s="14"/>
      <c r="BP318" s="14"/>
      <c r="BQ318" s="14"/>
      <c r="BR318" s="14"/>
      <c r="BS318" s="14"/>
      <c r="BT318" s="14"/>
      <c r="BU318" s="14"/>
      <c r="BV318" s="14"/>
      <c r="BW318" s="14"/>
      <c r="BX318" s="14"/>
      <c r="BY318" s="16"/>
      <c r="BZ318" s="14"/>
      <c r="CA318" s="14"/>
      <c r="CB318" s="21"/>
      <c r="CC318" s="21"/>
      <c r="CD318" s="21"/>
      <c r="CE318" s="21"/>
      <c r="CF318" s="21"/>
      <c r="CG318" s="14"/>
      <c r="CH318" s="14"/>
      <c r="CI318" s="14"/>
      <c r="CJ318" s="14"/>
      <c r="CK318" s="14"/>
      <c r="CL318" s="14"/>
      <c r="CM318" s="14"/>
      <c r="CN318" s="14"/>
      <c r="CO318" s="129"/>
      <c r="CP318" s="14"/>
      <c r="CQ318" s="16"/>
      <c r="CR318" s="14"/>
      <c r="CS318" s="14"/>
      <c r="CT318" s="14"/>
      <c r="CU318" s="14"/>
      <c r="CV318" s="180"/>
      <c r="CW318" s="189"/>
      <c r="CX318" s="189"/>
      <c r="CY318" s="14"/>
      <c r="CZ318" s="14"/>
      <c r="DA318" s="14"/>
      <c r="DB318" s="14"/>
      <c r="DC318" s="14"/>
      <c r="DD318" s="14"/>
      <c r="DE318" s="14"/>
      <c r="DF318" s="14"/>
      <c r="DG318" s="129"/>
      <c r="DH318" s="14"/>
      <c r="DI318" s="16"/>
      <c r="DJ318" s="14"/>
      <c r="DK318" s="14"/>
      <c r="DL318" s="14"/>
      <c r="DM318" s="14"/>
      <c r="DN318" s="14"/>
      <c r="DO318" s="14"/>
      <c r="DP318" s="14"/>
      <c r="DQ318" s="14"/>
      <c r="DR318" s="14"/>
      <c r="DS318" s="14"/>
      <c r="DT318" s="19"/>
      <c r="DU318" s="107"/>
      <c r="DV318" s="105"/>
      <c r="DW318" s="105"/>
      <c r="DX318" s="105"/>
      <c r="DY318" s="105"/>
      <c r="DZ318" s="105"/>
      <c r="EA318" s="105"/>
      <c r="EB318" s="105"/>
      <c r="EC318" s="19"/>
      <c r="ED318" s="14"/>
      <c r="EE318" s="14"/>
      <c r="EF318" s="14"/>
      <c r="EG318" s="14"/>
      <c r="EH318" s="14"/>
      <c r="EI318" s="14"/>
      <c r="EJ318" s="14"/>
      <c r="EK318" s="14"/>
      <c r="EL318" s="14"/>
    </row>
    <row r="319" spans="1:142" x14ac:dyDescent="0.25">
      <c r="A319" s="14"/>
      <c r="B319" s="19"/>
      <c r="C319" s="40"/>
      <c r="D319" s="41"/>
      <c r="E319" s="40"/>
      <c r="F319" s="14"/>
      <c r="G319" s="14"/>
      <c r="H319" s="21"/>
      <c r="I319" s="21"/>
      <c r="J319" s="14"/>
      <c r="K319" s="14"/>
      <c r="L319" s="14"/>
      <c r="M319" s="14"/>
      <c r="N319" s="14"/>
      <c r="O319" s="14"/>
      <c r="P319" s="14"/>
      <c r="Q319" s="47"/>
      <c r="R319" s="19"/>
      <c r="S319" s="14"/>
      <c r="T319" s="14"/>
      <c r="U319" s="14"/>
      <c r="V319" s="14"/>
      <c r="W319" s="14"/>
      <c r="X319" s="14"/>
      <c r="Y319" s="14"/>
      <c r="Z319" s="14"/>
      <c r="AA319" s="14"/>
      <c r="AB319" s="14"/>
      <c r="AC319" s="14"/>
      <c r="AD319" s="14"/>
      <c r="AE319" s="14"/>
      <c r="AF319" s="47"/>
      <c r="AG319" s="19"/>
      <c r="AH319" s="14"/>
      <c r="AI319" s="14"/>
      <c r="AJ319" s="14"/>
      <c r="AK319" s="14"/>
      <c r="AL319" s="14"/>
      <c r="AM319" s="14"/>
      <c r="AN319" s="14"/>
      <c r="AO319" s="14"/>
      <c r="AP319" s="14"/>
      <c r="AQ319" s="14"/>
      <c r="AR319" s="14"/>
      <c r="AS319" s="14"/>
      <c r="AT319" s="14"/>
      <c r="AU319" s="16"/>
      <c r="AV319" s="14"/>
      <c r="AW319" s="14"/>
      <c r="AX319" s="14"/>
      <c r="AY319" s="14"/>
      <c r="AZ319" s="14"/>
      <c r="BA319" s="14"/>
      <c r="BB319" s="14"/>
      <c r="BC319" s="14"/>
      <c r="BD319" s="14"/>
      <c r="BE319" s="14"/>
      <c r="BF319" s="14"/>
      <c r="BG319" s="14"/>
      <c r="BH319" s="14"/>
      <c r="BI319" s="14"/>
      <c r="BJ319" s="16"/>
      <c r="BK319" s="19"/>
      <c r="BL319" s="14"/>
      <c r="BM319" s="14"/>
      <c r="BN319" s="14"/>
      <c r="BO319" s="14"/>
      <c r="BP319" s="14"/>
      <c r="BQ319" s="14"/>
      <c r="BR319" s="14"/>
      <c r="BS319" s="14"/>
      <c r="BT319" s="14"/>
      <c r="BU319" s="14"/>
      <c r="BV319" s="14"/>
      <c r="BW319" s="14"/>
      <c r="BX319" s="14"/>
      <c r="BY319" s="16"/>
      <c r="BZ319" s="14"/>
      <c r="CA319" s="14"/>
      <c r="CB319" s="21"/>
      <c r="CC319" s="21"/>
      <c r="CD319" s="21"/>
      <c r="CE319" s="21"/>
      <c r="CF319" s="21"/>
      <c r="CG319" s="14"/>
      <c r="CH319" s="14"/>
      <c r="CI319" s="14"/>
      <c r="CJ319" s="14"/>
      <c r="CK319" s="14"/>
      <c r="CL319" s="14"/>
      <c r="CM319" s="14"/>
      <c r="CN319" s="14"/>
      <c r="CO319" s="129"/>
      <c r="CP319" s="14"/>
      <c r="CQ319" s="16"/>
      <c r="CR319" s="14"/>
      <c r="CS319" s="14"/>
      <c r="CT319" s="14"/>
      <c r="CU319" s="14"/>
      <c r="CV319" s="180"/>
      <c r="CW319" s="189"/>
      <c r="CX319" s="189"/>
      <c r="CY319" s="14"/>
      <c r="CZ319" s="14"/>
      <c r="DA319" s="14"/>
      <c r="DB319" s="14"/>
      <c r="DC319" s="14"/>
      <c r="DD319" s="14"/>
      <c r="DE319" s="14"/>
      <c r="DF319" s="14"/>
      <c r="DG319" s="129"/>
      <c r="DH319" s="14"/>
      <c r="DI319" s="16"/>
      <c r="DJ319" s="14"/>
      <c r="DK319" s="14"/>
      <c r="DL319" s="14"/>
      <c r="DM319" s="14"/>
      <c r="DN319" s="14"/>
      <c r="DO319" s="14"/>
      <c r="DP319" s="14"/>
      <c r="DQ319" s="14"/>
      <c r="DR319" s="14"/>
      <c r="DS319" s="14"/>
      <c r="DT319" s="19"/>
      <c r="DU319" s="199"/>
      <c r="DV319" s="200"/>
      <c r="DW319" s="200"/>
      <c r="DX319" s="200"/>
      <c r="DY319" s="200"/>
      <c r="DZ319" s="200"/>
      <c r="EA319" s="200"/>
      <c r="EB319" s="200"/>
      <c r="EC319" s="19"/>
      <c r="ED319" s="14"/>
      <c r="EE319" s="14"/>
      <c r="EF319" s="14"/>
      <c r="EG319" s="14"/>
      <c r="EH319" s="14"/>
      <c r="EI319" s="14"/>
      <c r="EJ319" s="14"/>
      <c r="EK319" s="14"/>
      <c r="EL319" s="14"/>
    </row>
    <row r="320" spans="1:142" x14ac:dyDescent="0.25">
      <c r="A320" s="14"/>
      <c r="B320" s="379" t="s">
        <v>765</v>
      </c>
      <c r="C320" s="354"/>
      <c r="D320" s="380"/>
      <c r="E320" s="354"/>
      <c r="F320" s="382">
        <f>COUNTIFS(Response_Q165_1,"Somewhat Confident",Response_Q156_1,"I don’t know",Response_Q156_1,"I don’t know",Response_Q160_1,"I don’t know",Response_26_CaseA,"I don’t know",Response_26_CaseB,"I don’t know",Response_26_CaseC,"I don’t know",Response_Q161_2,"I don’t know",Response_Q161_4,"I don’t know",Response_Q161_6,"I don’t know",Response_Q161_8,"I don’t know",Response_Q161_10,"I don’t know",Response_Q161_12,"I don’t know",Response_Q162_2,"I don’t know",Response_Q162_4,"I don’t know",Response_Q162_6,"I don’t know",Response_Q162_8,"I don’t know",Response_Q162_10,"I don’t know",Response_Q162_12,"I don’t know")</f>
        <v>0</v>
      </c>
      <c r="G320" s="14"/>
      <c r="H320" s="21"/>
      <c r="I320" s="21"/>
      <c r="J320" s="14"/>
      <c r="K320" s="14"/>
      <c r="L320" s="14"/>
      <c r="M320" s="14"/>
      <c r="N320" s="14"/>
      <c r="O320" s="14"/>
      <c r="P320" s="14"/>
      <c r="Q320" s="47"/>
      <c r="R320" s="19"/>
      <c r="S320" s="14"/>
      <c r="T320" s="14"/>
      <c r="U320" s="14"/>
      <c r="V320" s="14"/>
      <c r="W320" s="14"/>
      <c r="X320" s="14"/>
      <c r="Y320" s="14"/>
      <c r="Z320" s="14"/>
      <c r="AA320" s="14"/>
      <c r="AB320" s="14"/>
      <c r="AC320" s="14"/>
      <c r="AD320" s="14"/>
      <c r="AE320" s="14"/>
      <c r="AF320" s="47"/>
      <c r="AG320" s="19"/>
      <c r="AH320" s="14"/>
      <c r="AI320" s="14"/>
      <c r="AJ320" s="14"/>
      <c r="AK320" s="14"/>
      <c r="AL320" s="14"/>
      <c r="AM320" s="14"/>
      <c r="AN320" s="14"/>
      <c r="AO320" s="14"/>
      <c r="AP320" s="14"/>
      <c r="AQ320" s="14"/>
      <c r="AR320" s="14"/>
      <c r="AS320" s="14"/>
      <c r="AT320" s="14"/>
      <c r="AU320" s="16"/>
      <c r="AV320" s="14"/>
      <c r="AW320" s="14"/>
      <c r="AX320" s="14"/>
      <c r="AY320" s="14"/>
      <c r="AZ320" s="14"/>
      <c r="BA320" s="14"/>
      <c r="BB320" s="14"/>
      <c r="BC320" s="14"/>
      <c r="BD320" s="14"/>
      <c r="BE320" s="14"/>
      <c r="BF320" s="14"/>
      <c r="BG320" s="14"/>
      <c r="BH320" s="14"/>
      <c r="BI320" s="14"/>
      <c r="BJ320" s="16"/>
      <c r="BK320" s="19"/>
      <c r="BL320" s="14"/>
      <c r="BM320" s="14"/>
      <c r="BN320" s="14"/>
      <c r="BO320" s="14"/>
      <c r="BP320" s="14"/>
      <c r="BQ320" s="14"/>
      <c r="BR320" s="14"/>
      <c r="BS320" s="14"/>
      <c r="BT320" s="14"/>
      <c r="BU320" s="14"/>
      <c r="BV320" s="14"/>
      <c r="BW320" s="14"/>
      <c r="BX320" s="14"/>
      <c r="BY320" s="16"/>
      <c r="BZ320" s="14"/>
      <c r="CA320" s="14"/>
      <c r="CB320" s="21"/>
      <c r="CC320" s="21"/>
      <c r="CD320" s="21"/>
      <c r="CE320" s="21"/>
      <c r="CF320" s="21"/>
      <c r="CG320" s="14"/>
      <c r="CH320" s="14"/>
      <c r="CI320" s="14"/>
      <c r="CJ320" s="14"/>
      <c r="CK320" s="14"/>
      <c r="CL320" s="14"/>
      <c r="CM320" s="14"/>
      <c r="CN320" s="14"/>
      <c r="CO320" s="129"/>
      <c r="CP320" s="14"/>
      <c r="CQ320" s="16"/>
      <c r="CR320" s="14"/>
      <c r="CS320" s="14"/>
      <c r="CT320" s="14"/>
      <c r="CU320" s="14"/>
      <c r="CV320" s="180"/>
      <c r="CW320" s="189"/>
      <c r="CX320" s="189"/>
      <c r="CY320" s="14"/>
      <c r="CZ320" s="14"/>
      <c r="DA320" s="14"/>
      <c r="DB320" s="14"/>
      <c r="DC320" s="14"/>
      <c r="DD320" s="14"/>
      <c r="DE320" s="14"/>
      <c r="DF320" s="14"/>
      <c r="DG320" s="129"/>
      <c r="DH320" s="14"/>
      <c r="DI320" s="16"/>
      <c r="DJ320" s="14"/>
      <c r="DK320" s="14"/>
      <c r="DL320" s="14"/>
      <c r="DM320" s="14"/>
      <c r="DN320" s="14"/>
      <c r="DO320" s="14"/>
      <c r="DP320" s="14"/>
      <c r="DQ320" s="14"/>
      <c r="DR320" s="14"/>
      <c r="DS320" s="14"/>
      <c r="DT320" s="19"/>
      <c r="DU320" s="19"/>
      <c r="DV320" s="19"/>
      <c r="DW320" s="19"/>
      <c r="DX320" s="19"/>
      <c r="DY320" s="19"/>
      <c r="DZ320" s="19"/>
      <c r="EA320" s="19"/>
      <c r="EB320" s="19"/>
      <c r="EC320" s="19"/>
      <c r="ED320" s="14"/>
      <c r="EE320" s="14"/>
      <c r="EF320" s="14"/>
      <c r="EG320" s="14"/>
      <c r="EH320" s="14"/>
      <c r="EI320" s="14"/>
      <c r="EJ320" s="14"/>
      <c r="EK320" s="14"/>
      <c r="EL320" s="14"/>
    </row>
    <row r="321" spans="1:142" x14ac:dyDescent="0.25">
      <c r="A321" s="14"/>
      <c r="B321" s="203" t="s">
        <v>766</v>
      </c>
      <c r="C321" s="19"/>
      <c r="D321" s="27"/>
      <c r="E321" s="19"/>
      <c r="F321" s="383">
        <f>COUNTIFS(Response_Q165_1,"Confident",Response_Q157_1,"I don’t know",Response_Q156_1,"I don’t know",Response_Q160_1,"I don’t know",Response_26_CaseA,"I don’t know",Response_26_CaseB,"I don’t know",Response_26_CaseC,"I don’t know",Response_Q161_2,"I don’t know",Response_Q161_4,"I don’t know",Response_Q161_6,"I don’t know",Response_Q161_8,"I don’t know",Response_Q161_10,"I don’t know",Response_Q161_12,"I don’t know",Response_Q162_2,"I don’t know",Response_Q162_4,"I don’t know",Response_Q162_6,"I don’t know",Response_Q162_8,"I don’t know",Response_Q162_10,"I don’t know",Response_Q162_12,"I don’t know")</f>
        <v>0</v>
      </c>
      <c r="G321" s="14"/>
      <c r="H321" s="21"/>
      <c r="I321" s="21"/>
      <c r="J321" s="14"/>
      <c r="K321" s="14"/>
      <c r="L321" s="14"/>
      <c r="M321" s="14"/>
      <c r="N321" s="14"/>
      <c r="O321" s="14"/>
      <c r="P321" s="14"/>
      <c r="Q321" s="47"/>
      <c r="R321" s="19"/>
      <c r="S321" s="14"/>
      <c r="T321" s="14"/>
      <c r="U321" s="14"/>
      <c r="V321" s="14"/>
      <c r="W321" s="14"/>
      <c r="X321" s="14"/>
      <c r="Y321" s="14"/>
      <c r="Z321" s="14"/>
      <c r="AA321" s="14"/>
      <c r="AB321" s="14"/>
      <c r="AC321" s="14"/>
      <c r="AD321" s="14"/>
      <c r="AE321" s="14"/>
      <c r="AF321" s="47"/>
      <c r="AG321" s="19"/>
      <c r="AH321" s="14"/>
      <c r="AI321" s="14"/>
      <c r="AJ321" s="14"/>
      <c r="AK321" s="14"/>
      <c r="AL321" s="14"/>
      <c r="AM321" s="14"/>
      <c r="AN321" s="14"/>
      <c r="AO321" s="14"/>
      <c r="AP321" s="14"/>
      <c r="AQ321" s="14"/>
      <c r="AR321" s="14"/>
      <c r="AS321" s="14"/>
      <c r="AT321" s="14"/>
      <c r="AU321" s="16"/>
      <c r="AV321" s="14"/>
      <c r="AW321" s="14"/>
      <c r="AX321" s="14"/>
      <c r="AY321" s="14"/>
      <c r="AZ321" s="14"/>
      <c r="BA321" s="14"/>
      <c r="BB321" s="14"/>
      <c r="BC321" s="14"/>
      <c r="BD321" s="14"/>
      <c r="BE321" s="14"/>
      <c r="BF321" s="14"/>
      <c r="BG321" s="14"/>
      <c r="BH321" s="14"/>
      <c r="BI321" s="14"/>
      <c r="BJ321" s="16"/>
      <c r="BK321" s="19"/>
      <c r="BL321" s="14"/>
      <c r="BM321" s="14"/>
      <c r="BN321" s="14"/>
      <c r="BO321" s="14"/>
      <c r="BP321" s="14"/>
      <c r="BQ321" s="14"/>
      <c r="BR321" s="14"/>
      <c r="BS321" s="14"/>
      <c r="BT321" s="14"/>
      <c r="BU321" s="14"/>
      <c r="BV321" s="14"/>
      <c r="BW321" s="14"/>
      <c r="BX321" s="14"/>
      <c r="BY321" s="16"/>
      <c r="BZ321" s="14"/>
      <c r="CA321" s="14"/>
      <c r="CB321" s="21"/>
      <c r="CC321" s="21"/>
      <c r="CD321" s="21"/>
      <c r="CE321" s="21"/>
      <c r="CF321" s="21"/>
      <c r="CG321" s="14"/>
      <c r="CH321" s="14"/>
      <c r="CI321" s="14"/>
      <c r="CJ321" s="14"/>
      <c r="CK321" s="14"/>
      <c r="CL321" s="14"/>
      <c r="CM321" s="14"/>
      <c r="CN321" s="14"/>
      <c r="CO321" s="129"/>
      <c r="CP321" s="14"/>
      <c r="CQ321" s="16"/>
      <c r="CR321" s="14"/>
      <c r="CS321" s="14"/>
      <c r="CT321" s="14"/>
      <c r="CU321" s="14"/>
      <c r="CV321" s="180"/>
      <c r="CW321" s="189"/>
      <c r="CX321" s="189"/>
      <c r="CY321" s="14"/>
      <c r="CZ321" s="14"/>
      <c r="DA321" s="14"/>
      <c r="DB321" s="14"/>
      <c r="DC321" s="14"/>
      <c r="DD321" s="14"/>
      <c r="DE321" s="14"/>
      <c r="DF321" s="14"/>
      <c r="DG321" s="129"/>
      <c r="DH321" s="14"/>
      <c r="DI321" s="16"/>
      <c r="DJ321" s="14"/>
      <c r="DK321" s="14"/>
      <c r="DL321" s="14"/>
      <c r="DM321" s="14"/>
      <c r="DN321" s="14"/>
      <c r="DO321" s="14"/>
      <c r="DP321" s="14"/>
      <c r="DQ321" s="14"/>
      <c r="DR321" s="14"/>
      <c r="DS321" s="14"/>
      <c r="DT321" s="19"/>
      <c r="DU321" s="19"/>
      <c r="DV321" s="19"/>
      <c r="DW321" s="19"/>
      <c r="DX321" s="19"/>
      <c r="DY321" s="19"/>
      <c r="DZ321" s="19"/>
      <c r="EA321" s="19"/>
      <c r="EB321" s="19"/>
      <c r="EC321" s="19"/>
      <c r="ED321" s="14"/>
      <c r="EE321" s="14"/>
      <c r="EF321" s="14"/>
      <c r="EG321" s="14"/>
      <c r="EH321" s="14"/>
      <c r="EI321" s="14"/>
      <c r="EJ321" s="14"/>
      <c r="EK321" s="14"/>
      <c r="EL321" s="14"/>
    </row>
    <row r="322" spans="1:142" x14ac:dyDescent="0.25">
      <c r="A322" s="14"/>
      <c r="B322" s="319" t="s">
        <v>767</v>
      </c>
      <c r="C322" s="321"/>
      <c r="D322" s="381"/>
      <c r="E322" s="321"/>
      <c r="F322" s="384">
        <f>COUNTIFS(Response_Q165_1,"Very Confident",Response_Q156_1,"I don’t know",Response_Q156_1,"I don’t know",Response_Q160_1,"I don’t know",Response_26_CaseA,"I don’t know",Response_26_CaseB,"I don’t know",Response_26_CaseC,"I don’t know",Response_Q161_2,"I don’t know",Response_Q161_4,"I don’t know",Response_Q161_6,"I don’t know",Response_Q161_8,"I don’t know",Response_Q161_10,"I don’t know",Response_Q161_12,"I don’t know",Response_Q162_2,"I don’t know",Response_Q162_4,"I don’t know",Response_Q162_6,"I don’t know",Response_Q162_8,"I don’t know",Response_Q162_10,"I don’t know",Response_Q162_12,"I don’t know")</f>
        <v>0</v>
      </c>
      <c r="G322" s="14"/>
      <c r="H322" s="21"/>
      <c r="I322" s="21"/>
      <c r="J322" s="14"/>
      <c r="K322" s="14"/>
      <c r="L322" s="14"/>
      <c r="M322" s="14"/>
      <c r="N322" s="14"/>
      <c r="O322" s="14"/>
      <c r="P322" s="14"/>
      <c r="Q322" s="47"/>
      <c r="R322" s="19"/>
      <c r="S322" s="14"/>
      <c r="T322" s="14"/>
      <c r="U322" s="14"/>
      <c r="V322" s="14"/>
      <c r="W322" s="14"/>
      <c r="X322" s="14"/>
      <c r="Y322" s="14"/>
      <c r="Z322" s="14"/>
      <c r="AA322" s="14"/>
      <c r="AB322" s="14"/>
      <c r="AC322" s="14"/>
      <c r="AD322" s="14"/>
      <c r="AE322" s="14"/>
      <c r="AF322" s="47"/>
      <c r="AG322" s="19"/>
      <c r="AH322" s="14"/>
      <c r="AI322" s="14"/>
      <c r="AJ322" s="14"/>
      <c r="AK322" s="14"/>
      <c r="AL322" s="14"/>
      <c r="AM322" s="14"/>
      <c r="AN322" s="14"/>
      <c r="AO322" s="14"/>
      <c r="AP322" s="14"/>
      <c r="AQ322" s="14"/>
      <c r="AR322" s="14"/>
      <c r="AS322" s="14"/>
      <c r="AT322" s="14"/>
      <c r="AU322" s="16"/>
      <c r="AV322" s="14"/>
      <c r="AW322" s="14"/>
      <c r="AX322" s="14"/>
      <c r="AY322" s="14"/>
      <c r="AZ322" s="14"/>
      <c r="BA322" s="14"/>
      <c r="BB322" s="14"/>
      <c r="BC322" s="14"/>
      <c r="BD322" s="14"/>
      <c r="BE322" s="14"/>
      <c r="BF322" s="14"/>
      <c r="BG322" s="14"/>
      <c r="BH322" s="14"/>
      <c r="BI322" s="14"/>
      <c r="BJ322" s="16"/>
      <c r="BK322" s="19"/>
      <c r="BL322" s="14"/>
      <c r="BM322" s="14"/>
      <c r="BN322" s="14"/>
      <c r="BO322" s="14"/>
      <c r="BP322" s="14"/>
      <c r="BQ322" s="14"/>
      <c r="BR322" s="14"/>
      <c r="BS322" s="14"/>
      <c r="BT322" s="14"/>
      <c r="BU322" s="14"/>
      <c r="BV322" s="14"/>
      <c r="BW322" s="14"/>
      <c r="BX322" s="14"/>
      <c r="BY322" s="16"/>
      <c r="BZ322" s="14"/>
      <c r="CA322" s="14"/>
      <c r="CB322" s="21"/>
      <c r="CC322" s="21"/>
      <c r="CD322" s="21"/>
      <c r="CE322" s="21"/>
      <c r="CF322" s="21"/>
      <c r="CG322" s="14"/>
      <c r="CH322" s="14"/>
      <c r="CI322" s="14"/>
      <c r="CJ322" s="14"/>
      <c r="CK322" s="14"/>
      <c r="CL322" s="14"/>
      <c r="CM322" s="14"/>
      <c r="CN322" s="14"/>
      <c r="CO322" s="129"/>
      <c r="CP322" s="14"/>
      <c r="CQ322" s="16"/>
      <c r="CR322" s="14"/>
      <c r="CS322" s="14"/>
      <c r="CT322" s="14"/>
      <c r="CU322" s="14"/>
      <c r="CV322" s="180"/>
      <c r="CW322" s="189"/>
      <c r="CX322" s="189"/>
      <c r="CY322" s="14"/>
      <c r="CZ322" s="14"/>
      <c r="DA322" s="14"/>
      <c r="DB322" s="14"/>
      <c r="DC322" s="14"/>
      <c r="DD322" s="14"/>
      <c r="DE322" s="14"/>
      <c r="DF322" s="14"/>
      <c r="DG322" s="129"/>
      <c r="DH322" s="14"/>
      <c r="DI322" s="16"/>
      <c r="DJ322" s="14"/>
      <c r="DK322" s="14"/>
      <c r="DL322" s="14"/>
      <c r="DM322" s="14"/>
      <c r="DN322" s="14"/>
      <c r="DO322" s="14"/>
      <c r="DP322" s="14"/>
      <c r="DQ322" s="14"/>
      <c r="DR322" s="14"/>
      <c r="DS322" s="14"/>
      <c r="DT322" s="19"/>
      <c r="DU322" s="6"/>
      <c r="DV322" s="6"/>
      <c r="DW322" s="6"/>
      <c r="DX322" s="6"/>
      <c r="DY322" s="6"/>
      <c r="DZ322" s="6"/>
      <c r="EA322" s="6"/>
      <c r="EB322" s="6"/>
      <c r="EC322" s="19"/>
      <c r="ED322" s="14"/>
      <c r="EE322" s="14"/>
      <c r="EF322" s="14"/>
      <c r="EG322" s="14"/>
      <c r="EH322" s="14"/>
      <c r="EI322" s="14"/>
      <c r="EJ322" s="14"/>
      <c r="EK322" s="14"/>
      <c r="EL322" s="14"/>
    </row>
    <row r="323" spans="1:142" x14ac:dyDescent="0.25">
      <c r="A323" s="14"/>
      <c r="B323" s="14"/>
      <c r="C323" s="14"/>
      <c r="D323" s="21"/>
      <c r="E323" s="14"/>
      <c r="F323" s="14"/>
      <c r="G323" s="14"/>
      <c r="H323" s="21"/>
      <c r="I323" s="21"/>
      <c r="J323" s="14"/>
      <c r="K323" s="14"/>
      <c r="L323" s="14"/>
      <c r="M323" s="14"/>
      <c r="N323" s="14"/>
      <c r="O323" s="14"/>
      <c r="P323" s="14"/>
      <c r="Q323" s="47"/>
      <c r="R323" s="19"/>
      <c r="S323" s="14"/>
      <c r="T323" s="14"/>
      <c r="U323" s="14"/>
      <c r="V323" s="14"/>
      <c r="W323" s="14"/>
      <c r="X323" s="14"/>
      <c r="Y323" s="14"/>
      <c r="Z323" s="14"/>
      <c r="AA323" s="14"/>
      <c r="AB323" s="14"/>
      <c r="AC323" s="14"/>
      <c r="AD323" s="14"/>
      <c r="AE323" s="14"/>
      <c r="AF323" s="47"/>
      <c r="AG323" s="19"/>
      <c r="AH323" s="14"/>
      <c r="AI323" s="14"/>
      <c r="AJ323" s="14"/>
      <c r="AK323" s="14"/>
      <c r="AL323" s="14"/>
      <c r="AM323" s="14"/>
      <c r="AN323" s="14"/>
      <c r="AO323" s="14"/>
      <c r="AP323" s="14"/>
      <c r="AQ323" s="14"/>
      <c r="AR323" s="14"/>
      <c r="AS323" s="14"/>
      <c r="AT323" s="14"/>
      <c r="AU323" s="16"/>
      <c r="AV323" s="14"/>
      <c r="AW323" s="14"/>
      <c r="AX323" s="14"/>
      <c r="AY323" s="14"/>
      <c r="AZ323" s="14"/>
      <c r="BA323" s="14"/>
      <c r="BB323" s="14"/>
      <c r="BC323" s="14"/>
      <c r="BD323" s="14"/>
      <c r="BE323" s="14"/>
      <c r="BF323" s="14"/>
      <c r="BG323" s="14"/>
      <c r="BH323" s="14"/>
      <c r="BI323" s="14"/>
      <c r="BJ323" s="16"/>
      <c r="BK323" s="19"/>
      <c r="BL323" s="14"/>
      <c r="BM323" s="14"/>
      <c r="BN323" s="14"/>
      <c r="BO323" s="14"/>
      <c r="BP323" s="14"/>
      <c r="BQ323" s="14"/>
      <c r="BR323" s="14"/>
      <c r="BS323" s="14"/>
      <c r="BT323" s="14"/>
      <c r="BU323" s="14"/>
      <c r="BV323" s="14"/>
      <c r="BW323" s="14"/>
      <c r="BX323" s="14"/>
      <c r="BY323" s="16"/>
      <c r="BZ323" s="14"/>
      <c r="CA323" s="14"/>
      <c r="CB323" s="21"/>
      <c r="CC323" s="21"/>
      <c r="CD323" s="21"/>
      <c r="CE323" s="21"/>
      <c r="CF323" s="21"/>
      <c r="CG323" s="14"/>
      <c r="CH323" s="14"/>
      <c r="CI323" s="14"/>
      <c r="CJ323" s="14"/>
      <c r="CK323" s="14"/>
      <c r="CL323" s="14"/>
      <c r="CM323" s="14"/>
      <c r="CN323" s="14"/>
      <c r="CO323" s="129"/>
      <c r="CP323" s="14"/>
      <c r="CQ323" s="16"/>
      <c r="CR323" s="14"/>
      <c r="CS323" s="14"/>
      <c r="CT323" s="14"/>
      <c r="CU323" s="14"/>
      <c r="CV323" s="180"/>
      <c r="CW323" s="189"/>
      <c r="CX323" s="189"/>
      <c r="CY323" s="14"/>
      <c r="CZ323" s="14"/>
      <c r="DA323" s="14"/>
      <c r="DB323" s="14"/>
      <c r="DC323" s="14"/>
      <c r="DD323" s="14"/>
      <c r="DE323" s="14"/>
      <c r="DF323" s="14"/>
      <c r="DG323" s="129"/>
      <c r="DH323" s="14"/>
      <c r="DI323" s="16"/>
      <c r="DJ323" s="14"/>
      <c r="DK323" s="14"/>
      <c r="DL323" s="14"/>
      <c r="DM323" s="14"/>
      <c r="DN323" s="14"/>
      <c r="DO323" s="14"/>
      <c r="DP323" s="14"/>
      <c r="DQ323" s="14"/>
      <c r="DR323" s="14"/>
      <c r="DS323" s="14"/>
      <c r="DT323" s="19"/>
      <c r="DU323" s="6"/>
      <c r="DV323" s="6"/>
      <c r="DW323" s="6"/>
      <c r="DX323" s="6"/>
      <c r="DY323" s="6"/>
      <c r="DZ323" s="6"/>
      <c r="EA323" s="6"/>
      <c r="EB323" s="6"/>
      <c r="EC323" s="19"/>
      <c r="ED323" s="14"/>
      <c r="EE323" s="14"/>
      <c r="EF323" s="14"/>
      <c r="EG323" s="14"/>
      <c r="EH323" s="14"/>
      <c r="EI323" s="14"/>
      <c r="EJ323" s="14"/>
      <c r="EK323" s="14"/>
      <c r="EL323" s="14"/>
    </row>
    <row r="324" spans="1:142" x14ac:dyDescent="0.25">
      <c r="CV324" s="389"/>
      <c r="CW324" s="390"/>
      <c r="CX324" s="390"/>
      <c r="DT324" s="70"/>
      <c r="DU324" s="391"/>
      <c r="DV324" s="392"/>
      <c r="DW324" s="392"/>
      <c r="DX324" s="392"/>
      <c r="DY324" s="392"/>
      <c r="DZ324" s="392"/>
      <c r="EA324" s="392"/>
      <c r="EB324" s="392"/>
      <c r="EC324" s="70"/>
    </row>
    <row r="325" spans="1:142" x14ac:dyDescent="0.25">
      <c r="DT325" s="70"/>
      <c r="DU325" s="391"/>
      <c r="DV325" s="392"/>
      <c r="DW325" s="392"/>
      <c r="DX325" s="392"/>
      <c r="DY325" s="392"/>
      <c r="DZ325" s="392"/>
      <c r="EA325" s="392"/>
      <c r="EB325" s="392"/>
      <c r="EC325" s="70"/>
    </row>
    <row r="326" spans="1:142" x14ac:dyDescent="0.25">
      <c r="DT326" s="70"/>
      <c r="DU326" s="391"/>
      <c r="DV326" s="392"/>
      <c r="DW326" s="392"/>
      <c r="DX326" s="392"/>
      <c r="DY326" s="392"/>
      <c r="DZ326" s="392"/>
      <c r="EA326" s="392"/>
      <c r="EB326" s="392"/>
      <c r="EC326" s="70"/>
    </row>
    <row r="327" spans="1:142" x14ac:dyDescent="0.25">
      <c r="DT327" s="70"/>
      <c r="DU327" s="391"/>
      <c r="DV327" s="392"/>
      <c r="DW327" s="392"/>
      <c r="DX327" s="392"/>
      <c r="DY327" s="392"/>
      <c r="DZ327" s="392"/>
      <c r="EA327" s="392"/>
      <c r="EB327" s="392"/>
      <c r="EC327" s="70"/>
    </row>
    <row r="328" spans="1:142" x14ac:dyDescent="0.25">
      <c r="DT328" s="70"/>
      <c r="DU328" s="70"/>
      <c r="DV328" s="70"/>
      <c r="DW328" s="70"/>
      <c r="DX328" s="70"/>
      <c r="DY328" s="70"/>
      <c r="DZ328" s="70"/>
      <c r="EA328" s="70"/>
      <c r="EB328" s="70"/>
      <c r="EC328" s="70"/>
    </row>
    <row r="329" spans="1:142" x14ac:dyDescent="0.25">
      <c r="DT329" s="70"/>
      <c r="DU329" s="70"/>
      <c r="DV329" s="70"/>
      <c r="DW329" s="70"/>
      <c r="DX329" s="70"/>
      <c r="DY329" s="70"/>
      <c r="DZ329" s="70"/>
      <c r="EA329" s="70"/>
      <c r="EB329" s="70"/>
      <c r="EC329" s="70"/>
    </row>
    <row r="330" spans="1:142" x14ac:dyDescent="0.25">
      <c r="DT330" s="70"/>
      <c r="DU330" s="70"/>
      <c r="DV330" s="70"/>
      <c r="DW330" s="70"/>
      <c r="DX330" s="70"/>
      <c r="DY330" s="70"/>
      <c r="DZ330" s="70"/>
      <c r="EA330" s="70"/>
      <c r="EB330" s="70"/>
      <c r="EC330" s="70"/>
    </row>
    <row r="331" spans="1:142" x14ac:dyDescent="0.25">
      <c r="DT331" s="70"/>
      <c r="DU331" s="70"/>
      <c r="DV331" s="70"/>
      <c r="DW331" s="70"/>
      <c r="DX331" s="70"/>
      <c r="DY331" s="70"/>
      <c r="DZ331" s="70"/>
      <c r="EA331" s="70"/>
      <c r="EB331" s="70"/>
      <c r="EC331" s="70"/>
    </row>
  </sheetData>
  <mergeCells count="85">
    <mergeCell ref="B312:I315"/>
    <mergeCell ref="S312:Z315"/>
    <mergeCell ref="AH312:AO315"/>
    <mergeCell ref="AW312:BD315"/>
    <mergeCell ref="BL312:BS315"/>
    <mergeCell ref="DP44:DS47"/>
    <mergeCell ref="S33:U35"/>
    <mergeCell ref="AH33:AJ35"/>
    <mergeCell ref="AW33:AY35"/>
    <mergeCell ref="BL33:BN35"/>
    <mergeCell ref="CC34:CO34"/>
    <mergeCell ref="CU34:DG34"/>
    <mergeCell ref="CC35:CO35"/>
    <mergeCell ref="CU35:DG35"/>
    <mergeCell ref="CC36:CO36"/>
    <mergeCell ref="CU36:DG36"/>
    <mergeCell ref="CC37:CO37"/>
    <mergeCell ref="CU37:DG37"/>
    <mergeCell ref="CC38:CO38"/>
    <mergeCell ref="CU38:DG38"/>
    <mergeCell ref="CC39:CO39"/>
    <mergeCell ref="G44:J47"/>
    <mergeCell ref="X44:AA47"/>
    <mergeCell ref="AM44:AP47"/>
    <mergeCell ref="BA44:BD47"/>
    <mergeCell ref="BQ44:BT47"/>
    <mergeCell ref="DS10:DT13"/>
    <mergeCell ref="G21:I25"/>
    <mergeCell ref="Y21:AA25"/>
    <mergeCell ref="AM21:AO25"/>
    <mergeCell ref="BB21:BD25"/>
    <mergeCell ref="BQ21:BS25"/>
    <mergeCell ref="DQ21:DS25"/>
    <mergeCell ref="BL10:BN10"/>
    <mergeCell ref="DK10:DM10"/>
    <mergeCell ref="AW11:BC17"/>
    <mergeCell ref="BL11:BR17"/>
    <mergeCell ref="DK11:DQ17"/>
    <mergeCell ref="AW10:AY10"/>
    <mergeCell ref="AP10:AQ13"/>
    <mergeCell ref="BE10:BF13"/>
    <mergeCell ref="BT10:BU13"/>
    <mergeCell ref="A4:C4"/>
    <mergeCell ref="E4:G4"/>
    <mergeCell ref="A5:F5"/>
    <mergeCell ref="S10:U10"/>
    <mergeCell ref="AH10:AJ10"/>
    <mergeCell ref="J10:K13"/>
    <mergeCell ref="AA10:AB13"/>
    <mergeCell ref="B11:H17"/>
    <mergeCell ref="S11:Y17"/>
    <mergeCell ref="AH11:AN17"/>
    <mergeCell ref="CC31:CO31"/>
    <mergeCell ref="CU31:DG31"/>
    <mergeCell ref="CC32:CO32"/>
    <mergeCell ref="CU32:DG32"/>
    <mergeCell ref="CC33:CO33"/>
    <mergeCell ref="CU33:DG33"/>
    <mergeCell ref="CU39:DG39"/>
    <mergeCell ref="CC40:CO40"/>
    <mergeCell ref="CU40:DG40"/>
    <mergeCell ref="CC41:CO41"/>
    <mergeCell ref="CU41:DG41"/>
    <mergeCell ref="CC42:CO42"/>
    <mergeCell ref="CU42:DG42"/>
    <mergeCell ref="CC43:CO43"/>
    <mergeCell ref="CU43:DG43"/>
    <mergeCell ref="CC44:CO44"/>
    <mergeCell ref="CU44:DG44"/>
    <mergeCell ref="CC45:CO45"/>
    <mergeCell ref="CU45:DG45"/>
    <mergeCell ref="CC46:CO46"/>
    <mergeCell ref="CU46:DG46"/>
    <mergeCell ref="U47:V47"/>
    <mergeCell ref="AJ47:AK47"/>
    <mergeCell ref="AY47:AZ47"/>
    <mergeCell ref="BN47:BO47"/>
    <mergeCell ref="CC47:CO47"/>
    <mergeCell ref="CU47:DG47"/>
    <mergeCell ref="CC48:CO48"/>
    <mergeCell ref="CU48:DG48"/>
    <mergeCell ref="CC49:CO49"/>
    <mergeCell ref="CU49:DG49"/>
    <mergeCell ref="CC50:CO50"/>
    <mergeCell ref="CU50:DG50"/>
  </mergeCells>
  <conditionalFormatting sqref="CP193:CP199">
    <cfRule type="colorScale" priority="161">
      <colorScale>
        <cfvo type="min"/>
        <cfvo type="percentile" val="50"/>
        <cfvo type="max"/>
        <color rgb="FFF8696B"/>
        <color rgb="FFFFEB84"/>
        <color rgb="FF63BE7B"/>
      </colorScale>
    </cfRule>
  </conditionalFormatting>
  <conditionalFormatting sqref="CP166:CP172">
    <cfRule type="colorScale" priority="160">
      <colorScale>
        <cfvo type="min"/>
        <cfvo type="percentile" val="50"/>
        <cfvo type="max"/>
        <color rgb="FFF8696B"/>
        <color rgb="FFFFEB84"/>
        <color rgb="FF63BE7B"/>
      </colorScale>
    </cfRule>
  </conditionalFormatting>
  <conditionalFormatting sqref="CP139:CP145">
    <cfRule type="colorScale" priority="159">
      <colorScale>
        <cfvo type="min"/>
        <cfvo type="percentile" val="50"/>
        <cfvo type="max"/>
        <color rgb="FFF8696B"/>
        <color rgb="FFFFEB84"/>
        <color rgb="FF63BE7B"/>
      </colorScale>
    </cfRule>
  </conditionalFormatting>
  <conditionalFormatting sqref="CP112:CP118">
    <cfRule type="colorScale" priority="158">
      <colorScale>
        <cfvo type="min"/>
        <cfvo type="percentile" val="50"/>
        <cfvo type="max"/>
        <color rgb="FFF8696B"/>
        <color rgb="FFFFEB84"/>
        <color rgb="FF63BE7B"/>
      </colorScale>
    </cfRule>
  </conditionalFormatting>
  <conditionalFormatting sqref="CP85:CP91">
    <cfRule type="colorScale" priority="157">
      <colorScale>
        <cfvo type="min"/>
        <cfvo type="percentile" val="50"/>
        <cfvo type="max"/>
        <color rgb="FFF8696B"/>
        <color rgb="FFFFEB84"/>
        <color rgb="FF63BE7B"/>
      </colorScale>
    </cfRule>
  </conditionalFormatting>
  <conditionalFormatting sqref="CI220:CP226">
    <cfRule type="colorScale" priority="156">
      <colorScale>
        <cfvo type="min"/>
        <cfvo type="percentile" val="50"/>
        <cfvo type="max"/>
        <color rgb="FFF8696B"/>
        <color rgb="FFFFEB84"/>
        <color rgb="FF63BE7B"/>
      </colorScale>
    </cfRule>
  </conditionalFormatting>
  <conditionalFormatting sqref="CY220:CZ224 CZ225:CZ227">
    <cfRule type="colorScale" priority="155">
      <colorScale>
        <cfvo type="min"/>
        <cfvo type="percentile" val="50"/>
        <cfvo type="max"/>
        <color rgb="FFF8696B"/>
        <color rgb="FFFFEB84"/>
        <color rgb="FF63BE7B"/>
      </colorScale>
    </cfRule>
  </conditionalFormatting>
  <conditionalFormatting sqref="DG11:DG18">
    <cfRule type="colorScale" priority="154">
      <colorScale>
        <cfvo type="min"/>
        <cfvo type="max"/>
        <color rgb="FFFCFCFF"/>
        <color theme="4" tint="-0.249977111117893"/>
      </colorScale>
    </cfRule>
  </conditionalFormatting>
  <conditionalFormatting sqref="CP30">
    <cfRule type="colorScale" priority="151">
      <colorScale>
        <cfvo type="min"/>
        <cfvo type="percentile" val="50"/>
        <cfvo type="max"/>
        <color rgb="FFF8696B"/>
        <color rgb="FFFFEB84"/>
        <color rgb="FF63BE7B"/>
      </colorScale>
    </cfRule>
  </conditionalFormatting>
  <conditionalFormatting sqref="CP30">
    <cfRule type="colorScale" priority="150">
      <colorScale>
        <cfvo type="min"/>
        <cfvo type="max"/>
        <color rgb="FFFCFCFF"/>
        <color rgb="FF63BE7B"/>
      </colorScale>
    </cfRule>
  </conditionalFormatting>
  <conditionalFormatting sqref="CY17:CY20">
    <cfRule type="colorScale" priority="149">
      <colorScale>
        <cfvo type="min"/>
        <cfvo type="max"/>
        <color rgb="FFFCFCFF"/>
        <color rgb="FF63BE7B"/>
      </colorScale>
    </cfRule>
  </conditionalFormatting>
  <conditionalFormatting sqref="DJ193:DJ199">
    <cfRule type="colorScale" priority="148">
      <colorScale>
        <cfvo type="min"/>
        <cfvo type="percentile" val="50"/>
        <cfvo type="max"/>
        <color rgb="FFF8696B"/>
        <color rgb="FFFFEB84"/>
        <color rgb="FF63BE7B"/>
      </colorScale>
    </cfRule>
  </conditionalFormatting>
  <conditionalFormatting sqref="DJ166:DJ172">
    <cfRule type="colorScale" priority="147">
      <colorScale>
        <cfvo type="min"/>
        <cfvo type="percentile" val="50"/>
        <cfvo type="max"/>
        <color rgb="FFF8696B"/>
        <color rgb="FFFFEB84"/>
        <color rgb="FF63BE7B"/>
      </colorScale>
    </cfRule>
  </conditionalFormatting>
  <conditionalFormatting sqref="DJ139:DJ145">
    <cfRule type="colorScale" priority="146">
      <colorScale>
        <cfvo type="min"/>
        <cfvo type="percentile" val="50"/>
        <cfvo type="max"/>
        <color rgb="FFF8696B"/>
        <color rgb="FFFFEB84"/>
        <color rgb="FF63BE7B"/>
      </colorScale>
    </cfRule>
  </conditionalFormatting>
  <conditionalFormatting sqref="DJ112:DJ118">
    <cfRule type="colorScale" priority="145">
      <colorScale>
        <cfvo type="min"/>
        <cfvo type="percentile" val="50"/>
        <cfvo type="max"/>
        <color rgb="FFF8696B"/>
        <color rgb="FFFFEB84"/>
        <color rgb="FF63BE7B"/>
      </colorScale>
    </cfRule>
  </conditionalFormatting>
  <conditionalFormatting sqref="DJ85:DJ91">
    <cfRule type="colorScale" priority="144">
      <colorScale>
        <cfvo type="min"/>
        <cfvo type="percentile" val="50"/>
        <cfvo type="max"/>
        <color rgb="FFF8696B"/>
        <color rgb="FFFFEB84"/>
        <color rgb="FF63BE7B"/>
      </colorScale>
    </cfRule>
  </conditionalFormatting>
  <conditionalFormatting sqref="DJ58:DJ64">
    <cfRule type="colorScale" priority="143">
      <colorScale>
        <cfvo type="min"/>
        <cfvo type="percentile" val="50"/>
        <cfvo type="max"/>
        <color rgb="FFF8696B"/>
        <color rgb="FFFFEB84"/>
        <color rgb="FF63BE7B"/>
      </colorScale>
    </cfRule>
  </conditionalFormatting>
  <conditionalFormatting sqref="DJ17:DJ23">
    <cfRule type="colorScale" priority="142">
      <colorScale>
        <cfvo type="min"/>
        <cfvo type="percentile" val="50"/>
        <cfvo type="max"/>
        <color rgb="FFF8696B"/>
        <color rgb="FFFFEB84"/>
        <color rgb="FF63BE7B"/>
      </colorScale>
    </cfRule>
  </conditionalFormatting>
  <conditionalFormatting sqref="DJ220:DJ226">
    <cfRule type="colorScale" priority="141">
      <colorScale>
        <cfvo type="min"/>
        <cfvo type="percentile" val="50"/>
        <cfvo type="max"/>
        <color rgb="FFF8696B"/>
        <color rgb="FFFFEB84"/>
        <color rgb="FF63BE7B"/>
      </colorScale>
    </cfRule>
  </conditionalFormatting>
  <conditionalFormatting sqref="DJ17:DJ24">
    <cfRule type="colorScale" priority="140">
      <colorScale>
        <cfvo type="min"/>
        <cfvo type="max"/>
        <color rgb="FFFCFCFF"/>
        <color rgb="FF63BE7B"/>
      </colorScale>
    </cfRule>
  </conditionalFormatting>
  <conditionalFormatting sqref="CY70:CY72">
    <cfRule type="colorScale" priority="138">
      <colorScale>
        <cfvo type="min"/>
        <cfvo type="max"/>
        <color rgb="FFFCFCFF"/>
        <color rgb="FF63BE7B"/>
      </colorScale>
    </cfRule>
  </conditionalFormatting>
  <conditionalFormatting sqref="CY97:CY99">
    <cfRule type="colorScale" priority="136">
      <colorScale>
        <cfvo type="min"/>
        <cfvo type="max"/>
        <color rgb="FFFCFCFF"/>
        <color rgb="FF63BE7B"/>
      </colorScale>
    </cfRule>
  </conditionalFormatting>
  <conditionalFormatting sqref="CY124:CY126">
    <cfRule type="colorScale" priority="134">
      <colorScale>
        <cfvo type="min"/>
        <cfvo type="max"/>
        <color rgb="FFFCFCFF"/>
        <color rgb="FF63BE7B"/>
      </colorScale>
    </cfRule>
  </conditionalFormatting>
  <conditionalFormatting sqref="CY151:CY153">
    <cfRule type="colorScale" priority="132">
      <colorScale>
        <cfvo type="min"/>
        <cfvo type="max"/>
        <color rgb="FFFCFCFF"/>
        <color rgb="FF63BE7B"/>
      </colorScale>
    </cfRule>
  </conditionalFormatting>
  <conditionalFormatting sqref="CY178:CY180">
    <cfRule type="colorScale" priority="130">
      <colorScale>
        <cfvo type="min"/>
        <cfvo type="max"/>
        <color rgb="FFFCFCFF"/>
        <color rgb="FF63BE7B"/>
      </colorScale>
    </cfRule>
  </conditionalFormatting>
  <conditionalFormatting sqref="CY205:CY207">
    <cfRule type="colorScale" priority="128">
      <colorScale>
        <cfvo type="min"/>
        <cfvo type="max"/>
        <color rgb="FFFCFCFF"/>
        <color rgb="FF63BE7B"/>
      </colorScale>
    </cfRule>
  </conditionalFormatting>
  <conditionalFormatting sqref="CO11:CO17">
    <cfRule type="colorScale" priority="124">
      <colorScale>
        <cfvo type="min"/>
        <cfvo type="max"/>
        <color rgb="FFFCFCFF"/>
        <color theme="4" tint="-0.249977111117893"/>
      </colorScale>
    </cfRule>
  </conditionalFormatting>
  <conditionalFormatting sqref="CG20">
    <cfRule type="colorScale" priority="121">
      <colorScale>
        <cfvo type="min"/>
        <cfvo type="max"/>
        <color rgb="FFFCFCFF"/>
        <color rgb="FF63BE7B"/>
      </colorScale>
    </cfRule>
  </conditionalFormatting>
  <conditionalFormatting sqref="CG151">
    <cfRule type="colorScale" priority="118">
      <colorScale>
        <cfvo type="min"/>
        <cfvo type="max"/>
        <color rgb="FFFCFCFF"/>
        <color rgb="FF63BE7B"/>
      </colorScale>
    </cfRule>
  </conditionalFormatting>
  <conditionalFormatting sqref="CG152">
    <cfRule type="colorScale" priority="117">
      <colorScale>
        <cfvo type="min"/>
        <cfvo type="max"/>
        <color rgb="FFFCFCFF"/>
        <color rgb="FF63BE7B"/>
      </colorScale>
    </cfRule>
  </conditionalFormatting>
  <conditionalFormatting sqref="CF145:CF151">
    <cfRule type="colorScale" priority="116">
      <colorScale>
        <cfvo type="min"/>
        <cfvo type="percentile" val="50"/>
        <cfvo type="max"/>
        <color rgb="FFF8696B"/>
        <color rgb="FFFFEB84"/>
        <color rgb="FF63BE7B"/>
      </colorScale>
    </cfRule>
  </conditionalFormatting>
  <conditionalFormatting sqref="CG178">
    <cfRule type="colorScale" priority="114">
      <colorScale>
        <cfvo type="min"/>
        <cfvo type="max"/>
        <color rgb="FFFCFCFF"/>
        <color rgb="FF63BE7B"/>
      </colorScale>
    </cfRule>
  </conditionalFormatting>
  <conditionalFormatting sqref="CG179">
    <cfRule type="colorScale" priority="113">
      <colorScale>
        <cfvo type="min"/>
        <cfvo type="max"/>
        <color rgb="FFFCFCFF"/>
        <color rgb="FF63BE7B"/>
      </colorScale>
    </cfRule>
  </conditionalFormatting>
  <conditionalFormatting sqref="CF172:CF178">
    <cfRule type="colorScale" priority="112">
      <colorScale>
        <cfvo type="min"/>
        <cfvo type="percentile" val="50"/>
        <cfvo type="max"/>
        <color rgb="FFF8696B"/>
        <color rgb="FFFFEB84"/>
        <color rgb="FF63BE7B"/>
      </colorScale>
    </cfRule>
  </conditionalFormatting>
  <conditionalFormatting sqref="CG205">
    <cfRule type="colorScale" priority="110">
      <colorScale>
        <cfvo type="min"/>
        <cfvo type="max"/>
        <color rgb="FFFCFCFF"/>
        <color rgb="FF63BE7B"/>
      </colorScale>
    </cfRule>
  </conditionalFormatting>
  <conditionalFormatting sqref="CG206">
    <cfRule type="colorScale" priority="109">
      <colorScale>
        <cfvo type="min"/>
        <cfvo type="max"/>
        <color rgb="FFFCFCFF"/>
        <color rgb="FF63BE7B"/>
      </colorScale>
    </cfRule>
  </conditionalFormatting>
  <conditionalFormatting sqref="CF199:CF205">
    <cfRule type="colorScale" priority="108">
      <colorScale>
        <cfvo type="min"/>
        <cfvo type="percentile" val="50"/>
        <cfvo type="max"/>
        <color rgb="FFF8696B"/>
        <color rgb="FFFFEB84"/>
        <color rgb="FF63BE7B"/>
      </colorScale>
    </cfRule>
  </conditionalFormatting>
  <conditionalFormatting sqref="CF226:CF232">
    <cfRule type="colorScale" priority="107">
      <colorScale>
        <cfvo type="min"/>
        <cfvo type="percentile" val="50"/>
        <cfvo type="max"/>
        <color rgb="FFF8696B"/>
        <color rgb="FFFFEB84"/>
        <color rgb="FF63BE7B"/>
      </colorScale>
    </cfRule>
  </conditionalFormatting>
  <conditionalFormatting sqref="CG124">
    <cfRule type="colorScale" priority="105">
      <colorScale>
        <cfvo type="min"/>
        <cfvo type="max"/>
        <color rgb="FFFCFCFF"/>
        <color rgb="FF63BE7B"/>
      </colorScale>
    </cfRule>
  </conditionalFormatting>
  <conditionalFormatting sqref="CG125">
    <cfRule type="colorScale" priority="104">
      <colorScale>
        <cfvo type="min"/>
        <cfvo type="max"/>
        <color rgb="FFFCFCFF"/>
        <color rgb="FF63BE7B"/>
      </colorScale>
    </cfRule>
  </conditionalFormatting>
  <conditionalFormatting sqref="CF118:CF124">
    <cfRule type="colorScale" priority="103">
      <colorScale>
        <cfvo type="min"/>
        <cfvo type="percentile" val="50"/>
        <cfvo type="max"/>
        <color rgb="FFF8696B"/>
        <color rgb="FFFFEB84"/>
        <color rgb="FF63BE7B"/>
      </colorScale>
    </cfRule>
  </conditionalFormatting>
  <conditionalFormatting sqref="CG97">
    <cfRule type="colorScale" priority="101">
      <colorScale>
        <cfvo type="min"/>
        <cfvo type="max"/>
        <color rgb="FFFCFCFF"/>
        <color rgb="FF63BE7B"/>
      </colorScale>
    </cfRule>
  </conditionalFormatting>
  <conditionalFormatting sqref="CG98">
    <cfRule type="colorScale" priority="100">
      <colorScale>
        <cfvo type="min"/>
        <cfvo type="max"/>
        <color rgb="FFFCFCFF"/>
        <color rgb="FF63BE7B"/>
      </colorScale>
    </cfRule>
  </conditionalFormatting>
  <conditionalFormatting sqref="CF91:CF97">
    <cfRule type="colorScale" priority="99">
      <colorScale>
        <cfvo type="min"/>
        <cfvo type="percentile" val="50"/>
        <cfvo type="max"/>
        <color rgb="FFF8696B"/>
        <color rgb="FFFFEB84"/>
        <color rgb="FF63BE7B"/>
      </colorScale>
    </cfRule>
  </conditionalFormatting>
  <conditionalFormatting sqref="CO64:CO70">
    <cfRule type="colorScale" priority="98">
      <colorScale>
        <cfvo type="min"/>
        <cfvo type="max"/>
        <color rgb="FFFCFCFF"/>
        <color theme="4" tint="-0.249977111117893"/>
      </colorScale>
    </cfRule>
  </conditionalFormatting>
  <conditionalFormatting sqref="CG70">
    <cfRule type="colorScale" priority="97">
      <colorScale>
        <cfvo type="min"/>
        <cfvo type="max"/>
        <color rgb="FFFCFCFF"/>
        <color rgb="FF63BE7B"/>
      </colorScale>
    </cfRule>
  </conditionalFormatting>
  <conditionalFormatting sqref="CG71">
    <cfRule type="colorScale" priority="96">
      <colorScale>
        <cfvo type="min"/>
        <cfvo type="max"/>
        <color rgb="FFFCFCFF"/>
        <color rgb="FF63BE7B"/>
      </colorScale>
    </cfRule>
  </conditionalFormatting>
  <conditionalFormatting sqref="CF64:CF70">
    <cfRule type="colorScale" priority="95">
      <colorScale>
        <cfvo type="min"/>
        <cfvo type="percentile" val="50"/>
        <cfvo type="max"/>
        <color rgb="FFF8696B"/>
        <color rgb="FFFFEB84"/>
        <color rgb="FF63BE7B"/>
      </colorScale>
    </cfRule>
  </conditionalFormatting>
  <conditionalFormatting sqref="DH193:DH199">
    <cfRule type="colorScale" priority="165">
      <colorScale>
        <cfvo type="min"/>
        <cfvo type="percentile" val="50"/>
        <cfvo type="max"/>
        <color rgb="FFF8696B"/>
        <color rgb="FFFFEB84"/>
        <color rgb="FF63BE7B"/>
      </colorScale>
    </cfRule>
  </conditionalFormatting>
  <conditionalFormatting sqref="DH166:DH172">
    <cfRule type="colorScale" priority="166">
      <colorScale>
        <cfvo type="min"/>
        <cfvo type="percentile" val="50"/>
        <cfvo type="max"/>
        <color rgb="FFF8696B"/>
        <color rgb="FFFFEB84"/>
        <color rgb="FF63BE7B"/>
      </colorScale>
    </cfRule>
  </conditionalFormatting>
  <conditionalFormatting sqref="DH139:DH145">
    <cfRule type="colorScale" priority="167">
      <colorScale>
        <cfvo type="min"/>
        <cfvo type="percentile" val="50"/>
        <cfvo type="max"/>
        <color rgb="FFF8696B"/>
        <color rgb="FFFFEB84"/>
        <color rgb="FF63BE7B"/>
      </colorScale>
    </cfRule>
  </conditionalFormatting>
  <conditionalFormatting sqref="DH112:DH118">
    <cfRule type="colorScale" priority="168">
      <colorScale>
        <cfvo type="min"/>
        <cfvo type="percentile" val="50"/>
        <cfvo type="max"/>
        <color rgb="FFF8696B"/>
        <color rgb="FFFFEB84"/>
        <color rgb="FF63BE7B"/>
      </colorScale>
    </cfRule>
  </conditionalFormatting>
  <conditionalFormatting sqref="DH85:DH91">
    <cfRule type="colorScale" priority="169">
      <colorScale>
        <cfvo type="min"/>
        <cfvo type="percentile" val="50"/>
        <cfvo type="max"/>
        <color rgb="FFF8696B"/>
        <color rgb="FFFFEB84"/>
        <color rgb="FF63BE7B"/>
      </colorScale>
    </cfRule>
  </conditionalFormatting>
  <conditionalFormatting sqref="DH58:DH64">
    <cfRule type="colorScale" priority="170">
      <colorScale>
        <cfvo type="min"/>
        <cfvo type="percentile" val="50"/>
        <cfvo type="max"/>
        <color rgb="FFF8696B"/>
        <color rgb="FFFFEB84"/>
        <color rgb="FF63BE7B"/>
      </colorScale>
    </cfRule>
  </conditionalFormatting>
  <conditionalFormatting sqref="DH17:DH23">
    <cfRule type="colorScale" priority="171">
      <colorScale>
        <cfvo type="min"/>
        <cfvo type="percentile" val="50"/>
        <cfvo type="max"/>
        <color rgb="FFF8696B"/>
        <color rgb="FFFFEB84"/>
        <color rgb="FF63BE7B"/>
      </colorScale>
    </cfRule>
  </conditionalFormatting>
  <conditionalFormatting sqref="DA220:DH226">
    <cfRule type="colorScale" priority="172">
      <colorScale>
        <cfvo type="min"/>
        <cfvo type="percentile" val="50"/>
        <cfvo type="max"/>
        <color rgb="FFF8696B"/>
        <color rgb="FFFFEB84"/>
        <color rgb="FF63BE7B"/>
      </colorScale>
    </cfRule>
  </conditionalFormatting>
  <conditionalFormatting sqref="DH17:DH24">
    <cfRule type="colorScale" priority="173">
      <colorScale>
        <cfvo type="min"/>
        <cfvo type="max"/>
        <color rgb="FFFCFCFF"/>
        <color rgb="FF63BE7B"/>
      </colorScale>
    </cfRule>
  </conditionalFormatting>
  <conditionalFormatting sqref="CZ21:CZ23">
    <cfRule type="colorScale" priority="58">
      <colorScale>
        <cfvo type="min"/>
        <cfvo type="percentile" val="50"/>
        <cfvo type="max"/>
        <color rgb="FFF8696B"/>
        <color rgb="FFFFEB84"/>
        <color rgb="FF63BE7B"/>
      </colorScale>
    </cfRule>
  </conditionalFormatting>
  <conditionalFormatting sqref="CZ21:CZ23">
    <cfRule type="colorScale" priority="57">
      <colorScale>
        <cfvo type="min"/>
        <cfvo type="max"/>
        <color rgb="FFFCFCFF"/>
        <color rgb="FF63BE7B"/>
      </colorScale>
    </cfRule>
  </conditionalFormatting>
  <conditionalFormatting sqref="CZ21:CZ23">
    <cfRule type="colorScale" priority="59">
      <colorScale>
        <cfvo type="min"/>
        <cfvo type="percentile" val="50"/>
        <cfvo type="max"/>
        <color rgb="FFF8696B"/>
        <color rgb="FFFFEB84"/>
        <color rgb="FF63BE7B"/>
      </colorScale>
    </cfRule>
  </conditionalFormatting>
  <conditionalFormatting sqref="CZ21:CZ23">
    <cfRule type="colorScale" priority="61">
      <colorScale>
        <cfvo type="min"/>
        <cfvo type="max"/>
        <color rgb="FFFCFCFF"/>
        <color rgb="FF63BE7B"/>
      </colorScale>
    </cfRule>
  </conditionalFormatting>
  <conditionalFormatting sqref="CY21:CY23">
    <cfRule type="colorScale" priority="56">
      <colorScale>
        <cfvo type="min"/>
        <cfvo type="max"/>
        <color rgb="FFFCFCFF"/>
        <color rgb="FF63BE7B"/>
      </colorScale>
    </cfRule>
  </conditionalFormatting>
  <conditionalFormatting sqref="DB21">
    <cfRule type="colorScale" priority="55">
      <colorScale>
        <cfvo type="min"/>
        <cfvo type="max"/>
        <color rgb="FFFCFCFF"/>
        <color rgb="FF63BE7B"/>
      </colorScale>
    </cfRule>
  </conditionalFormatting>
  <conditionalFormatting sqref="DC21">
    <cfRule type="colorScale" priority="52">
      <colorScale>
        <cfvo type="min"/>
        <cfvo type="percentile" val="50"/>
        <cfvo type="max"/>
        <color rgb="FFF8696B"/>
        <color rgb="FFFFEB84"/>
        <color rgb="FF63BE7B"/>
      </colorScale>
    </cfRule>
  </conditionalFormatting>
  <conditionalFormatting sqref="DC21">
    <cfRule type="colorScale" priority="51">
      <colorScale>
        <cfvo type="min"/>
        <cfvo type="max"/>
        <color rgb="FFFCFCFF"/>
        <color rgb="FF63BE7B"/>
      </colorScale>
    </cfRule>
  </conditionalFormatting>
  <conditionalFormatting sqref="DC21">
    <cfRule type="colorScale" priority="53">
      <colorScale>
        <cfvo type="min"/>
        <cfvo type="percentile" val="50"/>
        <cfvo type="max"/>
        <color rgb="FFF8696B"/>
        <color rgb="FFFFEB84"/>
        <color rgb="FF63BE7B"/>
      </colorScale>
    </cfRule>
  </conditionalFormatting>
  <conditionalFormatting sqref="DC21">
    <cfRule type="colorScale" priority="54">
      <colorScale>
        <cfvo type="min"/>
        <cfvo type="max"/>
        <color rgb="FFFCFCFF"/>
        <color rgb="FF63BE7B"/>
      </colorScale>
    </cfRule>
  </conditionalFormatting>
  <conditionalFormatting sqref="CH21:CH23">
    <cfRule type="colorScale" priority="25">
      <colorScale>
        <cfvo type="min"/>
        <cfvo type="percentile" val="50"/>
        <cfvo type="max"/>
        <color rgb="FFF8696B"/>
        <color rgb="FFFFEB84"/>
        <color rgb="FF63BE7B"/>
      </colorScale>
    </cfRule>
  </conditionalFormatting>
  <conditionalFormatting sqref="CH21:CH23">
    <cfRule type="colorScale" priority="24">
      <colorScale>
        <cfvo type="min"/>
        <cfvo type="max"/>
        <color rgb="FFFCFCFF"/>
        <color rgb="FF63BE7B"/>
      </colorScale>
    </cfRule>
  </conditionalFormatting>
  <conditionalFormatting sqref="CH21:CH23">
    <cfRule type="colorScale" priority="26">
      <colorScale>
        <cfvo type="min"/>
        <cfvo type="percentile" val="50"/>
        <cfvo type="max"/>
        <color rgb="FFF8696B"/>
        <color rgb="FFFFEB84"/>
        <color rgb="FF63BE7B"/>
      </colorScale>
    </cfRule>
  </conditionalFormatting>
  <conditionalFormatting sqref="CH21:CH23">
    <cfRule type="colorScale" priority="28">
      <colorScale>
        <cfvo type="min"/>
        <cfvo type="max"/>
        <color rgb="FFFCFCFF"/>
        <color rgb="FF63BE7B"/>
      </colorScale>
    </cfRule>
  </conditionalFormatting>
  <conditionalFormatting sqref="CG21:CG23">
    <cfRule type="colorScale" priority="23">
      <colorScale>
        <cfvo type="min"/>
        <cfvo type="max"/>
        <color rgb="FFFCFCFF"/>
        <color rgb="FF63BE7B"/>
      </colorScale>
    </cfRule>
  </conditionalFormatting>
  <conditionalFormatting sqref="CJ21">
    <cfRule type="colorScale" priority="22">
      <colorScale>
        <cfvo type="min"/>
        <cfvo type="max"/>
        <color rgb="FFFCFCFF"/>
        <color rgb="FF63BE7B"/>
      </colorScale>
    </cfRule>
  </conditionalFormatting>
  <conditionalFormatting sqref="CK21">
    <cfRule type="colorScale" priority="19">
      <colorScale>
        <cfvo type="min"/>
        <cfvo type="percentile" val="50"/>
        <cfvo type="max"/>
        <color rgb="FFF8696B"/>
        <color rgb="FFFFEB84"/>
        <color rgb="FF63BE7B"/>
      </colorScale>
    </cfRule>
  </conditionalFormatting>
  <conditionalFormatting sqref="CK21">
    <cfRule type="colorScale" priority="18">
      <colorScale>
        <cfvo type="min"/>
        <cfvo type="max"/>
        <color rgb="FFFCFCFF"/>
        <color rgb="FF63BE7B"/>
      </colorScale>
    </cfRule>
  </conditionalFormatting>
  <conditionalFormatting sqref="CK21">
    <cfRule type="colorScale" priority="20">
      <colorScale>
        <cfvo type="min"/>
        <cfvo type="percentile" val="50"/>
        <cfvo type="max"/>
        <color rgb="FFF8696B"/>
        <color rgb="FFFFEB84"/>
        <color rgb="FF63BE7B"/>
      </colorScale>
    </cfRule>
  </conditionalFormatting>
  <conditionalFormatting sqref="CK21">
    <cfRule type="colorScale" priority="21">
      <colorScale>
        <cfvo type="min"/>
        <cfvo type="max"/>
        <color rgb="FFFCFCFF"/>
        <color rgb="FF63BE7B"/>
      </colorScale>
    </cfRule>
  </conditionalFormatting>
  <conditionalFormatting sqref="CZ24">
    <cfRule type="colorScale" priority="15">
      <colorScale>
        <cfvo type="min"/>
        <cfvo type="percentile" val="50"/>
        <cfvo type="max"/>
        <color rgb="FFF8696B"/>
        <color rgb="FFFFEB84"/>
        <color rgb="FF63BE7B"/>
      </colorScale>
    </cfRule>
  </conditionalFormatting>
  <conditionalFormatting sqref="CZ24">
    <cfRule type="colorScale" priority="16">
      <colorScale>
        <cfvo type="min"/>
        <cfvo type="percentile" val="50"/>
        <cfvo type="max"/>
        <color rgb="FFF8696B"/>
        <color rgb="FFFFEB84"/>
        <color rgb="FF63BE7B"/>
      </colorScale>
    </cfRule>
  </conditionalFormatting>
  <conditionalFormatting sqref="CZ24">
    <cfRule type="colorScale" priority="17">
      <colorScale>
        <cfvo type="min"/>
        <cfvo type="max"/>
        <color rgb="FFFCFCFF"/>
        <color rgb="FF63BE7B"/>
      </colorScale>
    </cfRule>
  </conditionalFormatting>
  <conditionalFormatting sqref="CY24">
    <cfRule type="colorScale" priority="14">
      <colorScale>
        <cfvo type="min"/>
        <cfvo type="max"/>
        <color rgb="FFFCFCFF"/>
        <color rgb="FF63BE7B"/>
      </colorScale>
    </cfRule>
  </conditionalFormatting>
  <conditionalFormatting sqref="CH24">
    <cfRule type="colorScale" priority="11">
      <colorScale>
        <cfvo type="min"/>
        <cfvo type="percentile" val="50"/>
        <cfvo type="max"/>
        <color rgb="FFF8696B"/>
        <color rgb="FFFFEB84"/>
        <color rgb="FF63BE7B"/>
      </colorScale>
    </cfRule>
  </conditionalFormatting>
  <conditionalFormatting sqref="CH24">
    <cfRule type="colorScale" priority="12">
      <colorScale>
        <cfvo type="min"/>
        <cfvo type="percentile" val="50"/>
        <cfvo type="max"/>
        <color rgb="FFF8696B"/>
        <color rgb="FFFFEB84"/>
        <color rgb="FF63BE7B"/>
      </colorScale>
    </cfRule>
  </conditionalFormatting>
  <conditionalFormatting sqref="CH24">
    <cfRule type="colorScale" priority="13">
      <colorScale>
        <cfvo type="min"/>
        <cfvo type="max"/>
        <color rgb="FFFCFCFF"/>
        <color rgb="FF63BE7B"/>
      </colorScale>
    </cfRule>
  </conditionalFormatting>
  <conditionalFormatting sqref="CG24">
    <cfRule type="colorScale" priority="10">
      <colorScale>
        <cfvo type="min"/>
        <cfvo type="max"/>
        <color rgb="FFFCFCFF"/>
        <color rgb="FF63BE7B"/>
      </colorScale>
    </cfRule>
  </conditionalFormatting>
  <conditionalFormatting sqref="CG17:CG19">
    <cfRule type="colorScale" priority="9">
      <colorScale>
        <cfvo type="min"/>
        <cfvo type="max"/>
        <color rgb="FFFCFCFF"/>
        <color rgb="FF63BE7B"/>
      </colorScale>
    </cfRule>
  </conditionalFormatting>
  <conditionalFormatting sqref="DG199:DG206 DG172:DG179 DG145:DG152 DG118:DG125 DG91:DG98 DG64:DG71 CO199:CO205 CO172:CO178 CO145:CO151 CO118:CO124 CO91:CO97">
    <cfRule type="colorScale" priority="1">
      <colorScale>
        <cfvo type="min"/>
        <cfvo type="max"/>
        <color rgb="FFFCFCFF"/>
        <color theme="4" tint="-0.249977111117893"/>
      </colorScale>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39997558519241921"/>
  </sheetPr>
  <dimension ref="A1:EL331"/>
  <sheetViews>
    <sheetView zoomScale="60" zoomScaleNormal="60" workbookViewId="0">
      <selection activeCell="B318" sqref="B318"/>
    </sheetView>
  </sheetViews>
  <sheetFormatPr defaultColWidth="9" defaultRowHeight="13.8" x14ac:dyDescent="0.25"/>
  <cols>
    <col min="1" max="1" width="11.09765625" style="22" customWidth="1"/>
    <col min="2" max="2" width="26.09765625" style="22" customWidth="1"/>
    <col min="3" max="3" width="24.8984375" style="22" customWidth="1"/>
    <col min="4" max="4" width="25.09765625" style="385" customWidth="1"/>
    <col min="5" max="5" width="26.59765625" style="22" bestFit="1" customWidth="1"/>
    <col min="6" max="6" width="22" style="22" customWidth="1"/>
    <col min="7" max="7" width="20.8984375" style="22" customWidth="1"/>
    <col min="8" max="8" width="8" style="385" bestFit="1" customWidth="1"/>
    <col min="9" max="9" width="8" style="385" customWidth="1"/>
    <col min="10" max="10" width="25.5" style="22" customWidth="1"/>
    <col min="11" max="11" width="15.3984375" style="22" customWidth="1"/>
    <col min="12" max="12" width="7.69921875" style="386" customWidth="1"/>
    <col min="13" max="16" width="1.59765625" style="386" customWidth="1"/>
    <col min="17" max="18" width="3.09765625" style="386" customWidth="1"/>
    <col min="19" max="19" width="26.09765625" style="22" customWidth="1"/>
    <col min="20" max="20" width="23.09765625" style="22" customWidth="1"/>
    <col min="21" max="21" width="19.8984375" style="22" customWidth="1"/>
    <col min="22" max="22" width="21.09765625" style="22" customWidth="1"/>
    <col min="23" max="23" width="22.8984375" style="22" customWidth="1"/>
    <col min="24" max="24" width="18.3984375" style="22" customWidth="1"/>
    <col min="25" max="25" width="10.8984375" style="22" customWidth="1"/>
    <col min="26" max="28" width="20.59765625" style="22" customWidth="1"/>
    <col min="29" max="29" width="20.59765625" style="386" customWidth="1"/>
    <col min="30" max="32" width="1.8984375" style="386" customWidth="1"/>
    <col min="33" max="33" width="3.09765625" style="70" customWidth="1"/>
    <col min="34" max="34" width="26.09765625" style="22" customWidth="1"/>
    <col min="35" max="35" width="23.09765625" style="22" customWidth="1"/>
    <col min="36" max="36" width="19.8984375" style="22" customWidth="1"/>
    <col min="37" max="37" width="21.09765625" style="22" customWidth="1"/>
    <col min="38" max="38" width="35.69921875" style="22" customWidth="1"/>
    <col min="39" max="39" width="18.3984375" style="22" customWidth="1"/>
    <col min="40" max="40" width="10.8984375" style="22" customWidth="1"/>
    <col min="41" max="42" width="15" style="22" customWidth="1"/>
    <col min="43" max="43" width="20" style="22" customWidth="1"/>
    <col min="44" max="44" width="21" style="386" customWidth="1"/>
    <col min="45" max="47" width="1.59765625" style="386" customWidth="1"/>
    <col min="48" max="48" width="4.59765625" style="22" customWidth="1"/>
    <col min="49" max="49" width="26.09765625" style="22" customWidth="1"/>
    <col min="50" max="50" width="23.09765625" style="22" customWidth="1"/>
    <col min="51" max="51" width="19.8984375" style="22" customWidth="1"/>
    <col min="52" max="52" width="21.09765625" style="22" customWidth="1"/>
    <col min="53" max="53" width="22.59765625" style="22" customWidth="1"/>
    <col min="54" max="54" width="18.3984375" style="22" customWidth="1"/>
    <col min="55" max="55" width="10.8984375" style="22" customWidth="1"/>
    <col min="56" max="57" width="15" style="22" customWidth="1"/>
    <col min="58" max="58" width="20" style="22" customWidth="1"/>
    <col min="59" max="59" width="21" style="386" customWidth="1"/>
    <col min="60" max="62" width="2.09765625" style="386" customWidth="1"/>
    <col min="63" max="63" width="3.09765625" style="70" customWidth="1"/>
    <col min="64" max="64" width="26.09765625" style="22" customWidth="1"/>
    <col min="65" max="65" width="23" style="22" customWidth="1"/>
    <col min="66" max="66" width="19.8984375" style="22" customWidth="1"/>
    <col min="67" max="67" width="21.09765625" style="22" customWidth="1"/>
    <col min="68" max="68" width="23.19921875" style="22" customWidth="1"/>
    <col min="69" max="69" width="18.3984375" style="22" customWidth="1"/>
    <col min="70" max="70" width="10.8984375" style="22" customWidth="1"/>
    <col min="71" max="71" width="17.09765625" style="22" customWidth="1"/>
    <col min="72" max="72" width="16.8984375" style="22" customWidth="1"/>
    <col min="73" max="73" width="22.09765625" style="22" customWidth="1"/>
    <col min="74" max="74" width="27.5" style="386" customWidth="1"/>
    <col min="75" max="77" width="2.09765625" style="386" customWidth="1"/>
    <col min="78" max="78" width="5.59765625" style="22" customWidth="1"/>
    <col min="79" max="79" width="34.8984375" style="22" customWidth="1"/>
    <col min="80" max="80" width="17.19921875" style="385" customWidth="1"/>
    <col min="81" max="81" width="11.5" style="385" customWidth="1"/>
    <col min="82" max="82" width="12.09765625" style="385" customWidth="1"/>
    <col min="83" max="83" width="16.8984375" style="385" customWidth="1"/>
    <col min="84" max="84" width="16.09765625" style="385" customWidth="1"/>
    <col min="85" max="85" width="5.8984375" style="22" customWidth="1"/>
    <col min="86" max="86" width="37.09765625" style="22" customWidth="1"/>
    <col min="87" max="87" width="35.8984375" style="22" customWidth="1"/>
    <col min="88" max="88" width="11.09765625" style="22" customWidth="1"/>
    <col min="89" max="89" width="13.19921875" style="22" customWidth="1"/>
    <col min="90" max="90" width="12.59765625" style="22" customWidth="1"/>
    <col min="91" max="92" width="11.09765625" style="22" customWidth="1"/>
    <col min="93" max="93" width="35.69921875" style="387" customWidth="1"/>
    <col min="94" max="94" width="6.59765625" style="22" customWidth="1"/>
    <col min="95" max="95" width="2.8984375" style="388" customWidth="1"/>
    <col min="96" max="96" width="6" style="22" customWidth="1"/>
    <col min="97" max="97" width="34.8984375" style="22" customWidth="1"/>
    <col min="98" max="98" width="16.09765625" style="22" customWidth="1"/>
    <col min="99" max="99" width="10.09765625" style="22" customWidth="1"/>
    <col min="100" max="100" width="10.09765625" style="385" customWidth="1"/>
    <col min="101" max="101" width="18.3984375" style="22" customWidth="1"/>
    <col min="102" max="103" width="11.09765625" style="22" customWidth="1"/>
    <col min="104" max="104" width="38.09765625" style="22" customWidth="1"/>
    <col min="105" max="105" width="35.69921875" style="22" customWidth="1"/>
    <col min="106" max="106" width="11.09765625" style="22" customWidth="1"/>
    <col min="107" max="107" width="12.59765625" style="22" customWidth="1"/>
    <col min="108" max="108" width="14" style="22" customWidth="1"/>
    <col min="109" max="110" width="11.09765625" style="22" customWidth="1"/>
    <col min="111" max="111" width="35.8984375" style="387" customWidth="1"/>
    <col min="112" max="112" width="9.8984375" style="22" customWidth="1"/>
    <col min="113" max="113" width="3" style="388" customWidth="1"/>
    <col min="114" max="114" width="3" style="22" customWidth="1"/>
    <col min="115" max="115" width="27" style="22" customWidth="1"/>
    <col min="116" max="116" width="42.8984375" style="22" customWidth="1"/>
    <col min="117" max="117" width="12.3984375" style="22" customWidth="1"/>
    <col min="118" max="118" width="30.59765625" style="22" customWidth="1"/>
    <col min="119" max="119" width="26" style="22" customWidth="1"/>
    <col min="120" max="120" width="22.5" style="22" customWidth="1"/>
    <col min="121" max="121" width="31.19921875" style="22" customWidth="1"/>
    <col min="122" max="122" width="14.19921875" style="22" customWidth="1"/>
    <col min="123" max="123" width="28.8984375" style="22" customWidth="1"/>
    <col min="124" max="124" width="8.59765625" style="22" customWidth="1"/>
    <col min="125" max="125" width="30.69921875" style="22" customWidth="1"/>
    <col min="126" max="126" width="19.69921875" style="22" customWidth="1"/>
    <col min="127" max="127" width="14.69921875" style="22" customWidth="1"/>
    <col min="128" max="128" width="29.5" style="22" customWidth="1"/>
    <col min="129" max="129" width="14.5" style="22" bestFit="1" customWidth="1"/>
    <col min="130" max="142" width="9" style="22"/>
    <col min="143" max="16384" width="9" style="70"/>
  </cols>
  <sheetData>
    <row r="1" spans="1:142" x14ac:dyDescent="0.25">
      <c r="A1" s="14"/>
      <c r="B1" s="14"/>
      <c r="C1" s="14"/>
      <c r="D1" s="21"/>
      <c r="E1" s="14"/>
      <c r="F1" s="14"/>
      <c r="G1" s="14"/>
      <c r="H1" s="21"/>
      <c r="I1" s="21"/>
      <c r="J1" s="14"/>
      <c r="K1" s="14"/>
      <c r="L1" s="14"/>
      <c r="M1" s="14"/>
      <c r="N1" s="14"/>
      <c r="O1" s="14"/>
      <c r="P1" s="14"/>
      <c r="Q1" s="45"/>
      <c r="R1" s="19"/>
      <c r="S1" s="14"/>
      <c r="T1" s="14"/>
      <c r="U1" s="14"/>
      <c r="V1" s="14"/>
      <c r="W1" s="14"/>
      <c r="X1" s="14"/>
      <c r="Y1" s="14"/>
      <c r="Z1" s="14"/>
      <c r="AA1" s="14"/>
      <c r="AB1" s="14"/>
      <c r="AC1" s="14"/>
      <c r="AD1" s="64"/>
      <c r="AE1" s="63"/>
      <c r="AF1" s="370"/>
      <c r="AG1" s="19"/>
      <c r="AH1" s="14"/>
      <c r="AI1" s="14"/>
      <c r="AJ1" s="14"/>
      <c r="AK1" s="14"/>
      <c r="AL1" s="14"/>
      <c r="AM1" s="14"/>
      <c r="AN1" s="14"/>
      <c r="AO1" s="14"/>
      <c r="AP1" s="14"/>
      <c r="AQ1" s="14"/>
      <c r="AR1" s="14"/>
      <c r="AS1" s="64"/>
      <c r="AT1" s="63"/>
      <c r="AU1" s="370"/>
      <c r="AV1" s="14"/>
      <c r="AW1" s="14"/>
      <c r="AX1" s="14"/>
      <c r="AY1" s="14"/>
      <c r="AZ1" s="14"/>
      <c r="BA1" s="14"/>
      <c r="BB1" s="14"/>
      <c r="BC1" s="14"/>
      <c r="BD1" s="14"/>
      <c r="BE1" s="14"/>
      <c r="BF1" s="14"/>
      <c r="BG1" s="14"/>
      <c r="BH1" s="64"/>
      <c r="BI1" s="67"/>
      <c r="BJ1" s="370"/>
      <c r="BK1" s="19"/>
      <c r="BL1" s="14"/>
      <c r="BM1" s="14"/>
      <c r="BN1" s="14"/>
      <c r="BO1" s="14"/>
      <c r="BP1" s="14"/>
      <c r="BQ1" s="14"/>
      <c r="BR1" s="14"/>
      <c r="BS1" s="14"/>
      <c r="BT1" s="14"/>
      <c r="BU1" s="14"/>
      <c r="BV1" s="14"/>
      <c r="BW1" s="65"/>
      <c r="BX1" s="63"/>
      <c r="BY1" s="352"/>
      <c r="BZ1" s="14"/>
      <c r="CA1" s="14"/>
      <c r="CB1" s="21"/>
      <c r="CC1" s="21"/>
      <c r="CD1" s="21"/>
      <c r="CE1" s="21"/>
      <c r="CF1" s="21"/>
      <c r="CG1" s="14"/>
      <c r="CH1" s="14"/>
      <c r="CI1" s="14"/>
      <c r="CJ1" s="14"/>
      <c r="CK1" s="14"/>
      <c r="CL1" s="14"/>
      <c r="CM1" s="14"/>
      <c r="CN1" s="14"/>
      <c r="CO1" s="129"/>
      <c r="CP1" s="14"/>
      <c r="CQ1" s="45"/>
      <c r="CR1" s="14"/>
      <c r="CS1" s="14"/>
      <c r="CT1" s="14"/>
      <c r="CU1" s="14"/>
      <c r="CV1" s="21"/>
      <c r="CW1" s="14"/>
      <c r="CX1" s="14"/>
      <c r="CY1" s="14"/>
      <c r="CZ1" s="14"/>
      <c r="DA1" s="14"/>
      <c r="DB1" s="14"/>
      <c r="DC1" s="14"/>
      <c r="DD1" s="14"/>
      <c r="DE1" s="14"/>
      <c r="DF1" s="14"/>
      <c r="DG1" s="129"/>
      <c r="DH1" s="14"/>
      <c r="DI1" s="45"/>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row>
    <row r="2" spans="1:142" s="130" customFormat="1" x14ac:dyDescent="0.25">
      <c r="A2" s="87" t="s">
        <v>0</v>
      </c>
      <c r="B2" s="146" t="s">
        <v>378</v>
      </c>
      <c r="C2" s="146" t="str">
        <f ca="1">INDIRECT("Title_"&amp;B2)</f>
        <v>Additional wood (in comparison to the counterfactual) from the conversion of unmanaged forest into production in South USA</v>
      </c>
      <c r="D2" s="146"/>
      <c r="E2" s="146"/>
      <c r="F2" s="146"/>
      <c r="G2" s="146"/>
      <c r="H2" s="146"/>
      <c r="I2" s="146"/>
      <c r="J2" s="146"/>
      <c r="K2" s="146"/>
      <c r="L2" s="90"/>
      <c r="M2" s="90"/>
      <c r="N2" s="90"/>
      <c r="O2" s="90"/>
      <c r="P2" s="90"/>
      <c r="Q2" s="93"/>
      <c r="R2" s="94"/>
      <c r="S2" s="146"/>
      <c r="T2" s="90"/>
      <c r="U2" s="90"/>
      <c r="V2" s="90"/>
      <c r="W2" s="90"/>
      <c r="X2" s="90"/>
      <c r="Y2" s="90"/>
      <c r="Z2" s="90"/>
      <c r="AA2" s="90"/>
      <c r="AB2" s="90"/>
      <c r="AC2" s="90"/>
      <c r="AD2" s="91"/>
      <c r="AE2" s="92"/>
      <c r="AF2" s="351"/>
      <c r="AG2" s="94"/>
      <c r="AH2" s="90"/>
      <c r="AI2" s="90"/>
      <c r="AJ2" s="90"/>
      <c r="AK2" s="90"/>
      <c r="AL2" s="90"/>
      <c r="AM2" s="90"/>
      <c r="AN2" s="90"/>
      <c r="AO2" s="90"/>
      <c r="AP2" s="90"/>
      <c r="AQ2" s="90"/>
      <c r="AR2" s="90"/>
      <c r="AS2" s="91"/>
      <c r="AT2" s="92"/>
      <c r="AU2" s="351"/>
      <c r="AV2" s="90"/>
      <c r="AW2" s="90"/>
      <c r="AX2" s="90"/>
      <c r="AY2" s="90"/>
      <c r="AZ2" s="90"/>
      <c r="BA2" s="90"/>
      <c r="BB2" s="90"/>
      <c r="BC2" s="90"/>
      <c r="BD2" s="90"/>
      <c r="BE2" s="90"/>
      <c r="BF2" s="90"/>
      <c r="BG2" s="90"/>
      <c r="BH2" s="91"/>
      <c r="BI2" s="92"/>
      <c r="BJ2" s="351"/>
      <c r="BK2" s="94"/>
      <c r="BL2" s="90"/>
      <c r="BM2" s="90"/>
      <c r="BN2" s="90"/>
      <c r="BO2" s="90"/>
      <c r="BP2" s="90"/>
      <c r="BQ2" s="90"/>
      <c r="BR2" s="90"/>
      <c r="BS2" s="90"/>
      <c r="BT2" s="90"/>
      <c r="BU2" s="90"/>
      <c r="BV2" s="90"/>
      <c r="BW2" s="91"/>
      <c r="BX2" s="92"/>
      <c r="BY2" s="351"/>
      <c r="BZ2" s="90"/>
      <c r="CA2" s="90"/>
      <c r="CB2" s="89"/>
      <c r="CC2" s="89"/>
      <c r="CD2" s="89"/>
      <c r="CE2" s="89"/>
      <c r="CF2" s="89"/>
      <c r="CG2" s="90"/>
      <c r="CH2" s="90"/>
      <c r="CI2" s="90"/>
      <c r="CJ2" s="90"/>
      <c r="CK2" s="90"/>
      <c r="CL2" s="90"/>
      <c r="CM2" s="90"/>
      <c r="CN2" s="90"/>
      <c r="CO2" s="90"/>
      <c r="CP2" s="90"/>
      <c r="CQ2" s="93"/>
      <c r="CR2" s="90"/>
      <c r="CS2" s="90"/>
      <c r="CT2" s="90"/>
      <c r="CU2" s="90"/>
      <c r="CV2" s="89"/>
      <c r="CW2" s="90"/>
      <c r="CX2" s="90"/>
      <c r="CY2" s="90"/>
      <c r="CZ2" s="90"/>
      <c r="DA2" s="90"/>
      <c r="DB2" s="90"/>
      <c r="DC2" s="90"/>
      <c r="DD2" s="90"/>
      <c r="DE2" s="90"/>
      <c r="DF2" s="90"/>
      <c r="DG2" s="90"/>
      <c r="DH2" s="90"/>
      <c r="DI2" s="93"/>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row>
    <row r="3" spans="1:142" x14ac:dyDescent="0.25">
      <c r="A3" s="14"/>
      <c r="B3" s="14"/>
      <c r="C3" s="14"/>
      <c r="D3" s="21"/>
      <c r="E3" s="14"/>
      <c r="F3" s="14"/>
      <c r="G3" s="14"/>
      <c r="H3" s="21"/>
      <c r="I3" s="21"/>
      <c r="J3" s="14"/>
      <c r="K3" s="14"/>
      <c r="L3" s="14"/>
      <c r="M3" s="14"/>
      <c r="N3" s="14"/>
      <c r="O3" s="14"/>
      <c r="P3" s="14"/>
      <c r="Q3" s="47"/>
      <c r="R3" s="19"/>
      <c r="S3" s="8"/>
      <c r="T3" s="14"/>
      <c r="U3" s="14"/>
      <c r="V3" s="14"/>
      <c r="W3" s="14"/>
      <c r="X3" s="14"/>
      <c r="Y3" s="14"/>
      <c r="Z3" s="14"/>
      <c r="AA3" s="14"/>
      <c r="AB3" s="14"/>
      <c r="AC3" s="14"/>
      <c r="AD3" s="65"/>
      <c r="AE3" s="63"/>
      <c r="AF3" s="352"/>
      <c r="AG3" s="19"/>
      <c r="AH3" s="14"/>
      <c r="AI3" s="14"/>
      <c r="AJ3" s="14"/>
      <c r="AK3" s="14"/>
      <c r="AL3" s="14"/>
      <c r="AM3" s="14"/>
      <c r="AN3" s="14"/>
      <c r="AO3" s="14"/>
      <c r="AP3" s="14"/>
      <c r="AQ3" s="14"/>
      <c r="AR3" s="14"/>
      <c r="AS3" s="65"/>
      <c r="AT3" s="63"/>
      <c r="AU3" s="352"/>
      <c r="AV3" s="14"/>
      <c r="AW3" s="14"/>
      <c r="AX3" s="14"/>
      <c r="AY3" s="14"/>
      <c r="AZ3" s="14"/>
      <c r="BA3" s="14"/>
      <c r="BB3" s="14"/>
      <c r="BC3" s="14"/>
      <c r="BD3" s="14"/>
      <c r="BE3" s="14"/>
      <c r="BF3" s="14"/>
      <c r="BG3" s="14"/>
      <c r="BH3" s="65"/>
      <c r="BI3" s="63"/>
      <c r="BJ3" s="352"/>
      <c r="BK3" s="19"/>
      <c r="BL3" s="14"/>
      <c r="BM3" s="14"/>
      <c r="BN3" s="14"/>
      <c r="BO3" s="14"/>
      <c r="BP3" s="14"/>
      <c r="BQ3" s="14"/>
      <c r="BR3" s="14"/>
      <c r="BS3" s="14"/>
      <c r="BT3" s="14"/>
      <c r="BU3" s="14"/>
      <c r="BV3" s="14"/>
      <c r="BW3" s="65"/>
      <c r="BX3" s="63"/>
      <c r="BY3" s="352"/>
      <c r="BZ3" s="14"/>
      <c r="CA3" s="14"/>
      <c r="CB3" s="21"/>
      <c r="CC3" s="21"/>
      <c r="CD3" s="21"/>
      <c r="CE3" s="21"/>
      <c r="CF3" s="21"/>
      <c r="CG3" s="14"/>
      <c r="CH3" s="14"/>
      <c r="CI3" s="14"/>
      <c r="CJ3" s="14"/>
      <c r="CK3" s="14"/>
      <c r="CL3" s="14"/>
      <c r="CM3" s="14"/>
      <c r="CN3" s="14"/>
      <c r="CO3" s="129"/>
      <c r="CP3" s="14"/>
      <c r="CQ3" s="47"/>
      <c r="CR3" s="14"/>
      <c r="CS3" s="14"/>
      <c r="CT3" s="14"/>
      <c r="CU3" s="14"/>
      <c r="CV3" s="21"/>
      <c r="CW3" s="14"/>
      <c r="CX3" s="14"/>
      <c r="CY3" s="14"/>
      <c r="CZ3" s="14"/>
      <c r="DA3" s="14"/>
      <c r="DB3" s="14"/>
      <c r="DC3" s="14"/>
      <c r="DD3" s="14"/>
      <c r="DE3" s="14"/>
      <c r="DF3" s="14"/>
      <c r="DG3" s="129"/>
      <c r="DH3" s="14"/>
      <c r="DI3" s="47"/>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row>
    <row r="4" spans="1:142" s="134" customFormat="1" x14ac:dyDescent="0.25">
      <c r="A4" s="520" t="s">
        <v>349</v>
      </c>
      <c r="B4" s="520"/>
      <c r="C4" s="520"/>
      <c r="D4" s="154">
        <f>((COUNTIFS(Response_Q181_1,"Confident")-F321)*2+(COUNTIFS(Response_Q181_1,"Very Confident")-F322)*3+(COUNTIFS(Response_Q181_1,"Somewhat confident")-F320)*1)/(COUNTIFS(Response_Q181_1,"&lt;&gt;0")-COUNTBLANK(Response_Q181_1)-SUM(P2:P4))</f>
        <v>2.1304347826086958</v>
      </c>
      <c r="E4" s="521" t="s">
        <v>559</v>
      </c>
      <c r="F4" s="521"/>
      <c r="G4" s="521"/>
      <c r="H4" s="77"/>
      <c r="I4" s="77"/>
      <c r="J4" s="8"/>
      <c r="K4" s="8"/>
      <c r="L4" s="8"/>
      <c r="M4" s="8"/>
      <c r="N4" s="8"/>
      <c r="O4" s="8"/>
      <c r="P4" s="8"/>
      <c r="Q4" s="48"/>
      <c r="R4" s="44"/>
      <c r="S4" s="8"/>
      <c r="T4" s="8"/>
      <c r="U4" s="8"/>
      <c r="V4" s="8"/>
      <c r="W4" s="8"/>
      <c r="X4" s="8"/>
      <c r="Y4" s="8"/>
      <c r="Z4" s="8"/>
      <c r="AA4" s="8"/>
      <c r="AB4" s="8"/>
      <c r="AC4" s="8"/>
      <c r="AD4" s="102"/>
      <c r="AE4" s="101"/>
      <c r="AF4" s="371"/>
      <c r="AG4" s="44"/>
      <c r="AH4" s="8"/>
      <c r="AI4" s="8"/>
      <c r="AJ4" s="8"/>
      <c r="AK4" s="8"/>
      <c r="AL4" s="8"/>
      <c r="AM4" s="8"/>
      <c r="AN4" s="8"/>
      <c r="AO4" s="8"/>
      <c r="AP4" s="8"/>
      <c r="AQ4" s="8"/>
      <c r="AR4" s="8"/>
      <c r="AS4" s="102"/>
      <c r="AT4" s="101"/>
      <c r="AU4" s="371"/>
      <c r="AV4" s="8"/>
      <c r="AW4" s="8"/>
      <c r="AX4" s="8"/>
      <c r="AY4" s="8"/>
      <c r="AZ4" s="8"/>
      <c r="BA4" s="8"/>
      <c r="BB4" s="8"/>
      <c r="BC4" s="8"/>
      <c r="BD4" s="8"/>
      <c r="BE4" s="8"/>
      <c r="BF4" s="8"/>
      <c r="BG4" s="8"/>
      <c r="BH4" s="102"/>
      <c r="BI4" s="101"/>
      <c r="BJ4" s="371"/>
      <c r="BK4" s="44"/>
      <c r="BL4" s="8"/>
      <c r="BM4" s="8"/>
      <c r="BN4" s="8"/>
      <c r="BO4" s="8"/>
      <c r="BP4" s="8"/>
      <c r="BQ4" s="8"/>
      <c r="BR4" s="8"/>
      <c r="BS4" s="8"/>
      <c r="BT4" s="8"/>
      <c r="BU4" s="8"/>
      <c r="BV4" s="8"/>
      <c r="BW4" s="102"/>
      <c r="BX4" s="101"/>
      <c r="BY4" s="371"/>
      <c r="BZ4" s="8"/>
      <c r="CA4" s="8"/>
      <c r="CB4" s="77"/>
      <c r="CC4" s="77"/>
      <c r="CD4" s="77"/>
      <c r="CE4" s="77"/>
      <c r="CF4" s="77"/>
      <c r="CG4" s="8"/>
      <c r="CH4" s="8"/>
      <c r="CI4" s="8"/>
      <c r="CJ4" s="8"/>
      <c r="CK4" s="8"/>
      <c r="CL4" s="8"/>
      <c r="CM4" s="8"/>
      <c r="CN4" s="8"/>
      <c r="CO4" s="315"/>
      <c r="CP4" s="8"/>
      <c r="CQ4" s="48"/>
      <c r="CR4" s="8"/>
      <c r="CS4" s="8"/>
      <c r="CT4" s="8"/>
      <c r="CU4" s="8"/>
      <c r="CV4" s="77"/>
      <c r="CW4" s="8"/>
      <c r="CX4" s="8"/>
      <c r="CY4" s="8"/>
      <c r="CZ4" s="8"/>
      <c r="DA4" s="8"/>
      <c r="DB4" s="8"/>
      <c r="DC4" s="8"/>
      <c r="DD4" s="8"/>
      <c r="DE4" s="8"/>
      <c r="DF4" s="8"/>
      <c r="DG4" s="315"/>
      <c r="DH4" s="8"/>
      <c r="DI4" s="4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row>
    <row r="5" spans="1:142" s="134" customFormat="1" x14ac:dyDescent="0.25">
      <c r="A5" s="520" t="s">
        <v>447</v>
      </c>
      <c r="B5" s="520"/>
      <c r="C5" s="520"/>
      <c r="D5" s="520"/>
      <c r="E5" s="520"/>
      <c r="F5" s="520"/>
      <c r="G5" s="8"/>
      <c r="H5" s="77"/>
      <c r="I5" s="77"/>
      <c r="J5" s="8"/>
      <c r="K5" s="8"/>
      <c r="L5" s="8"/>
      <c r="M5" s="8"/>
      <c r="N5" s="8"/>
      <c r="O5" s="8"/>
      <c r="P5" s="8"/>
      <c r="Q5" s="48"/>
      <c r="R5" s="44"/>
      <c r="S5" s="8"/>
      <c r="T5" s="8"/>
      <c r="U5" s="8"/>
      <c r="V5" s="8"/>
      <c r="W5" s="8"/>
      <c r="X5" s="8"/>
      <c r="Y5" s="8"/>
      <c r="Z5" s="8"/>
      <c r="AA5" s="8"/>
      <c r="AB5" s="8"/>
      <c r="AC5" s="8"/>
      <c r="AD5" s="102"/>
      <c r="AE5" s="101"/>
      <c r="AF5" s="371"/>
      <c r="AG5" s="44"/>
      <c r="AH5" s="8"/>
      <c r="AI5" s="8"/>
      <c r="AJ5" s="8"/>
      <c r="AK5" s="8"/>
      <c r="AL5" s="8"/>
      <c r="AM5" s="8"/>
      <c r="AN5" s="8"/>
      <c r="AO5" s="8"/>
      <c r="AP5" s="8"/>
      <c r="AQ5" s="8"/>
      <c r="AR5" s="8"/>
      <c r="AS5" s="102"/>
      <c r="AT5" s="101"/>
      <c r="AU5" s="371"/>
      <c r="AV5" s="8"/>
      <c r="AW5" s="8"/>
      <c r="AX5" s="8"/>
      <c r="AY5" s="8"/>
      <c r="AZ5" s="8"/>
      <c r="BA5" s="8"/>
      <c r="BB5" s="8"/>
      <c r="BC5" s="8"/>
      <c r="BD5" s="8"/>
      <c r="BE5" s="8"/>
      <c r="BF5" s="8"/>
      <c r="BG5" s="8"/>
      <c r="BH5" s="102"/>
      <c r="BI5" s="101"/>
      <c r="BJ5" s="371"/>
      <c r="BK5" s="44"/>
      <c r="BL5" s="8"/>
      <c r="BM5" s="8"/>
      <c r="BN5" s="8"/>
      <c r="BO5" s="8"/>
      <c r="BP5" s="8"/>
      <c r="BQ5" s="8"/>
      <c r="BR5" s="8"/>
      <c r="BS5" s="8"/>
      <c r="BT5" s="8"/>
      <c r="BU5" s="8"/>
      <c r="BV5" s="8"/>
      <c r="BW5" s="102"/>
      <c r="BX5" s="101"/>
      <c r="BY5" s="371"/>
      <c r="BZ5" s="8"/>
      <c r="CA5" s="8"/>
      <c r="CB5" s="77"/>
      <c r="CC5" s="77"/>
      <c r="CD5" s="77"/>
      <c r="CE5" s="77"/>
      <c r="CF5" s="77"/>
      <c r="CG5" s="8"/>
      <c r="CH5" s="8"/>
      <c r="CI5" s="8"/>
      <c r="CJ5" s="8"/>
      <c r="CK5" s="8"/>
      <c r="CL5" s="8"/>
      <c r="CM5" s="8"/>
      <c r="CN5" s="8"/>
      <c r="CO5" s="315"/>
      <c r="CP5" s="8"/>
      <c r="CQ5" s="48"/>
      <c r="CR5" s="8"/>
      <c r="CS5" s="8"/>
      <c r="CT5" s="8"/>
      <c r="CU5" s="8"/>
      <c r="CV5" s="77"/>
      <c r="CW5" s="8"/>
      <c r="CX5" s="8"/>
      <c r="CY5" s="8"/>
      <c r="CZ5" s="8"/>
      <c r="DA5" s="8"/>
      <c r="DB5" s="8"/>
      <c r="DC5" s="8"/>
      <c r="DD5" s="8"/>
      <c r="DE5" s="8"/>
      <c r="DF5" s="8"/>
      <c r="DG5" s="315"/>
      <c r="DH5" s="8"/>
      <c r="DI5" s="4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row>
    <row r="6" spans="1:142" x14ac:dyDescent="0.25">
      <c r="A6" s="14"/>
      <c r="B6" s="14"/>
      <c r="C6" s="14"/>
      <c r="D6" s="13"/>
      <c r="E6" s="14"/>
      <c r="F6" s="14"/>
      <c r="G6" s="14"/>
      <c r="H6" s="21"/>
      <c r="I6" s="15"/>
      <c r="J6" s="14"/>
      <c r="K6" s="14"/>
      <c r="L6" s="14"/>
      <c r="M6" s="14"/>
      <c r="N6" s="14"/>
      <c r="O6" s="14"/>
      <c r="P6" s="14"/>
      <c r="Q6" s="47"/>
      <c r="R6" s="19"/>
      <c r="S6" s="14"/>
      <c r="T6" s="14"/>
      <c r="U6" s="14"/>
      <c r="V6" s="14"/>
      <c r="W6" s="14"/>
      <c r="X6" s="14"/>
      <c r="Y6" s="14"/>
      <c r="Z6" s="14"/>
      <c r="AA6" s="14"/>
      <c r="AB6" s="14"/>
      <c r="AC6" s="14"/>
      <c r="AD6" s="65"/>
      <c r="AE6" s="63"/>
      <c r="AF6" s="352"/>
      <c r="AG6" s="19"/>
      <c r="AH6" s="14"/>
      <c r="AI6" s="14"/>
      <c r="AJ6" s="14"/>
      <c r="AK6" s="14"/>
      <c r="AL6" s="14"/>
      <c r="AM6" s="14"/>
      <c r="AN6" s="14"/>
      <c r="AO6" s="14"/>
      <c r="AP6" s="14"/>
      <c r="AQ6" s="14"/>
      <c r="AR6" s="14"/>
      <c r="AS6" s="65"/>
      <c r="AT6" s="63"/>
      <c r="AU6" s="352"/>
      <c r="AV6" s="14"/>
      <c r="AW6" s="14"/>
      <c r="AX6" s="14"/>
      <c r="AY6" s="14"/>
      <c r="AZ6" s="14"/>
      <c r="BA6" s="14"/>
      <c r="BB6" s="14"/>
      <c r="BC6" s="14"/>
      <c r="BD6" s="14"/>
      <c r="BE6" s="14"/>
      <c r="BF6" s="14"/>
      <c r="BG6" s="14"/>
      <c r="BH6" s="65"/>
      <c r="BI6" s="63"/>
      <c r="BJ6" s="352"/>
      <c r="BK6" s="19"/>
      <c r="BL6" s="14"/>
      <c r="BM6" s="14"/>
      <c r="BN6" s="14"/>
      <c r="BO6" s="14"/>
      <c r="BP6" s="14"/>
      <c r="BQ6" s="14"/>
      <c r="BR6" s="14"/>
      <c r="BS6" s="14"/>
      <c r="BT6" s="14"/>
      <c r="BU6" s="14"/>
      <c r="BV6" s="14"/>
      <c r="BW6" s="65"/>
      <c r="BX6" s="63"/>
      <c r="BY6" s="352"/>
      <c r="BZ6" s="14"/>
      <c r="CB6" s="21"/>
      <c r="CC6" s="21"/>
      <c r="CD6" s="21"/>
      <c r="CE6" s="21"/>
      <c r="CF6" s="21"/>
      <c r="CG6" s="14"/>
      <c r="CH6" s="14"/>
      <c r="CI6" s="14"/>
      <c r="CJ6" s="14"/>
      <c r="CK6" s="14"/>
      <c r="CL6" s="14"/>
      <c r="CM6" s="14"/>
      <c r="CN6" s="14"/>
      <c r="CO6" s="129"/>
      <c r="CP6" s="14"/>
      <c r="CQ6" s="47"/>
      <c r="CR6" s="14"/>
      <c r="CS6" s="14"/>
      <c r="CT6" s="14"/>
      <c r="CU6" s="14"/>
      <c r="CV6" s="21"/>
      <c r="CW6" s="14"/>
      <c r="CX6" s="14"/>
      <c r="CY6" s="14"/>
      <c r="CZ6" s="14"/>
      <c r="DA6" s="14"/>
      <c r="DB6" s="14"/>
      <c r="DC6" s="14"/>
      <c r="DD6" s="14"/>
      <c r="DE6" s="14"/>
      <c r="DF6" s="14"/>
      <c r="DG6" s="129"/>
      <c r="DH6" s="14"/>
      <c r="DI6" s="47"/>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row>
    <row r="7" spans="1:142" s="130" customFormat="1" x14ac:dyDescent="0.25">
      <c r="A7" s="87"/>
      <c r="B7" s="87" t="s">
        <v>752</v>
      </c>
      <c r="C7" s="87"/>
      <c r="D7" s="88"/>
      <c r="E7" s="87"/>
      <c r="F7" s="87"/>
      <c r="G7" s="87"/>
      <c r="H7" s="88"/>
      <c r="I7" s="88"/>
      <c r="J7" s="87"/>
      <c r="K7" s="87"/>
      <c r="L7" s="87"/>
      <c r="M7" s="87"/>
      <c r="N7" s="87"/>
      <c r="O7" s="87"/>
      <c r="P7" s="87"/>
      <c r="Q7" s="93"/>
      <c r="R7" s="196"/>
      <c r="S7" s="87" t="s">
        <v>752</v>
      </c>
      <c r="T7" s="87"/>
      <c r="U7" s="87"/>
      <c r="V7" s="87"/>
      <c r="W7" s="87"/>
      <c r="X7" s="87"/>
      <c r="Y7" s="87"/>
      <c r="Z7" s="87"/>
      <c r="AA7" s="87"/>
      <c r="AB7" s="87"/>
      <c r="AC7" s="87"/>
      <c r="AD7" s="91"/>
      <c r="AE7" s="92"/>
      <c r="AF7" s="351"/>
      <c r="AG7" s="196"/>
      <c r="AH7" s="87" t="s">
        <v>752</v>
      </c>
      <c r="AI7" s="87"/>
      <c r="AJ7" s="87"/>
      <c r="AK7" s="87"/>
      <c r="AL7" s="87"/>
      <c r="AM7" s="87"/>
      <c r="AN7" s="87"/>
      <c r="AO7" s="87"/>
      <c r="AP7" s="87"/>
      <c r="AQ7" s="87"/>
      <c r="AR7" s="87"/>
      <c r="AS7" s="91"/>
      <c r="AT7" s="92"/>
      <c r="AU7" s="351"/>
      <c r="AV7" s="87"/>
      <c r="AW7" s="87" t="s">
        <v>752</v>
      </c>
      <c r="AX7" s="87"/>
      <c r="AY7" s="87"/>
      <c r="AZ7" s="87"/>
      <c r="BA7" s="87"/>
      <c r="BB7" s="87"/>
      <c r="BC7" s="87"/>
      <c r="BD7" s="87"/>
      <c r="BE7" s="87"/>
      <c r="BF7" s="87"/>
      <c r="BG7" s="87"/>
      <c r="BH7" s="91"/>
      <c r="BI7" s="92"/>
      <c r="BJ7" s="351"/>
      <c r="BK7" s="196"/>
      <c r="BL7" s="87" t="s">
        <v>752</v>
      </c>
      <c r="BM7" s="87"/>
      <c r="BN7" s="87"/>
      <c r="BO7" s="87"/>
      <c r="BP7" s="87"/>
      <c r="BQ7" s="87"/>
      <c r="BR7" s="87"/>
      <c r="BS7" s="87"/>
      <c r="BT7" s="87"/>
      <c r="BU7" s="87"/>
      <c r="BV7" s="87"/>
      <c r="BW7" s="91"/>
      <c r="BX7" s="92"/>
      <c r="BY7" s="351"/>
      <c r="BZ7" s="87"/>
      <c r="CA7" s="87"/>
      <c r="CB7" s="88"/>
      <c r="CC7" s="88"/>
      <c r="CD7" s="88"/>
      <c r="CE7" s="88"/>
      <c r="CF7" s="88"/>
      <c r="CG7" s="87"/>
      <c r="CH7" s="87"/>
      <c r="CI7" s="87"/>
      <c r="CJ7" s="87"/>
      <c r="CK7" s="87"/>
      <c r="CL7" s="87"/>
      <c r="CM7" s="87"/>
      <c r="CN7" s="87"/>
      <c r="CO7" s="87"/>
      <c r="CP7" s="87"/>
      <c r="CQ7" s="93"/>
      <c r="CR7" s="87"/>
      <c r="CS7" s="87"/>
      <c r="CT7" s="87"/>
      <c r="CU7" s="87"/>
      <c r="CV7" s="88"/>
      <c r="CW7" s="87"/>
      <c r="CX7" s="87"/>
      <c r="CY7" s="87"/>
      <c r="CZ7" s="87"/>
      <c r="DA7" s="87"/>
      <c r="DB7" s="87"/>
      <c r="DC7" s="87"/>
      <c r="DD7" s="87"/>
      <c r="DE7" s="87"/>
      <c r="DF7" s="87"/>
      <c r="DG7" s="87"/>
      <c r="DH7" s="87"/>
      <c r="DI7" s="93"/>
      <c r="DJ7" s="87"/>
      <c r="DK7" s="87" t="s">
        <v>28</v>
      </c>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row>
    <row r="8" spans="1:142" s="132" customFormat="1" x14ac:dyDescent="0.25">
      <c r="A8" s="23"/>
      <c r="B8" s="148" t="s">
        <v>301</v>
      </c>
      <c r="C8" s="148"/>
      <c r="D8" s="149"/>
      <c r="E8" s="148"/>
      <c r="F8" s="23"/>
      <c r="G8" s="23"/>
      <c r="H8" s="18"/>
      <c r="I8" s="18"/>
      <c r="J8" s="23"/>
      <c r="K8" s="23"/>
      <c r="L8" s="23"/>
      <c r="M8" s="23"/>
      <c r="N8" s="23"/>
      <c r="O8" s="23"/>
      <c r="P8" s="23"/>
      <c r="Q8" s="73"/>
      <c r="R8" s="56"/>
      <c r="S8" s="148" t="s">
        <v>294</v>
      </c>
      <c r="T8" s="148"/>
      <c r="U8" s="149"/>
      <c r="V8" s="148"/>
      <c r="W8" s="148"/>
      <c r="X8" s="148"/>
      <c r="Y8" s="148"/>
      <c r="Z8" s="148"/>
      <c r="AA8" s="148"/>
      <c r="AB8" s="23"/>
      <c r="AC8" s="23"/>
      <c r="AD8" s="142"/>
      <c r="AE8" s="144"/>
      <c r="AF8" s="372"/>
      <c r="AG8" s="56"/>
      <c r="AH8" s="148" t="s">
        <v>328</v>
      </c>
      <c r="AI8" s="148"/>
      <c r="AJ8" s="149"/>
      <c r="AK8" s="148"/>
      <c r="AL8" s="148"/>
      <c r="AM8" s="23"/>
      <c r="AN8" s="23"/>
      <c r="AO8" s="23"/>
      <c r="AP8" s="23"/>
      <c r="AQ8" s="23"/>
      <c r="AR8" s="23"/>
      <c r="AS8" s="142"/>
      <c r="AT8" s="144"/>
      <c r="AU8" s="372"/>
      <c r="AV8" s="23"/>
      <c r="AW8" s="148" t="s">
        <v>347</v>
      </c>
      <c r="AX8" s="148"/>
      <c r="AY8" s="149"/>
      <c r="AZ8" s="148"/>
      <c r="BA8" s="148"/>
      <c r="BB8" s="23"/>
      <c r="BC8" s="23"/>
      <c r="BD8" s="23"/>
      <c r="BE8" s="23"/>
      <c r="BF8" s="23"/>
      <c r="BG8" s="23"/>
      <c r="BH8" s="142"/>
      <c r="BI8" s="144"/>
      <c r="BJ8" s="372"/>
      <c r="BK8" s="56"/>
      <c r="BL8" s="148" t="s">
        <v>348</v>
      </c>
      <c r="BM8" s="148"/>
      <c r="BN8" s="149"/>
      <c r="BO8" s="148"/>
      <c r="BP8" s="148"/>
      <c r="BQ8" s="23"/>
      <c r="BR8" s="23"/>
      <c r="BS8" s="23"/>
      <c r="BT8" s="23"/>
      <c r="BU8" s="23"/>
      <c r="BV8" s="23"/>
      <c r="BW8" s="142"/>
      <c r="BX8" s="144"/>
      <c r="BY8" s="372"/>
      <c r="BZ8" s="56"/>
      <c r="CA8" s="148" t="s">
        <v>303</v>
      </c>
      <c r="CB8" s="148"/>
      <c r="CC8" s="149"/>
      <c r="CD8" s="148"/>
      <c r="CE8" s="148"/>
      <c r="CF8" s="148"/>
      <c r="CG8" s="23"/>
      <c r="CH8" s="23"/>
      <c r="CI8" s="23"/>
      <c r="CJ8" s="23"/>
      <c r="CK8" s="23"/>
      <c r="CL8" s="23"/>
      <c r="CM8" s="23"/>
      <c r="CN8" s="23"/>
      <c r="CO8" s="90"/>
      <c r="CP8" s="23"/>
      <c r="CQ8" s="73"/>
      <c r="CR8" s="23"/>
      <c r="CS8" s="148" t="s">
        <v>370</v>
      </c>
      <c r="CT8" s="148"/>
      <c r="CU8" s="149"/>
      <c r="CV8" s="149"/>
      <c r="CW8" s="151"/>
      <c r="CX8" s="151"/>
      <c r="CY8" s="23"/>
      <c r="CZ8" s="23"/>
      <c r="DA8" s="23"/>
      <c r="DB8" s="23"/>
      <c r="DC8" s="23"/>
      <c r="DD8" s="23"/>
      <c r="DE8" s="23"/>
      <c r="DF8" s="23"/>
      <c r="DG8" s="90"/>
      <c r="DH8" s="23"/>
      <c r="DI8" s="73"/>
      <c r="DJ8" s="23"/>
      <c r="DK8" s="148" t="s">
        <v>305</v>
      </c>
      <c r="DL8" s="148"/>
      <c r="DM8" s="149"/>
      <c r="DN8" s="148"/>
      <c r="DO8" s="23"/>
      <c r="DP8" s="23"/>
      <c r="DQ8" s="23"/>
      <c r="DR8" s="23"/>
      <c r="DS8" s="23"/>
      <c r="DT8" s="23"/>
      <c r="DU8" s="23"/>
      <c r="DV8" s="23"/>
      <c r="DW8" s="23"/>
      <c r="DX8" s="23"/>
      <c r="DY8" s="23"/>
      <c r="DZ8" s="23"/>
      <c r="EA8" s="23"/>
      <c r="EB8" s="23"/>
      <c r="EC8" s="23"/>
      <c r="ED8" s="23"/>
      <c r="EE8" s="23"/>
      <c r="EF8" s="23"/>
      <c r="EG8" s="23"/>
      <c r="EH8" s="23"/>
      <c r="EI8" s="23"/>
      <c r="EJ8" s="23"/>
      <c r="EK8" s="23"/>
      <c r="EL8" s="23"/>
    </row>
    <row r="9" spans="1:142" ht="14.4" thickBot="1" x14ac:dyDescent="0.3">
      <c r="A9" s="14"/>
      <c r="B9" s="23"/>
      <c r="C9" s="23"/>
      <c r="D9" s="18"/>
      <c r="E9" s="23"/>
      <c r="F9" s="23"/>
      <c r="G9" s="23"/>
      <c r="H9" s="18"/>
      <c r="I9" s="21"/>
      <c r="J9" s="14"/>
      <c r="K9" s="14"/>
      <c r="L9" s="14"/>
      <c r="M9" s="14"/>
      <c r="N9" s="14"/>
      <c r="O9" s="14"/>
      <c r="P9" s="14"/>
      <c r="Q9" s="47"/>
      <c r="R9" s="19"/>
      <c r="S9" s="14"/>
      <c r="T9" s="14"/>
      <c r="U9" s="14"/>
      <c r="V9" s="14"/>
      <c r="W9" s="14"/>
      <c r="X9" s="14"/>
      <c r="Y9" s="14"/>
      <c r="Z9" s="14"/>
      <c r="AA9" s="14"/>
      <c r="AB9" s="14"/>
      <c r="AC9" s="14"/>
      <c r="AD9" s="65"/>
      <c r="AE9" s="63"/>
      <c r="AF9" s="352"/>
      <c r="AG9" s="19"/>
      <c r="AH9" s="14"/>
      <c r="AI9" s="14"/>
      <c r="AJ9" s="14"/>
      <c r="AK9" s="14"/>
      <c r="AL9" s="14"/>
      <c r="AM9" s="14"/>
      <c r="AN9" s="14"/>
      <c r="AO9" s="14"/>
      <c r="AP9" s="14"/>
      <c r="AQ9" s="14"/>
      <c r="AR9" s="14"/>
      <c r="AS9" s="65"/>
      <c r="AT9" s="63"/>
      <c r="AU9" s="352"/>
      <c r="AV9" s="14"/>
      <c r="AW9" s="14"/>
      <c r="AX9" s="14"/>
      <c r="AY9" s="14"/>
      <c r="AZ9" s="14"/>
      <c r="BA9" s="14"/>
      <c r="BB9" s="14"/>
      <c r="BC9" s="14"/>
      <c r="BD9" s="14"/>
      <c r="BE9" s="14"/>
      <c r="BF9" s="14"/>
      <c r="BG9" s="14"/>
      <c r="BH9" s="65"/>
      <c r="BI9" s="63"/>
      <c r="BJ9" s="352"/>
      <c r="BK9" s="19"/>
      <c r="BL9" s="14"/>
      <c r="BM9" s="14"/>
      <c r="BN9" s="14"/>
      <c r="BO9" s="14"/>
      <c r="BP9" s="14"/>
      <c r="BQ9" s="14"/>
      <c r="BR9" s="14"/>
      <c r="BS9" s="14"/>
      <c r="BT9" s="14"/>
      <c r="BU9" s="14"/>
      <c r="BV9" s="14"/>
      <c r="BW9" s="65"/>
      <c r="BX9" s="63"/>
      <c r="BY9" s="352"/>
      <c r="BZ9" s="14"/>
      <c r="CA9" s="14"/>
      <c r="CB9" s="21"/>
      <c r="CC9" s="21"/>
      <c r="CD9" s="21"/>
      <c r="CE9" s="21"/>
      <c r="CF9" s="21"/>
      <c r="CG9" s="14"/>
      <c r="CH9" s="14"/>
      <c r="CI9" s="14"/>
      <c r="CJ9" s="14"/>
      <c r="CK9" s="14"/>
      <c r="CL9" s="14"/>
      <c r="CM9" s="14"/>
      <c r="CN9" s="14"/>
      <c r="CO9" s="129"/>
      <c r="CP9" s="14"/>
      <c r="CQ9" s="47"/>
      <c r="CR9" s="14"/>
      <c r="CS9" s="14"/>
      <c r="CT9" s="14"/>
      <c r="CU9" s="14"/>
      <c r="CV9" s="21"/>
      <c r="CW9" s="14"/>
      <c r="CX9" s="14"/>
      <c r="CY9" s="14"/>
      <c r="CZ9" s="14"/>
      <c r="DA9" s="14"/>
      <c r="DB9" s="14"/>
      <c r="DC9" s="14"/>
      <c r="DD9" s="14"/>
      <c r="DE9" s="14"/>
      <c r="DF9" s="14"/>
      <c r="DG9" s="129"/>
      <c r="DH9" s="14"/>
      <c r="DI9" s="47"/>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row>
    <row r="10" spans="1:142" s="19" customFormat="1" ht="33.75" customHeight="1" x14ac:dyDescent="0.25">
      <c r="A10" s="14"/>
      <c r="B10" s="258" t="s">
        <v>676</v>
      </c>
      <c r="C10" s="24"/>
      <c r="D10" s="25"/>
      <c r="E10" s="158" t="s">
        <v>35</v>
      </c>
      <c r="F10" s="24"/>
      <c r="G10" s="24"/>
      <c r="H10" s="74"/>
      <c r="I10" s="21"/>
      <c r="J10" s="524" t="s">
        <v>753</v>
      </c>
      <c r="K10" s="525"/>
      <c r="L10" s="14"/>
      <c r="M10" s="14"/>
      <c r="N10" s="14"/>
      <c r="O10" s="14"/>
      <c r="P10" s="14"/>
      <c r="Q10" s="47"/>
      <c r="S10" s="522" t="s">
        <v>676</v>
      </c>
      <c r="T10" s="523"/>
      <c r="U10" s="523"/>
      <c r="V10" s="24" t="s">
        <v>480</v>
      </c>
      <c r="W10" s="24"/>
      <c r="X10" s="24"/>
      <c r="Y10" s="26"/>
      <c r="Z10" s="14"/>
      <c r="AA10" s="524" t="s">
        <v>753</v>
      </c>
      <c r="AB10" s="525"/>
      <c r="AC10" s="14"/>
      <c r="AD10" s="65"/>
      <c r="AE10" s="63"/>
      <c r="AF10" s="352"/>
      <c r="AH10" s="522" t="s">
        <v>676</v>
      </c>
      <c r="AI10" s="523"/>
      <c r="AJ10" s="523"/>
      <c r="AK10" s="24" t="s">
        <v>27</v>
      </c>
      <c r="AL10" s="24"/>
      <c r="AM10" s="24"/>
      <c r="AN10" s="26"/>
      <c r="AO10" s="14"/>
      <c r="AP10" s="524" t="s">
        <v>753</v>
      </c>
      <c r="AQ10" s="525"/>
      <c r="AR10" s="14"/>
      <c r="AS10" s="65"/>
      <c r="AT10" s="63"/>
      <c r="AU10" s="352"/>
      <c r="AV10" s="14"/>
      <c r="AW10" s="522" t="s">
        <v>676</v>
      </c>
      <c r="AX10" s="523"/>
      <c r="AY10" s="523"/>
      <c r="AZ10" s="24" t="s">
        <v>27</v>
      </c>
      <c r="BA10" s="24"/>
      <c r="BB10" s="24"/>
      <c r="BC10" s="26"/>
      <c r="BD10" s="14"/>
      <c r="BE10" s="524" t="s">
        <v>753</v>
      </c>
      <c r="BF10" s="525"/>
      <c r="BG10" s="14"/>
      <c r="BH10" s="65"/>
      <c r="BI10" s="63"/>
      <c r="BJ10" s="352"/>
      <c r="BL10" s="522" t="s">
        <v>676</v>
      </c>
      <c r="BM10" s="523"/>
      <c r="BN10" s="523"/>
      <c r="BO10" s="24" t="s">
        <v>27</v>
      </c>
      <c r="BP10" s="24"/>
      <c r="BQ10" s="24"/>
      <c r="BR10" s="26"/>
      <c r="BS10" s="14"/>
      <c r="BT10" s="524" t="s">
        <v>753</v>
      </c>
      <c r="BU10" s="525"/>
      <c r="BV10" s="14"/>
      <c r="BW10" s="65"/>
      <c r="BX10" s="63"/>
      <c r="BY10" s="352"/>
      <c r="BZ10" s="14"/>
      <c r="CA10" s="109" t="s">
        <v>14</v>
      </c>
      <c r="CB10" s="110"/>
      <c r="CC10" s="110" t="s">
        <v>149</v>
      </c>
      <c r="CD10" s="109" t="s">
        <v>150</v>
      </c>
      <c r="CE10" s="110" t="s">
        <v>151</v>
      </c>
      <c r="CF10" s="109" t="s">
        <v>152</v>
      </c>
      <c r="CG10" s="14"/>
      <c r="CH10" s="110" t="s">
        <v>560</v>
      </c>
      <c r="CI10" s="110" t="s">
        <v>385</v>
      </c>
      <c r="CJ10" s="201"/>
      <c r="CK10" s="201"/>
      <c r="CL10" s="201"/>
      <c r="CM10" s="201"/>
      <c r="CN10" s="201"/>
      <c r="CO10" s="325"/>
      <c r="CP10" s="14"/>
      <c r="CQ10" s="47"/>
      <c r="CR10" s="14"/>
      <c r="CS10" s="109" t="s">
        <v>14</v>
      </c>
      <c r="CT10" s="110"/>
      <c r="CU10" s="110" t="s">
        <v>149</v>
      </c>
      <c r="CV10" s="110" t="s">
        <v>150</v>
      </c>
      <c r="CW10" s="110" t="s">
        <v>151</v>
      </c>
      <c r="CX10" s="109" t="s">
        <v>152</v>
      </c>
      <c r="CY10" s="14"/>
      <c r="CZ10" s="110" t="s">
        <v>560</v>
      </c>
      <c r="DA10" s="110" t="s">
        <v>385</v>
      </c>
      <c r="DB10" s="201"/>
      <c r="DC10" s="201"/>
      <c r="DD10" s="201"/>
      <c r="DE10" s="201"/>
      <c r="DF10" s="201"/>
      <c r="DG10" s="325"/>
      <c r="DH10" s="14"/>
      <c r="DI10" s="47"/>
      <c r="DJ10" s="14"/>
      <c r="DK10" s="522" t="s">
        <v>676</v>
      </c>
      <c r="DL10" s="523"/>
      <c r="DM10" s="523"/>
      <c r="DN10" s="24" t="s">
        <v>468</v>
      </c>
      <c r="DO10" s="24"/>
      <c r="DP10" s="24"/>
      <c r="DQ10" s="26"/>
      <c r="DR10" s="14"/>
      <c r="DS10" s="524" t="s">
        <v>753</v>
      </c>
      <c r="DT10" s="525"/>
      <c r="DU10" s="14"/>
      <c r="DV10" s="14"/>
      <c r="DW10" s="14"/>
      <c r="DX10" s="14"/>
      <c r="DY10" s="14"/>
      <c r="DZ10" s="14"/>
      <c r="EA10" s="14"/>
      <c r="EB10" s="14"/>
      <c r="EC10" s="14"/>
      <c r="ED10" s="14"/>
      <c r="EE10" s="14"/>
      <c r="EF10" s="14"/>
      <c r="EG10" s="14"/>
      <c r="EH10" s="14"/>
      <c r="EI10" s="14"/>
      <c r="EJ10" s="14"/>
      <c r="EK10" s="14"/>
      <c r="EL10" s="14"/>
    </row>
    <row r="11" spans="1:142" s="260" customFormat="1" ht="15" customHeight="1" x14ac:dyDescent="0.25">
      <c r="A11" s="129"/>
      <c r="B11" s="530" t="s">
        <v>479</v>
      </c>
      <c r="C11" s="531"/>
      <c r="D11" s="531"/>
      <c r="E11" s="531"/>
      <c r="F11" s="531"/>
      <c r="G11" s="531"/>
      <c r="H11" s="532"/>
      <c r="I11" s="285"/>
      <c r="J11" s="526"/>
      <c r="K11" s="527"/>
      <c r="L11" s="129"/>
      <c r="M11" s="129"/>
      <c r="N11" s="129"/>
      <c r="O11" s="129"/>
      <c r="P11" s="129"/>
      <c r="Q11" s="82"/>
      <c r="S11" s="536" t="s">
        <v>665</v>
      </c>
      <c r="T11" s="537"/>
      <c r="U11" s="537"/>
      <c r="V11" s="537"/>
      <c r="W11" s="537"/>
      <c r="X11" s="537"/>
      <c r="Y11" s="538"/>
      <c r="Z11" s="129"/>
      <c r="AA11" s="526"/>
      <c r="AB11" s="527"/>
      <c r="AC11" s="129"/>
      <c r="AD11" s="80"/>
      <c r="AE11" s="81"/>
      <c r="AF11" s="373"/>
      <c r="AH11" s="530" t="s">
        <v>666</v>
      </c>
      <c r="AI11" s="531"/>
      <c r="AJ11" s="531"/>
      <c r="AK11" s="531"/>
      <c r="AL11" s="531"/>
      <c r="AM11" s="531"/>
      <c r="AN11" s="532"/>
      <c r="AO11" s="129"/>
      <c r="AP11" s="526"/>
      <c r="AQ11" s="527"/>
      <c r="AR11" s="129"/>
      <c r="AS11" s="80"/>
      <c r="AT11" s="81"/>
      <c r="AU11" s="373"/>
      <c r="AV11" s="129"/>
      <c r="AW11" s="530" t="s">
        <v>667</v>
      </c>
      <c r="AX11" s="531"/>
      <c r="AY11" s="531"/>
      <c r="AZ11" s="531"/>
      <c r="BA11" s="531"/>
      <c r="BB11" s="531"/>
      <c r="BC11" s="532"/>
      <c r="BD11" s="129"/>
      <c r="BE11" s="526"/>
      <c r="BF11" s="527"/>
      <c r="BG11" s="129"/>
      <c r="BH11" s="80"/>
      <c r="BI11" s="81"/>
      <c r="BJ11" s="373"/>
      <c r="BL11" s="530" t="s">
        <v>668</v>
      </c>
      <c r="BM11" s="531"/>
      <c r="BN11" s="531"/>
      <c r="BO11" s="531"/>
      <c r="BP11" s="531"/>
      <c r="BQ11" s="531"/>
      <c r="BR11" s="532"/>
      <c r="BS11" s="129"/>
      <c r="BT11" s="526"/>
      <c r="BU11" s="527"/>
      <c r="BV11" s="129"/>
      <c r="BW11" s="80"/>
      <c r="BX11" s="81"/>
      <c r="BY11" s="373"/>
      <c r="BZ11" s="129"/>
      <c r="CA11" s="140" t="s">
        <v>701</v>
      </c>
      <c r="CB11" s="139"/>
      <c r="CC11" s="141">
        <f>IF(ISBLANK($CA11),"",IFERROR(CC64/$CB$58,0)+IFERROR(CC91/$CG$82,0)+IFERROR(CC118/$CB$112,0)+IFERROR(CC145/$CB$139,0)+IFERROR(CC172/$CB$166,0)+IFERROR(CC199/$CB$193,0))</f>
        <v>3.6</v>
      </c>
      <c r="CD11" s="141">
        <f t="shared" ref="CD11:CE11" si="0">IF(ISBLANK($CA11),"",IFERROR(CD64/$CB$58,0)+IFERROR(CD91/$CG$82,0)+IFERROR(CD118/$CB$112,0)+IFERROR(CD145/$CB$139,0)+IFERROR(CD172/$CB$166,0)+IFERROR(CD199/$CB$193,0))</f>
        <v>1</v>
      </c>
      <c r="CE11" s="141">
        <f t="shared" si="0"/>
        <v>0.5</v>
      </c>
      <c r="CF11" s="141">
        <f>IF(ISBLANK(CA11),"",ROUND(SUMPRODUCT(CC11:CE11,Rank_score)/MAX(SUM($CC$11:$CC$18),SUM($CD$11:$CD$18),SUM($CE$11:$CE$18)),4)+(0.000001*ROWS(CF$10:$CF10)))</f>
        <v>2.9556010000000001</v>
      </c>
      <c r="CG11" s="129"/>
      <c r="CH11" s="206">
        <f t="shared" ref="CH11:CH17" si="1">IF(ISBLANK($CA11),"",SUM(CO64,CO91,CO118,CO145,CO172,CO199)/COUNTIF($CB$22:$CB$27,"&gt;0"))</f>
        <v>3</v>
      </c>
      <c r="CI11" s="314" t="str">
        <f t="shared" ref="CI11:CI18" si="2">IF(ISBLANK(CA11),"",IF(SUM(CC11:CE11)=0,not_ranked,IF(CH11=0,not_estimated,VLOOKUP(ROUNDDOWN(CH11,ScoresDPs),ScoresToLikelihoods,3,1))))</f>
        <v>Moderately likely</v>
      </c>
      <c r="CJ11" s="139"/>
      <c r="CK11" s="139"/>
      <c r="CL11" s="139"/>
      <c r="CM11" s="139"/>
      <c r="CN11" s="139"/>
      <c r="CO11" s="141"/>
      <c r="CP11" s="129"/>
      <c r="CQ11" s="82"/>
      <c r="CR11" s="129"/>
      <c r="CS11" s="140" t="s">
        <v>373</v>
      </c>
      <c r="CT11" s="139"/>
      <c r="CU11" s="141">
        <f>IF(ISBLANK($CS11),"",IFERROR(CU64/$CT$58,0)+IFERROR(CU91/$CT$85,0)+IFERROR(CU118/$CT$112,0)+IFERROR(CU145/$CT$139,0)+IFERROR(CU172/$CT$166,0)+IFERROR(CU199/$CT$193,0))</f>
        <v>3</v>
      </c>
      <c r="CV11" s="141">
        <f t="shared" ref="CV11:CW11" si="3">IF(ISBLANK($CS11),"",IFERROR(CV64/$CT$58,0)+IFERROR(CV91/$CT$85,0)+IFERROR(CV118/$CT$112,0)+IFERROR(CV145/$CT$139,0)+IFERROR(CV172/$CT$166,0)+IFERROR(CV199/$CT$193,0))</f>
        <v>1</v>
      </c>
      <c r="CW11" s="141">
        <f t="shared" si="3"/>
        <v>0</v>
      </c>
      <c r="CX11" s="141">
        <f>IF(ISBLANK($CS11),"",ROUND(SUMPRODUCT(CU11:CW11,Rank_score)/MAX(SUM($CU$11:$CU$18),SUM($CV$11:$CV$18),SUM($CW$11:$CW$18)),4)+(0.000001*ROWS($CX$10:CX10)))</f>
        <v>1.8333009999999998</v>
      </c>
      <c r="CY11" s="129"/>
      <c r="CZ11" s="206">
        <f t="shared" ref="CZ11:CZ18" si="4">IF(ISBLANK(CS11),"",SUM(DG64,DG91,DG118,DG145,DG172,DG199)/COUNTIF($CT$22:$CT$27,"&gt;0"))</f>
        <v>2.8333333333333335</v>
      </c>
      <c r="DA11" s="314" t="str">
        <f t="shared" ref="DA11:DA18" si="5">IF(ISBLANK(CS11),"",IF(SUM(CU11:CW11)=0,not_ranked,IF(CZ11=0,not_estimated,VLOOKUP(ROUNDDOWN(CZ11,ScoresDPs),ScoresToLikelihoods,3,1))))</f>
        <v>Moderately unlikely</v>
      </c>
      <c r="DB11" s="139"/>
      <c r="DC11" s="139"/>
      <c r="DD11" s="139"/>
      <c r="DE11" s="139"/>
      <c r="DF11" s="139"/>
      <c r="DG11" s="141"/>
      <c r="DH11" s="129"/>
      <c r="DI11" s="82"/>
      <c r="DJ11" s="129"/>
      <c r="DK11" s="530" t="s">
        <v>467</v>
      </c>
      <c r="DL11" s="531"/>
      <c r="DM11" s="531"/>
      <c r="DN11" s="531"/>
      <c r="DO11" s="531"/>
      <c r="DP11" s="531"/>
      <c r="DQ11" s="532"/>
      <c r="DR11" s="129"/>
      <c r="DS11" s="526"/>
      <c r="DT11" s="527"/>
      <c r="DU11" s="129"/>
      <c r="DV11" s="129"/>
      <c r="DW11" s="129"/>
      <c r="DX11" s="129"/>
      <c r="DY11" s="129"/>
      <c r="DZ11" s="129"/>
      <c r="EA11" s="129"/>
      <c r="EB11" s="129"/>
      <c r="EC11" s="129"/>
      <c r="ED11" s="129"/>
      <c r="EE11" s="129"/>
      <c r="EF11" s="129"/>
      <c r="EG11" s="129"/>
      <c r="EH11" s="129"/>
      <c r="EI11" s="129"/>
      <c r="EJ11" s="129"/>
      <c r="EK11" s="129"/>
      <c r="EL11" s="129"/>
    </row>
    <row r="12" spans="1:142" s="260" customFormat="1" ht="15" customHeight="1" x14ac:dyDescent="0.25">
      <c r="A12" s="129"/>
      <c r="B12" s="530"/>
      <c r="C12" s="531"/>
      <c r="D12" s="531"/>
      <c r="E12" s="531"/>
      <c r="F12" s="531"/>
      <c r="G12" s="531"/>
      <c r="H12" s="532"/>
      <c r="I12" s="285"/>
      <c r="J12" s="526"/>
      <c r="K12" s="527"/>
      <c r="L12" s="129"/>
      <c r="M12" s="129"/>
      <c r="N12" s="129"/>
      <c r="O12" s="129"/>
      <c r="P12" s="129"/>
      <c r="Q12" s="82"/>
      <c r="S12" s="536"/>
      <c r="T12" s="537"/>
      <c r="U12" s="537"/>
      <c r="V12" s="537"/>
      <c r="W12" s="537"/>
      <c r="X12" s="537"/>
      <c r="Y12" s="538"/>
      <c r="Z12" s="129"/>
      <c r="AA12" s="526"/>
      <c r="AB12" s="527"/>
      <c r="AC12" s="129"/>
      <c r="AD12" s="80"/>
      <c r="AE12" s="81"/>
      <c r="AF12" s="373"/>
      <c r="AH12" s="530"/>
      <c r="AI12" s="531"/>
      <c r="AJ12" s="531"/>
      <c r="AK12" s="531"/>
      <c r="AL12" s="531"/>
      <c r="AM12" s="531"/>
      <c r="AN12" s="532"/>
      <c r="AO12" s="129"/>
      <c r="AP12" s="526"/>
      <c r="AQ12" s="527"/>
      <c r="AR12" s="129"/>
      <c r="AS12" s="80"/>
      <c r="AT12" s="81"/>
      <c r="AU12" s="373"/>
      <c r="AV12" s="129"/>
      <c r="AW12" s="530"/>
      <c r="AX12" s="531"/>
      <c r="AY12" s="531"/>
      <c r="AZ12" s="531"/>
      <c r="BA12" s="531"/>
      <c r="BB12" s="531"/>
      <c r="BC12" s="532"/>
      <c r="BD12" s="129"/>
      <c r="BE12" s="526"/>
      <c r="BF12" s="527"/>
      <c r="BG12" s="129"/>
      <c r="BH12" s="80"/>
      <c r="BI12" s="81"/>
      <c r="BJ12" s="373"/>
      <c r="BL12" s="530"/>
      <c r="BM12" s="531"/>
      <c r="BN12" s="531"/>
      <c r="BO12" s="531"/>
      <c r="BP12" s="531"/>
      <c r="BQ12" s="531"/>
      <c r="BR12" s="532"/>
      <c r="BS12" s="129"/>
      <c r="BT12" s="526"/>
      <c r="BU12" s="527"/>
      <c r="BV12" s="129"/>
      <c r="BW12" s="80"/>
      <c r="BX12" s="81"/>
      <c r="BY12" s="373"/>
      <c r="BZ12" s="129"/>
      <c r="CA12" s="140" t="s">
        <v>344</v>
      </c>
      <c r="CB12" s="139"/>
      <c r="CC12" s="141">
        <f t="shared" ref="CC12:CE12" si="6">IF(ISBLANK($CA12),"",IFERROR(CC65/$CB$58,0)+IFERROR(CC92/$CG$82,0)+IFERROR(CC119/$CB$112,0)+IFERROR(CC146/$CB$139,0)+IFERROR(CC173/$CB$166,0)+IFERROR(CC200/$CB$193,0))</f>
        <v>0</v>
      </c>
      <c r="CD12" s="141">
        <f t="shared" si="6"/>
        <v>1.4</v>
      </c>
      <c r="CE12" s="141">
        <f t="shared" si="6"/>
        <v>0</v>
      </c>
      <c r="CF12" s="141">
        <f>IF(ISBLANK(CA12),"",ROUND(SUMPRODUCT(CC12:CE12,Rank_score)/MAX(SUM($CC$11:$CC$18),SUM($CD$11:$CD$18),SUM($CE$11:$CE$18)),4)+(0.000001*ROWS(CF$10:$CF11)))</f>
        <v>0.62220199999999992</v>
      </c>
      <c r="CG12" s="129"/>
      <c r="CH12" s="206">
        <f t="shared" si="1"/>
        <v>2.0833333333333335</v>
      </c>
      <c r="CI12" s="314" t="str">
        <f t="shared" si="2"/>
        <v>Moderately unlikely</v>
      </c>
      <c r="CJ12" s="139"/>
      <c r="CK12" s="139"/>
      <c r="CL12" s="139"/>
      <c r="CM12" s="139"/>
      <c r="CN12" s="139"/>
      <c r="CO12" s="141"/>
      <c r="CP12" s="129"/>
      <c r="CQ12" s="82"/>
      <c r="CR12" s="129"/>
      <c r="CS12" s="140" t="s">
        <v>338</v>
      </c>
      <c r="CT12" s="139"/>
      <c r="CU12" s="141">
        <f t="shared" ref="CU12:CW12" si="7">IF(ISBLANK($CS12),"",IFERROR(CU65/$CT$58,0)+IFERROR(CU92/$CT$85,0)+IFERROR(CU119/$CT$112,0)+IFERROR(CU146/$CT$139,0)+IFERROR(CU173/$CT$166,0)+IFERROR(CU200/$CT$193,0))</f>
        <v>0</v>
      </c>
      <c r="CV12" s="141">
        <f t="shared" si="7"/>
        <v>0.5</v>
      </c>
      <c r="CW12" s="141">
        <f t="shared" si="7"/>
        <v>1</v>
      </c>
      <c r="CX12" s="141">
        <f>IF(ISBLANK($CS12),"",ROUND(SUMPRODUCT(CU12:CW12,Rank_score)/MAX(SUM($CU$11:$CU$18),SUM($CV$11:$CV$18),SUM($CW$11:$CW$18)),4)+(0.000001*ROWS($CX$10:CX11)))</f>
        <v>0.33330199999999999</v>
      </c>
      <c r="CY12" s="129"/>
      <c r="CZ12" s="206">
        <f t="shared" si="4"/>
        <v>0.83333333333333337</v>
      </c>
      <c r="DA12" s="314" t="str">
        <f t="shared" si="5"/>
        <v>Very unlikely</v>
      </c>
      <c r="DB12" s="139"/>
      <c r="DC12" s="139"/>
      <c r="DD12" s="139"/>
      <c r="DE12" s="139"/>
      <c r="DF12" s="139"/>
      <c r="DG12" s="141"/>
      <c r="DH12" s="129"/>
      <c r="DI12" s="82"/>
      <c r="DJ12" s="129"/>
      <c r="DK12" s="530"/>
      <c r="DL12" s="531"/>
      <c r="DM12" s="531"/>
      <c r="DN12" s="531"/>
      <c r="DO12" s="531"/>
      <c r="DP12" s="531"/>
      <c r="DQ12" s="532"/>
      <c r="DR12" s="129"/>
      <c r="DS12" s="526"/>
      <c r="DT12" s="527"/>
      <c r="DU12" s="129"/>
      <c r="DV12" s="129"/>
      <c r="DW12" s="129"/>
      <c r="DX12" s="129"/>
      <c r="DY12" s="129"/>
      <c r="DZ12" s="129"/>
      <c r="EA12" s="129"/>
      <c r="EB12" s="129"/>
      <c r="EC12" s="129"/>
      <c r="ED12" s="129"/>
      <c r="EE12" s="129"/>
      <c r="EF12" s="129"/>
      <c r="EG12" s="129"/>
      <c r="EH12" s="129"/>
      <c r="EI12" s="129"/>
      <c r="EJ12" s="129"/>
      <c r="EK12" s="129"/>
      <c r="EL12" s="129"/>
    </row>
    <row r="13" spans="1:142" s="260" customFormat="1" ht="15" customHeight="1" x14ac:dyDescent="0.25">
      <c r="A13" s="129"/>
      <c r="B13" s="530"/>
      <c r="C13" s="531"/>
      <c r="D13" s="531"/>
      <c r="E13" s="531"/>
      <c r="F13" s="531"/>
      <c r="G13" s="531"/>
      <c r="H13" s="532"/>
      <c r="I13" s="285"/>
      <c r="J13" s="528"/>
      <c r="K13" s="529"/>
      <c r="L13" s="129"/>
      <c r="M13" s="129"/>
      <c r="N13" s="129"/>
      <c r="O13" s="129"/>
      <c r="P13" s="129"/>
      <c r="Q13" s="82"/>
      <c r="S13" s="536"/>
      <c r="T13" s="537"/>
      <c r="U13" s="537"/>
      <c r="V13" s="537"/>
      <c r="W13" s="537"/>
      <c r="X13" s="537"/>
      <c r="Y13" s="538"/>
      <c r="Z13" s="129"/>
      <c r="AA13" s="528"/>
      <c r="AB13" s="529"/>
      <c r="AC13" s="129"/>
      <c r="AD13" s="80"/>
      <c r="AE13" s="81"/>
      <c r="AF13" s="373"/>
      <c r="AH13" s="530"/>
      <c r="AI13" s="531"/>
      <c r="AJ13" s="531"/>
      <c r="AK13" s="531"/>
      <c r="AL13" s="531"/>
      <c r="AM13" s="531"/>
      <c r="AN13" s="532"/>
      <c r="AO13" s="129"/>
      <c r="AP13" s="528"/>
      <c r="AQ13" s="529"/>
      <c r="AR13" s="129"/>
      <c r="AS13" s="80"/>
      <c r="AT13" s="81"/>
      <c r="AU13" s="373"/>
      <c r="AV13" s="129"/>
      <c r="AW13" s="530"/>
      <c r="AX13" s="531"/>
      <c r="AY13" s="531"/>
      <c r="AZ13" s="531"/>
      <c r="BA13" s="531"/>
      <c r="BB13" s="531"/>
      <c r="BC13" s="532"/>
      <c r="BD13" s="129"/>
      <c r="BE13" s="528"/>
      <c r="BF13" s="529"/>
      <c r="BG13" s="129"/>
      <c r="BH13" s="80"/>
      <c r="BI13" s="81"/>
      <c r="BJ13" s="373"/>
      <c r="BL13" s="530"/>
      <c r="BM13" s="531"/>
      <c r="BN13" s="531"/>
      <c r="BO13" s="531"/>
      <c r="BP13" s="531"/>
      <c r="BQ13" s="531"/>
      <c r="BR13" s="532"/>
      <c r="BS13" s="129"/>
      <c r="BT13" s="528"/>
      <c r="BU13" s="529"/>
      <c r="BV13" s="129"/>
      <c r="BW13" s="80"/>
      <c r="BX13" s="81"/>
      <c r="BY13" s="373"/>
      <c r="BZ13" s="129"/>
      <c r="CA13" s="140" t="s">
        <v>146</v>
      </c>
      <c r="CB13" s="139"/>
      <c r="CC13" s="141">
        <f t="shared" ref="CC13:CE13" si="8">IF(ISBLANK($CA13),"",IFERROR(CC66/$CB$58,0)+IFERROR(CC93/$CG$82,0)+IFERROR(CC120/$CB$112,0)+IFERROR(CC147/$CB$139,0)+IFERROR(CC174/$CB$166,0)+IFERROR(CC201/$CB$193,0))</f>
        <v>0</v>
      </c>
      <c r="CD13" s="141">
        <f t="shared" si="8"/>
        <v>0</v>
      </c>
      <c r="CE13" s="141">
        <f t="shared" si="8"/>
        <v>1.2</v>
      </c>
      <c r="CF13" s="141">
        <f>IF(ISBLANK(CA13),"",ROUND(SUMPRODUCT(CC13:CE13,Rank_score)/MAX(SUM($CC$11:$CC$18),SUM($CD$11:$CD$18),SUM($CE$11:$CE$18)),4)+(0.000001*ROWS(CF$10:$CF12)))</f>
        <v>0.26670299999999997</v>
      </c>
      <c r="CG13" s="129"/>
      <c r="CH13" s="206">
        <f t="shared" si="1"/>
        <v>0.83333333333333337</v>
      </c>
      <c r="CI13" s="314" t="str">
        <f t="shared" si="2"/>
        <v>Very unlikely</v>
      </c>
      <c r="CJ13" s="139"/>
      <c r="CK13" s="139"/>
      <c r="CL13" s="139"/>
      <c r="CM13" s="139"/>
      <c r="CN13" s="139"/>
      <c r="CO13" s="141"/>
      <c r="CP13" s="129"/>
      <c r="CQ13" s="82"/>
      <c r="CR13" s="129"/>
      <c r="CS13" s="140" t="s">
        <v>339</v>
      </c>
      <c r="CT13" s="139"/>
      <c r="CU13" s="141">
        <f t="shared" ref="CU13:CW13" si="9">IF(ISBLANK($CS13),"",IFERROR(CU66/$CT$58,0)+IFERROR(CU93/$CT$85,0)+IFERROR(CU120/$CT$112,0)+IFERROR(CU147/$CT$139,0)+IFERROR(CU174/$CT$166,0)+IFERROR(CU201/$CT$193,0))</f>
        <v>0</v>
      </c>
      <c r="CV13" s="141">
        <f t="shared" si="9"/>
        <v>0</v>
      </c>
      <c r="CW13" s="141">
        <f t="shared" si="9"/>
        <v>0.5</v>
      </c>
      <c r="CX13" s="141">
        <f>IF(ISBLANK($CS13),"",ROUND(SUMPRODUCT(CU13:CW13,Rank_score)/MAX(SUM($CU$11:$CU$18),SUM($CV$11:$CV$18),SUM($CW$11:$CW$18)),4)+(0.000001*ROWS($CX$10:CX12)))</f>
        <v>8.3303000000000002E-2</v>
      </c>
      <c r="CY13" s="129"/>
      <c r="CZ13" s="206">
        <f t="shared" si="4"/>
        <v>0.83333333333333337</v>
      </c>
      <c r="DA13" s="314" t="str">
        <f t="shared" si="5"/>
        <v>Very unlikely</v>
      </c>
      <c r="DB13" s="139"/>
      <c r="DC13" s="139"/>
      <c r="DD13" s="139"/>
      <c r="DE13" s="139"/>
      <c r="DF13" s="139"/>
      <c r="DG13" s="141"/>
      <c r="DH13" s="129"/>
      <c r="DI13" s="82"/>
      <c r="DJ13" s="129"/>
      <c r="DK13" s="530"/>
      <c r="DL13" s="531"/>
      <c r="DM13" s="531"/>
      <c r="DN13" s="531"/>
      <c r="DO13" s="531"/>
      <c r="DP13" s="531"/>
      <c r="DQ13" s="532"/>
      <c r="DR13" s="287"/>
      <c r="DS13" s="528"/>
      <c r="DT13" s="529"/>
      <c r="DU13" s="129"/>
      <c r="DV13" s="129"/>
      <c r="DW13" s="129"/>
      <c r="DX13" s="129"/>
      <c r="DY13" s="129"/>
      <c r="DZ13" s="129"/>
      <c r="EA13" s="129"/>
      <c r="EB13" s="129"/>
      <c r="EC13" s="129"/>
      <c r="ED13" s="129"/>
      <c r="EE13" s="129"/>
      <c r="EF13" s="129"/>
      <c r="EG13" s="129"/>
      <c r="EH13" s="129"/>
      <c r="EI13" s="129"/>
      <c r="EJ13" s="129"/>
      <c r="EK13" s="129"/>
      <c r="EL13" s="129"/>
    </row>
    <row r="14" spans="1:142" s="260" customFormat="1" ht="15" customHeight="1" x14ac:dyDescent="0.25">
      <c r="A14" s="129"/>
      <c r="B14" s="530"/>
      <c r="C14" s="531"/>
      <c r="D14" s="531"/>
      <c r="E14" s="531"/>
      <c r="F14" s="531"/>
      <c r="G14" s="531"/>
      <c r="H14" s="532"/>
      <c r="I14" s="285"/>
      <c r="J14" s="129"/>
      <c r="K14" s="129"/>
      <c r="L14" s="129"/>
      <c r="M14" s="129"/>
      <c r="N14" s="129"/>
      <c r="O14" s="129"/>
      <c r="P14" s="129"/>
      <c r="Q14" s="82"/>
      <c r="S14" s="536"/>
      <c r="T14" s="537"/>
      <c r="U14" s="537"/>
      <c r="V14" s="537"/>
      <c r="W14" s="537"/>
      <c r="X14" s="537"/>
      <c r="Y14" s="538"/>
      <c r="Z14" s="129"/>
      <c r="AA14" s="129"/>
      <c r="AB14" s="129"/>
      <c r="AC14" s="129"/>
      <c r="AD14" s="80"/>
      <c r="AE14" s="81"/>
      <c r="AF14" s="373"/>
      <c r="AH14" s="530"/>
      <c r="AI14" s="531"/>
      <c r="AJ14" s="531"/>
      <c r="AK14" s="531"/>
      <c r="AL14" s="531"/>
      <c r="AM14" s="531"/>
      <c r="AN14" s="532"/>
      <c r="AO14" s="129"/>
      <c r="AP14" s="129"/>
      <c r="AQ14" s="129"/>
      <c r="AR14" s="129"/>
      <c r="AS14" s="80"/>
      <c r="AT14" s="81"/>
      <c r="AU14" s="373"/>
      <c r="AV14" s="129"/>
      <c r="AW14" s="530"/>
      <c r="AX14" s="531"/>
      <c r="AY14" s="531"/>
      <c r="AZ14" s="531"/>
      <c r="BA14" s="531"/>
      <c r="BB14" s="531"/>
      <c r="BC14" s="532"/>
      <c r="BD14" s="129"/>
      <c r="BE14" s="129"/>
      <c r="BF14" s="129"/>
      <c r="BG14" s="129"/>
      <c r="BH14" s="80"/>
      <c r="BI14" s="81"/>
      <c r="BJ14" s="373"/>
      <c r="BL14" s="530"/>
      <c r="BM14" s="531"/>
      <c r="BN14" s="531"/>
      <c r="BO14" s="531"/>
      <c r="BP14" s="531"/>
      <c r="BQ14" s="531"/>
      <c r="BR14" s="532"/>
      <c r="BS14" s="129"/>
      <c r="BT14" s="129"/>
      <c r="BU14" s="129"/>
      <c r="BV14" s="129"/>
      <c r="BW14" s="80"/>
      <c r="BX14" s="81"/>
      <c r="BY14" s="373"/>
      <c r="BZ14" s="129"/>
      <c r="CA14" s="140" t="s">
        <v>147</v>
      </c>
      <c r="CB14" s="139"/>
      <c r="CC14" s="141">
        <f t="shared" ref="CC14:CE14" si="10">IF(ISBLANK($CA14),"",IFERROR(CC67/$CB$58,0)+IFERROR(CC94/$CG$82,0)+IFERROR(CC121/$CB$112,0)+IFERROR(CC148/$CB$139,0)+IFERROR(CC175/$CB$166,0)+IFERROR(CC202/$CB$193,0))</f>
        <v>0</v>
      </c>
      <c r="CD14" s="141">
        <f t="shared" si="10"/>
        <v>1.5</v>
      </c>
      <c r="CE14" s="141">
        <f t="shared" si="10"/>
        <v>1.5</v>
      </c>
      <c r="CF14" s="141">
        <f>IF(ISBLANK(CA14),"",ROUND(SUMPRODUCT(CC14:CE14,Rank_score)/MAX(SUM($CC$11:$CC$18),SUM($CD$11:$CD$18),SUM($CE$11:$CE$18)),4)+(0.000001*ROWS(CF$10:$CF13)))</f>
        <v>1.0000039999999999</v>
      </c>
      <c r="CG14" s="129"/>
      <c r="CH14" s="206">
        <f t="shared" si="1"/>
        <v>2.9166666666666665</v>
      </c>
      <c r="CI14" s="314" t="str">
        <f t="shared" si="2"/>
        <v>Moderately unlikely</v>
      </c>
      <c r="CJ14" s="139"/>
      <c r="CK14" s="139"/>
      <c r="CL14" s="139"/>
      <c r="CM14" s="139"/>
      <c r="CN14" s="139"/>
      <c r="CO14" s="141"/>
      <c r="CP14" s="129"/>
      <c r="CQ14" s="82"/>
      <c r="CR14" s="129"/>
      <c r="CS14" s="140" t="s">
        <v>345</v>
      </c>
      <c r="CT14" s="139"/>
      <c r="CU14" s="141">
        <f t="shared" ref="CU14:CW14" si="11">IF(ISBLANK($CS14),"",IFERROR(CU67/$CT$58,0)+IFERROR(CU94/$CT$85,0)+IFERROR(CU121/$CT$112,0)+IFERROR(CU148/$CT$139,0)+IFERROR(CU175/$CT$166,0)+IFERROR(CU202/$CT$193,0))</f>
        <v>0</v>
      </c>
      <c r="CV14" s="141">
        <f t="shared" si="11"/>
        <v>0.5</v>
      </c>
      <c r="CW14" s="141">
        <f t="shared" si="11"/>
        <v>1</v>
      </c>
      <c r="CX14" s="141">
        <f>IF(ISBLANK($CS14),"",ROUND(SUMPRODUCT(CU14:CW14,Rank_score)/MAX(SUM($CU$11:$CU$18),SUM($CV$11:$CV$18),SUM($CW$11:$CW$18)),4)+(0.000001*ROWS($CX$10:CX13)))</f>
        <v>0.33330399999999999</v>
      </c>
      <c r="CY14" s="129"/>
      <c r="CZ14" s="206">
        <f t="shared" si="4"/>
        <v>1.3333333333333333</v>
      </c>
      <c r="DA14" s="314" t="str">
        <f t="shared" si="5"/>
        <v>Unlikely</v>
      </c>
      <c r="DB14" s="139"/>
      <c r="DC14" s="139"/>
      <c r="DD14" s="139"/>
      <c r="DE14" s="139"/>
      <c r="DF14" s="139"/>
      <c r="DG14" s="141"/>
      <c r="DH14" s="129"/>
      <c r="DI14" s="82"/>
      <c r="DJ14" s="129"/>
      <c r="DK14" s="530"/>
      <c r="DL14" s="531"/>
      <c r="DM14" s="531"/>
      <c r="DN14" s="531"/>
      <c r="DO14" s="531"/>
      <c r="DP14" s="531"/>
      <c r="DQ14" s="532"/>
      <c r="DR14" s="287"/>
      <c r="DS14" s="129"/>
      <c r="DT14" s="129"/>
      <c r="DU14" s="129"/>
      <c r="DV14" s="129"/>
      <c r="DW14" s="129"/>
      <c r="DX14" s="129"/>
      <c r="DY14" s="129"/>
      <c r="DZ14" s="129"/>
      <c r="EA14" s="129"/>
      <c r="EB14" s="129"/>
      <c r="EC14" s="129"/>
      <c r="ED14" s="129"/>
      <c r="EE14" s="129"/>
      <c r="EF14" s="129"/>
      <c r="EG14" s="129"/>
      <c r="EH14" s="129"/>
      <c r="EI14" s="129"/>
      <c r="EJ14" s="129"/>
      <c r="EK14" s="129"/>
      <c r="EL14" s="129"/>
    </row>
    <row r="15" spans="1:142" s="260" customFormat="1" ht="15" customHeight="1" x14ac:dyDescent="0.25">
      <c r="A15" s="129"/>
      <c r="B15" s="530"/>
      <c r="C15" s="531"/>
      <c r="D15" s="531"/>
      <c r="E15" s="531"/>
      <c r="F15" s="531"/>
      <c r="G15" s="531"/>
      <c r="H15" s="532"/>
      <c r="I15" s="285"/>
      <c r="J15" s="129"/>
      <c r="K15" s="129"/>
      <c r="L15" s="129"/>
      <c r="M15" s="129"/>
      <c r="N15" s="129"/>
      <c r="O15" s="129"/>
      <c r="P15" s="129"/>
      <c r="Q15" s="82"/>
      <c r="S15" s="536"/>
      <c r="T15" s="537"/>
      <c r="U15" s="537"/>
      <c r="V15" s="537"/>
      <c r="W15" s="537"/>
      <c r="X15" s="537"/>
      <c r="Y15" s="538"/>
      <c r="Z15" s="129"/>
      <c r="AA15" s="129"/>
      <c r="AB15" s="129"/>
      <c r="AC15" s="129"/>
      <c r="AD15" s="80"/>
      <c r="AE15" s="81"/>
      <c r="AF15" s="373"/>
      <c r="AH15" s="530"/>
      <c r="AI15" s="531"/>
      <c r="AJ15" s="531"/>
      <c r="AK15" s="531"/>
      <c r="AL15" s="531"/>
      <c r="AM15" s="531"/>
      <c r="AN15" s="532"/>
      <c r="AO15" s="129"/>
      <c r="AP15" s="129"/>
      <c r="AQ15" s="129"/>
      <c r="AR15" s="129"/>
      <c r="AS15" s="80"/>
      <c r="AT15" s="81"/>
      <c r="AU15" s="373"/>
      <c r="AV15" s="129"/>
      <c r="AW15" s="530"/>
      <c r="AX15" s="531"/>
      <c r="AY15" s="531"/>
      <c r="AZ15" s="531"/>
      <c r="BA15" s="531"/>
      <c r="BB15" s="531"/>
      <c r="BC15" s="532"/>
      <c r="BD15" s="129"/>
      <c r="BE15" s="129"/>
      <c r="BF15" s="129"/>
      <c r="BG15" s="129"/>
      <c r="BH15" s="80"/>
      <c r="BI15" s="81"/>
      <c r="BJ15" s="373"/>
      <c r="BL15" s="530"/>
      <c r="BM15" s="531"/>
      <c r="BN15" s="531"/>
      <c r="BO15" s="531"/>
      <c r="BP15" s="531"/>
      <c r="BQ15" s="531"/>
      <c r="BR15" s="532"/>
      <c r="BS15" s="129"/>
      <c r="BT15" s="129"/>
      <c r="BU15" s="129"/>
      <c r="BV15" s="129"/>
      <c r="BW15" s="80"/>
      <c r="BX15" s="81"/>
      <c r="BY15" s="373"/>
      <c r="BZ15" s="129"/>
      <c r="CA15" s="140" t="s">
        <v>341</v>
      </c>
      <c r="CB15" s="139"/>
      <c r="CC15" s="141">
        <f t="shared" ref="CC15:CE15" si="12">IF(ISBLANK($CA15),"",IFERROR(CC68/$CB$58,0)+IFERROR(CC95/$CG$82,0)+IFERROR(CC122/$CB$112,0)+IFERROR(CC149/$CB$139,0)+IFERROR(CC176/$CB$166,0)+IFERROR(CC203/$CB$193,0))</f>
        <v>0</v>
      </c>
      <c r="CD15" s="141">
        <f t="shared" si="12"/>
        <v>0.5</v>
      </c>
      <c r="CE15" s="141">
        <f t="shared" si="12"/>
        <v>0.5</v>
      </c>
      <c r="CF15" s="141">
        <f>IF(ISBLANK(CA15),"",ROUND(SUMPRODUCT(CC15:CE15,Rank_score)/MAX(SUM($CC$11:$CC$18),SUM($CD$11:$CD$18),SUM($CE$11:$CE$18)),4)+(0.000001*ROWS(CF$10:$CF14)))</f>
        <v>0.33330499999999996</v>
      </c>
      <c r="CG15" s="129"/>
      <c r="CH15" s="206">
        <f t="shared" si="1"/>
        <v>1.6666666666666667</v>
      </c>
      <c r="CI15" s="314" t="str">
        <f t="shared" si="2"/>
        <v>Unlikely</v>
      </c>
      <c r="CJ15" s="139"/>
      <c r="CK15" s="139"/>
      <c r="CL15" s="139"/>
      <c r="CM15" s="139"/>
      <c r="CN15" s="139"/>
      <c r="CO15" s="141"/>
      <c r="CP15" s="129"/>
      <c r="CQ15" s="82"/>
      <c r="CR15" s="129"/>
      <c r="CS15" s="140" t="s">
        <v>561</v>
      </c>
      <c r="CT15" s="139"/>
      <c r="CU15" s="141">
        <f t="shared" ref="CU15:CW15" si="13">IF(ISBLANK($CS15),"",IFERROR(CU68/$CT$58,0)+IFERROR(CU95/$CT$85,0)+IFERROR(CU122/$CT$112,0)+IFERROR(CU149/$CT$139,0)+IFERROR(CU176/$CT$166,0)+IFERROR(CU203/$CT$193,0))</f>
        <v>2.5</v>
      </c>
      <c r="CV15" s="141">
        <f t="shared" si="13"/>
        <v>1.5</v>
      </c>
      <c r="CW15" s="141">
        <f t="shared" si="13"/>
        <v>0</v>
      </c>
      <c r="CX15" s="141">
        <f>IF(ISBLANK($CS15),"",ROUND(SUMPRODUCT(CU15:CW15,Rank_score)/MAX(SUM($CU$11:$CU$18),SUM($CV$11:$CV$18),SUM($CW$11:$CW$18)),4)+(0.000001*ROWS($CX$10:CX14)))</f>
        <v>1.750005</v>
      </c>
      <c r="CY15" s="129"/>
      <c r="CZ15" s="206">
        <f t="shared" si="4"/>
        <v>3.5</v>
      </c>
      <c r="DA15" s="314" t="str">
        <f t="shared" si="5"/>
        <v>Moderately likely</v>
      </c>
      <c r="DB15" s="139"/>
      <c r="DC15" s="139"/>
      <c r="DD15" s="139"/>
      <c r="DE15" s="139"/>
      <c r="DF15" s="139"/>
      <c r="DG15" s="141"/>
      <c r="DH15" s="129"/>
      <c r="DI15" s="82"/>
      <c r="DJ15" s="129"/>
      <c r="DK15" s="530"/>
      <c r="DL15" s="531"/>
      <c r="DM15" s="531"/>
      <c r="DN15" s="531"/>
      <c r="DO15" s="531"/>
      <c r="DP15" s="531"/>
      <c r="DQ15" s="532"/>
      <c r="DR15" s="287"/>
      <c r="DS15" s="129"/>
      <c r="DT15" s="129"/>
      <c r="DU15" s="129"/>
      <c r="DV15" s="129"/>
      <c r="DW15" s="129"/>
      <c r="DX15" s="129"/>
      <c r="DY15" s="129"/>
      <c r="DZ15" s="129"/>
      <c r="EA15" s="129"/>
      <c r="EB15" s="129"/>
      <c r="EC15" s="129"/>
      <c r="ED15" s="129"/>
      <c r="EE15" s="129"/>
      <c r="EF15" s="129"/>
      <c r="EG15" s="129"/>
      <c r="EH15" s="129"/>
      <c r="EI15" s="129"/>
      <c r="EJ15" s="129"/>
      <c r="EK15" s="129"/>
      <c r="EL15" s="129"/>
    </row>
    <row r="16" spans="1:142" s="260" customFormat="1" ht="13.5" customHeight="1" x14ac:dyDescent="0.25">
      <c r="A16" s="129"/>
      <c r="B16" s="530"/>
      <c r="C16" s="531"/>
      <c r="D16" s="531"/>
      <c r="E16" s="531"/>
      <c r="F16" s="531"/>
      <c r="G16" s="531"/>
      <c r="H16" s="532"/>
      <c r="I16" s="285"/>
      <c r="J16" s="129"/>
      <c r="K16" s="129"/>
      <c r="L16" s="129"/>
      <c r="M16" s="129"/>
      <c r="N16" s="129"/>
      <c r="O16" s="129"/>
      <c r="P16" s="129"/>
      <c r="Q16" s="82"/>
      <c r="S16" s="536"/>
      <c r="T16" s="537"/>
      <c r="U16" s="537"/>
      <c r="V16" s="537"/>
      <c r="W16" s="537"/>
      <c r="X16" s="537"/>
      <c r="Y16" s="538"/>
      <c r="Z16" s="129"/>
      <c r="AA16" s="129"/>
      <c r="AB16" s="129"/>
      <c r="AC16" s="129"/>
      <c r="AD16" s="80"/>
      <c r="AE16" s="81"/>
      <c r="AF16" s="373"/>
      <c r="AH16" s="530"/>
      <c r="AI16" s="531"/>
      <c r="AJ16" s="531"/>
      <c r="AK16" s="531"/>
      <c r="AL16" s="531"/>
      <c r="AM16" s="531"/>
      <c r="AN16" s="532"/>
      <c r="AO16" s="129"/>
      <c r="AP16" s="129"/>
      <c r="AQ16" s="129"/>
      <c r="AR16" s="129"/>
      <c r="AS16" s="80"/>
      <c r="AT16" s="81"/>
      <c r="AU16" s="373"/>
      <c r="AV16" s="129"/>
      <c r="AW16" s="530"/>
      <c r="AX16" s="531"/>
      <c r="AY16" s="531"/>
      <c r="AZ16" s="531"/>
      <c r="BA16" s="531"/>
      <c r="BB16" s="531"/>
      <c r="BC16" s="532"/>
      <c r="BD16" s="129"/>
      <c r="BE16" s="129"/>
      <c r="BF16" s="129"/>
      <c r="BG16" s="129"/>
      <c r="BH16" s="80"/>
      <c r="BI16" s="81"/>
      <c r="BJ16" s="373"/>
      <c r="BL16" s="530"/>
      <c r="BM16" s="531"/>
      <c r="BN16" s="531"/>
      <c r="BO16" s="531"/>
      <c r="BP16" s="531"/>
      <c r="BQ16" s="531"/>
      <c r="BR16" s="532"/>
      <c r="BS16" s="129"/>
      <c r="BT16" s="129"/>
      <c r="BU16" s="129"/>
      <c r="BV16" s="129"/>
      <c r="BW16" s="80"/>
      <c r="BX16" s="81"/>
      <c r="BY16" s="373"/>
      <c r="BZ16" s="129"/>
      <c r="CA16" s="140" t="s">
        <v>148</v>
      </c>
      <c r="CB16" s="139"/>
      <c r="CC16" s="141">
        <f t="shared" ref="CC16:CE17" si="14">IF(ISBLANK($CA16),"",IFERROR(CC69/$CB$58,0)+IFERROR(CC96/$CG$82,0)+IFERROR(CC123/$CB$112,0)+IFERROR(CC150/$CB$139,0)+IFERROR(CC177/$CB$166,0)+IFERROR(CC204/$CB$193,0))</f>
        <v>0</v>
      </c>
      <c r="CD16" s="141">
        <f t="shared" si="14"/>
        <v>0</v>
      </c>
      <c r="CE16" s="141">
        <f t="shared" si="14"/>
        <v>0.2</v>
      </c>
      <c r="CF16" s="141">
        <f>IF(ISBLANK(CA16),"",ROUND(SUMPRODUCT(CC16:CE16,Rank_score)/MAX(SUM($CC$11:$CC$18),SUM($CD$11:$CD$18),SUM($CE$11:$CE$18)),4)+(0.000001*ROWS(CF$10:$CF15)))</f>
        <v>4.4406000000000001E-2</v>
      </c>
      <c r="CG16" s="287"/>
      <c r="CH16" s="206">
        <f t="shared" si="1"/>
        <v>0.33333333333333331</v>
      </c>
      <c r="CI16" s="314" t="str">
        <f t="shared" si="2"/>
        <v>Very unlikely</v>
      </c>
      <c r="CJ16" s="139"/>
      <c r="CK16" s="139"/>
      <c r="CL16" s="139"/>
      <c r="CM16" s="139"/>
      <c r="CN16" s="139"/>
      <c r="CO16" s="141"/>
      <c r="CP16" s="287"/>
      <c r="CQ16" s="82"/>
      <c r="CR16" s="129"/>
      <c r="CS16" s="140" t="s">
        <v>49</v>
      </c>
      <c r="CT16" s="139"/>
      <c r="CU16" s="141">
        <f t="shared" ref="CU16:CW16" si="15">IF(ISBLANK($CS16),"",IFERROR(CU69/$CT$58,0)+IFERROR(CU96/$CT$85,0)+IFERROR(CU123/$CT$112,0)+IFERROR(CU150/$CT$139,0)+IFERROR(CU177/$CT$166,0)+IFERROR(CU204/$CT$193,0))</f>
        <v>0.5</v>
      </c>
      <c r="CV16" s="141">
        <f t="shared" si="15"/>
        <v>0</v>
      </c>
      <c r="CW16" s="141">
        <f t="shared" si="15"/>
        <v>0.5</v>
      </c>
      <c r="CX16" s="141">
        <f>IF(ISBLANK($CS16),"",ROUND(SUMPRODUCT(CU16:CW16,Rank_score)/MAX(SUM($CU$11:$CU$18),SUM($CV$11:$CV$18),SUM($CW$11:$CW$18)),4)+(0.000001*ROWS($CX$10:CX15)))</f>
        <v>0.33330599999999999</v>
      </c>
      <c r="CY16" s="287"/>
      <c r="CZ16" s="206">
        <f t="shared" si="4"/>
        <v>0</v>
      </c>
      <c r="DA16" s="314" t="str">
        <f t="shared" si="5"/>
        <v>Ranked, but likelihood not estimated</v>
      </c>
      <c r="DB16" s="139"/>
      <c r="DC16" s="139"/>
      <c r="DD16" s="139"/>
      <c r="DE16" s="139"/>
      <c r="DF16" s="139"/>
      <c r="DG16" s="141"/>
      <c r="DH16" s="287"/>
      <c r="DI16" s="82"/>
      <c r="DJ16" s="287"/>
      <c r="DK16" s="530"/>
      <c r="DL16" s="531"/>
      <c r="DM16" s="531"/>
      <c r="DN16" s="531"/>
      <c r="DO16" s="531"/>
      <c r="DP16" s="531"/>
      <c r="DQ16" s="532"/>
      <c r="DR16" s="287"/>
      <c r="DS16" s="129"/>
      <c r="DT16" s="129"/>
      <c r="DU16" s="129"/>
      <c r="DV16" s="129"/>
      <c r="DW16" s="129"/>
      <c r="DX16" s="129"/>
      <c r="DY16" s="129"/>
      <c r="DZ16" s="129"/>
      <c r="EA16" s="129"/>
      <c r="EB16" s="129"/>
      <c r="EC16" s="129"/>
      <c r="ED16" s="129"/>
      <c r="EE16" s="129"/>
      <c r="EF16" s="129"/>
      <c r="EG16" s="129"/>
      <c r="EH16" s="129"/>
      <c r="EI16" s="129"/>
      <c r="EJ16" s="129"/>
      <c r="EK16" s="129"/>
      <c r="EL16" s="129"/>
    </row>
    <row r="17" spans="1:142" s="260" customFormat="1" ht="14.4" thickBot="1" x14ac:dyDescent="0.3">
      <c r="A17" s="129"/>
      <c r="B17" s="533"/>
      <c r="C17" s="534"/>
      <c r="D17" s="534"/>
      <c r="E17" s="534"/>
      <c r="F17" s="534"/>
      <c r="G17" s="534"/>
      <c r="H17" s="535"/>
      <c r="I17" s="285"/>
      <c r="J17" s="129"/>
      <c r="K17" s="129"/>
      <c r="L17" s="129"/>
      <c r="M17" s="129"/>
      <c r="N17" s="129"/>
      <c r="O17" s="129"/>
      <c r="P17" s="129"/>
      <c r="Q17" s="82"/>
      <c r="S17" s="539"/>
      <c r="T17" s="540"/>
      <c r="U17" s="540"/>
      <c r="V17" s="540"/>
      <c r="W17" s="540"/>
      <c r="X17" s="540"/>
      <c r="Y17" s="541"/>
      <c r="Z17" s="129"/>
      <c r="AA17" s="129"/>
      <c r="AB17" s="129"/>
      <c r="AC17" s="129"/>
      <c r="AD17" s="80"/>
      <c r="AE17" s="81"/>
      <c r="AF17" s="373"/>
      <c r="AH17" s="533"/>
      <c r="AI17" s="534"/>
      <c r="AJ17" s="534"/>
      <c r="AK17" s="534"/>
      <c r="AL17" s="534"/>
      <c r="AM17" s="534"/>
      <c r="AN17" s="535"/>
      <c r="AO17" s="129"/>
      <c r="AP17" s="129"/>
      <c r="AQ17" s="129"/>
      <c r="AR17" s="129"/>
      <c r="AS17" s="80"/>
      <c r="AT17" s="81"/>
      <c r="AU17" s="373"/>
      <c r="AV17" s="129"/>
      <c r="AW17" s="533"/>
      <c r="AX17" s="534"/>
      <c r="AY17" s="534"/>
      <c r="AZ17" s="534"/>
      <c r="BA17" s="534"/>
      <c r="BB17" s="534"/>
      <c r="BC17" s="535"/>
      <c r="BD17" s="129"/>
      <c r="BE17" s="129"/>
      <c r="BF17" s="129"/>
      <c r="BG17" s="129"/>
      <c r="BH17" s="80"/>
      <c r="BI17" s="81"/>
      <c r="BJ17" s="373"/>
      <c r="BL17" s="533"/>
      <c r="BM17" s="534"/>
      <c r="BN17" s="534"/>
      <c r="BO17" s="534"/>
      <c r="BP17" s="534"/>
      <c r="BQ17" s="534"/>
      <c r="BR17" s="535"/>
      <c r="BS17" s="129"/>
      <c r="BT17" s="129"/>
      <c r="BU17" s="129"/>
      <c r="BV17" s="129"/>
      <c r="BW17" s="80"/>
      <c r="BX17" s="81"/>
      <c r="BY17" s="373"/>
      <c r="BZ17" s="129"/>
      <c r="CA17" s="140" t="s">
        <v>49</v>
      </c>
      <c r="CB17" s="139"/>
      <c r="CC17" s="141">
        <f t="shared" si="14"/>
        <v>0.9</v>
      </c>
      <c r="CD17" s="141">
        <f t="shared" si="14"/>
        <v>0</v>
      </c>
      <c r="CE17" s="141">
        <f t="shared" si="14"/>
        <v>0</v>
      </c>
      <c r="CF17" s="141">
        <f>IF(ISBLANK(CA17),"",ROUND(SUMPRODUCT(CC17:CE17,Rank_score)/MAX(SUM($CC$11:$CC$18),SUM($CD$11:$CD$18),SUM($CE$11:$CE$18)),4)+(0.000001*ROWS(CF$10:$CF16)))</f>
        <v>0.60000699999999996</v>
      </c>
      <c r="CG17" s="38"/>
      <c r="CH17" s="206">
        <f t="shared" si="1"/>
        <v>1.5</v>
      </c>
      <c r="CI17" s="314" t="str">
        <f t="shared" si="2"/>
        <v>Unlikely</v>
      </c>
      <c r="CJ17" s="139"/>
      <c r="CK17" s="139"/>
      <c r="CL17" s="139"/>
      <c r="CM17" s="139"/>
      <c r="CN17" s="139"/>
      <c r="CO17" s="141"/>
      <c r="CP17" s="38"/>
      <c r="CQ17" s="82"/>
      <c r="CR17" s="129"/>
      <c r="CS17" s="140"/>
      <c r="CT17" s="139"/>
      <c r="CU17" s="141" t="str">
        <f t="shared" ref="CU17:CW17" si="16">IF(ISBLANK($CS17),"",IFERROR(CU70/$CT$58,0)+IFERROR(CU97/$CT$85,0)+IFERROR(CU124/$CT$112,0)+IFERROR(CU151/$CT$139,0)+IFERROR(CU178/$CT$166,0)+IFERROR(CU205/$CT$193,0))</f>
        <v/>
      </c>
      <c r="CV17" s="141" t="str">
        <f t="shared" si="16"/>
        <v/>
      </c>
      <c r="CW17" s="141" t="str">
        <f t="shared" si="16"/>
        <v/>
      </c>
      <c r="CX17" s="141" t="str">
        <f>IF(ISBLANK($CS17),"",ROUND(SUMPRODUCT(CU17:CW17,Rank_score)/MAX(SUM($CU$11:$CU$18),SUM($CV$11:$CV$18),SUM($CW$11:$CW$18)),4)+(0.000001*ROWS($CX$10:CX16)))</f>
        <v/>
      </c>
      <c r="CY17" s="38"/>
      <c r="CZ17" s="206" t="str">
        <f t="shared" si="4"/>
        <v/>
      </c>
      <c r="DA17" s="314" t="str">
        <f t="shared" si="5"/>
        <v/>
      </c>
      <c r="DB17" s="139"/>
      <c r="DC17" s="139"/>
      <c r="DD17" s="139"/>
      <c r="DE17" s="139"/>
      <c r="DF17" s="139"/>
      <c r="DG17" s="141"/>
      <c r="DH17" s="38"/>
      <c r="DI17" s="82"/>
      <c r="DJ17" s="38"/>
      <c r="DK17" s="533"/>
      <c r="DL17" s="534"/>
      <c r="DM17" s="534"/>
      <c r="DN17" s="534"/>
      <c r="DO17" s="534"/>
      <c r="DP17" s="534"/>
      <c r="DQ17" s="535"/>
      <c r="DR17" s="287"/>
      <c r="DS17" s="129"/>
      <c r="DT17" s="129"/>
      <c r="DU17" s="129"/>
      <c r="DV17" s="129"/>
      <c r="DW17" s="129"/>
      <c r="DX17" s="129"/>
      <c r="DY17" s="129"/>
      <c r="DZ17" s="129"/>
      <c r="EA17" s="129"/>
      <c r="EB17" s="129"/>
      <c r="EC17" s="129"/>
      <c r="ED17" s="129"/>
      <c r="EE17" s="129"/>
      <c r="EF17" s="129"/>
      <c r="EG17" s="129"/>
      <c r="EH17" s="129"/>
      <c r="EI17" s="129"/>
      <c r="EJ17" s="129"/>
      <c r="EK17" s="129"/>
      <c r="EL17" s="129"/>
    </row>
    <row r="18" spans="1:142" ht="14.4" x14ac:dyDescent="0.3">
      <c r="A18" s="14"/>
      <c r="B18" s="23"/>
      <c r="C18" s="14"/>
      <c r="D18" s="18"/>
      <c r="E18" s="14"/>
      <c r="F18" s="14"/>
      <c r="G18" s="14"/>
      <c r="H18" s="75"/>
      <c r="I18" s="21"/>
      <c r="J18" s="14"/>
      <c r="K18" s="14"/>
      <c r="L18" s="14"/>
      <c r="M18" s="14"/>
      <c r="N18" s="14"/>
      <c r="O18" s="14"/>
      <c r="P18" s="14"/>
      <c r="Q18" s="47"/>
      <c r="R18" s="19"/>
      <c r="S18" s="14"/>
      <c r="T18" s="14"/>
      <c r="U18" s="14"/>
      <c r="V18" s="14"/>
      <c r="W18" s="14"/>
      <c r="X18" s="14"/>
      <c r="Y18" s="14"/>
      <c r="Z18" s="14"/>
      <c r="AA18" s="14"/>
      <c r="AB18" s="14"/>
      <c r="AC18" s="14"/>
      <c r="AD18" s="65"/>
      <c r="AE18" s="63"/>
      <c r="AF18" s="352"/>
      <c r="AG18" s="19"/>
      <c r="AH18" s="14"/>
      <c r="AI18" s="14"/>
      <c r="AJ18" s="14"/>
      <c r="AK18" s="14"/>
      <c r="AL18" s="14"/>
      <c r="AM18" s="14"/>
      <c r="AN18" s="14"/>
      <c r="AO18" s="14"/>
      <c r="AP18" s="14"/>
      <c r="AQ18" s="14"/>
      <c r="AR18" s="14"/>
      <c r="AS18" s="65"/>
      <c r="AT18" s="63"/>
      <c r="AU18" s="352"/>
      <c r="AV18" s="14"/>
      <c r="AW18" s="14"/>
      <c r="AX18" s="14"/>
      <c r="AY18" s="14"/>
      <c r="AZ18" s="14"/>
      <c r="BA18" s="14"/>
      <c r="BB18" s="14"/>
      <c r="BC18" s="14"/>
      <c r="BD18" s="14"/>
      <c r="BE18" s="14"/>
      <c r="BF18" s="14"/>
      <c r="BG18" s="14"/>
      <c r="BH18" s="65"/>
      <c r="BI18" s="63"/>
      <c r="BJ18" s="352"/>
      <c r="BK18" s="19"/>
      <c r="BL18" s="14"/>
      <c r="BM18" s="14"/>
      <c r="BN18" s="14"/>
      <c r="BO18" s="14"/>
      <c r="BP18" s="14"/>
      <c r="BQ18" s="14"/>
      <c r="BR18" s="14"/>
      <c r="BS18" s="14"/>
      <c r="BT18" s="14"/>
      <c r="BU18" s="14"/>
      <c r="BV18" s="14"/>
      <c r="BW18" s="65"/>
      <c r="BX18" s="63"/>
      <c r="BY18" s="352"/>
      <c r="BZ18" s="14"/>
      <c r="CA18" s="107"/>
      <c r="CB18" s="27"/>
      <c r="CC18" s="141"/>
      <c r="CD18" s="141"/>
      <c r="CE18" s="141"/>
      <c r="CF18" s="141" t="str">
        <f>IF(ISBLANK(CA18),"",ROUND(SUMPRODUCT(CC18:CE18,Rank_score)/MAX(SUM($CC$11:$CC$18),SUM($CD$11:$CD$18),SUM($CE$11:$CE$18)),4)+(0.000001*ROWS(CF$10:$CF17)))</f>
        <v/>
      </c>
      <c r="CG18" s="29"/>
      <c r="CH18" s="206"/>
      <c r="CI18" s="314" t="str">
        <f t="shared" si="2"/>
        <v/>
      </c>
      <c r="CJ18" s="115"/>
      <c r="CK18" s="115"/>
      <c r="CL18" s="115"/>
      <c r="CM18" s="115"/>
      <c r="CN18" s="115"/>
      <c r="CO18" s="326"/>
      <c r="CP18" s="29"/>
      <c r="CQ18" s="47"/>
      <c r="CR18" s="14"/>
      <c r="CS18" s="107"/>
      <c r="CT18" s="27"/>
      <c r="CU18" s="141" t="str">
        <f t="shared" ref="CU18:CW18" si="17">IF(ISBLANK($CS18),"",IFERROR(CU71/$CT$58,0)+IFERROR(CU98/$CT$85,0)+IFERROR(CU125/$CT$112,0)+IFERROR(CU152/$CT$139,0)+IFERROR(CU179/$CT$166,0)+IFERROR(CU206/$CT$193,0))</f>
        <v/>
      </c>
      <c r="CV18" s="141" t="str">
        <f t="shared" si="17"/>
        <v/>
      </c>
      <c r="CW18" s="141" t="str">
        <f t="shared" si="17"/>
        <v/>
      </c>
      <c r="CX18" s="141" t="str">
        <f>IF(ISBLANK($CS18),"",ROUND(SUMPRODUCT(CU18:CW18,Rank_score)/MAX(SUM($CU$11:$CU$18),SUM($CV$11:$CV$18),SUM($CW$11:$CW$18)),4)+(0.000001*ROWS($CX$10:CX17)))</f>
        <v/>
      </c>
      <c r="CY18" s="29"/>
      <c r="CZ18" s="206" t="str">
        <f t="shared" si="4"/>
        <v/>
      </c>
      <c r="DA18" s="314" t="str">
        <f t="shared" si="5"/>
        <v/>
      </c>
      <c r="DB18" s="27"/>
      <c r="DC18" s="27"/>
      <c r="DD18" s="27"/>
      <c r="DE18" s="27"/>
      <c r="DF18" s="27"/>
      <c r="DG18" s="141"/>
      <c r="DH18" s="29"/>
      <c r="DI18" s="47"/>
      <c r="DJ18" s="29"/>
      <c r="DK18" s="14"/>
      <c r="DL18" s="14"/>
      <c r="DM18" s="14"/>
      <c r="DN18" s="14"/>
      <c r="DO18" s="14"/>
      <c r="DP18" s="14"/>
      <c r="DQ18" s="14"/>
      <c r="DR18" s="57"/>
      <c r="DS18" s="14"/>
      <c r="DT18" s="14"/>
      <c r="DU18" s="14"/>
      <c r="DV18" s="14"/>
      <c r="DW18" s="14"/>
      <c r="DX18" s="14"/>
      <c r="DY18" s="14"/>
      <c r="DZ18" s="14"/>
      <c r="EA18" s="14"/>
      <c r="EB18" s="14"/>
      <c r="EC18" s="14"/>
      <c r="ED18" s="14"/>
      <c r="EE18" s="14"/>
      <c r="EF18" s="14"/>
      <c r="EG18" s="14"/>
      <c r="EH18" s="14"/>
      <c r="EI18" s="14"/>
      <c r="EJ18" s="14"/>
      <c r="EK18" s="14"/>
      <c r="EL18" s="14"/>
    </row>
    <row r="19" spans="1:142" x14ac:dyDescent="0.25">
      <c r="A19" s="14"/>
      <c r="B19" s="23"/>
      <c r="C19" s="14"/>
      <c r="D19" s="18"/>
      <c r="E19" s="14"/>
      <c r="F19" s="14"/>
      <c r="G19" s="14"/>
      <c r="H19" s="21"/>
      <c r="I19" s="21"/>
      <c r="J19" s="14"/>
      <c r="K19" s="14"/>
      <c r="L19" s="14"/>
      <c r="M19" s="14"/>
      <c r="N19" s="14"/>
      <c r="O19" s="14"/>
      <c r="P19" s="14"/>
      <c r="Q19" s="47"/>
      <c r="R19" s="19"/>
      <c r="S19" s="14"/>
      <c r="T19" s="14"/>
      <c r="U19" s="14"/>
      <c r="V19" s="14"/>
      <c r="W19" s="14"/>
      <c r="X19" s="19"/>
      <c r="Y19" s="19"/>
      <c r="Z19" s="14"/>
      <c r="AA19" s="14"/>
      <c r="AB19" s="14"/>
      <c r="AC19" s="14"/>
      <c r="AD19" s="65"/>
      <c r="AE19" s="63"/>
      <c r="AF19" s="352"/>
      <c r="AG19" s="19"/>
      <c r="AH19" s="14"/>
      <c r="AI19" s="14"/>
      <c r="AJ19" s="14"/>
      <c r="AK19" s="14"/>
      <c r="AL19" s="14"/>
      <c r="AM19" s="19"/>
      <c r="AN19" s="14"/>
      <c r="AO19" s="14"/>
      <c r="AP19" s="14"/>
      <c r="AQ19" s="14"/>
      <c r="AR19" s="14"/>
      <c r="AS19" s="65"/>
      <c r="AT19" s="63"/>
      <c r="AU19" s="352"/>
      <c r="AV19" s="14"/>
      <c r="AW19" s="14"/>
      <c r="AX19" s="14"/>
      <c r="AY19" s="14"/>
      <c r="AZ19" s="14"/>
      <c r="BA19" s="14"/>
      <c r="BB19" s="19"/>
      <c r="BC19" s="19"/>
      <c r="BD19" s="14"/>
      <c r="BE19" s="14"/>
      <c r="BF19" s="14"/>
      <c r="BG19" s="14"/>
      <c r="BH19" s="65"/>
      <c r="BI19" s="63"/>
      <c r="BJ19" s="352"/>
      <c r="BK19" s="19"/>
      <c r="BL19" s="14"/>
      <c r="BM19" s="14"/>
      <c r="BN19" s="14"/>
      <c r="BO19" s="14"/>
      <c r="BP19" s="14"/>
      <c r="BQ19" s="19"/>
      <c r="BR19" s="19"/>
      <c r="BS19" s="14"/>
      <c r="BT19" s="14"/>
      <c r="BU19" s="14"/>
      <c r="BV19" s="14"/>
      <c r="BW19" s="65"/>
      <c r="BX19" s="63"/>
      <c r="BY19" s="352"/>
      <c r="BZ19" s="14"/>
      <c r="CA19" s="86"/>
      <c r="CB19" s="111"/>
      <c r="CC19" s="86"/>
      <c r="CD19" s="86"/>
      <c r="CE19" s="86"/>
      <c r="CF19" s="108"/>
      <c r="CG19" s="29"/>
      <c r="CH19" s="110"/>
      <c r="CI19" s="110"/>
      <c r="CJ19" s="115"/>
      <c r="CK19" s="115"/>
      <c r="CL19" s="115"/>
      <c r="CM19" s="115"/>
      <c r="CN19" s="115"/>
      <c r="CO19" s="129"/>
      <c r="CP19" s="29"/>
      <c r="CQ19" s="47"/>
      <c r="CR19" s="14"/>
      <c r="CS19" s="86"/>
      <c r="CT19" s="111"/>
      <c r="CU19" s="86"/>
      <c r="CV19" s="111"/>
      <c r="CW19" s="86"/>
      <c r="CX19" s="108"/>
      <c r="CY19" s="29"/>
      <c r="CZ19" s="110"/>
      <c r="DA19" s="110"/>
      <c r="DB19" s="115"/>
      <c r="DC19" s="115"/>
      <c r="DD19" s="115"/>
      <c r="DE19" s="115"/>
      <c r="DF19" s="115"/>
      <c r="DG19" s="326"/>
      <c r="DH19" s="29"/>
      <c r="DI19" s="47"/>
      <c r="DJ19" s="29"/>
      <c r="DK19" s="14"/>
      <c r="DL19" s="14"/>
      <c r="DM19" s="14"/>
      <c r="DN19" s="14"/>
      <c r="DO19" s="14"/>
      <c r="DP19" s="14"/>
      <c r="DQ19" s="14"/>
      <c r="DR19" s="57"/>
      <c r="DS19" s="14"/>
      <c r="DT19" s="14"/>
      <c r="DU19" s="14"/>
      <c r="DV19" s="14"/>
      <c r="DW19" s="14"/>
      <c r="DX19" s="14"/>
      <c r="DY19" s="14"/>
      <c r="DZ19" s="14"/>
      <c r="EA19" s="14"/>
      <c r="EB19" s="14"/>
      <c r="EC19" s="14"/>
      <c r="ED19" s="14"/>
      <c r="EE19" s="14"/>
      <c r="EF19" s="14"/>
      <c r="EG19" s="14"/>
      <c r="EH19" s="14"/>
      <c r="EI19" s="14"/>
      <c r="EJ19" s="14"/>
      <c r="EK19" s="14"/>
      <c r="EL19" s="14"/>
    </row>
    <row r="20" spans="1:142" x14ac:dyDescent="0.25">
      <c r="A20" s="14"/>
      <c r="B20" s="23"/>
      <c r="C20" s="14"/>
      <c r="D20" s="18"/>
      <c r="E20" s="14"/>
      <c r="F20" s="14"/>
      <c r="G20" s="14"/>
      <c r="H20" s="21"/>
      <c r="I20" s="21"/>
      <c r="J20" s="14"/>
      <c r="K20" s="14"/>
      <c r="L20" s="14"/>
      <c r="M20" s="14"/>
      <c r="N20" s="14"/>
      <c r="O20" s="14"/>
      <c r="P20" s="14"/>
      <c r="Q20" s="47"/>
      <c r="R20" s="19"/>
      <c r="S20" s="14"/>
      <c r="T20" s="14"/>
      <c r="U20" s="14"/>
      <c r="V20" s="14"/>
      <c r="W20" s="14"/>
      <c r="X20" s="19"/>
      <c r="Y20" s="19"/>
      <c r="Z20" s="14"/>
      <c r="AA20" s="14"/>
      <c r="AB20" s="14"/>
      <c r="AC20" s="14"/>
      <c r="AD20" s="65"/>
      <c r="AE20" s="63"/>
      <c r="AF20" s="352"/>
      <c r="AG20" s="19"/>
      <c r="AH20" s="14"/>
      <c r="AI20" s="14"/>
      <c r="AJ20" s="14"/>
      <c r="AK20" s="14"/>
      <c r="AL20" s="14"/>
      <c r="AM20" s="19"/>
      <c r="AN20" s="19"/>
      <c r="AO20" s="14"/>
      <c r="AP20" s="14"/>
      <c r="AQ20" s="14"/>
      <c r="AR20" s="14"/>
      <c r="AS20" s="65"/>
      <c r="AT20" s="63"/>
      <c r="AU20" s="352"/>
      <c r="AV20" s="14"/>
      <c r="AW20" s="14"/>
      <c r="AX20" s="14"/>
      <c r="AY20" s="14"/>
      <c r="AZ20" s="14"/>
      <c r="BA20" s="14"/>
      <c r="BB20" s="19"/>
      <c r="BC20" s="19"/>
      <c r="BD20" s="14"/>
      <c r="BE20" s="14"/>
      <c r="BF20" s="14"/>
      <c r="BG20" s="14"/>
      <c r="BH20" s="65"/>
      <c r="BI20" s="63"/>
      <c r="BJ20" s="352"/>
      <c r="BK20" s="19"/>
      <c r="BL20" s="14"/>
      <c r="BM20" s="14"/>
      <c r="BN20" s="14"/>
      <c r="BO20" s="14"/>
      <c r="BP20" s="14"/>
      <c r="BQ20" s="19"/>
      <c r="BR20" s="19"/>
      <c r="BS20" s="14"/>
      <c r="BT20" s="14"/>
      <c r="BU20" s="14"/>
      <c r="BV20" s="14"/>
      <c r="BW20" s="65"/>
      <c r="BX20" s="63"/>
      <c r="BY20" s="352"/>
      <c r="BZ20" s="14"/>
      <c r="CA20" s="14"/>
      <c r="CB20" s="21"/>
      <c r="CC20" s="14"/>
      <c r="CD20" s="14"/>
      <c r="CE20" s="14"/>
      <c r="CF20" s="14"/>
      <c r="CG20" s="29"/>
      <c r="CH20" s="14"/>
      <c r="CI20" s="13"/>
      <c r="CJ20" s="14"/>
      <c r="CK20" s="14"/>
      <c r="CL20" s="14"/>
      <c r="CM20" s="14"/>
      <c r="CN20" s="14"/>
      <c r="CO20" s="327"/>
      <c r="CP20" s="29"/>
      <c r="CQ20" s="47"/>
      <c r="CR20" s="14"/>
      <c r="CS20" s="14"/>
      <c r="CT20" s="21"/>
      <c r="CU20" s="14"/>
      <c r="CV20" s="21"/>
      <c r="CW20" s="14"/>
      <c r="CX20" s="14"/>
      <c r="CY20" s="29"/>
      <c r="CZ20" s="14"/>
      <c r="DA20" s="13"/>
      <c r="DB20" s="14"/>
      <c r="DC20" s="14"/>
      <c r="DD20" s="14"/>
      <c r="DE20" s="14"/>
      <c r="DF20" s="14"/>
      <c r="DG20" s="129"/>
      <c r="DH20" s="29"/>
      <c r="DI20" s="47"/>
      <c r="DJ20" s="29"/>
      <c r="DK20" s="14"/>
      <c r="DL20" s="14"/>
      <c r="DM20" s="14"/>
      <c r="DN20" s="14"/>
      <c r="DO20" s="14"/>
      <c r="DP20" s="14"/>
      <c r="DQ20" s="14"/>
      <c r="DR20" s="17"/>
      <c r="DS20" s="14"/>
      <c r="DT20" s="14"/>
      <c r="DU20" s="14"/>
      <c r="DV20" s="14"/>
      <c r="DW20" s="14"/>
      <c r="DX20" s="14"/>
      <c r="DY20" s="14"/>
      <c r="DZ20" s="14"/>
      <c r="EA20" s="14"/>
      <c r="EB20" s="14"/>
      <c r="EC20" s="14"/>
      <c r="ED20" s="14"/>
      <c r="EE20" s="14"/>
      <c r="EF20" s="14"/>
      <c r="EG20" s="14"/>
      <c r="EH20" s="14"/>
      <c r="EI20" s="14"/>
      <c r="EJ20" s="14"/>
      <c r="EK20" s="14"/>
      <c r="EL20" s="14"/>
    </row>
    <row r="21" spans="1:142" ht="27.6" x14ac:dyDescent="0.25">
      <c r="A21" s="14"/>
      <c r="B21" s="112" t="s">
        <v>23</v>
      </c>
      <c r="C21" s="113" t="s">
        <v>24</v>
      </c>
      <c r="D21" s="113" t="s">
        <v>145</v>
      </c>
      <c r="E21" s="113" t="s">
        <v>300</v>
      </c>
      <c r="F21" s="14"/>
      <c r="G21" s="524" t="s">
        <v>754</v>
      </c>
      <c r="H21" s="542"/>
      <c r="I21" s="525"/>
      <c r="J21" s="14"/>
      <c r="K21" s="14"/>
      <c r="L21" s="14"/>
      <c r="M21" s="14"/>
      <c r="N21" s="14"/>
      <c r="O21" s="14"/>
      <c r="P21" s="14"/>
      <c r="Q21" s="47"/>
      <c r="R21" s="19"/>
      <c r="S21" s="112" t="s">
        <v>23</v>
      </c>
      <c r="T21" s="113" t="s">
        <v>24</v>
      </c>
      <c r="U21" s="113" t="s">
        <v>145</v>
      </c>
      <c r="V21" s="113" t="s">
        <v>300</v>
      </c>
      <c r="W21" s="14"/>
      <c r="X21" s="19"/>
      <c r="Y21" s="524" t="s">
        <v>754</v>
      </c>
      <c r="Z21" s="542"/>
      <c r="AA21" s="525"/>
      <c r="AB21" s="14"/>
      <c r="AC21" s="14"/>
      <c r="AD21" s="65"/>
      <c r="AE21" s="63"/>
      <c r="AF21" s="352"/>
      <c r="AG21" s="19"/>
      <c r="AH21" s="112" t="s">
        <v>23</v>
      </c>
      <c r="AI21" s="113" t="s">
        <v>24</v>
      </c>
      <c r="AJ21" s="113" t="s">
        <v>145</v>
      </c>
      <c r="AK21" s="113" t="s">
        <v>300</v>
      </c>
      <c r="AL21" s="14"/>
      <c r="AM21" s="524" t="s">
        <v>754</v>
      </c>
      <c r="AN21" s="542"/>
      <c r="AO21" s="525"/>
      <c r="AP21" s="14"/>
      <c r="AQ21" s="14"/>
      <c r="AR21" s="14"/>
      <c r="AS21" s="65"/>
      <c r="AT21" s="63"/>
      <c r="AU21" s="352"/>
      <c r="AV21" s="14"/>
      <c r="AW21" s="112" t="s">
        <v>23</v>
      </c>
      <c r="AX21" s="113" t="s">
        <v>24</v>
      </c>
      <c r="AY21" s="113" t="s">
        <v>145</v>
      </c>
      <c r="AZ21" s="113" t="s">
        <v>300</v>
      </c>
      <c r="BA21" s="14"/>
      <c r="BB21" s="524" t="s">
        <v>754</v>
      </c>
      <c r="BC21" s="542"/>
      <c r="BD21" s="525"/>
      <c r="BE21" s="14"/>
      <c r="BF21" s="14"/>
      <c r="BG21" s="14"/>
      <c r="BH21" s="65"/>
      <c r="BI21" s="63"/>
      <c r="BJ21" s="352"/>
      <c r="BK21" s="19"/>
      <c r="BL21" s="112" t="s">
        <v>23</v>
      </c>
      <c r="BM21" s="113" t="s">
        <v>24</v>
      </c>
      <c r="BN21" s="113" t="s">
        <v>145</v>
      </c>
      <c r="BO21" s="113" t="s">
        <v>300</v>
      </c>
      <c r="BP21" s="14"/>
      <c r="BQ21" s="524" t="s">
        <v>754</v>
      </c>
      <c r="BR21" s="542"/>
      <c r="BS21" s="525"/>
      <c r="BT21" s="14"/>
      <c r="BU21" s="14"/>
      <c r="BV21" s="14"/>
      <c r="BW21" s="65"/>
      <c r="BX21" s="63"/>
      <c r="BY21" s="352"/>
      <c r="BZ21" s="14"/>
      <c r="CA21" s="112" t="s">
        <v>23</v>
      </c>
      <c r="CB21" s="113" t="s">
        <v>145</v>
      </c>
      <c r="CC21" s="14"/>
      <c r="CD21" s="205" t="s">
        <v>465</v>
      </c>
      <c r="CE21" s="316"/>
      <c r="CF21" s="316"/>
      <c r="CG21" s="316"/>
      <c r="CH21" s="202"/>
      <c r="CI21" s="205" t="s">
        <v>698</v>
      </c>
      <c r="CJ21" s="316"/>
      <c r="CK21" s="202"/>
      <c r="CL21" s="14"/>
      <c r="CM21" s="14"/>
      <c r="CN21" s="14"/>
      <c r="CO21" s="129"/>
      <c r="CP21" s="29"/>
      <c r="CQ21" s="47"/>
      <c r="CR21" s="14"/>
      <c r="CS21" s="112" t="s">
        <v>23</v>
      </c>
      <c r="CT21" s="113" t="s">
        <v>145</v>
      </c>
      <c r="CU21" s="14"/>
      <c r="CV21" s="333" t="s">
        <v>465</v>
      </c>
      <c r="CW21" s="316"/>
      <c r="CX21" s="316"/>
      <c r="CY21" s="316"/>
      <c r="CZ21" s="202"/>
      <c r="DA21" s="205" t="s">
        <v>698</v>
      </c>
      <c r="DB21" s="316"/>
      <c r="DC21" s="202"/>
      <c r="DD21" s="14"/>
      <c r="DE21" s="14"/>
      <c r="DF21" s="14"/>
      <c r="DG21" s="129"/>
      <c r="DH21" s="29"/>
      <c r="DI21" s="47"/>
      <c r="DJ21" s="29"/>
      <c r="DK21" s="112" t="s">
        <v>23</v>
      </c>
      <c r="DL21" s="113" t="s">
        <v>24</v>
      </c>
      <c r="DM21" s="113" t="s">
        <v>145</v>
      </c>
      <c r="DN21" s="113" t="s">
        <v>300</v>
      </c>
      <c r="DO21" s="14"/>
      <c r="DP21" s="14"/>
      <c r="DQ21" s="524" t="s">
        <v>754</v>
      </c>
      <c r="DR21" s="542"/>
      <c r="DS21" s="525"/>
      <c r="DT21" s="14"/>
      <c r="DU21" s="14"/>
      <c r="DV21" s="14"/>
      <c r="DW21" s="14"/>
      <c r="DX21" s="14"/>
      <c r="DY21" s="14"/>
      <c r="DZ21" s="14"/>
      <c r="EA21" s="14"/>
      <c r="EB21" s="14"/>
      <c r="EC21" s="14"/>
      <c r="ED21" s="14"/>
      <c r="EE21" s="14"/>
      <c r="EF21" s="14"/>
      <c r="EG21" s="14"/>
      <c r="EH21" s="14"/>
      <c r="EI21" s="14"/>
      <c r="EJ21" s="14"/>
      <c r="EK21" s="14"/>
      <c r="EL21" s="14"/>
    </row>
    <row r="22" spans="1:142" x14ac:dyDescent="0.25">
      <c r="A22" s="14"/>
      <c r="B22" s="57" t="s">
        <v>2</v>
      </c>
      <c r="C22" s="122" t="str">
        <f ca="1">IF(COUNTIF(C58:C60,"")=2,C58,                                                                                                                                                                                                IF(COUNTIF(C58:C60,"")=1,                                                                                                                                                                                                                                     IFERROR(IF(ABS(MATCH(C58,Responses_list1_frequency,0)-MATCH(C59,Responses_list1_frequency,0))=1,C58&amp;" / "&amp;C59,"No consensus"),"No consensus"),   IF(COUNTIF(C58:C60,"")=0,                                                                                                                                                                                                                                                       IFERROR(IF(AND(ABS(MATCH(C58,Responses_list1_frequency,0)-MATCH(C59,Responses_list1_frequency,0))=1,ABS(MATCH(C59,Responses_list1_frequency,0)-MATCH(C60,Responses_list1_frequency,0))=1),C58&amp;" / "&amp;C59&amp;" / "&amp;C60,"No consensus"),"No consensus"),C58)     ))</f>
        <v>I don’t know</v>
      </c>
      <c r="D22" s="58">
        <f>D58</f>
        <v>5</v>
      </c>
      <c r="E22" s="121">
        <f>E58</f>
        <v>2</v>
      </c>
      <c r="F22" s="14"/>
      <c r="G22" s="526"/>
      <c r="H22" s="543"/>
      <c r="I22" s="527"/>
      <c r="J22" s="33"/>
      <c r="K22" s="14"/>
      <c r="L22" s="14"/>
      <c r="M22" s="14"/>
      <c r="N22" s="14"/>
      <c r="O22" s="14"/>
      <c r="P22" s="14"/>
      <c r="Q22" s="47"/>
      <c r="R22" s="19"/>
      <c r="S22" s="34" t="s">
        <v>2</v>
      </c>
      <c r="T22" s="122" t="str">
        <f ca="1">IF(COUNTIF(T58:T60,"")=2,T58,                                                                                                                                                                                                IF(COUNTIF(T58:T60,"")=1,                                                                                                                                                                                                                                     IFERROR(IF(ABS(MATCH(T58,Responses_list1_frequency,0)-MATCH(T59,Responses_list1_frequency,0))=1,T58&amp;" / "&amp;T59,"No consensus"),"No consensus"),   IF(COUNTIF(T58:T60,"")=0,                                                                                                                                                                                                                                                       IFERROR(IF(AND(ABS(MATCH(T58,Responses_list1_frequency,0)-MATCH(T59,Responses_list1_frequency,0))=1,ABS(MATCH(T59,Responses_list1_frequency,0)-MATCH(T60,Responses_list1_frequency,0))=1),T58&amp;" / "&amp;T59&amp;" / "&amp;T60,"No consensus"),"No consensus"),T58)     ))</f>
        <v>No consensus</v>
      </c>
      <c r="U22" s="33">
        <f>U58</f>
        <v>5</v>
      </c>
      <c r="V22" s="37">
        <f>V58</f>
        <v>2</v>
      </c>
      <c r="W22" s="14"/>
      <c r="X22" s="19"/>
      <c r="Y22" s="526"/>
      <c r="Z22" s="543"/>
      <c r="AA22" s="527"/>
      <c r="AB22" s="14"/>
      <c r="AC22" s="14"/>
      <c r="AD22" s="65"/>
      <c r="AE22" s="63"/>
      <c r="AF22" s="352"/>
      <c r="AG22" s="19"/>
      <c r="AH22" s="57" t="s">
        <v>2</v>
      </c>
      <c r="AI22" s="122" t="str">
        <f ca="1">IF(COUNTIF(AI58:AI60,"")=2,AI58,                                                                                                                                                                                                IF(COUNTIF(AI58:AI60,"")=1,                                                                                                                                                                                                                                     IFERROR(IF(ABS(MATCH(AI58,Responses_list1_frequency,0)-MATCH(AI59,Responses_list1_frequency,0))=1,AI58&amp;" / "&amp;AI59,"No consensus"),"No consensus"),   IF(COUNTIF(AI58:AI60,"")=0,                                                                                                                                                                                                                                                       IFERROR(IF(AND(ABS(MATCH(AI58,Responses_list1_frequency,0)-MATCH(AI59,Responses_list1_frequency,0))=1,ABS(MATCH(AI59,Responses_list1_frequency,0)-MATCH(AI60,Responses_list1_frequency,0))=1),AI58&amp;" / "&amp;AI59&amp;" / "&amp;AI60,"No consensus"),"No consensus"),AI58)     ))</f>
        <v>Very unlikely</v>
      </c>
      <c r="AJ22" s="58">
        <f>AJ58</f>
        <v>4</v>
      </c>
      <c r="AK22" s="58">
        <f>AK58</f>
        <v>0</v>
      </c>
      <c r="AL22" s="14"/>
      <c r="AM22" s="526"/>
      <c r="AN22" s="543"/>
      <c r="AO22" s="527"/>
      <c r="AP22" s="14"/>
      <c r="AQ22" s="14"/>
      <c r="AR22" s="14"/>
      <c r="AS22" s="65"/>
      <c r="AT22" s="63"/>
      <c r="AU22" s="352"/>
      <c r="AV22" s="14"/>
      <c r="AW22" s="57" t="s">
        <v>2</v>
      </c>
      <c r="AX22" s="122" t="str">
        <f ca="1">IF(COUNTIF(AX58:AX60,"")=2,AX58,                                                                                                                                                                                                IF(COUNTIF(AX58:AX60,"")=1,                                                                                                                                                                                                                                     IFERROR(IF(ABS(MATCH(AX58,Responses_list1_frequency,0)-MATCH(AX59,Responses_list1_frequency,0))=1,AX58&amp;" / "&amp;AX59,"No consensus"),"No consensus"),   IF(COUNTIF(AX58:AX60,"")=0,                                                                                                                                                                                                                                                       IFERROR(IF(AND(ABS(MATCH(AX58,Responses_list1_frequency,0)-MATCH(AX59,Responses_list1_frequency,0))=1,ABS(MATCH(AX59,Responses_list1_frequency,0)-MATCH(AX60,Responses_list1_frequency,0))=1),AX58&amp;" / "&amp;AX59&amp;" / "&amp;AX60,"No consensus"),"No consensus"),AX58)     ))</f>
        <v>Very unlikely</v>
      </c>
      <c r="AY22" s="58">
        <f>AY58</f>
        <v>4</v>
      </c>
      <c r="AZ22" s="121">
        <f>AZ58</f>
        <v>0</v>
      </c>
      <c r="BA22" s="14"/>
      <c r="BB22" s="526"/>
      <c r="BC22" s="543"/>
      <c r="BD22" s="527"/>
      <c r="BE22" s="14"/>
      <c r="BF22" s="14"/>
      <c r="BG22" s="14"/>
      <c r="BH22" s="65"/>
      <c r="BI22" s="63"/>
      <c r="BJ22" s="352"/>
      <c r="BK22" s="19"/>
      <c r="BL22" s="57" t="s">
        <v>2</v>
      </c>
      <c r="BM22" s="122" t="str">
        <f ca="1">IF(COUNTIF(BM58:BM60,"")=2,BM58,                                                                                                                                                                                                IF(COUNTIF(BM58:BM60,"")=1,                                                                                                                                                                                                                                     IFERROR(IF(ABS(MATCH(BM58,Responses_list1_frequency,0)-MATCH(BM59,Responses_list1_frequency,0))=1,BM58&amp;" / "&amp;BM59,"No consensus"),"No consensus"),   IF(COUNTIF(BM58:BM60,"")=0,                                                                                                                                                                                                                                                       IFERROR(IF(AND(ABS(MATCH(BM58,Responses_list1_frequency,0)-MATCH(BM59,Responses_list1_frequency,0))=1,ABS(MATCH(BM59,Responses_list1_frequency,0)-MATCH(BM60,Responses_list1_frequency,0))=1),BM58&amp;" / "&amp;BM59&amp;" / "&amp;BM60,"No consensus"),"No consensus"),BM58)     ))</f>
        <v>Very unlikely</v>
      </c>
      <c r="BN22" s="58">
        <f>BN58</f>
        <v>4</v>
      </c>
      <c r="BO22" s="121">
        <f>BO58</f>
        <v>0</v>
      </c>
      <c r="BP22" s="14"/>
      <c r="BQ22" s="526"/>
      <c r="BR22" s="543"/>
      <c r="BS22" s="527"/>
      <c r="BT22" s="14"/>
      <c r="BU22" s="14"/>
      <c r="BV22" s="14"/>
      <c r="BW22" s="65"/>
      <c r="BX22" s="63"/>
      <c r="BY22" s="352"/>
      <c r="BZ22" s="14"/>
      <c r="CA22" s="34" t="s">
        <v>2</v>
      </c>
      <c r="CB22" s="37">
        <f>CB58</f>
        <v>5</v>
      </c>
      <c r="CC22" s="14"/>
      <c r="CD22" s="203" t="str">
        <f>INDEX($CA$11:$CA$18,MATCH(LARGE($CF$11:$CF$18,1),$CF$11:$CF$18,0),1)</f>
        <v>Increased demand for pellet fibre provides sufficient financial return</v>
      </c>
      <c r="CE22" s="260"/>
      <c r="CF22" s="19"/>
      <c r="CG22" s="29"/>
      <c r="CH22" s="317"/>
      <c r="CI22" s="203" t="str">
        <f>VLOOKUP(CD22,$CA$11:$CI$18,9,0)</f>
        <v>Moderately likely</v>
      </c>
      <c r="CJ22" s="19"/>
      <c r="CK22" s="318"/>
      <c r="CL22" s="14"/>
      <c r="CM22" s="14"/>
      <c r="CN22" s="14"/>
      <c r="CO22" s="129"/>
      <c r="CP22" s="29"/>
      <c r="CQ22" s="47"/>
      <c r="CR22" s="14"/>
      <c r="CS22" s="34" t="s">
        <v>2</v>
      </c>
      <c r="CT22" s="37">
        <f>CT58</f>
        <v>2</v>
      </c>
      <c r="CU22" s="14"/>
      <c r="CV22" s="331" t="str">
        <f>INDEX($CS$11:$CS$18,MATCH(LARGE($CX$11:$CX$18,1),$CX$11:$CX$18,0),1)</f>
        <v>Insufficient financial return</v>
      </c>
      <c r="CW22" s="260"/>
      <c r="CX22" s="19"/>
      <c r="CY22" s="29"/>
      <c r="CZ22" s="317"/>
      <c r="DA22" s="203" t="str">
        <f>VLOOKUP(CV22,$CS$11:$DA$18,9,0)</f>
        <v>Moderately unlikely</v>
      </c>
      <c r="DB22" s="19"/>
      <c r="DC22" s="318"/>
      <c r="DD22" s="14"/>
      <c r="DE22" s="14"/>
      <c r="DF22" s="14"/>
      <c r="DG22" s="129"/>
      <c r="DH22" s="29"/>
      <c r="DI22" s="47"/>
      <c r="DJ22" s="29"/>
      <c r="DK22" s="34" t="s">
        <v>2</v>
      </c>
      <c r="DL22" s="122" t="str">
        <f ca="1">IF(COUNTIF(DL58:DL60,"")=2,DL58,                                                                                                                                                                                                IF(COUNTIF(DL58:DL60,"")=1,                                                                                                                                                                                                                                     IFERROR(IF(ABS(MATCH(DL58,Responses_list1_frequency,0)-MATCH(DL59,Responses_list1_frequency,0))=1,DL58&amp;" / "&amp;DL59,"No consensus"),"No consensus"),   IF(COUNTIF(DL58:DL60,"")=0,                                                                                                                                                                                                                                                       IFERROR(IF(AND(ABS(MATCH(DL58,Responses_list1_frequency,0)-MATCH(DL59,Responses_list1_frequency,0))=1,ABS(MATCH(DL59,Responses_list1_frequency,0)-MATCH(DL60,Responses_list1_frequency,0))=1),DL58&amp;" / "&amp;DL59&amp;" / "&amp;DL60,"No consensus"),"No consensus"),DL58)     ))</f>
        <v>Sometimes</v>
      </c>
      <c r="DM22" s="33">
        <f>DM58</f>
        <v>5</v>
      </c>
      <c r="DN22" s="37">
        <f>DN58</f>
        <v>1</v>
      </c>
      <c r="DO22" s="14"/>
      <c r="DP22" s="14"/>
      <c r="DQ22" s="526"/>
      <c r="DR22" s="543"/>
      <c r="DS22" s="527"/>
      <c r="DT22" s="14"/>
      <c r="DU22" s="14"/>
      <c r="DV22" s="14"/>
      <c r="DW22" s="14"/>
      <c r="DX22" s="14"/>
      <c r="DY22" s="14"/>
      <c r="DZ22" s="14"/>
      <c r="EA22" s="14"/>
      <c r="EB22" s="14"/>
      <c r="EC22" s="14"/>
      <c r="ED22" s="14"/>
      <c r="EE22" s="14"/>
      <c r="EF22" s="14"/>
      <c r="EG22" s="14"/>
      <c r="EH22" s="14"/>
      <c r="EI22" s="14"/>
      <c r="EJ22" s="14"/>
      <c r="EK22" s="14"/>
      <c r="EL22" s="14"/>
    </row>
    <row r="23" spans="1:142" x14ac:dyDescent="0.25">
      <c r="A23" s="14"/>
      <c r="B23" s="57" t="s">
        <v>31</v>
      </c>
      <c r="C23" s="122" t="str">
        <f ca="1">IF(COUNTIF(C85:C87,"")=2,C85,                                                                                                                                                                                                IF(COUNTIF(C85:C87,"")=1,                                                                                                                                                                                                                                     IFERROR(IF(ABS(MATCH(C85,Responses_list1_frequency,0)-MATCH(C86,Responses_list1_frequency,0))=1,C85&amp;" / "&amp;C86,"No consensus"),"No consensus"),   IF(COUNTIF(C85:C87,"")=0,                                                                                                                                                                                                                                                       IFERROR(IF(AND(ABS(MATCH(C85,Responses_list1_frequency,0)-MATCH(C86,Responses_list1_frequency,0))=1,ABS(MATCH(C86,Responses_list1_frequency,0)-MATCH(C87,Responses_list1_frequency,0))=1),C85&amp;" / "&amp;C86&amp;" / "&amp;C87,"No consensus"),"No consensus"),C85)     ))</f>
        <v>Sometimes</v>
      </c>
      <c r="D23" s="58">
        <f>D85</f>
        <v>2</v>
      </c>
      <c r="E23" s="121">
        <f>E85</f>
        <v>0</v>
      </c>
      <c r="F23" s="14"/>
      <c r="G23" s="526"/>
      <c r="H23" s="543"/>
      <c r="I23" s="527"/>
      <c r="J23" s="33"/>
      <c r="K23" s="14"/>
      <c r="L23" s="14"/>
      <c r="M23" s="14"/>
      <c r="N23" s="14"/>
      <c r="O23" s="14"/>
      <c r="P23" s="14"/>
      <c r="Q23" s="47"/>
      <c r="R23" s="19"/>
      <c r="S23" s="34" t="s">
        <v>31</v>
      </c>
      <c r="T23" s="122" t="str">
        <f ca="1">IF(COUNTIF(T85:T87,"")=2,T85,                                                                                                                                                                                                IF(COUNTIF(T85:T87,"")=1,                                                                                                                                                                                                                                     IFERROR(IF(ABS(MATCH(T85,Responses_list1_frequency,0)-MATCH(T86,Responses_list1_frequency,0))=1,T85&amp;" / "&amp;T86,"No consensus"),"No consensus"),   IF(COUNTIF(T85:T87,"")=0,                                                                                                                                                                                                                                                       IFERROR(IF(AND(ABS(MATCH(T85,Responses_list1_frequency,0)-MATCH(T86,Responses_list1_frequency,0))=1,ABS(MATCH(T86,Responses_list1_frequency,0)-MATCH(T87,Responses_list1_frequency,0))=1),T85&amp;" / "&amp;T86&amp;" / "&amp;T87,"No consensus"),"No consensus"),T85)     ))</f>
        <v>No consensus</v>
      </c>
      <c r="U23" s="33">
        <f>U85</f>
        <v>2</v>
      </c>
      <c r="V23" s="37">
        <f>V85</f>
        <v>0</v>
      </c>
      <c r="W23" s="14"/>
      <c r="X23" s="19"/>
      <c r="Y23" s="526"/>
      <c r="Z23" s="543"/>
      <c r="AA23" s="527"/>
      <c r="AB23" s="14"/>
      <c r="AC23" s="14"/>
      <c r="AD23" s="65"/>
      <c r="AE23" s="63"/>
      <c r="AF23" s="352"/>
      <c r="AG23" s="19"/>
      <c r="AH23" s="57" t="s">
        <v>31</v>
      </c>
      <c r="AI23" s="122" t="str">
        <f ca="1">IF(COUNTIF(AI85:AI87,"")=2,AI85,                                                                                                                                                                                                IF(COUNTIF(AI85:AI87,"")=1,                                                                                                                                                                                                                                     IFERROR(IF(ABS(MATCH(AI85,Responses_list1_frequency,0)-MATCH(AI86,Responses_list1_frequency,0))=1,AI85&amp;" / "&amp;AI86,"No consensus"),"No consensus"),   IF(COUNTIF(AI85:AI87,"")=0,                                                                                                                                                                                                                                                       IFERROR(IF(AND(ABS(MATCH(AI85,Responses_list1_frequency,0)-MATCH(AI86,Responses_list1_frequency,0))=1,ABS(MATCH(AI86,Responses_list1_frequency,0)-MATCH(AI87,Responses_list1_frequency,0))=1),AI85&amp;" / "&amp;AI86&amp;" / "&amp;AI87,"No consensus"),"No consensus"),AI85)     ))</f>
        <v>Very unlikely</v>
      </c>
      <c r="AJ23" s="58">
        <f>AJ85</f>
        <v>3</v>
      </c>
      <c r="AK23" s="58">
        <f>AK85</f>
        <v>0</v>
      </c>
      <c r="AL23" s="14"/>
      <c r="AM23" s="526"/>
      <c r="AN23" s="543"/>
      <c r="AO23" s="527"/>
      <c r="AP23" s="14"/>
      <c r="AQ23" s="14"/>
      <c r="AR23" s="14"/>
      <c r="AS23" s="65"/>
      <c r="AT23" s="63"/>
      <c r="AU23" s="352"/>
      <c r="AV23" s="14"/>
      <c r="AW23" s="57" t="s">
        <v>31</v>
      </c>
      <c r="AX23" s="122" t="str">
        <f ca="1">IF(COUNTIF(AX85:AX87,"")=2,AX85,                                                                                                                                                                                                IF(COUNTIF(AX85:AX87,"")=1,                                                                                                                                                                                                                                     IFERROR(IF(ABS(MATCH(AX85,Responses_list1_frequency,0)-MATCH(AX86,Responses_list1_frequency,0))=1,AX85&amp;" / "&amp;AX86,"No consensus"),"No consensus"),   IF(COUNTIF(AX85:AX87,"")=0,                                                                                                                                                                                                                                                       IFERROR(IF(AND(ABS(MATCH(AX85,Responses_list1_frequency,0)-MATCH(AX86,Responses_list1_frequency,0))=1,ABS(MATCH(AX86,Responses_list1_frequency,0)-MATCH(AX87,Responses_list1_frequency,0))=1),AX85&amp;" / "&amp;AX86&amp;" / "&amp;AX87,"No consensus"),"No consensus"),AX85)     ))</f>
        <v>Very unlikely</v>
      </c>
      <c r="AY23" s="58">
        <f>AY85</f>
        <v>3</v>
      </c>
      <c r="AZ23" s="121">
        <f>AZ85</f>
        <v>0</v>
      </c>
      <c r="BA23" s="14"/>
      <c r="BB23" s="526"/>
      <c r="BC23" s="543"/>
      <c r="BD23" s="527"/>
      <c r="BE23" s="14"/>
      <c r="BF23" s="14"/>
      <c r="BG23" s="14"/>
      <c r="BH23" s="65"/>
      <c r="BI23" s="63"/>
      <c r="BJ23" s="352"/>
      <c r="BK23" s="19"/>
      <c r="BL23" s="57" t="s">
        <v>31</v>
      </c>
      <c r="BM23" s="122" t="str">
        <f ca="1">IF(COUNTIF(BM85:BM87,"")=2,BM85,                                                                                                                                                                                                IF(COUNTIF(BM85:BM87,"")=1,                                                                                                                                                                                                                                     IFERROR(IF(ABS(MATCH(BM85,Responses_list1_frequency,0)-MATCH(BM86,Responses_list1_frequency,0))=1,BM85&amp;" / "&amp;BM86,"No consensus"),"No consensus"),   IF(COUNTIF(BM85:BM87,"")=0,                                                                                                                                                                                                                                                       IFERROR(IF(AND(ABS(MATCH(BM85,Responses_list1_frequency,0)-MATCH(BM86,Responses_list1_frequency,0))=1,ABS(MATCH(BM86,Responses_list1_frequency,0)-MATCH(BM87,Responses_list1_frequency,0))=1),BM85&amp;" / "&amp;BM86&amp;" / "&amp;BM87,"No consensus"),"No consensus"),BM85)     ))</f>
        <v>Very unlikely</v>
      </c>
      <c r="BN23" s="58">
        <f>BN85</f>
        <v>3</v>
      </c>
      <c r="BO23" s="121">
        <f>BO85</f>
        <v>0</v>
      </c>
      <c r="BP23" s="14"/>
      <c r="BQ23" s="526"/>
      <c r="BR23" s="543"/>
      <c r="BS23" s="527"/>
      <c r="BT23" s="14"/>
      <c r="BU23" s="14"/>
      <c r="BV23" s="14"/>
      <c r="BW23" s="65"/>
      <c r="BX23" s="63"/>
      <c r="BY23" s="352"/>
      <c r="BZ23" s="14"/>
      <c r="CA23" s="34" t="s">
        <v>31</v>
      </c>
      <c r="CB23" s="37">
        <f>CB85</f>
        <v>2</v>
      </c>
      <c r="CC23" s="14"/>
      <c r="CD23" s="203" t="str">
        <f>INDEX($CA$11:$CA$18,MATCH(LARGE($CF$11:$CF$18,2),$CF$11:$CF$18,0),1)</f>
        <v>Changes in forestry incentives</v>
      </c>
      <c r="CE23" s="260"/>
      <c r="CF23" s="19"/>
      <c r="CG23" s="29"/>
      <c r="CH23" s="317"/>
      <c r="CI23" s="203" t="str">
        <f>VLOOKUP(CD23,$CA$11:$CI$18,9,0)</f>
        <v>Moderately unlikely</v>
      </c>
      <c r="CJ23" s="19"/>
      <c r="CK23" s="318"/>
      <c r="CL23" s="14"/>
      <c r="CM23" s="14"/>
      <c r="CN23" s="14"/>
      <c r="CO23" s="129"/>
      <c r="CP23" s="29"/>
      <c r="CQ23" s="47"/>
      <c r="CR23" s="14"/>
      <c r="CS23" s="34" t="s">
        <v>31</v>
      </c>
      <c r="CT23" s="37">
        <f>CT85</f>
        <v>2</v>
      </c>
      <c r="CU23" s="14"/>
      <c r="CV23" s="331" t="str">
        <f>INDEX($CS$11:$CS$18,MATCH(LARGE($CX$11:$CX$18,2),$CX$11:$CX$18,0),1)</f>
        <v>Other uses make land value more attractive</v>
      </c>
      <c r="CW23" s="260"/>
      <c r="CX23" s="19"/>
      <c r="CY23" s="29"/>
      <c r="CZ23" s="317"/>
      <c r="DA23" s="203" t="str">
        <f>VLOOKUP(CV23,$CS$11:$DA$18,9,0)</f>
        <v>Moderately likely</v>
      </c>
      <c r="DB23" s="19"/>
      <c r="DC23" s="318"/>
      <c r="DD23" s="14"/>
      <c r="DE23" s="14"/>
      <c r="DF23" s="14"/>
      <c r="DG23" s="129"/>
      <c r="DH23" s="29"/>
      <c r="DI23" s="47"/>
      <c r="DJ23" s="29"/>
      <c r="DK23" s="34" t="s">
        <v>31</v>
      </c>
      <c r="DL23" s="122" t="str">
        <f ca="1">IF(COUNTIF(DL85:DL87,"")=2,DL85,                                                                                                                                                                                                IF(COUNTIF(DL85:DL87,"")=1,                                                                                                                                                                                                                                     IFERROR(IF(ABS(MATCH(DL85,Responses_list1_frequency,0)-MATCH(DL86,Responses_list1_frequency,0))=1,DL85&amp;" / "&amp;DL86,"No consensus"),"No consensus"),   IF(COUNTIF(DL85:DL87,"")=0,                                                                                                                                                                                                                                                       IFERROR(IF(AND(ABS(MATCH(DL85,Responses_list1_frequency,0)-MATCH(DL86,Responses_list1_frequency,0))=1,ABS(MATCH(DL86,Responses_list1_frequency,0)-MATCH(DL87,Responses_list1_frequency,0))=1),DL85&amp;" / "&amp;DL86&amp;" / "&amp;DL87,"No consensus"),"No consensus"),DL85)     ))</f>
        <v>No consensus</v>
      </c>
      <c r="DM23" s="33">
        <f>DM85</f>
        <v>2</v>
      </c>
      <c r="DN23" s="37">
        <f>DN85</f>
        <v>0</v>
      </c>
      <c r="DO23" s="14"/>
      <c r="DP23" s="14"/>
      <c r="DQ23" s="526"/>
      <c r="DR23" s="543"/>
      <c r="DS23" s="527"/>
      <c r="DT23" s="14"/>
      <c r="DU23" s="14"/>
      <c r="DV23" s="14"/>
      <c r="DW23" s="14"/>
      <c r="DX23" s="14"/>
      <c r="DY23" s="14"/>
      <c r="DZ23" s="14"/>
      <c r="EA23" s="14"/>
      <c r="EB23" s="14"/>
      <c r="EC23" s="14"/>
      <c r="ED23" s="14"/>
      <c r="EE23" s="14"/>
      <c r="EF23" s="14"/>
      <c r="EG23" s="14"/>
      <c r="EH23" s="14"/>
      <c r="EI23" s="14"/>
      <c r="EJ23" s="14"/>
      <c r="EK23" s="14"/>
      <c r="EL23" s="14"/>
    </row>
    <row r="24" spans="1:142" x14ac:dyDescent="0.25">
      <c r="A24" s="14"/>
      <c r="B24" s="57" t="s">
        <v>22</v>
      </c>
      <c r="C24" s="122" t="str">
        <f ca="1">IF(COUNTIF(C112:C114,"")=2,C112,                                                                                                                                                                                                IF(COUNTIF(C112:C114,"")=1,                                                                                                                                                                                                                                     IFERROR(IF(ABS(MATCH(C112,Responses_list1_frequency,0)-MATCH(C113,Responses_list1_frequency,0))=1,C112&amp;" / "&amp;C113,"No consensus"),"No consensus"),   IF(COUNTIF(C112:C114,"")=0,                                                                                                                                                                                                                                                       IFERROR(IF(AND(ABS(MATCH(C112,Responses_list1_frequency,0)-MATCH(C113,Responses_list1_frequency,0))=1,ABS(MATCH(C113,Responses_list1_frequency,0)-MATCH(C114,Responses_list1_frequency,0))=1),C112&amp;" / "&amp;C113&amp;" / "&amp;C114,"No consensus"),"No consensus"),C112)     ))</f>
        <v>Sometimes</v>
      </c>
      <c r="D24" s="58">
        <f>D112</f>
        <v>2</v>
      </c>
      <c r="E24" s="121">
        <f>E112</f>
        <v>0</v>
      </c>
      <c r="F24" s="14"/>
      <c r="G24" s="526"/>
      <c r="H24" s="543"/>
      <c r="I24" s="527"/>
      <c r="J24" s="33"/>
      <c r="K24" s="14"/>
      <c r="L24" s="14"/>
      <c r="M24" s="14"/>
      <c r="N24" s="14"/>
      <c r="O24" s="14"/>
      <c r="P24" s="14"/>
      <c r="Q24" s="47"/>
      <c r="R24" s="19"/>
      <c r="S24" s="34" t="s">
        <v>22</v>
      </c>
      <c r="T24" s="122" t="str">
        <f ca="1">IF(COUNTIF(T112:T114,"")=2,T112,                                                                                                                                                                                                IF(COUNTIF(T112:T114,"")=1,                                                                                                                                                                                                                                     IFERROR(IF(ABS(MATCH(T112,Responses_list1_frequency,0)-MATCH(T113,Responses_list1_frequency,0))=1,T112&amp;" / "&amp;T113,"No consensus"),"No consensus"),   IF(COUNTIF(T112:T114,"")=0,                                                                                                                                                                                                                                                       IFERROR(IF(AND(ABS(MATCH(T112,Responses_list1_frequency,0)-MATCH(T113,Responses_list1_frequency,0))=1,ABS(MATCH(T113,Responses_list1_frequency,0)-MATCH(T114,Responses_list1_frequency,0))=1),T112&amp;" / "&amp;T113&amp;" / "&amp;T114,"No consensus"),"No consensus"),T112)     ))</f>
        <v>Likely</v>
      </c>
      <c r="U24" s="33">
        <f>U112</f>
        <v>2</v>
      </c>
      <c r="V24" s="37">
        <f>V112</f>
        <v>0</v>
      </c>
      <c r="W24" s="14"/>
      <c r="X24" s="19"/>
      <c r="Y24" s="526"/>
      <c r="Z24" s="543"/>
      <c r="AA24" s="527"/>
      <c r="AB24" s="14"/>
      <c r="AC24" s="14"/>
      <c r="AD24" s="65"/>
      <c r="AE24" s="63"/>
      <c r="AF24" s="352"/>
      <c r="AG24" s="19"/>
      <c r="AH24" s="57" t="s">
        <v>22</v>
      </c>
      <c r="AI24" s="122" t="str">
        <f ca="1">IF(COUNTIF(AI112:AI114,"")=2,AI112,                                                                                                                                                                                                IF(COUNTIF(AI112:AI114,"")=1,                                                                                                                                                                                                                                     IFERROR(IF(ABS(MATCH(AI112,Responses_list1_frequency,0)-MATCH(AI113,Responses_list1_frequency,0))=1,AI112&amp;" / "&amp;AI113,"No consensus"),"No consensus"),   IF(COUNTIF(AI112:AI114,"")=0,                                                                                                                                                                                                                                                       IFERROR(IF(AND(ABS(MATCH(AI112,Responses_list1_frequency,0)-MATCH(AI113,Responses_list1_frequency,0))=1,ABS(MATCH(AI113,Responses_list1_frequency,0)-MATCH(AI114,Responses_list1_frequency,0))=1),AI112&amp;" / "&amp;AI113&amp;" / "&amp;AI114,"No consensus"),"No consensus"),AI112)     ))</f>
        <v>No consensus</v>
      </c>
      <c r="AJ24" s="58">
        <f>AJ112</f>
        <v>2</v>
      </c>
      <c r="AK24" s="58">
        <f>AK112</f>
        <v>0</v>
      </c>
      <c r="AL24" s="14"/>
      <c r="AM24" s="526"/>
      <c r="AN24" s="543"/>
      <c r="AO24" s="527"/>
      <c r="AP24" s="14"/>
      <c r="AQ24" s="14"/>
      <c r="AR24" s="14"/>
      <c r="AS24" s="65"/>
      <c r="AT24" s="63"/>
      <c r="AU24" s="352"/>
      <c r="AV24" s="14"/>
      <c r="AW24" s="57" t="s">
        <v>22</v>
      </c>
      <c r="AX24" s="122" t="str">
        <f ca="1">IF(COUNTIF(AX112:AX114,"")=2,AX112,                                                                                                                                                                                                IF(COUNTIF(AX112:AX114,"")=1,                                                                                                                                                                                                                                     IFERROR(IF(ABS(MATCH(AX112,Responses_list1_frequency,0)-MATCH(AX113,Responses_list1_frequency,0))=1,AX112&amp;" / "&amp;AX113,"No consensus"),"No consensus"),   IF(COUNTIF(AX112:AX114,"")=0,                                                                                                                                                                                                                                                       IFERROR(IF(AND(ABS(MATCH(AX112,Responses_list1_frequency,0)-MATCH(AX113,Responses_list1_frequency,0))=1,ABS(MATCH(AX113,Responses_list1_frequency,0)-MATCH(AX114,Responses_list1_frequency,0))=1),AX112&amp;" / "&amp;AX113&amp;" / "&amp;AX114,"No consensus"),"No consensus"),AX112)     ))</f>
        <v>No consensus</v>
      </c>
      <c r="AY24" s="58">
        <f>AY112</f>
        <v>2</v>
      </c>
      <c r="AZ24" s="121">
        <f>AZ112</f>
        <v>0</v>
      </c>
      <c r="BA24" s="14"/>
      <c r="BB24" s="526"/>
      <c r="BC24" s="543"/>
      <c r="BD24" s="527"/>
      <c r="BE24" s="14"/>
      <c r="BF24" s="14"/>
      <c r="BG24" s="14"/>
      <c r="BH24" s="65"/>
      <c r="BI24" s="63"/>
      <c r="BJ24" s="352"/>
      <c r="BK24" s="19"/>
      <c r="BL24" s="57" t="s">
        <v>22</v>
      </c>
      <c r="BM24" s="122" t="str">
        <f ca="1">IF(COUNTIF(BM112:BM114,"")=2,BM112,                                                                                                                                                                                                IF(COUNTIF(BM112:BM114,"")=1,                                                                                                                                                                                                                                     IFERROR(IF(ABS(MATCH(BM112,Responses_list1_frequency,0)-MATCH(BM113,Responses_list1_frequency,0))=1,BM112&amp;" / "&amp;BM113,"No consensus"),"No consensus"),   IF(COUNTIF(BM112:BM114,"")=0,                                                                                                                                                                                                                                                       IFERROR(IF(AND(ABS(MATCH(BM112,Responses_list1_frequency,0)-MATCH(BM113,Responses_list1_frequency,0))=1,ABS(MATCH(BM113,Responses_list1_frequency,0)-MATCH(BM114,Responses_list1_frequency,0))=1),BM112&amp;" / "&amp;BM113&amp;" / "&amp;BM114,"No consensus"),"No consensus"),BM112)     ))</f>
        <v>No consensus</v>
      </c>
      <c r="BN24" s="58">
        <f>BN112</f>
        <v>2</v>
      </c>
      <c r="BO24" s="121">
        <f>BO112</f>
        <v>0</v>
      </c>
      <c r="BP24" s="14"/>
      <c r="BQ24" s="526"/>
      <c r="BR24" s="543"/>
      <c r="BS24" s="527"/>
      <c r="BT24" s="14"/>
      <c r="BU24" s="14"/>
      <c r="BV24" s="14"/>
      <c r="BW24" s="65"/>
      <c r="BX24" s="63"/>
      <c r="BY24" s="352"/>
      <c r="BZ24" s="14"/>
      <c r="CA24" s="34" t="s">
        <v>22</v>
      </c>
      <c r="CB24" s="37">
        <f>CB112</f>
        <v>2</v>
      </c>
      <c r="CC24" s="14"/>
      <c r="CD24" s="319" t="str">
        <f>CONCATENATE(INDEX(CA11:CA18,MATCH(LARGE(CF11:CF18,3),CF11:CF18,0),1),IF(ROUND(LARGE(CF11:CF18,3),4)=ROUND(LARGE(CF11:CF18,4),4),CONCATENATE(" / ",INDEX(CA11:CA18,MATCH(LARGE(CF11:CF18,4),CF11:CF18,0),1)),""),IF(ROUND(LARGE(CF11:CF18,3),4)=ROUND(LARGE(CF11:CF18,5),4),CONCATENATE(" / ",INDEX(CA11:CA18,MATCH(LARGE(CF11:CF18,5),CF11:CF18,0),1)),""))</f>
        <v>Increased demand for saw timber enables management of unmanaged forest</v>
      </c>
      <c r="CE24" s="320"/>
      <c r="CF24" s="321"/>
      <c r="CG24" s="322"/>
      <c r="CH24" s="323"/>
      <c r="CI24" s="319" t="str">
        <f>CONCATENATE(INDEX(CI11:CI18,MATCH(LARGE(CF11:CF18,3),CF11:CF18,0),1),IF(ROUND(LARGE(CF11:CF18,3),4)=ROUND(LARGE(CF11:CF18,4),4),CONCATENATE(" / ",INDEX(CI11:CI18,MATCH(LARGE(CF11:CF18,4),CF11:CF18,0),1)),""),IF(ROUND(LARGE(CF11:CF18,3),4)=ROUND(LARGE(CF11:CF18,5),4),CONCATENATE(" / ",INDEX(CI11:CI18,MATCH(LARGE(CF11:CF18,5),CF11:CF18,0),1)),""))</f>
        <v>Moderately unlikely</v>
      </c>
      <c r="CJ24" s="321"/>
      <c r="CK24" s="204"/>
      <c r="CL24" s="14"/>
      <c r="CM24" s="14"/>
      <c r="CN24" s="14"/>
      <c r="CO24" s="129"/>
      <c r="CP24" s="14"/>
      <c r="CQ24" s="47"/>
      <c r="CR24" s="14"/>
      <c r="CS24" s="34" t="s">
        <v>22</v>
      </c>
      <c r="CT24" s="37">
        <f>CT112</f>
        <v>2</v>
      </c>
      <c r="CU24" s="14"/>
      <c r="CV24" s="332" t="str">
        <f>CONCATENATE(INDEX(CS11:CS18,MATCH(LARGE(CX11:CX18,3),CX11:CX18,0),1),IF(ROUND(LARGE(CX11:CX18,3),4)=ROUND(LARGE(CX11:CX18,4),4),CONCATENATE(" / ",INDEX(CS11:CS18,MATCH(LARGE(CX11:$CX18,4),CX11:CX18,0),1)),""),IF(ROUND(LARGE(CX11:CX18,3),4)=ROUND(LARGE(CX11:CX18,5),4),CONCATENATE(" / ",INDEX(CS11:CS18,MATCH(LARGE(CX11:CX18,5),CX11:CX18,0),1)),""))</f>
        <v>Other / Low roundwood demand - longer haulage / Changes in legislation or policy</v>
      </c>
      <c r="CW24" s="320"/>
      <c r="CX24" s="321"/>
      <c r="CY24" s="322"/>
      <c r="CZ24" s="323"/>
      <c r="DA24" s="319" t="str">
        <f>CONCATENATE(INDEX($DA$11:$DA$18,MATCH(LARGE($CX$11:$CX$18,3),$CX$11:$CX$18,0),1),IF(ROUND(LARGE(CX11:CX18,3),4)=ROUND(LARGE(CX11:CX18,4),4),CONCATENATE(" / ",INDEX($DA$11:$DA$18,MATCH(LARGE($CX$11:$CX$18,4),$CX$11:$CX$18,0),1)),""),IF(ROUND(LARGE(CX11:CX18,3),4)=ROUND(LARGE(CX11:CX18,5),4),CONCATENATE(" / ",INDEX($DA$11:$DA$18,MATCH(LARGE($CX$11:$CX$18,5),$CX$11:$CX$18,0),1)),""))</f>
        <v>Ranked, but likelihood not estimated / Unlikely / Very unlikely</v>
      </c>
      <c r="DB24" s="321"/>
      <c r="DC24" s="204"/>
      <c r="DD24" s="14"/>
      <c r="DE24" s="14"/>
      <c r="DF24" s="14"/>
      <c r="DG24" s="129"/>
      <c r="DH24" s="14"/>
      <c r="DI24" s="47"/>
      <c r="DJ24" s="14"/>
      <c r="DK24" s="34" t="s">
        <v>22</v>
      </c>
      <c r="DL24" s="122" t="str">
        <f ca="1">IF(COUNTIF(DL112:DL114,"")=2,DL112,                                                                                                                                                                                                IF(COUNTIF(DL112:DL114,"")=1,                                                                                                                                                                                                                                     IFERROR(IF(ABS(MATCH(DL112,Responses_list1_frequency,0)-MATCH(DL113,Responses_list1_frequency,0))=1,DL112&amp;" / "&amp;DL113,"No consensus"),"No consensus"),   IF(COUNTIF(DL112:DL114,"")=0,                                                                                                                                                                                                                                                       IFERROR(IF(AND(ABS(MATCH(DL112,Responses_list1_frequency,0)-MATCH(DL113,Responses_list1_frequency,0))=1,ABS(MATCH(DL113,Responses_list1_frequency,0)-MATCH(DL114,Responses_list1_frequency,0))=1),DL112&amp;" / "&amp;DL113&amp;" / "&amp;DL114,"No consensus"),"No consensus"),DL112)     ))</f>
        <v>No consensus</v>
      </c>
      <c r="DM24" s="33">
        <f>DM112</f>
        <v>2</v>
      </c>
      <c r="DN24" s="37">
        <f>DN112</f>
        <v>0</v>
      </c>
      <c r="DO24" s="14"/>
      <c r="DP24" s="14"/>
      <c r="DQ24" s="526"/>
      <c r="DR24" s="543"/>
      <c r="DS24" s="527"/>
      <c r="DT24" s="14"/>
      <c r="DU24" s="14"/>
      <c r="DV24" s="14"/>
      <c r="DW24" s="14"/>
      <c r="DX24" s="14"/>
      <c r="DY24" s="14"/>
      <c r="DZ24" s="14"/>
      <c r="EA24" s="14"/>
      <c r="EB24" s="14"/>
      <c r="EC24" s="14"/>
      <c r="ED24" s="14"/>
      <c r="EE24" s="14"/>
      <c r="EF24" s="14"/>
      <c r="EG24" s="14"/>
      <c r="EH24" s="14"/>
      <c r="EI24" s="14"/>
      <c r="EJ24" s="14"/>
      <c r="EK24" s="14"/>
      <c r="EL24" s="14"/>
    </row>
    <row r="25" spans="1:142" x14ac:dyDescent="0.25">
      <c r="A25" s="14"/>
      <c r="B25" s="57" t="s">
        <v>32</v>
      </c>
      <c r="C25" s="122" t="str">
        <f ca="1">IF(COUNTIF(C139:C141,"")=2,C139,                                                                                                                                                                                                IF(COUNTIF(C139:C141,"")=1,                                                                                                                                                                                                                                     IFERROR(IF(ABS(MATCH(C139,Responses_list1_frequency,0)-MATCH(C140,Responses_list1_frequency,0))=1,C139&amp;" / "&amp;C140,"No consensus"),"No consensus"),   IF(COUNTIF(C139:C141,"")=0,                                                                                                                                                                                                                                                       IFERROR(IF(AND(ABS(MATCH(C139,Responses_list1_frequency,0)-MATCH(C140,Responses_list1_frequency,0))=1,ABS(MATCH(C140,Responses_list1_frequency,0)-MATCH(C141,Responses_list1_frequency,0))=1),C139&amp;" / "&amp;C140&amp;" / "&amp;C141,"No consensus"),"No consensus"),C139)     ))</f>
        <v>Sometimes</v>
      </c>
      <c r="D25" s="58">
        <f>D139</f>
        <v>2</v>
      </c>
      <c r="E25" s="121">
        <f>E139</f>
        <v>0</v>
      </c>
      <c r="F25" s="14"/>
      <c r="G25" s="528"/>
      <c r="H25" s="544"/>
      <c r="I25" s="529"/>
      <c r="J25" s="33"/>
      <c r="K25" s="14"/>
      <c r="L25" s="14"/>
      <c r="M25" s="14"/>
      <c r="N25" s="14"/>
      <c r="O25" s="14"/>
      <c r="P25" s="14"/>
      <c r="Q25" s="47"/>
      <c r="R25" s="19"/>
      <c r="S25" s="34" t="s">
        <v>32</v>
      </c>
      <c r="T25" s="122" t="str">
        <f ca="1">IF(COUNTIF(T139:T141,"")=2,T139,                                                                                                                                                                                                IF(COUNTIF(T139:T141,"")=1,                                                                                                                                                                                                                                     IFERROR(IF(ABS(MATCH(T139,Responses_list1_frequency,0)-MATCH(T140,Responses_list1_frequency,0))=1,T139&amp;" / "&amp;T140,"No consensus"),"No consensus"),   IF(COUNTIF(T139:T141,"")=0,                                                                                                                                                                                                                                                       IFERROR(IF(AND(ABS(MATCH(T139,Responses_list1_frequency,0)-MATCH(T140,Responses_list1_frequency,0))=1,ABS(MATCH(T140,Responses_list1_frequency,0)-MATCH(T141,Responses_list1_frequency,0))=1),T139&amp;" / "&amp;T140&amp;" / "&amp;T141,"No consensus"),"No consensus"),T139)     ))</f>
        <v>Moderately likely</v>
      </c>
      <c r="U25" s="33">
        <f>U139</f>
        <v>2</v>
      </c>
      <c r="V25" s="37">
        <f>V139</f>
        <v>0</v>
      </c>
      <c r="W25" s="14"/>
      <c r="X25" s="19"/>
      <c r="Y25" s="528"/>
      <c r="Z25" s="544"/>
      <c r="AA25" s="529"/>
      <c r="AB25" s="14"/>
      <c r="AC25" s="14"/>
      <c r="AD25" s="65"/>
      <c r="AE25" s="63"/>
      <c r="AF25" s="352"/>
      <c r="AG25" s="19"/>
      <c r="AH25" s="57" t="s">
        <v>32</v>
      </c>
      <c r="AI25" s="122" t="str">
        <f ca="1">IF(COUNTIF(AI139:AI141,"")=2,AI139,                                                                                                                                                                                                IF(COUNTIF(AI139:AI141,"")=1,                                                                                                                                                                                                                                     IFERROR(IF(ABS(MATCH(AI139,Responses_list1_frequency,0)-MATCH(AI140,Responses_list1_frequency,0))=1,AI139&amp;" / "&amp;AI140,"No consensus"),"No consensus"),   IF(COUNTIF(AI139:AI141,"")=0,                                                                                                                                                                                                                                                       IFERROR(IF(AND(ABS(MATCH(AI139,Responses_list1_frequency,0)-MATCH(AI140,Responses_list1_frequency,0))=1,ABS(MATCH(AI140,Responses_list1_frequency,0)-MATCH(AI141,Responses_list1_frequency,0))=1),AI139&amp;" / "&amp;AI140&amp;" / "&amp;AI141,"No consensus"),"No consensus"),AI139)     ))</f>
        <v>No consensus</v>
      </c>
      <c r="AJ25" s="58">
        <f>AJ139</f>
        <v>2</v>
      </c>
      <c r="AK25" s="58">
        <f>AK139</f>
        <v>0</v>
      </c>
      <c r="AL25" s="14"/>
      <c r="AM25" s="528"/>
      <c r="AN25" s="544"/>
      <c r="AO25" s="529"/>
      <c r="AP25" s="14"/>
      <c r="AQ25" s="14"/>
      <c r="AR25" s="14"/>
      <c r="AS25" s="65"/>
      <c r="AT25" s="63"/>
      <c r="AU25" s="352"/>
      <c r="AV25" s="14"/>
      <c r="AW25" s="57" t="s">
        <v>32</v>
      </c>
      <c r="AX25" s="122" t="str">
        <f ca="1">IF(COUNTIF(AX139:AX141,"")=2,AX139,                                                                                                                                                                                                IF(COUNTIF(AX139:AX141,"")=1,                                                                                                                                                                                                                                     IFERROR(IF(ABS(MATCH(AX139,Responses_list1_frequency,0)-MATCH(AX140,Responses_list1_frequency,0))=1,AX139&amp;" / "&amp;AX140,"No consensus"),"No consensus"),   IF(COUNTIF(AX139:AX141,"")=0,                                                                                                                                                                                                                                                       IFERROR(IF(AND(ABS(MATCH(AX139,Responses_list1_frequency,0)-MATCH(AX140,Responses_list1_frequency,0))=1,ABS(MATCH(AX140,Responses_list1_frequency,0)-MATCH(AX141,Responses_list1_frequency,0))=1),AX139&amp;" / "&amp;AX140&amp;" / "&amp;AX141,"No consensus"),"No consensus"),AX139)     ))</f>
        <v>No consensus</v>
      </c>
      <c r="AY25" s="58">
        <f>AY139</f>
        <v>2</v>
      </c>
      <c r="AZ25" s="121">
        <f>AZ139</f>
        <v>0</v>
      </c>
      <c r="BA25" s="14"/>
      <c r="BB25" s="528"/>
      <c r="BC25" s="544"/>
      <c r="BD25" s="529"/>
      <c r="BE25" s="14"/>
      <c r="BF25" s="14"/>
      <c r="BG25" s="14"/>
      <c r="BH25" s="65"/>
      <c r="BI25" s="63"/>
      <c r="BJ25" s="352"/>
      <c r="BK25" s="19"/>
      <c r="BL25" s="57" t="s">
        <v>32</v>
      </c>
      <c r="BM25" s="122" t="str">
        <f ca="1">IF(COUNTIF(BM139:BM141,"")=2,BM139,                                                                                                                                                                                                IF(COUNTIF(BM139:BM141,"")=1,                                                                                                                                                                                                                                     IFERROR(IF(ABS(MATCH(BM139,Responses_list1_frequency,0)-MATCH(BM140,Responses_list1_frequency,0))=1,BM139&amp;" / "&amp;BM140,"No consensus"),"No consensus"),   IF(COUNTIF(BM139:BM141,"")=0,                                                                                                                                                                                                                                                       IFERROR(IF(AND(ABS(MATCH(BM139,Responses_list1_frequency,0)-MATCH(BM140,Responses_list1_frequency,0))=1,ABS(MATCH(BM140,Responses_list1_frequency,0)-MATCH(BM141,Responses_list1_frequency,0))=1),BM139&amp;" / "&amp;BM140&amp;" / "&amp;BM141,"No consensus"),"No consensus"),BM139)     ))</f>
        <v>No consensus</v>
      </c>
      <c r="BN25" s="58">
        <f>BN139</f>
        <v>2</v>
      </c>
      <c r="BO25" s="121">
        <f>BO139</f>
        <v>0</v>
      </c>
      <c r="BP25" s="14"/>
      <c r="BQ25" s="528"/>
      <c r="BR25" s="544"/>
      <c r="BS25" s="529"/>
      <c r="BT25" s="14"/>
      <c r="BU25" s="14"/>
      <c r="BV25" s="14"/>
      <c r="BW25" s="65"/>
      <c r="BX25" s="63"/>
      <c r="BY25" s="352"/>
      <c r="BZ25" s="14"/>
      <c r="CA25" s="34" t="s">
        <v>32</v>
      </c>
      <c r="CB25" s="37">
        <f>CB139</f>
        <v>2</v>
      </c>
      <c r="CC25" s="14"/>
      <c r="CD25" s="19"/>
      <c r="CE25" s="19"/>
      <c r="CF25" s="19"/>
      <c r="CG25" s="39"/>
      <c r="CH25" s="19"/>
      <c r="CI25" s="19"/>
      <c r="CJ25" s="19"/>
      <c r="CK25" s="19"/>
      <c r="CL25" s="14"/>
      <c r="CM25" s="14"/>
      <c r="CN25" s="14"/>
      <c r="CO25" s="129"/>
      <c r="CP25" s="14"/>
      <c r="CQ25" s="47"/>
      <c r="CR25" s="14"/>
      <c r="CS25" s="34" t="s">
        <v>32</v>
      </c>
      <c r="CT25" s="37">
        <f>CT139</f>
        <v>2</v>
      </c>
      <c r="CU25" s="14"/>
      <c r="CV25" s="27"/>
      <c r="CW25" s="19"/>
      <c r="CX25" s="19"/>
      <c r="CY25" s="39"/>
      <c r="CZ25" s="19"/>
      <c r="DA25" s="19"/>
      <c r="DB25" s="19"/>
      <c r="DC25" s="19"/>
      <c r="DD25" s="14"/>
      <c r="DE25" s="14"/>
      <c r="DF25" s="14"/>
      <c r="DG25" s="129"/>
      <c r="DH25" s="14"/>
      <c r="DI25" s="47"/>
      <c r="DJ25" s="14"/>
      <c r="DK25" s="34" t="s">
        <v>32</v>
      </c>
      <c r="DL25" s="122" t="str">
        <f ca="1">IF(COUNTIF(DL139:DL141,"")=2,DL139,                                                                                                                                                                                                IF(COUNTIF(DL139:DL141,"")=1,                                                                                                                                                                                                                                     IFERROR(IF(ABS(MATCH(DL139,Responses_list1_frequency,0)-MATCH(DL140,Responses_list1_frequency,0))=1,DL139&amp;" / "&amp;DL140,"No consensus"),"No consensus"),   IF(COUNTIF(DL139:DL141,"")=0,                                                                                                                                                                                                                                                       IFERROR(IF(AND(ABS(MATCH(DL139,Responses_list1_frequency,0)-MATCH(DL140,Responses_list1_frequency,0))=1,ABS(MATCH(DL140,Responses_list1_frequency,0)-MATCH(DL141,Responses_list1_frequency,0))=1),DL139&amp;" / "&amp;DL140&amp;" / "&amp;DL141,"No consensus"),"No consensus"),DL139)     ))</f>
        <v>Most of the time / Yes, always</v>
      </c>
      <c r="DM25" s="33">
        <f>DM139</f>
        <v>2</v>
      </c>
      <c r="DN25" s="37">
        <f>DN139</f>
        <v>0</v>
      </c>
      <c r="DO25" s="14"/>
      <c r="DP25" s="14"/>
      <c r="DQ25" s="528"/>
      <c r="DR25" s="544"/>
      <c r="DS25" s="529"/>
      <c r="DT25" s="14"/>
      <c r="DU25" s="14"/>
      <c r="DV25" s="14"/>
      <c r="DW25" s="14"/>
      <c r="DX25" s="14"/>
      <c r="DY25" s="14"/>
      <c r="DZ25" s="14"/>
      <c r="EA25" s="14"/>
      <c r="EB25" s="14"/>
      <c r="EC25" s="14"/>
      <c r="ED25" s="14"/>
      <c r="EE25" s="14"/>
      <c r="EF25" s="14"/>
      <c r="EG25" s="14"/>
      <c r="EH25" s="14"/>
      <c r="EI25" s="14"/>
      <c r="EJ25" s="14"/>
      <c r="EK25" s="14"/>
      <c r="EL25" s="14"/>
    </row>
    <row r="26" spans="1:142" x14ac:dyDescent="0.25">
      <c r="A26" s="14"/>
      <c r="B26" s="57" t="s">
        <v>153</v>
      </c>
      <c r="C26" s="122" t="str">
        <f ca="1">IF(COUNTIF(C166:C168,"")=2,C166,                                                                                                                                                                                                IF(COUNTIF(C166:C168,"")=1,                                                                                                                                                                                                                                     IFERROR(IF(ABS(MATCH(C166,Responses_list1_frequency,0)-MATCH(C167,Responses_list1_frequency,0))=1,C166&amp;" / "&amp;C167,"No consensus"),"No consensus"),   IF(COUNTIF(C166:C168,"")=0,                                                                                                                                                                                                                                                       IFERROR(IF(AND(ABS(MATCH(C166,Responses_list1_frequency,0)-MATCH(C167,Responses_list1_frequency,0))=1,ABS(MATCH(C167,Responses_list1_frequency,0)-MATCH(C168,Responses_list1_frequency,0))=1),C166&amp;" / "&amp;C167&amp;" / "&amp;C168,"No consensus"),"No consensus"),C166)     ))</f>
        <v>Definitely not</v>
      </c>
      <c r="D26" s="58">
        <f>D166</f>
        <v>3</v>
      </c>
      <c r="E26" s="121">
        <f>E166</f>
        <v>0</v>
      </c>
      <c r="F26" s="14"/>
      <c r="G26" s="136"/>
      <c r="H26" s="138"/>
      <c r="I26" s="36"/>
      <c r="J26" s="33"/>
      <c r="K26" s="14"/>
      <c r="L26" s="14"/>
      <c r="M26" s="14"/>
      <c r="N26" s="14"/>
      <c r="O26" s="14"/>
      <c r="P26" s="14"/>
      <c r="Q26" s="47"/>
      <c r="R26" s="19"/>
      <c r="S26" s="34" t="s">
        <v>153</v>
      </c>
      <c r="T26" s="122" t="str">
        <f ca="1">IF(COUNTIF(T166:T168,"")=2,T166,                                                                                                                                                                                                IF(COUNTIF(T166:T168,"")=1,                                                                                                                                                                                                                                     IFERROR(IF(ABS(MATCH(T166,Responses_list1_frequency,0)-MATCH(T167,Responses_list1_frequency,0))=1,T166&amp;" / "&amp;T167,"No consensus"),"No consensus"),   IF(COUNTIF(T166:T168,"")=0,                                                                                                                                                                                                                                                       IFERROR(IF(AND(ABS(MATCH(T166,Responses_list1_frequency,0)-MATCH(T167,Responses_list1_frequency,0))=1,ABS(MATCH(T167,Responses_list1_frequency,0)-MATCH(T168,Responses_list1_frequency,0))=1),T166&amp;" / "&amp;T167&amp;" / "&amp;T168,"No consensus"),"No consensus"),T166)     ))</f>
        <v>No consensus</v>
      </c>
      <c r="U26" s="33">
        <f>U166</f>
        <v>2</v>
      </c>
      <c r="V26" s="37">
        <f>V166</f>
        <v>0</v>
      </c>
      <c r="W26" s="14"/>
      <c r="X26" s="19"/>
      <c r="Y26" s="19"/>
      <c r="Z26" s="14"/>
      <c r="AA26" s="14"/>
      <c r="AB26" s="14"/>
      <c r="AC26" s="14"/>
      <c r="AD26" s="65"/>
      <c r="AE26" s="63"/>
      <c r="AF26" s="352"/>
      <c r="AG26" s="19"/>
      <c r="AH26" s="57" t="s">
        <v>153</v>
      </c>
      <c r="AI26" s="122" t="str">
        <f ca="1">IF(COUNTIF(AI166:AI168,"")=2,AI166,                                                                                                                                                                                                IF(COUNTIF(AI166:AI168,"")=1,                                                                                                                                                                                                                                     IFERROR(IF(ABS(MATCH(AI166,Responses_list1_frequency,0)-MATCH(AI167,Responses_list1_frequency,0))=1,AI166&amp;" / "&amp;AI167,"No consensus"),"No consensus"),   IF(COUNTIF(AI166:AI168,"")=0,                                                                                                                                                                                                                                                       IFERROR(IF(AND(ABS(MATCH(AI166,Responses_list1_frequency,0)-MATCH(AI167,Responses_list1_frequency,0))=1,ABS(MATCH(AI167,Responses_list1_frequency,0)-MATCH(AI168,Responses_list1_frequency,0))=1),AI166&amp;" / "&amp;AI167&amp;" / "&amp;AI168,"No consensus"),"No consensus"),AI166)     ))</f>
        <v>na</v>
      </c>
      <c r="AJ26" s="58">
        <f>AJ166</f>
        <v>0</v>
      </c>
      <c r="AK26" s="58">
        <f>AK166</f>
        <v>0</v>
      </c>
      <c r="AL26" s="14"/>
      <c r="AM26" s="19"/>
      <c r="AN26" s="14"/>
      <c r="AO26" s="14"/>
      <c r="AP26" s="14"/>
      <c r="AQ26" s="14"/>
      <c r="AR26" s="14"/>
      <c r="AS26" s="65"/>
      <c r="AT26" s="63"/>
      <c r="AU26" s="352"/>
      <c r="AV26" s="14"/>
      <c r="AW26" s="57" t="s">
        <v>153</v>
      </c>
      <c r="AX26" s="122" t="str">
        <f ca="1">IF(COUNTIF(AX166:AX168,"")=2,AX166,                                                                                                                                                                                                IF(COUNTIF(AX166:AX168,"")=1,                                                                                                                                                                                                                                     IFERROR(IF(ABS(MATCH(AX166,Responses_list1_frequency,0)-MATCH(AX167,Responses_list1_frequency,0))=1,AX166&amp;" / "&amp;AX167,"No consensus"),"No consensus"),   IF(COUNTIF(AX166:AX168,"")=0,                                                                                                                                                                                                                                                       IFERROR(IF(AND(ABS(MATCH(AX166,Responses_list1_frequency,0)-MATCH(AX167,Responses_list1_frequency,0))=1,ABS(MATCH(AX167,Responses_list1_frequency,0)-MATCH(AX168,Responses_list1_frequency,0))=1),AX166&amp;" / "&amp;AX167&amp;" / "&amp;AX168,"No consensus"),"No consensus"),AX166)     ))</f>
        <v>na</v>
      </c>
      <c r="AY26" s="58">
        <f>AY166</f>
        <v>0</v>
      </c>
      <c r="AZ26" s="121">
        <f>AZ166</f>
        <v>0</v>
      </c>
      <c r="BA26" s="14"/>
      <c r="BB26" s="19"/>
      <c r="BC26" s="19"/>
      <c r="BD26" s="14"/>
      <c r="BE26" s="14"/>
      <c r="BF26" s="14"/>
      <c r="BG26" s="14"/>
      <c r="BH26" s="65"/>
      <c r="BI26" s="63"/>
      <c r="BJ26" s="352"/>
      <c r="BK26" s="19"/>
      <c r="BL26" s="57" t="s">
        <v>153</v>
      </c>
      <c r="BM26" s="122" t="str">
        <f ca="1">IF(COUNTIF(BM166:BM168,"")=2,BM166,                                                                                                                                                                                                IF(COUNTIF(BM166:BM168,"")=1,                                                                                                                                                                                                                                     IFERROR(IF(ABS(MATCH(BM166,Responses_list1_frequency,0)-MATCH(BM167,Responses_list1_frequency,0))=1,BM166&amp;" / "&amp;BM167,"No consensus"),"No consensus"),   IF(COUNTIF(BM166:BM168,"")=0,                                                                                                                                                                                                                                                       IFERROR(IF(AND(ABS(MATCH(BM166,Responses_list1_frequency,0)-MATCH(BM167,Responses_list1_frequency,0))=1,ABS(MATCH(BM167,Responses_list1_frequency,0)-MATCH(BM168,Responses_list1_frequency,0))=1),BM166&amp;" / "&amp;BM167&amp;" / "&amp;BM168,"No consensus"),"No consensus"),BM166)     ))</f>
        <v>na</v>
      </c>
      <c r="BN26" s="58">
        <f>BN166</f>
        <v>0</v>
      </c>
      <c r="BO26" s="121">
        <f>BO166</f>
        <v>0</v>
      </c>
      <c r="BP26" s="14"/>
      <c r="BQ26" s="19"/>
      <c r="BR26" s="19"/>
      <c r="BS26" s="14"/>
      <c r="BT26" s="14"/>
      <c r="BU26" s="14"/>
      <c r="BV26" s="14"/>
      <c r="BW26" s="65"/>
      <c r="BX26" s="63"/>
      <c r="BY26" s="352"/>
      <c r="BZ26" s="14"/>
      <c r="CA26" s="34" t="s">
        <v>153</v>
      </c>
      <c r="CB26" s="37">
        <f>CB166</f>
        <v>2</v>
      </c>
      <c r="CC26" s="19"/>
      <c r="CD26" s="19"/>
      <c r="CE26" s="19"/>
      <c r="CF26" s="19"/>
      <c r="CG26" s="14"/>
      <c r="CH26" s="68"/>
      <c r="CI26" s="14"/>
      <c r="CJ26" s="14"/>
      <c r="CK26" s="14"/>
      <c r="CL26" s="14"/>
      <c r="CM26" s="14"/>
      <c r="CN26" s="14"/>
      <c r="CO26" s="129"/>
      <c r="CP26" s="14"/>
      <c r="CQ26" s="47"/>
      <c r="CR26" s="14"/>
      <c r="CS26" s="34" t="s">
        <v>153</v>
      </c>
      <c r="CT26" s="37">
        <f>CT166</f>
        <v>1</v>
      </c>
      <c r="CU26" s="19"/>
      <c r="CV26" s="27"/>
      <c r="CW26" s="19"/>
      <c r="CX26" s="19"/>
      <c r="CY26" s="14"/>
      <c r="CZ26" s="68"/>
      <c r="DA26" s="14"/>
      <c r="DB26" s="14"/>
      <c r="DC26" s="14"/>
      <c r="DD26" s="14"/>
      <c r="DE26" s="14"/>
      <c r="DF26" s="14"/>
      <c r="DG26" s="129"/>
      <c r="DH26" s="14"/>
      <c r="DI26" s="47"/>
      <c r="DJ26" s="14"/>
      <c r="DK26" s="34" t="s">
        <v>153</v>
      </c>
      <c r="DL26" s="122" t="str">
        <f ca="1">IF(COUNTIF(DL166:DL168,"")=2,DL166,                                                                                                                                                                                                IF(COUNTIF(DL166:DL168,"")=1,                                                                                                                                                                                                                                     IFERROR(IF(ABS(MATCH(DL166,Responses_list1_frequency,0)-MATCH(DL167,Responses_list1_frequency,0))=1,DL166&amp;" / "&amp;DL167,"No consensus"),"No consensus"),   IF(COUNTIF(DL166:DL168,"")=0,                                                                                                                                                                                                                                                       IFERROR(IF(AND(ABS(MATCH(DL166,Responses_list1_frequency,0)-MATCH(DL167,Responses_list1_frequency,0))=1,ABS(MATCH(DL167,Responses_list1_frequency,0)-MATCH(DL168,Responses_list1_frequency,0))=1),DL166&amp;" / "&amp;DL167&amp;" / "&amp;DL168,"No consensus"),"No consensus"),DL166)     ))</f>
        <v>Definitely not</v>
      </c>
      <c r="DM26" s="33">
        <f>DM166</f>
        <v>3</v>
      </c>
      <c r="DN26" s="37">
        <f>DN166</f>
        <v>0</v>
      </c>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row>
    <row r="27" spans="1:142" x14ac:dyDescent="0.25">
      <c r="A27" s="14"/>
      <c r="B27" s="57" t="s">
        <v>154</v>
      </c>
      <c r="C27" s="122" t="str">
        <f ca="1">IF(COUNTIF(C193:C195,"")=2,C193,                                                                                                                                                                                                IF(COUNTIF(C193:C195,"")=1,                                                                                                                                                                                                                                     IFERROR(IF(ABS(MATCH(C193,Responses_list1_frequency,0)-MATCH(C194,Responses_list1_frequency,0))=1,C193&amp;" / "&amp;C194,"No consensus"),"No consensus"),   IF(COUNTIF(C193:C195,"")=0,                                                                                                                                                                                                                                                       IFERROR(IF(AND(ABS(MATCH(C193,Responses_list1_frequency,0)-MATCH(C194,Responses_list1_frequency,0))=1,ABS(MATCH(C194,Responses_list1_frequency,0)-MATCH(C195,Responses_list1_frequency,0))=1),C193&amp;" / "&amp;C194&amp;" / "&amp;C195,"No consensus"),"No consensus"),C193)     ))</f>
        <v>Most of the time</v>
      </c>
      <c r="D27" s="58">
        <f>D193</f>
        <v>4</v>
      </c>
      <c r="E27" s="121">
        <f>E193</f>
        <v>0</v>
      </c>
      <c r="F27" s="14"/>
      <c r="G27" s="136"/>
      <c r="H27" s="138"/>
      <c r="I27" s="36"/>
      <c r="J27" s="33"/>
      <c r="K27" s="14"/>
      <c r="L27" s="14"/>
      <c r="M27" s="14"/>
      <c r="N27" s="14"/>
      <c r="O27" s="14"/>
      <c r="P27" s="14"/>
      <c r="Q27" s="47"/>
      <c r="R27" s="19"/>
      <c r="S27" s="57" t="s">
        <v>154</v>
      </c>
      <c r="T27" s="122" t="str">
        <f ca="1">IF(COUNTIF(T193:T195,"")=2,T193,                                                                                                                                                                                                IF(COUNTIF(T193:T195,"")=1,                                                                                                                                                                                                                                     IFERROR(IF(ABS(MATCH(T193,Responses_list1_frequency,0)-MATCH(T194,Responses_list1_frequency,0))=1,T193&amp;" / "&amp;T194,"No consensus"),"No consensus"),   IF(COUNTIF(T193:T195,"")=0,                                                                                                                                                                                                                                                       IFERROR(IF(AND(ABS(MATCH(T193,Responses_list1_frequency,0)-MATCH(T194,Responses_list1_frequency,0))=1,ABS(MATCH(T194,Responses_list1_frequency,0)-MATCH(T195,Responses_list1_frequency,0))=1),T193&amp;" / "&amp;T194&amp;" / "&amp;T195,"No consensus"),"No consensus"),T193)     ))</f>
        <v>Very likely</v>
      </c>
      <c r="U27" s="58">
        <f>U193</f>
        <v>4</v>
      </c>
      <c r="V27" s="58">
        <f>V193</f>
        <v>0</v>
      </c>
      <c r="W27" s="14"/>
      <c r="X27" s="19"/>
      <c r="Y27" s="19"/>
      <c r="Z27" s="14"/>
      <c r="AA27" s="14"/>
      <c r="AB27" s="14"/>
      <c r="AC27" s="14"/>
      <c r="AD27" s="65"/>
      <c r="AE27" s="63"/>
      <c r="AF27" s="352"/>
      <c r="AG27" s="19"/>
      <c r="AH27" s="57" t="s">
        <v>154</v>
      </c>
      <c r="AI27" s="122" t="str">
        <f ca="1">IF(COUNTIF(AI193:AI195,"")=2,AI193,                                                                                                                                                                                                IF(COUNTIF(AI193:AI195,"")=1,                                                                                                                                                                                                                                     IFERROR(IF(ABS(MATCH(AI193,Responses_list1_frequency,0)-MATCH(AI194,Responses_list1_frequency,0))=1,AI193&amp;" / "&amp;AI194,"No consensus"),"No consensus"),   IF(COUNTIF(AI193:AI195,"")=0,                                                                                                                                                                                                                                                       IFERROR(IF(AND(ABS(MATCH(AI193,Responses_list1_frequency,0)-MATCH(AI194,Responses_list1_frequency,0))=1,ABS(MATCH(AI194,Responses_list1_frequency,0)-MATCH(AI195,Responses_list1_frequency,0))=1),AI193&amp;" / "&amp;AI194&amp;" / "&amp;AI195,"No consensus"),"No consensus"),AI193)     ))</f>
        <v>Likely</v>
      </c>
      <c r="AJ27" s="58">
        <f>AJ193</f>
        <v>4</v>
      </c>
      <c r="AK27" s="58">
        <f>AK193</f>
        <v>0</v>
      </c>
      <c r="AL27" s="14"/>
      <c r="AM27" s="19"/>
      <c r="AN27" s="19"/>
      <c r="AO27" s="14"/>
      <c r="AP27" s="14"/>
      <c r="AQ27" s="14"/>
      <c r="AR27" s="14"/>
      <c r="AS27" s="65"/>
      <c r="AT27" s="63"/>
      <c r="AU27" s="352"/>
      <c r="AV27" s="14"/>
      <c r="AW27" s="57" t="s">
        <v>154</v>
      </c>
      <c r="AX27" s="122" t="str">
        <f ca="1">IF(COUNTIF(AX193:AX195,"")=2,AX193,                                                                                                                                                                                                IF(COUNTIF(AX193:AX195,"")=1,                                                                                                                                                                                                                                     IFERROR(IF(ABS(MATCH(AX193,Responses_list1_frequency,0)-MATCH(AX194,Responses_list1_frequency,0))=1,AX193&amp;" / "&amp;AX194,"No consensus"),"No consensus"),   IF(COUNTIF(AX193:AX195,"")=0,                                                                                                                                                                                                                                                       IFERROR(IF(AND(ABS(MATCH(AX193,Responses_list1_frequency,0)-MATCH(AX194,Responses_list1_frequency,0))=1,ABS(MATCH(AX194,Responses_list1_frequency,0)-MATCH(AX195,Responses_list1_frequency,0))=1),AX193&amp;" / "&amp;AX194&amp;" / "&amp;AX195,"No consensus"),"No consensus"),AX193)     ))</f>
        <v>Very likely</v>
      </c>
      <c r="AY27" s="58">
        <f>AY193</f>
        <v>4</v>
      </c>
      <c r="AZ27" s="121">
        <f>AZ193</f>
        <v>0</v>
      </c>
      <c r="BA27" s="14"/>
      <c r="BB27" s="19"/>
      <c r="BC27" s="19"/>
      <c r="BD27" s="14"/>
      <c r="BE27" s="14"/>
      <c r="BF27" s="14"/>
      <c r="BG27" s="14"/>
      <c r="BH27" s="65"/>
      <c r="BI27" s="63"/>
      <c r="BJ27" s="352"/>
      <c r="BK27" s="19"/>
      <c r="BL27" s="57" t="s">
        <v>154</v>
      </c>
      <c r="BM27" s="122" t="str">
        <f ca="1">IF(COUNTIF(BM193:BM195,"")=2,BM193,                                                                                                                                                                                                IF(COUNTIF(BM193:BM195,"")=1,                                                                                                                                                                                                                                     IFERROR(IF(ABS(MATCH(BM193,Responses_list1_frequency,0)-MATCH(BM194,Responses_list1_frequency,0))=1,BM193&amp;" / "&amp;BM194,"No consensus"),"No consensus"),   IF(COUNTIF(BM193:BM195,"")=0,                                                                                                                                                                                                                                                       IFERROR(IF(AND(ABS(MATCH(BM193,Responses_list1_frequency,0)-MATCH(BM194,Responses_list1_frequency,0))=1,ABS(MATCH(BM194,Responses_list1_frequency,0)-MATCH(BM195,Responses_list1_frequency,0))=1),BM193&amp;" / "&amp;BM194&amp;" / "&amp;BM195,"No consensus"),"No consensus"),BM193)     ))</f>
        <v>Very likely</v>
      </c>
      <c r="BN27" s="58">
        <f>BN193</f>
        <v>4</v>
      </c>
      <c r="BO27" s="121">
        <f>BO193</f>
        <v>0</v>
      </c>
      <c r="BP27" s="14"/>
      <c r="BQ27" s="19"/>
      <c r="BR27" s="19"/>
      <c r="BS27" s="14"/>
      <c r="BT27" s="14"/>
      <c r="BU27" s="14"/>
      <c r="BV27" s="14"/>
      <c r="BW27" s="65"/>
      <c r="BX27" s="63"/>
      <c r="BY27" s="352"/>
      <c r="BZ27" s="14"/>
      <c r="CA27" s="57" t="s">
        <v>154</v>
      </c>
      <c r="CB27" s="37">
        <f>CB193</f>
        <v>4</v>
      </c>
      <c r="CC27" s="19"/>
      <c r="CD27" s="19"/>
      <c r="CE27" s="19"/>
      <c r="CF27" s="19"/>
      <c r="CG27" s="14"/>
      <c r="CH27" s="14"/>
      <c r="CI27" s="14"/>
      <c r="CJ27" s="14"/>
      <c r="CK27" s="14"/>
      <c r="CL27" s="14"/>
      <c r="CM27" s="14"/>
      <c r="CN27" s="14"/>
      <c r="CO27" s="129"/>
      <c r="CP27" s="14"/>
      <c r="CQ27" s="47"/>
      <c r="CR27" s="14"/>
      <c r="CS27" s="57" t="s">
        <v>154</v>
      </c>
      <c r="CT27" s="37">
        <f>CT193</f>
        <v>4</v>
      </c>
      <c r="CU27" s="19"/>
      <c r="CV27" s="27"/>
      <c r="CW27" s="19"/>
      <c r="CX27" s="19"/>
      <c r="CY27" s="14"/>
      <c r="CZ27" s="14"/>
      <c r="DA27" s="14"/>
      <c r="DB27" s="14"/>
      <c r="DC27" s="14"/>
      <c r="DD27" s="14"/>
      <c r="DE27" s="14"/>
      <c r="DF27" s="14"/>
      <c r="DG27" s="129"/>
      <c r="DH27" s="14"/>
      <c r="DI27" s="47"/>
      <c r="DJ27" s="14"/>
      <c r="DK27" s="57" t="s">
        <v>154</v>
      </c>
      <c r="DL27" s="122" t="str">
        <f ca="1">IF(COUNTIF(DL193:DL195,"")=2,DL193,                                                                                                                                                                                                IF(COUNTIF(DL193:DL195,"")=1,                                                                                                                                                                                                                                     IFERROR(IF(ABS(MATCH(DL193,Responses_list1_frequency,0)-MATCH(DL194,Responses_list1_frequency,0))=1,DL193&amp;" / "&amp;DL194,"No consensus"),"No consensus"),   IF(COUNTIF(DL193:DL195,"")=0,                                                                                                                                                                                                                                                       IFERROR(IF(AND(ABS(MATCH(DL193,Responses_list1_frequency,0)-MATCH(DL194,Responses_list1_frequency,0))=1,ABS(MATCH(DL194,Responses_list1_frequency,0)-MATCH(DL195,Responses_list1_frequency,0))=1),DL193&amp;" / "&amp;DL194&amp;" / "&amp;DL195,"No consensus"),"No consensus"),DL193)     ))</f>
        <v>Sometimes</v>
      </c>
      <c r="DM27" s="58">
        <f>DM193</f>
        <v>4</v>
      </c>
      <c r="DN27" s="58">
        <f>DN193</f>
        <v>0</v>
      </c>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row>
    <row r="28" spans="1:142" s="132" customFormat="1" x14ac:dyDescent="0.25">
      <c r="A28" s="23"/>
      <c r="B28" s="112" t="s">
        <v>350</v>
      </c>
      <c r="C28" s="126"/>
      <c r="D28" s="113">
        <f>SUM(D22:D27)</f>
        <v>18</v>
      </c>
      <c r="E28" s="113">
        <f>SUM(E22:E27)</f>
        <v>2</v>
      </c>
      <c r="F28" s="23"/>
      <c r="G28" s="137"/>
      <c r="H28" s="137"/>
      <c r="I28" s="137"/>
      <c r="J28" s="53"/>
      <c r="K28" s="23"/>
      <c r="L28" s="23"/>
      <c r="M28" s="23"/>
      <c r="N28" s="23"/>
      <c r="O28" s="23"/>
      <c r="P28" s="23"/>
      <c r="Q28" s="73"/>
      <c r="R28" s="56"/>
      <c r="S28" s="112" t="s">
        <v>350</v>
      </c>
      <c r="T28" s="113"/>
      <c r="U28" s="113">
        <f>SUM(U22:U27)</f>
        <v>17</v>
      </c>
      <c r="V28" s="113">
        <f>SUM(V22:V27)</f>
        <v>2</v>
      </c>
      <c r="W28" s="23"/>
      <c r="X28" s="56"/>
      <c r="Y28" s="56"/>
      <c r="Z28" s="23"/>
      <c r="AA28" s="23"/>
      <c r="AB28" s="23"/>
      <c r="AC28" s="23"/>
      <c r="AD28" s="142"/>
      <c r="AE28" s="144"/>
      <c r="AF28" s="372"/>
      <c r="AG28" s="56"/>
      <c r="AH28" s="112" t="s">
        <v>350</v>
      </c>
      <c r="AI28" s="113"/>
      <c r="AJ28" s="113">
        <f>SUM(AJ22:AJ27)</f>
        <v>15</v>
      </c>
      <c r="AK28" s="113">
        <f>SUM(AK22:AK27)</f>
        <v>0</v>
      </c>
      <c r="AL28" s="23"/>
      <c r="AM28" s="56"/>
      <c r="AN28" s="56"/>
      <c r="AO28" s="23"/>
      <c r="AP28" s="23"/>
      <c r="AQ28" s="23"/>
      <c r="AR28" s="23"/>
      <c r="AS28" s="142"/>
      <c r="AT28" s="144"/>
      <c r="AU28" s="372"/>
      <c r="AV28" s="23"/>
      <c r="AW28" s="112" t="s">
        <v>350</v>
      </c>
      <c r="AX28" s="113"/>
      <c r="AY28" s="113">
        <f>SUM(AY22:AY27)</f>
        <v>15</v>
      </c>
      <c r="AZ28" s="113">
        <f>SUM(AZ22:AZ27)</f>
        <v>0</v>
      </c>
      <c r="BA28" s="23"/>
      <c r="BB28" s="56"/>
      <c r="BC28" s="56"/>
      <c r="BD28" s="23"/>
      <c r="BE28" s="23"/>
      <c r="BF28" s="23"/>
      <c r="BG28" s="23"/>
      <c r="BH28" s="142"/>
      <c r="BI28" s="144"/>
      <c r="BJ28" s="372"/>
      <c r="BK28" s="56"/>
      <c r="BL28" s="112" t="s">
        <v>350</v>
      </c>
      <c r="BM28" s="113"/>
      <c r="BN28" s="113">
        <f>SUM(BN22:BN27)</f>
        <v>15</v>
      </c>
      <c r="BO28" s="113">
        <f>SUM(BO22:BO27)</f>
        <v>0</v>
      </c>
      <c r="BP28" s="23"/>
      <c r="BQ28" s="56"/>
      <c r="BR28" s="56"/>
      <c r="BS28" s="23"/>
      <c r="BT28" s="23"/>
      <c r="BU28" s="23"/>
      <c r="BV28" s="23"/>
      <c r="BW28" s="142"/>
      <c r="BX28" s="144"/>
      <c r="BY28" s="372"/>
      <c r="BZ28" s="23"/>
      <c r="CA28" s="112" t="s">
        <v>350</v>
      </c>
      <c r="CB28" s="113">
        <f>SUM(CB22:CB27)</f>
        <v>17</v>
      </c>
      <c r="CC28" s="56"/>
      <c r="CD28" s="56"/>
      <c r="CE28" s="56"/>
      <c r="CF28" s="39"/>
      <c r="CG28" s="23"/>
      <c r="CH28" s="23"/>
      <c r="CI28" s="23"/>
      <c r="CJ28" s="23"/>
      <c r="CK28" s="23"/>
      <c r="CL28" s="23"/>
      <c r="CM28" s="23"/>
      <c r="CN28" s="23"/>
      <c r="CO28" s="90"/>
      <c r="CP28" s="23"/>
      <c r="CQ28" s="73"/>
      <c r="CR28" s="23"/>
      <c r="CS28" s="112" t="s">
        <v>350</v>
      </c>
      <c r="CT28" s="113">
        <f>SUM(CT22:CT27)</f>
        <v>13</v>
      </c>
      <c r="CU28" s="56"/>
      <c r="CV28" s="31"/>
      <c r="CW28" s="56"/>
      <c r="CX28" s="324"/>
      <c r="CY28" s="23"/>
      <c r="CZ28" s="23"/>
      <c r="DA28" s="23"/>
      <c r="DB28" s="23"/>
      <c r="DC28" s="23"/>
      <c r="DD28" s="23"/>
      <c r="DE28" s="23"/>
      <c r="DF28" s="23"/>
      <c r="DG28" s="90"/>
      <c r="DH28" s="23"/>
      <c r="DI28" s="73"/>
      <c r="DJ28" s="23"/>
      <c r="DK28" s="112" t="s">
        <v>350</v>
      </c>
      <c r="DL28" s="126"/>
      <c r="DM28" s="113">
        <f>SUM(DM22:DM27)</f>
        <v>18</v>
      </c>
      <c r="DN28" s="113">
        <f>SUM(DN22:DN27)</f>
        <v>1</v>
      </c>
      <c r="DO28" s="53"/>
      <c r="DP28" s="23"/>
      <c r="DQ28" s="23"/>
      <c r="DR28" s="23"/>
      <c r="DS28" s="23"/>
      <c r="DT28" s="23"/>
      <c r="DU28" s="23"/>
      <c r="DV28" s="23"/>
      <c r="DW28" s="23"/>
      <c r="DX28" s="23"/>
      <c r="DY28" s="23"/>
      <c r="DZ28" s="23"/>
      <c r="EA28" s="23"/>
      <c r="EB28" s="23"/>
      <c r="EC28" s="23"/>
      <c r="ED28" s="23"/>
      <c r="EE28" s="23"/>
      <c r="EF28" s="23"/>
      <c r="EG28" s="23"/>
      <c r="EH28" s="23"/>
      <c r="EI28" s="23"/>
      <c r="EJ28" s="23"/>
      <c r="EK28" s="23"/>
      <c r="EL28" s="23"/>
    </row>
    <row r="29" spans="1:142" x14ac:dyDescent="0.25">
      <c r="A29" s="14"/>
      <c r="B29" s="23"/>
      <c r="C29" s="14"/>
      <c r="D29" s="18"/>
      <c r="E29" s="14"/>
      <c r="F29" s="14"/>
      <c r="G29" s="14"/>
      <c r="H29" s="21"/>
      <c r="I29" s="21"/>
      <c r="J29" s="14"/>
      <c r="K29" s="14"/>
      <c r="L29" s="14"/>
      <c r="M29" s="14"/>
      <c r="N29" s="14"/>
      <c r="O29" s="14"/>
      <c r="P29" s="14"/>
      <c r="Q29" s="47"/>
      <c r="R29" s="19"/>
      <c r="S29" s="14"/>
      <c r="T29" s="14"/>
      <c r="U29" s="14"/>
      <c r="V29" s="14"/>
      <c r="W29" s="14"/>
      <c r="X29" s="19"/>
      <c r="Y29" s="19"/>
      <c r="Z29" s="14"/>
      <c r="AA29" s="14"/>
      <c r="AB29" s="14"/>
      <c r="AC29" s="14"/>
      <c r="AD29" s="65"/>
      <c r="AE29" s="63"/>
      <c r="AF29" s="352"/>
      <c r="AG29" s="19"/>
      <c r="AH29" s="14"/>
      <c r="AI29" s="14"/>
      <c r="AJ29" s="14"/>
      <c r="AK29" s="14"/>
      <c r="AL29" s="14"/>
      <c r="AM29" s="19"/>
      <c r="AN29" s="19"/>
      <c r="AO29" s="14"/>
      <c r="AP29" s="14"/>
      <c r="AQ29" s="14"/>
      <c r="AR29" s="14"/>
      <c r="AS29" s="65"/>
      <c r="AT29" s="63"/>
      <c r="AU29" s="352"/>
      <c r="AV29" s="14"/>
      <c r="AW29" s="14"/>
      <c r="AX29" s="14"/>
      <c r="AY29" s="14"/>
      <c r="AZ29" s="14"/>
      <c r="BA29" s="14"/>
      <c r="BB29" s="19"/>
      <c r="BC29" s="19"/>
      <c r="BD29" s="14"/>
      <c r="BE29" s="14"/>
      <c r="BF29" s="14"/>
      <c r="BG29" s="14"/>
      <c r="BH29" s="65"/>
      <c r="BI29" s="63"/>
      <c r="BJ29" s="352"/>
      <c r="BK29" s="19"/>
      <c r="BL29" s="14"/>
      <c r="BM29" s="14"/>
      <c r="BN29" s="14"/>
      <c r="BO29" s="14"/>
      <c r="BP29" s="14"/>
      <c r="BQ29" s="19"/>
      <c r="BR29" s="19"/>
      <c r="BS29" s="14"/>
      <c r="BT29" s="14"/>
      <c r="BU29" s="14"/>
      <c r="BV29" s="14"/>
      <c r="BW29" s="65"/>
      <c r="BX29" s="63"/>
      <c r="BY29" s="352"/>
      <c r="BZ29" s="14"/>
      <c r="CA29" s="19"/>
      <c r="CB29" s="27"/>
      <c r="CC29" s="27"/>
      <c r="CD29" s="27"/>
      <c r="CE29" s="27"/>
      <c r="CF29" s="59"/>
      <c r="CG29" s="15"/>
      <c r="CH29" s="14"/>
      <c r="CI29" s="14"/>
      <c r="CJ29" s="14"/>
      <c r="CK29" s="14"/>
      <c r="CL29" s="14"/>
      <c r="CM29" s="14"/>
      <c r="CN29" s="14"/>
      <c r="CO29" s="129"/>
      <c r="CP29" s="30"/>
      <c r="CQ29" s="47"/>
      <c r="CR29" s="14"/>
      <c r="CS29" s="14"/>
      <c r="CT29" s="19"/>
      <c r="CU29" s="19"/>
      <c r="CV29" s="27"/>
      <c r="CW29" s="19"/>
      <c r="CX29" s="59"/>
      <c r="CY29" s="14"/>
      <c r="CZ29" s="14"/>
      <c r="DA29" s="14"/>
      <c r="DB29" s="14"/>
      <c r="DC29" s="14"/>
      <c r="DD29" s="14"/>
      <c r="DE29" s="14"/>
      <c r="DF29" s="14"/>
      <c r="DG29" s="129"/>
      <c r="DH29" s="14"/>
      <c r="DI29" s="47"/>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row>
    <row r="30" spans="1:142" s="133" customFormat="1" x14ac:dyDescent="0.25">
      <c r="A30" s="21"/>
      <c r="B30" s="266"/>
      <c r="C30" s="27"/>
      <c r="D30" s="31"/>
      <c r="E30" s="27"/>
      <c r="F30" s="27"/>
      <c r="G30" s="21"/>
      <c r="H30" s="21"/>
      <c r="I30" s="21"/>
      <c r="J30" s="21"/>
      <c r="K30" s="21"/>
      <c r="L30" s="21"/>
      <c r="M30" s="21"/>
      <c r="N30" s="21"/>
      <c r="O30" s="21"/>
      <c r="P30" s="21"/>
      <c r="Q30" s="47"/>
      <c r="R30" s="21"/>
      <c r="S30" s="21"/>
      <c r="T30" s="21"/>
      <c r="U30" s="21"/>
      <c r="V30" s="21"/>
      <c r="W30" s="21"/>
      <c r="X30" s="19"/>
      <c r="Y30" s="19"/>
      <c r="Z30" s="21"/>
      <c r="AA30" s="21"/>
      <c r="AB30" s="21"/>
      <c r="AC30" s="21"/>
      <c r="AD30" s="143"/>
      <c r="AE30" s="145"/>
      <c r="AF30" s="374"/>
      <c r="AG30" s="21"/>
      <c r="AH30" s="21"/>
      <c r="AI30" s="21"/>
      <c r="AJ30" s="21"/>
      <c r="AK30" s="21"/>
      <c r="AL30" s="21"/>
      <c r="AM30" s="19"/>
      <c r="AN30" s="19"/>
      <c r="AO30" s="21"/>
      <c r="AP30" s="21"/>
      <c r="AQ30" s="21"/>
      <c r="AR30" s="21"/>
      <c r="AS30" s="143"/>
      <c r="AT30" s="145"/>
      <c r="AU30" s="374"/>
      <c r="AV30" s="21"/>
      <c r="AW30" s="21"/>
      <c r="AX30" s="21"/>
      <c r="AY30" s="21"/>
      <c r="AZ30" s="21"/>
      <c r="BA30" s="21"/>
      <c r="BB30" s="19"/>
      <c r="BC30" s="19"/>
      <c r="BD30" s="21"/>
      <c r="BE30" s="21"/>
      <c r="BF30" s="21"/>
      <c r="BG30" s="21"/>
      <c r="BH30" s="143"/>
      <c r="BI30" s="145"/>
      <c r="BJ30" s="374"/>
      <c r="BK30" s="21"/>
      <c r="BL30" s="21"/>
      <c r="BM30" s="21"/>
      <c r="BN30" s="21"/>
      <c r="BO30" s="21"/>
      <c r="BP30" s="21"/>
      <c r="BQ30" s="19"/>
      <c r="BR30" s="19"/>
      <c r="BS30" s="21"/>
      <c r="BT30" s="21"/>
      <c r="BU30" s="21"/>
      <c r="BV30" s="21"/>
      <c r="BW30" s="143"/>
      <c r="BX30" s="145"/>
      <c r="BY30" s="374"/>
      <c r="BZ30" s="21"/>
      <c r="CA30" s="27"/>
      <c r="CB30" s="27"/>
      <c r="CC30" s="27"/>
      <c r="CD30" s="51"/>
      <c r="CE30" s="96"/>
      <c r="CF30" s="32"/>
      <c r="CG30" s="32"/>
      <c r="CH30" s="21"/>
      <c r="CI30" s="14"/>
      <c r="CJ30" s="14"/>
      <c r="CK30" s="14"/>
      <c r="CL30" s="14"/>
      <c r="CM30" s="14"/>
      <c r="CN30" s="14"/>
      <c r="CO30" s="129"/>
      <c r="CP30" s="28"/>
      <c r="CQ30" s="46"/>
      <c r="CR30" s="21"/>
      <c r="CS30" s="21"/>
      <c r="CT30" s="21"/>
      <c r="CU30" s="21"/>
      <c r="CV30" s="21"/>
      <c r="CW30" s="21"/>
      <c r="CX30" s="21"/>
      <c r="CY30" s="21"/>
      <c r="CZ30" s="21"/>
      <c r="DA30" s="21"/>
      <c r="DB30" s="21"/>
      <c r="DC30" s="21"/>
      <c r="DD30" s="21"/>
      <c r="DE30" s="21"/>
      <c r="DF30" s="21"/>
      <c r="DG30" s="285"/>
      <c r="DH30" s="21"/>
      <c r="DI30" s="46"/>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row>
    <row r="31" spans="1:142" s="133" customFormat="1" x14ac:dyDescent="0.25">
      <c r="A31" s="21"/>
      <c r="B31" s="269"/>
      <c r="C31" s="267"/>
      <c r="D31" s="267"/>
      <c r="E31" s="267"/>
      <c r="F31" s="267"/>
      <c r="G31" s="21"/>
      <c r="H31" s="21"/>
      <c r="I31" s="21"/>
      <c r="J31" s="21"/>
      <c r="K31" s="21"/>
      <c r="L31" s="21"/>
      <c r="M31" s="21"/>
      <c r="N31" s="21"/>
      <c r="O31" s="21"/>
      <c r="P31" s="21"/>
      <c r="Q31" s="47"/>
      <c r="R31" s="27"/>
      <c r="S31" s="159" t="s">
        <v>692</v>
      </c>
      <c r="T31" s="160">
        <f>IF(U28=0,"",IF(U38&gt;=0.5,"No consensus",IF(AND(U39&gt;0,U40&gt;0),U39/U40,IF(U39&gt;U40,"Likely","Unlikely"))))</f>
        <v>5.2222222222222223</v>
      </c>
      <c r="U31" s="161" t="str">
        <f>IFERROR(IF(T31/2&gt;=0,IF(T31&gt;2,"Likely",IF(T31&lt;0.5,"Unlikely","No clear consensus on the likelihood"))),"")</f>
        <v>Likely</v>
      </c>
      <c r="V31" s="21"/>
      <c r="W31" s="21"/>
      <c r="X31" s="19"/>
      <c r="Y31" s="19"/>
      <c r="Z31" s="21"/>
      <c r="AA31" s="21"/>
      <c r="AB31" s="21"/>
      <c r="AC31" s="21"/>
      <c r="AD31" s="143"/>
      <c r="AE31" s="145"/>
      <c r="AF31" s="374"/>
      <c r="AG31" s="27"/>
      <c r="AH31" s="159" t="s">
        <v>692</v>
      </c>
      <c r="AI31" s="160">
        <f>IF(AJ28=0,"",IF(AJ38&gt;=0.5,"No consensus",IF(AND(AJ39&gt;0,AJ40&gt;0),AJ39/AJ40,IF(AJ39&gt;AJ40,"Likely","Unlikely"))))</f>
        <v>1.0689655172413792</v>
      </c>
      <c r="AJ31" s="161" t="str">
        <f>IFERROR(IF(AI31/2&gt;=0,IF(AI31&gt;2,"Likely",IF(AI31&lt;0.5,"Unlikely","No clear consensus on the likelihood"))),"")</f>
        <v>No clear consensus on the likelihood</v>
      </c>
      <c r="AK31" s="21"/>
      <c r="AL31" s="21"/>
      <c r="AM31" s="19"/>
      <c r="AN31" s="19"/>
      <c r="AO31" s="21"/>
      <c r="AP31" s="21"/>
      <c r="AQ31" s="21"/>
      <c r="AR31" s="21"/>
      <c r="AS31" s="143"/>
      <c r="AT31" s="145"/>
      <c r="AU31" s="374"/>
      <c r="AV31" s="21"/>
      <c r="AW31" s="159" t="s">
        <v>692</v>
      </c>
      <c r="AX31" s="160">
        <f>IF(AY28=0,"",IF(AY38&gt;=0.5,"No consensus",IF(AND(AY39&gt;0,AY40&gt;0),AY39/AY40,IF(AY39&gt;AY40,"Likely","Unlikely"))))</f>
        <v>1.0689655172413792</v>
      </c>
      <c r="AY31" s="161" t="str">
        <f>IFERROR(IF(AX31/2&gt;=0,IF(AX31&gt;2,"Likely",IF(AX31&lt;0.5,"Unlikely","No clear consensus on the likelihood"))),"")</f>
        <v>No clear consensus on the likelihood</v>
      </c>
      <c r="AZ31" s="21"/>
      <c r="BA31" s="21"/>
      <c r="BB31" s="19"/>
      <c r="BC31" s="19"/>
      <c r="BD31" s="21"/>
      <c r="BE31" s="21"/>
      <c r="BF31" s="21"/>
      <c r="BG31" s="21"/>
      <c r="BH31" s="143"/>
      <c r="BI31" s="145"/>
      <c r="BJ31" s="374"/>
      <c r="BK31" s="27"/>
      <c r="BL31" s="159" t="s">
        <v>692</v>
      </c>
      <c r="BM31" s="160">
        <f>IF(BN28=0,"",IF(BN38&gt;=0.5,"No consensus",IF(AND(BN39&gt;0,BN40&gt;0),BN39/BN40,IF(BN39&gt;BN40,"Likely","Unlikely"))))</f>
        <v>1.6086956521739133</v>
      </c>
      <c r="BN31" s="161" t="str">
        <f>IFERROR(IF(BM31/2&gt;=0,IF(BM31&gt;=2,"Likely",IF(BM31&lt;=0.5,"Unlikely","No clear consensus on the likelihood"))),"")</f>
        <v>No clear consensus on the likelihood</v>
      </c>
      <c r="BO31" s="21"/>
      <c r="BP31" s="21"/>
      <c r="BQ31" s="19"/>
      <c r="BR31" s="19"/>
      <c r="BS31" s="21"/>
      <c r="BT31" s="21"/>
      <c r="BU31" s="21"/>
      <c r="BV31" s="21"/>
      <c r="BW31" s="143"/>
      <c r="BX31" s="145"/>
      <c r="BY31" s="374"/>
      <c r="BZ31" s="21"/>
      <c r="CA31" s="43"/>
      <c r="CB31" s="209"/>
      <c r="CC31" s="518"/>
      <c r="CD31" s="518"/>
      <c r="CE31" s="518"/>
      <c r="CF31" s="518"/>
      <c r="CG31" s="518"/>
      <c r="CH31" s="518"/>
      <c r="CI31" s="518"/>
      <c r="CJ31" s="518"/>
      <c r="CK31" s="518"/>
      <c r="CL31" s="518"/>
      <c r="CM31" s="518"/>
      <c r="CN31" s="518"/>
      <c r="CO31" s="518"/>
      <c r="CP31" s="27"/>
      <c r="CQ31" s="46"/>
      <c r="CR31" s="21"/>
      <c r="CS31" s="212"/>
      <c r="CT31" s="209"/>
      <c r="CU31" s="519"/>
      <c r="CV31" s="519"/>
      <c r="CW31" s="519"/>
      <c r="CX31" s="519"/>
      <c r="CY31" s="519"/>
      <c r="CZ31" s="519"/>
      <c r="DA31" s="519"/>
      <c r="DB31" s="519"/>
      <c r="DC31" s="519"/>
      <c r="DD31" s="519"/>
      <c r="DE31" s="519"/>
      <c r="DF31" s="519"/>
      <c r="DG31" s="519"/>
      <c r="DH31" s="21"/>
      <c r="DI31" s="46"/>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row>
    <row r="32" spans="1:142" s="133" customFormat="1" ht="15" customHeight="1" x14ac:dyDescent="0.25">
      <c r="A32" s="21"/>
      <c r="B32" s="211"/>
      <c r="C32" s="265"/>
      <c r="D32" s="270"/>
      <c r="E32" s="270"/>
      <c r="F32" s="270"/>
      <c r="G32" s="21"/>
      <c r="H32" s="21"/>
      <c r="I32" s="21"/>
      <c r="J32" s="21"/>
      <c r="K32" s="21"/>
      <c r="L32" s="21"/>
      <c r="M32" s="21"/>
      <c r="N32" s="21"/>
      <c r="O32" s="21"/>
      <c r="P32" s="21"/>
      <c r="Q32" s="47"/>
      <c r="R32" s="27"/>
      <c r="S32" s="21"/>
      <c r="T32" s="21"/>
      <c r="U32" s="21"/>
      <c r="V32" s="21"/>
      <c r="W32" s="21"/>
      <c r="X32" s="19"/>
      <c r="Y32" s="19"/>
      <c r="Z32" s="21"/>
      <c r="AA32" s="21"/>
      <c r="AB32" s="21"/>
      <c r="AC32" s="21"/>
      <c r="AD32" s="143"/>
      <c r="AE32" s="145"/>
      <c r="AF32" s="374"/>
      <c r="AG32" s="27"/>
      <c r="AH32" s="21"/>
      <c r="AI32" s="21"/>
      <c r="AJ32" s="21"/>
      <c r="AK32" s="21"/>
      <c r="AL32" s="21"/>
      <c r="AM32" s="19"/>
      <c r="AN32" s="19"/>
      <c r="AO32" s="21"/>
      <c r="AP32" s="21"/>
      <c r="AQ32" s="21"/>
      <c r="AR32" s="21"/>
      <c r="AS32" s="143"/>
      <c r="AT32" s="145"/>
      <c r="AU32" s="374"/>
      <c r="AV32" s="21"/>
      <c r="AW32" s="21"/>
      <c r="AX32" s="21"/>
      <c r="AY32" s="21"/>
      <c r="AZ32" s="21"/>
      <c r="BA32" s="21"/>
      <c r="BB32" s="19"/>
      <c r="BC32" s="19"/>
      <c r="BD32" s="21"/>
      <c r="BE32" s="21"/>
      <c r="BF32" s="21"/>
      <c r="BG32" s="21"/>
      <c r="BH32" s="143"/>
      <c r="BI32" s="145"/>
      <c r="BJ32" s="374"/>
      <c r="BK32" s="27"/>
      <c r="BL32" s="21"/>
      <c r="BM32" s="21"/>
      <c r="BN32" s="21"/>
      <c r="BO32" s="21"/>
      <c r="BP32" s="21"/>
      <c r="BQ32" s="19"/>
      <c r="BR32" s="19"/>
      <c r="BS32" s="21"/>
      <c r="BT32" s="21"/>
      <c r="BU32" s="21"/>
      <c r="BV32" s="21"/>
      <c r="BW32" s="143"/>
      <c r="BX32" s="145"/>
      <c r="BY32" s="374"/>
      <c r="BZ32" s="21"/>
      <c r="CA32" s="210"/>
      <c r="CB32" s="211"/>
      <c r="CC32" s="515"/>
      <c r="CD32" s="515"/>
      <c r="CE32" s="515"/>
      <c r="CF32" s="515"/>
      <c r="CG32" s="515"/>
      <c r="CH32" s="515"/>
      <c r="CI32" s="515"/>
      <c r="CJ32" s="515"/>
      <c r="CK32" s="515"/>
      <c r="CL32" s="515"/>
      <c r="CM32" s="515"/>
      <c r="CN32" s="515"/>
      <c r="CO32" s="515"/>
      <c r="CP32" s="27"/>
      <c r="CQ32" s="46"/>
      <c r="CR32" s="21"/>
      <c r="CS32" s="71"/>
      <c r="CT32" s="71"/>
      <c r="CU32" s="516"/>
      <c r="CV32" s="516"/>
      <c r="CW32" s="516"/>
      <c r="CX32" s="516"/>
      <c r="CY32" s="516"/>
      <c r="CZ32" s="516"/>
      <c r="DA32" s="516"/>
      <c r="DB32" s="516"/>
      <c r="DC32" s="516"/>
      <c r="DD32" s="516"/>
      <c r="DE32" s="516"/>
      <c r="DF32" s="516"/>
      <c r="DG32" s="516"/>
      <c r="DH32" s="21"/>
      <c r="DI32" s="46"/>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row>
    <row r="33" spans="1:142" ht="42.75" customHeight="1" x14ac:dyDescent="0.25">
      <c r="A33" s="14"/>
      <c r="B33" s="211"/>
      <c r="C33" s="265"/>
      <c r="D33" s="270"/>
      <c r="E33" s="270"/>
      <c r="F33" s="270"/>
      <c r="G33" s="14"/>
      <c r="H33" s="21"/>
      <c r="I33" s="21"/>
      <c r="J33" s="14"/>
      <c r="K33" s="14"/>
      <c r="L33" s="14"/>
      <c r="M33" s="14"/>
      <c r="N33" s="14"/>
      <c r="O33" s="14"/>
      <c r="P33" s="14"/>
      <c r="Q33" s="47"/>
      <c r="R33" s="19"/>
      <c r="S33" s="545" t="s">
        <v>757</v>
      </c>
      <c r="T33" s="546"/>
      <c r="U33" s="547"/>
      <c r="V33" s="14"/>
      <c r="W33" s="14"/>
      <c r="X33" s="19"/>
      <c r="Y33" s="19"/>
      <c r="Z33" s="14"/>
      <c r="AA33" s="14"/>
      <c r="AB33" s="14"/>
      <c r="AC33" s="14"/>
      <c r="AD33" s="65"/>
      <c r="AE33" s="63"/>
      <c r="AF33" s="352"/>
      <c r="AG33" s="19"/>
      <c r="AH33" s="545" t="s">
        <v>757</v>
      </c>
      <c r="AI33" s="546"/>
      <c r="AJ33" s="547"/>
      <c r="AK33" s="14"/>
      <c r="AL33" s="14"/>
      <c r="AM33" s="19"/>
      <c r="AN33" s="19"/>
      <c r="AO33" s="14"/>
      <c r="AP33" s="14"/>
      <c r="AQ33" s="14"/>
      <c r="AR33" s="14"/>
      <c r="AS33" s="65"/>
      <c r="AT33" s="63"/>
      <c r="AU33" s="352"/>
      <c r="AV33" s="14"/>
      <c r="AW33" s="545" t="s">
        <v>757</v>
      </c>
      <c r="AX33" s="546"/>
      <c r="AY33" s="547"/>
      <c r="AZ33" s="14"/>
      <c r="BA33" s="14"/>
      <c r="BB33" s="19"/>
      <c r="BC33" s="19"/>
      <c r="BD33" s="14"/>
      <c r="BE33" s="14"/>
      <c r="BF33" s="14"/>
      <c r="BG33" s="14"/>
      <c r="BH33" s="65"/>
      <c r="BI33" s="63"/>
      <c r="BJ33" s="352"/>
      <c r="BK33" s="19"/>
      <c r="BL33" s="545" t="s">
        <v>757</v>
      </c>
      <c r="BM33" s="546"/>
      <c r="BN33" s="547"/>
      <c r="BO33" s="14"/>
      <c r="BP33" s="14"/>
      <c r="BQ33" s="19"/>
      <c r="BR33" s="19"/>
      <c r="BS33" s="14"/>
      <c r="BT33" s="14"/>
      <c r="BU33" s="14"/>
      <c r="BV33" s="14"/>
      <c r="BW33" s="65"/>
      <c r="BX33" s="63"/>
      <c r="BY33" s="352"/>
      <c r="BZ33" s="14"/>
      <c r="CA33" s="210"/>
      <c r="CB33" s="211"/>
      <c r="CC33" s="515"/>
      <c r="CD33" s="515"/>
      <c r="CE33" s="515"/>
      <c r="CF33" s="515"/>
      <c r="CG33" s="515"/>
      <c r="CH33" s="515"/>
      <c r="CI33" s="515"/>
      <c r="CJ33" s="515"/>
      <c r="CK33" s="515"/>
      <c r="CL33" s="515"/>
      <c r="CM33" s="515"/>
      <c r="CN33" s="515"/>
      <c r="CO33" s="515"/>
      <c r="CP33" s="14"/>
      <c r="CQ33" s="47"/>
      <c r="CR33" s="14"/>
      <c r="CS33" s="71"/>
      <c r="CT33" s="71"/>
      <c r="CU33" s="516"/>
      <c r="CV33" s="516"/>
      <c r="CW33" s="516"/>
      <c r="CX33" s="516"/>
      <c r="CY33" s="516"/>
      <c r="CZ33" s="516"/>
      <c r="DA33" s="516"/>
      <c r="DB33" s="516"/>
      <c r="DC33" s="516"/>
      <c r="DD33" s="516"/>
      <c r="DE33" s="516"/>
      <c r="DF33" s="516"/>
      <c r="DG33" s="516"/>
      <c r="DH33" s="14"/>
      <c r="DI33" s="47"/>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row>
    <row r="34" spans="1:142" ht="28.5" customHeight="1" x14ac:dyDescent="0.25">
      <c r="A34" s="14"/>
      <c r="B34" s="211"/>
      <c r="C34" s="265"/>
      <c r="D34" s="270"/>
      <c r="E34" s="270"/>
      <c r="F34" s="270"/>
      <c r="G34" s="14"/>
      <c r="H34" s="21"/>
      <c r="I34" s="21"/>
      <c r="J34" s="14"/>
      <c r="K34" s="14"/>
      <c r="L34" s="14"/>
      <c r="M34" s="14"/>
      <c r="N34" s="14"/>
      <c r="O34" s="14"/>
      <c r="P34" s="14"/>
      <c r="Q34" s="47"/>
      <c r="R34" s="19"/>
      <c r="S34" s="548"/>
      <c r="T34" s="549"/>
      <c r="U34" s="550"/>
      <c r="V34" s="14"/>
      <c r="W34" s="14"/>
      <c r="X34" s="19"/>
      <c r="Y34" s="19"/>
      <c r="Z34" s="14"/>
      <c r="AA34" s="14"/>
      <c r="AB34" s="14"/>
      <c r="AC34" s="14"/>
      <c r="AD34" s="65"/>
      <c r="AE34" s="63"/>
      <c r="AF34" s="352"/>
      <c r="AG34" s="19"/>
      <c r="AH34" s="548"/>
      <c r="AI34" s="549"/>
      <c r="AJ34" s="550"/>
      <c r="AK34" s="14"/>
      <c r="AL34" s="14"/>
      <c r="AM34" s="19"/>
      <c r="AN34" s="19"/>
      <c r="AO34" s="14"/>
      <c r="AP34" s="14"/>
      <c r="AQ34" s="14"/>
      <c r="AR34" s="14"/>
      <c r="AS34" s="65"/>
      <c r="AT34" s="63"/>
      <c r="AU34" s="352"/>
      <c r="AV34" s="14"/>
      <c r="AW34" s="548"/>
      <c r="AX34" s="549"/>
      <c r="AY34" s="550"/>
      <c r="AZ34" s="14"/>
      <c r="BA34" s="14"/>
      <c r="BB34" s="19"/>
      <c r="BC34" s="19"/>
      <c r="BD34" s="14"/>
      <c r="BE34" s="14"/>
      <c r="BF34" s="14"/>
      <c r="BG34" s="14"/>
      <c r="BH34" s="65"/>
      <c r="BI34" s="63"/>
      <c r="BJ34" s="352"/>
      <c r="BK34" s="19"/>
      <c r="BL34" s="548"/>
      <c r="BM34" s="549"/>
      <c r="BN34" s="550"/>
      <c r="BO34" s="14"/>
      <c r="BP34" s="14"/>
      <c r="BQ34" s="19"/>
      <c r="BR34" s="19"/>
      <c r="BS34" s="14"/>
      <c r="BT34" s="14"/>
      <c r="BU34" s="14"/>
      <c r="BV34" s="14"/>
      <c r="BW34" s="65"/>
      <c r="BX34" s="63"/>
      <c r="BY34" s="352"/>
      <c r="BZ34" s="14"/>
      <c r="CA34" s="210"/>
      <c r="CB34" s="211"/>
      <c r="CC34" s="515"/>
      <c r="CD34" s="515"/>
      <c r="CE34" s="515"/>
      <c r="CF34" s="515"/>
      <c r="CG34" s="515"/>
      <c r="CH34" s="515"/>
      <c r="CI34" s="515"/>
      <c r="CJ34" s="515"/>
      <c r="CK34" s="515"/>
      <c r="CL34" s="515"/>
      <c r="CM34" s="515"/>
      <c r="CN34" s="515"/>
      <c r="CO34" s="515"/>
      <c r="CP34" s="14"/>
      <c r="CQ34" s="47"/>
      <c r="CR34" s="14"/>
      <c r="CS34" s="71"/>
      <c r="CT34" s="71"/>
      <c r="CU34" s="516"/>
      <c r="CV34" s="516"/>
      <c r="CW34" s="516"/>
      <c r="CX34" s="516"/>
      <c r="CY34" s="516"/>
      <c r="CZ34" s="516"/>
      <c r="DA34" s="516"/>
      <c r="DB34" s="516"/>
      <c r="DC34" s="516"/>
      <c r="DD34" s="516"/>
      <c r="DE34" s="516"/>
      <c r="DF34" s="516"/>
      <c r="DG34" s="516"/>
      <c r="DH34" s="14"/>
      <c r="DI34" s="47"/>
      <c r="DJ34" s="14"/>
      <c r="DK34" s="14"/>
      <c r="DL34" s="14"/>
      <c r="DM34" s="14"/>
      <c r="DN34" s="14"/>
      <c r="DO34" s="14"/>
      <c r="DP34" s="14"/>
      <c r="DQ34" s="14"/>
      <c r="DR34" s="103"/>
      <c r="DS34" s="104"/>
      <c r="DT34" s="104"/>
      <c r="DU34" s="104"/>
      <c r="DV34" s="104"/>
      <c r="DW34" s="104"/>
      <c r="DX34" s="104"/>
      <c r="DY34" s="104"/>
      <c r="DZ34" s="14"/>
      <c r="EA34" s="14"/>
      <c r="EB34" s="14"/>
      <c r="EC34" s="14"/>
      <c r="ED34" s="14"/>
      <c r="EE34" s="14"/>
      <c r="EF34" s="14"/>
      <c r="EG34" s="14"/>
      <c r="EH34" s="14"/>
      <c r="EI34" s="14"/>
      <c r="EJ34" s="14"/>
      <c r="EK34" s="14"/>
      <c r="EL34" s="14"/>
    </row>
    <row r="35" spans="1:142" ht="42.75" customHeight="1" x14ac:dyDescent="0.25">
      <c r="A35" s="14"/>
      <c r="B35" s="211"/>
      <c r="C35" s="265"/>
      <c r="D35" s="270"/>
      <c r="E35" s="270"/>
      <c r="F35" s="270"/>
      <c r="G35" s="14"/>
      <c r="H35" s="21"/>
      <c r="I35" s="21"/>
      <c r="J35" s="14"/>
      <c r="K35" s="14"/>
      <c r="L35" s="14"/>
      <c r="M35" s="14"/>
      <c r="N35" s="14"/>
      <c r="O35" s="14"/>
      <c r="P35" s="14"/>
      <c r="Q35" s="47"/>
      <c r="R35" s="19"/>
      <c r="S35" s="551"/>
      <c r="T35" s="552"/>
      <c r="U35" s="553"/>
      <c r="V35" s="14"/>
      <c r="W35" s="14"/>
      <c r="X35" s="19"/>
      <c r="Y35" s="19"/>
      <c r="Z35" s="14"/>
      <c r="AA35" s="14"/>
      <c r="AB35" s="14"/>
      <c r="AC35" s="14"/>
      <c r="AD35" s="65"/>
      <c r="AE35" s="63"/>
      <c r="AF35" s="352"/>
      <c r="AG35" s="19"/>
      <c r="AH35" s="551"/>
      <c r="AI35" s="552"/>
      <c r="AJ35" s="553"/>
      <c r="AK35" s="14"/>
      <c r="AL35" s="14"/>
      <c r="AM35" s="19"/>
      <c r="AN35" s="19"/>
      <c r="AO35" s="14"/>
      <c r="AP35" s="14"/>
      <c r="AQ35" s="14"/>
      <c r="AR35" s="14"/>
      <c r="AS35" s="65"/>
      <c r="AT35" s="63"/>
      <c r="AU35" s="352"/>
      <c r="AV35" s="14"/>
      <c r="AW35" s="551"/>
      <c r="AX35" s="552"/>
      <c r="AY35" s="553"/>
      <c r="AZ35" s="14"/>
      <c r="BA35" s="14"/>
      <c r="BB35" s="19"/>
      <c r="BC35" s="19"/>
      <c r="BD35" s="14"/>
      <c r="BE35" s="14"/>
      <c r="BF35" s="14"/>
      <c r="BG35" s="14"/>
      <c r="BH35" s="65"/>
      <c r="BI35" s="63"/>
      <c r="BJ35" s="352"/>
      <c r="BK35" s="19"/>
      <c r="BL35" s="551"/>
      <c r="BM35" s="552"/>
      <c r="BN35" s="553"/>
      <c r="BO35" s="14"/>
      <c r="BP35" s="14"/>
      <c r="BQ35" s="19"/>
      <c r="BR35" s="19"/>
      <c r="BS35" s="14"/>
      <c r="BT35" s="14"/>
      <c r="BU35" s="14"/>
      <c r="BV35" s="14"/>
      <c r="BW35" s="65"/>
      <c r="BX35" s="63"/>
      <c r="BY35" s="352"/>
      <c r="BZ35" s="14"/>
      <c r="CA35" s="210"/>
      <c r="CB35" s="211"/>
      <c r="CC35" s="515"/>
      <c r="CD35" s="515"/>
      <c r="CE35" s="515"/>
      <c r="CF35" s="515"/>
      <c r="CG35" s="515"/>
      <c r="CH35" s="515"/>
      <c r="CI35" s="515"/>
      <c r="CJ35" s="515"/>
      <c r="CK35" s="515"/>
      <c r="CL35" s="515"/>
      <c r="CM35" s="515"/>
      <c r="CN35" s="515"/>
      <c r="CO35" s="515"/>
      <c r="CP35" s="14"/>
      <c r="CQ35" s="47"/>
      <c r="CR35" s="14"/>
      <c r="CS35" s="71"/>
      <c r="CT35" s="71"/>
      <c r="CU35" s="516"/>
      <c r="CV35" s="516"/>
      <c r="CW35" s="516"/>
      <c r="CX35" s="516"/>
      <c r="CY35" s="516"/>
      <c r="CZ35" s="516"/>
      <c r="DA35" s="516"/>
      <c r="DB35" s="516"/>
      <c r="DC35" s="516"/>
      <c r="DD35" s="516"/>
      <c r="DE35" s="516"/>
      <c r="DF35" s="516"/>
      <c r="DG35" s="516"/>
      <c r="DH35" s="14"/>
      <c r="DI35" s="47"/>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row>
    <row r="36" spans="1:142" ht="15" customHeight="1" x14ac:dyDescent="0.25">
      <c r="A36" s="14"/>
      <c r="B36" s="211"/>
      <c r="C36" s="265"/>
      <c r="D36" s="270"/>
      <c r="E36" s="270"/>
      <c r="F36" s="270"/>
      <c r="G36" s="14"/>
      <c r="H36" s="21"/>
      <c r="I36" s="21"/>
      <c r="J36" s="14"/>
      <c r="K36" s="14"/>
      <c r="L36" s="14"/>
      <c r="M36" s="14"/>
      <c r="N36" s="14"/>
      <c r="O36" s="14"/>
      <c r="P36" s="14"/>
      <c r="Q36" s="47"/>
      <c r="R36" s="19"/>
      <c r="S36" s="362" t="s">
        <v>763</v>
      </c>
      <c r="T36" s="354"/>
      <c r="U36" s="355"/>
      <c r="V36" s="14"/>
      <c r="W36" s="14"/>
      <c r="X36" s="19"/>
      <c r="Y36" s="19"/>
      <c r="Z36" s="14"/>
      <c r="AA36" s="14"/>
      <c r="AB36" s="14"/>
      <c r="AC36" s="14"/>
      <c r="AD36" s="65"/>
      <c r="AE36" s="63"/>
      <c r="AF36" s="352"/>
      <c r="AG36" s="19"/>
      <c r="AH36" s="362" t="s">
        <v>763</v>
      </c>
      <c r="AI36" s="354"/>
      <c r="AJ36" s="355"/>
      <c r="AK36" s="14"/>
      <c r="AL36" s="14"/>
      <c r="AM36" s="19"/>
      <c r="AN36" s="19"/>
      <c r="AO36" s="14"/>
      <c r="AP36" s="14"/>
      <c r="AQ36" s="14"/>
      <c r="AR36" s="14"/>
      <c r="AS36" s="65"/>
      <c r="AT36" s="63"/>
      <c r="AU36" s="352"/>
      <c r="AV36" s="14"/>
      <c r="AW36" s="362" t="s">
        <v>763</v>
      </c>
      <c r="AX36" s="354"/>
      <c r="AY36" s="355"/>
      <c r="AZ36" s="14"/>
      <c r="BA36" s="14"/>
      <c r="BB36" s="19"/>
      <c r="BC36" s="19"/>
      <c r="BD36" s="14"/>
      <c r="BE36" s="14"/>
      <c r="BF36" s="14"/>
      <c r="BG36" s="14"/>
      <c r="BH36" s="65"/>
      <c r="BI36" s="63"/>
      <c r="BJ36" s="352"/>
      <c r="BK36" s="19"/>
      <c r="BL36" s="362" t="s">
        <v>763</v>
      </c>
      <c r="BM36" s="354"/>
      <c r="BN36" s="355"/>
      <c r="BO36" s="14"/>
      <c r="BP36" s="14"/>
      <c r="BQ36" s="19"/>
      <c r="BR36" s="19"/>
      <c r="BS36" s="14"/>
      <c r="BT36" s="14"/>
      <c r="BU36" s="14"/>
      <c r="BV36" s="14"/>
      <c r="BW36" s="65"/>
      <c r="BX36" s="63"/>
      <c r="BY36" s="352"/>
      <c r="BZ36" s="14"/>
      <c r="CA36" s="210"/>
      <c r="CB36" s="211"/>
      <c r="CC36" s="515"/>
      <c r="CD36" s="515"/>
      <c r="CE36" s="515"/>
      <c r="CF36" s="515"/>
      <c r="CG36" s="515"/>
      <c r="CH36" s="515"/>
      <c r="CI36" s="515"/>
      <c r="CJ36" s="515"/>
      <c r="CK36" s="515"/>
      <c r="CL36" s="515"/>
      <c r="CM36" s="515"/>
      <c r="CN36" s="515"/>
      <c r="CO36" s="515"/>
      <c r="CP36" s="14"/>
      <c r="CQ36" s="47"/>
      <c r="CR36" s="14"/>
      <c r="CS36" s="71"/>
      <c r="CT36" s="71"/>
      <c r="CU36" s="516"/>
      <c r="CV36" s="516"/>
      <c r="CW36" s="516"/>
      <c r="CX36" s="516"/>
      <c r="CY36" s="516"/>
      <c r="CZ36" s="516"/>
      <c r="DA36" s="516"/>
      <c r="DB36" s="516"/>
      <c r="DC36" s="516"/>
      <c r="DD36" s="516"/>
      <c r="DE36" s="516"/>
      <c r="DF36" s="516"/>
      <c r="DG36" s="516"/>
      <c r="DH36" s="14"/>
      <c r="DI36" s="47"/>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row>
    <row r="37" spans="1:142" ht="15" customHeight="1" x14ac:dyDescent="0.25">
      <c r="A37" s="14"/>
      <c r="B37" s="211"/>
      <c r="C37" s="265"/>
      <c r="D37" s="270"/>
      <c r="E37" s="270"/>
      <c r="F37" s="270"/>
      <c r="G37" s="14"/>
      <c r="H37" s="21"/>
      <c r="I37" s="21"/>
      <c r="J37" s="14"/>
      <c r="K37" s="14"/>
      <c r="L37" s="14"/>
      <c r="M37" s="14"/>
      <c r="N37" s="14"/>
      <c r="O37" s="14"/>
      <c r="P37" s="14"/>
      <c r="Q37" s="367"/>
      <c r="R37" s="19"/>
      <c r="S37" s="42" t="s">
        <v>759</v>
      </c>
      <c r="T37" s="19"/>
      <c r="U37" s="318">
        <f>COUNTIF(U22:U27,"&lt;&gt;0")</f>
        <v>6</v>
      </c>
      <c r="V37" s="14"/>
      <c r="W37" s="14"/>
      <c r="X37" s="19"/>
      <c r="Y37" s="19"/>
      <c r="Z37" s="14"/>
      <c r="AA37" s="14"/>
      <c r="AB37" s="14"/>
      <c r="AC37" s="14"/>
      <c r="AD37" s="375"/>
      <c r="AE37" s="63"/>
      <c r="AF37" s="352"/>
      <c r="AG37" s="19"/>
      <c r="AH37" s="42" t="s">
        <v>759</v>
      </c>
      <c r="AI37" s="19"/>
      <c r="AJ37" s="318">
        <f>COUNTIF(AJ22:AJ27,"&lt;&gt;0")</f>
        <v>5</v>
      </c>
      <c r="AK37" s="14"/>
      <c r="AL37" s="14"/>
      <c r="AM37" s="19"/>
      <c r="AN37" s="19"/>
      <c r="AO37" s="14"/>
      <c r="AP37" s="14"/>
      <c r="AQ37" s="14"/>
      <c r="AR37" s="14"/>
      <c r="AS37" s="65"/>
      <c r="AT37" s="63"/>
      <c r="AU37" s="352"/>
      <c r="AV37" s="14"/>
      <c r="AW37" s="42" t="s">
        <v>759</v>
      </c>
      <c r="AX37" s="19"/>
      <c r="AY37" s="318">
        <f>COUNTIF(AY22:AY27,"&lt;&gt;0")</f>
        <v>5</v>
      </c>
      <c r="AZ37" s="14"/>
      <c r="BA37" s="14"/>
      <c r="BB37" s="19"/>
      <c r="BC37" s="19"/>
      <c r="BD37" s="14"/>
      <c r="BE37" s="14"/>
      <c r="BF37" s="14"/>
      <c r="BG37" s="14"/>
      <c r="BH37" s="65"/>
      <c r="BI37" s="63"/>
      <c r="BJ37" s="352"/>
      <c r="BK37" s="19"/>
      <c r="BL37" s="42" t="s">
        <v>759</v>
      </c>
      <c r="BM37" s="19"/>
      <c r="BN37" s="318">
        <f>COUNTIF(BN22:BN27,"&lt;&gt;0")</f>
        <v>5</v>
      </c>
      <c r="BO37" s="14"/>
      <c r="BP37" s="14"/>
      <c r="BQ37" s="19"/>
      <c r="BR37" s="19"/>
      <c r="BS37" s="14"/>
      <c r="BT37" s="14"/>
      <c r="BU37" s="14"/>
      <c r="BV37" s="14"/>
      <c r="BW37" s="65"/>
      <c r="BX37" s="63"/>
      <c r="BY37" s="352"/>
      <c r="BZ37" s="14"/>
      <c r="CA37" s="210"/>
      <c r="CB37" s="211"/>
      <c r="CC37" s="515"/>
      <c r="CD37" s="515"/>
      <c r="CE37" s="515"/>
      <c r="CF37" s="515"/>
      <c r="CG37" s="515"/>
      <c r="CH37" s="515"/>
      <c r="CI37" s="515"/>
      <c r="CJ37" s="515"/>
      <c r="CK37" s="515"/>
      <c r="CL37" s="515"/>
      <c r="CM37" s="515"/>
      <c r="CN37" s="515"/>
      <c r="CO37" s="515"/>
      <c r="CP37" s="14"/>
      <c r="CQ37" s="47"/>
      <c r="CR37" s="14"/>
      <c r="CS37" s="71"/>
      <c r="CT37" s="71"/>
      <c r="CU37" s="516"/>
      <c r="CV37" s="516"/>
      <c r="CW37" s="516"/>
      <c r="CX37" s="516"/>
      <c r="CY37" s="516"/>
      <c r="CZ37" s="516"/>
      <c r="DA37" s="516"/>
      <c r="DB37" s="516"/>
      <c r="DC37" s="516"/>
      <c r="DD37" s="516"/>
      <c r="DE37" s="516"/>
      <c r="DF37" s="516"/>
      <c r="DG37" s="516"/>
      <c r="DH37" s="14"/>
      <c r="DI37" s="47"/>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row>
    <row r="38" spans="1:142" ht="15" customHeight="1" x14ac:dyDescent="0.25">
      <c r="A38" s="14"/>
      <c r="B38" s="211"/>
      <c r="C38" s="265"/>
      <c r="D38" s="270"/>
      <c r="E38" s="270"/>
      <c r="F38" s="270"/>
      <c r="G38" s="14"/>
      <c r="H38" s="21"/>
      <c r="I38" s="21"/>
      <c r="J38" s="14"/>
      <c r="K38" s="14"/>
      <c r="L38" s="14"/>
      <c r="M38" s="14"/>
      <c r="N38" s="14"/>
      <c r="O38" s="14"/>
      <c r="P38" s="14"/>
      <c r="Q38" s="368"/>
      <c r="R38" s="19"/>
      <c r="S38" s="42" t="s">
        <v>760</v>
      </c>
      <c r="T38" s="19"/>
      <c r="U38" s="363">
        <f>(IFERROR(V22/U22/U37,0)+IFERROR(V23/U23/U37,0)+IFERROR(V24/U24/U37,0)+IFERROR(V25/U25/U37,0)+IFERROR(V26/U26/U37,0)+IFERROR(V27/U27/U37,0))</f>
        <v>6.6666666666666666E-2</v>
      </c>
      <c r="V38" s="14"/>
      <c r="W38" s="14"/>
      <c r="X38" s="19"/>
      <c r="Y38" s="19"/>
      <c r="Z38" s="14"/>
      <c r="AA38" s="14"/>
      <c r="AB38" s="14"/>
      <c r="AC38" s="14"/>
      <c r="AD38" s="376"/>
      <c r="AE38" s="63"/>
      <c r="AF38" s="352"/>
      <c r="AG38" s="19"/>
      <c r="AH38" s="42" t="s">
        <v>760</v>
      </c>
      <c r="AI38" s="19"/>
      <c r="AJ38" s="363">
        <f>(IFERROR(AK22/AJ22/AJ37,0)+IFERROR(AK23/AJ23/AJ37,0)+IFERROR(AK24/AJ24/AJ37,0)+IFERROR(AK25/AJ25/AJ37,0)+IFERROR(AK26/AJ26/AJ37,0)+IFERROR(AK27/AJ27/AJ37,0))</f>
        <v>0</v>
      </c>
      <c r="AK38" s="14"/>
      <c r="AL38" s="14"/>
      <c r="AM38" s="19"/>
      <c r="AN38" s="19"/>
      <c r="AO38" s="14"/>
      <c r="AP38" s="14"/>
      <c r="AQ38" s="14"/>
      <c r="AR38" s="14"/>
      <c r="AS38" s="65"/>
      <c r="AT38" s="63"/>
      <c r="AU38" s="352"/>
      <c r="AV38" s="14"/>
      <c r="AW38" s="42" t="s">
        <v>760</v>
      </c>
      <c r="AX38" s="19"/>
      <c r="AY38" s="363">
        <f>(IFERROR(AZ22/AY22/AY37,0)+IFERROR(AZ23/AY23/AY37,0)+IFERROR(AZ24/AY24/AY37,0)+IFERROR(AZ25/AY25/AY37,0)+IFERROR(AZ26/AY26/AY37,0)+IFERROR(AZ27/AY27/AY37,0))</f>
        <v>0</v>
      </c>
      <c r="AZ38" s="14"/>
      <c r="BA38" s="14"/>
      <c r="BB38" s="19"/>
      <c r="BC38" s="19"/>
      <c r="BD38" s="14"/>
      <c r="BE38" s="14"/>
      <c r="BF38" s="14"/>
      <c r="BG38" s="14"/>
      <c r="BH38" s="65"/>
      <c r="BI38" s="63"/>
      <c r="BJ38" s="352"/>
      <c r="BK38" s="19"/>
      <c r="BL38" s="42" t="s">
        <v>760</v>
      </c>
      <c r="BM38" s="19"/>
      <c r="BN38" s="363">
        <f>(IFERROR(BO22/BN22/BN37,0)+IFERROR(BO23/BN23/BN37,0)+IFERROR(BO24/BN24/BN37,0)+IFERROR(BO25/BN25/BN37,0)+IFERROR(BO26/BN26/BN37,0)+IFERROR(BO27/BN27/BN37,0))</f>
        <v>0</v>
      </c>
      <c r="BO38" s="14"/>
      <c r="BP38" s="14"/>
      <c r="BQ38" s="19"/>
      <c r="BR38" s="19"/>
      <c r="BS38" s="14"/>
      <c r="BT38" s="14"/>
      <c r="BU38" s="14"/>
      <c r="BV38" s="14"/>
      <c r="BW38" s="65"/>
      <c r="BX38" s="63"/>
      <c r="BY38" s="352"/>
      <c r="BZ38" s="14"/>
      <c r="CA38" s="210"/>
      <c r="CB38" s="211"/>
      <c r="CC38" s="515"/>
      <c r="CD38" s="515"/>
      <c r="CE38" s="515"/>
      <c r="CF38" s="515"/>
      <c r="CG38" s="515"/>
      <c r="CH38" s="515"/>
      <c r="CI38" s="515"/>
      <c r="CJ38" s="515"/>
      <c r="CK38" s="515"/>
      <c r="CL38" s="515"/>
      <c r="CM38" s="515"/>
      <c r="CN38" s="515"/>
      <c r="CO38" s="515"/>
      <c r="CP38" s="14"/>
      <c r="CQ38" s="47"/>
      <c r="CR38" s="14"/>
      <c r="CS38" s="71"/>
      <c r="CT38" s="71"/>
      <c r="CU38" s="516"/>
      <c r="CV38" s="516"/>
      <c r="CW38" s="516"/>
      <c r="CX38" s="516"/>
      <c r="CY38" s="516"/>
      <c r="CZ38" s="516"/>
      <c r="DA38" s="516"/>
      <c r="DB38" s="516"/>
      <c r="DC38" s="516"/>
      <c r="DD38" s="516"/>
      <c r="DE38" s="516"/>
      <c r="DF38" s="516"/>
      <c r="DG38" s="516"/>
      <c r="DH38" s="14"/>
      <c r="DI38" s="47"/>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row>
    <row r="39" spans="1:142" ht="15.75" customHeight="1" x14ac:dyDescent="0.25">
      <c r="A39" s="14"/>
      <c r="B39" s="211"/>
      <c r="C39" s="265"/>
      <c r="D39" s="270"/>
      <c r="E39" s="270"/>
      <c r="F39" s="270"/>
      <c r="G39" s="66"/>
      <c r="H39" s="76"/>
      <c r="I39" s="76"/>
      <c r="J39" s="14"/>
      <c r="K39" s="14"/>
      <c r="L39" s="14"/>
      <c r="M39" s="14"/>
      <c r="N39" s="14"/>
      <c r="O39" s="14"/>
      <c r="P39" s="14"/>
      <c r="Q39" s="368"/>
      <c r="R39" s="19"/>
      <c r="S39" s="42" t="s">
        <v>761</v>
      </c>
      <c r="T39" s="19"/>
      <c r="U39" s="364">
        <f>IFERROR(SUM(Y75:Y77)/U22/U37,0)+IFERROR(SUM(Y102:Y104)/U23/U37,0)+IFERROR(SUM(Y129:Y131)/U24/U37,0)+IFERROR(SUM(Y156:Y158)/U25/U37,0)+IFERROR(SUM(Y183:Y185)/U26/U37,0)+IFERROR(SUM(Y210:Y212)/U27/U37,0)</f>
        <v>0.78333333333333333</v>
      </c>
      <c r="V39" s="14"/>
      <c r="W39" s="14"/>
      <c r="X39" s="19"/>
      <c r="Y39" s="19"/>
      <c r="Z39" s="14"/>
      <c r="AA39" s="14"/>
      <c r="AB39" s="14"/>
      <c r="AC39" s="14"/>
      <c r="AD39" s="376"/>
      <c r="AE39" s="63"/>
      <c r="AF39" s="352"/>
      <c r="AG39" s="19"/>
      <c r="AH39" s="42" t="s">
        <v>761</v>
      </c>
      <c r="AI39" s="19"/>
      <c r="AJ39" s="364">
        <f>IFERROR(SUM(AN75:AN77)/AJ22/AJ37,0)+IFERROR(SUM(AN102:AN104)/AJ23/AJ37,0)+IFERROR(SUM(AN129:AN131)/AJ24/AJ37,0)+IFERROR(SUM(AN156:AN158)/AJ25/AJ37,0)+IFERROR(SUM(AN183:AN185)/AJ26/AJ37,0)+IFERROR(SUM(AN210:AN212)/AJ27/AJ37,0)</f>
        <v>0.51666666666666661</v>
      </c>
      <c r="AK39" s="14"/>
      <c r="AL39" s="14"/>
      <c r="AM39" s="19"/>
      <c r="AN39" s="19"/>
      <c r="AO39" s="14"/>
      <c r="AP39" s="14"/>
      <c r="AQ39" s="14"/>
      <c r="AR39" s="14"/>
      <c r="AS39" s="65"/>
      <c r="AT39" s="63"/>
      <c r="AU39" s="352"/>
      <c r="AV39" s="14"/>
      <c r="AW39" s="42" t="s">
        <v>761</v>
      </c>
      <c r="AX39" s="19"/>
      <c r="AY39" s="364">
        <f>IFERROR(SUM(BC75:BC77)/AY22/AY37,0)+IFERROR(SUM(BC102:BC104)/AY23/AY37,0)+IFERROR(SUM(BC129:BC131)/AY24/AY37,0)+IFERROR(SUM(BC156:BC158)/AY25/AY37,0)+IFERROR(SUM(BC183:BC185)/AY26/AY37,0)+IFERROR(SUM(BC210:BC212)/AY27/AY37,0)</f>
        <v>0.51666666666666661</v>
      </c>
      <c r="AZ39" s="14"/>
      <c r="BA39" s="14"/>
      <c r="BB39" s="19"/>
      <c r="BC39" s="19"/>
      <c r="BD39" s="14"/>
      <c r="BE39" s="14"/>
      <c r="BF39" s="14"/>
      <c r="BG39" s="14"/>
      <c r="BH39" s="65"/>
      <c r="BI39" s="63"/>
      <c r="BJ39" s="352"/>
      <c r="BK39" s="19"/>
      <c r="BL39" s="42" t="s">
        <v>761</v>
      </c>
      <c r="BM39" s="19"/>
      <c r="BN39" s="364">
        <f>IFERROR(SUM(BR75:BR77)/BN22/BN37,0)+IFERROR(SUM(BR102:BR104)/BN23/BN37,0)+IFERROR(SUM(BR129:BR131)/BN24/BN37,0)+IFERROR(SUM(BR156:BR158)/BN25/BN37,0)+IFERROR(SUM(BR183:BR185)/BN26/BN37,0)+IFERROR(SUM(BR210:BR212)/BN27/BN37,0)</f>
        <v>0.6166666666666667</v>
      </c>
      <c r="BO39" s="14"/>
      <c r="BP39" s="14"/>
      <c r="BQ39" s="19"/>
      <c r="BR39" s="19"/>
      <c r="BS39" s="14"/>
      <c r="BT39" s="14"/>
      <c r="BU39" s="14"/>
      <c r="BV39" s="14"/>
      <c r="BW39" s="65"/>
      <c r="BX39" s="63"/>
      <c r="BY39" s="352"/>
      <c r="BZ39" s="14"/>
      <c r="CA39" s="210"/>
      <c r="CB39" s="211"/>
      <c r="CC39" s="515"/>
      <c r="CD39" s="515"/>
      <c r="CE39" s="515"/>
      <c r="CF39" s="515"/>
      <c r="CG39" s="515"/>
      <c r="CH39" s="515"/>
      <c r="CI39" s="515"/>
      <c r="CJ39" s="515"/>
      <c r="CK39" s="515"/>
      <c r="CL39" s="515"/>
      <c r="CM39" s="515"/>
      <c r="CN39" s="515"/>
      <c r="CO39" s="515"/>
      <c r="CP39" s="14"/>
      <c r="CQ39" s="47"/>
      <c r="CR39" s="14"/>
      <c r="CS39" s="71"/>
      <c r="CT39" s="71"/>
      <c r="CU39" s="516"/>
      <c r="CV39" s="516"/>
      <c r="CW39" s="516"/>
      <c r="CX39" s="516"/>
      <c r="CY39" s="516"/>
      <c r="CZ39" s="516"/>
      <c r="DA39" s="516"/>
      <c r="DB39" s="516"/>
      <c r="DC39" s="516"/>
      <c r="DD39" s="516"/>
      <c r="DE39" s="516"/>
      <c r="DF39" s="516"/>
      <c r="DG39" s="516"/>
      <c r="DH39" s="14"/>
      <c r="DI39" s="47"/>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row>
    <row r="40" spans="1:142" s="134" customFormat="1" ht="29.25" customHeight="1" x14ac:dyDescent="0.25">
      <c r="A40" s="8"/>
      <c r="B40" s="211"/>
      <c r="C40" s="265"/>
      <c r="D40" s="270"/>
      <c r="E40" s="270"/>
      <c r="F40" s="270"/>
      <c r="G40" s="8"/>
      <c r="H40" s="77"/>
      <c r="I40" s="77"/>
      <c r="J40" s="8"/>
      <c r="K40" s="8"/>
      <c r="L40" s="14"/>
      <c r="M40" s="14"/>
      <c r="N40" s="14"/>
      <c r="O40" s="14"/>
      <c r="P40" s="14"/>
      <c r="Q40" s="369"/>
      <c r="R40" s="44"/>
      <c r="S40" s="359" t="s">
        <v>762</v>
      </c>
      <c r="T40" s="360"/>
      <c r="U40" s="365">
        <f>IFERROR(SUM(Y72:Y74)/U22/U37,0)+IFERROR(SUM(Y99:Y101)/U23/U37,0)+IFERROR(SUM(Y126:Y128)/U24/U37,0)+IFERROR(SUM(Y153:Y155)/U25/U37,0)+IFERROR(SUM(Y180:Y182)/U26/U37,0)+IFERROR(SUM(Y207:Y209)/U27/U37,0)</f>
        <v>0.15</v>
      </c>
      <c r="V40" s="58"/>
      <c r="W40" s="58"/>
      <c r="X40" s="8"/>
      <c r="Y40" s="8"/>
      <c r="Z40" s="8"/>
      <c r="AA40" s="8"/>
      <c r="AB40" s="8"/>
      <c r="AC40" s="8"/>
      <c r="AD40" s="377"/>
      <c r="AE40" s="101"/>
      <c r="AF40" s="371"/>
      <c r="AG40" s="44"/>
      <c r="AH40" s="359" t="s">
        <v>762</v>
      </c>
      <c r="AI40" s="360"/>
      <c r="AJ40" s="365">
        <f>IFERROR(SUM(AN72:AN74)/AJ22/AJ37,0)+IFERROR(SUM(AN99:AN101)/AJ23/AJ37,0)+IFERROR(SUM(AN126:AN128)/AJ24/AJ37,0)+IFERROR(SUM(AN153:AN155)/AJ25/AJ37,0)+IFERROR(SUM(AN180:AN182)/AJ26/AJ37,0)+IFERROR(SUM(AN207:AN209)/AJ27/AJ37,0)</f>
        <v>0.48333333333333328</v>
      </c>
      <c r="AK40" s="58"/>
      <c r="AL40" s="58"/>
      <c r="AM40" s="8"/>
      <c r="AN40" s="8"/>
      <c r="AO40" s="8"/>
      <c r="AP40" s="8"/>
      <c r="AQ40" s="8"/>
      <c r="AR40" s="8"/>
      <c r="AS40" s="102"/>
      <c r="AT40" s="101"/>
      <c r="AU40" s="371"/>
      <c r="AV40" s="8"/>
      <c r="AW40" s="359" t="s">
        <v>762</v>
      </c>
      <c r="AX40" s="360"/>
      <c r="AY40" s="365">
        <f>IFERROR(SUM(BC72:BC74)/AY22/AY37,0)+IFERROR(SUM(BC99:BC101)/AY23/AY37,0)+IFERROR(SUM(BC126:BC128)/AY24/AY37,0)+IFERROR(SUM(BC153:BC155)/AY25/AY37,0)+IFERROR(SUM(BC180:BC182)/AY26/AY37,0)+IFERROR(SUM(BC207:BC209)/AY27/AY37,0)</f>
        <v>0.48333333333333328</v>
      </c>
      <c r="AZ40" s="58"/>
      <c r="BA40" s="58"/>
      <c r="BB40" s="8"/>
      <c r="BC40" s="8"/>
      <c r="BD40" s="8"/>
      <c r="BE40" s="8"/>
      <c r="BF40" s="8"/>
      <c r="BG40" s="8"/>
      <c r="BH40" s="102"/>
      <c r="BI40" s="101"/>
      <c r="BJ40" s="371"/>
      <c r="BK40" s="44"/>
      <c r="BL40" s="359" t="s">
        <v>762</v>
      </c>
      <c r="BM40" s="360"/>
      <c r="BN40" s="365">
        <f>IFERROR(SUM(BR72:BR74)/BN22/BN37,0)+IFERROR(SUM(BR99:BR101)/BN23/BN37,0)+IFERROR(SUM(BR126:BR128)/BN24/BN37,0)+IFERROR(SUM(BR153:BR155)/BN25/BN37,0)+IFERROR(SUM(BR180:BR182)/BN26/BN37,0)+IFERROR(SUM(BR207:BR209)/BN27/BN37,0)</f>
        <v>0.3833333333333333</v>
      </c>
      <c r="BO40" s="58"/>
      <c r="BP40" s="58"/>
      <c r="BQ40" s="8"/>
      <c r="BR40" s="8"/>
      <c r="BS40" s="8"/>
      <c r="BT40" s="8"/>
      <c r="BU40" s="8"/>
      <c r="BV40" s="8"/>
      <c r="BW40" s="102"/>
      <c r="BX40" s="101"/>
      <c r="BY40" s="371"/>
      <c r="BZ40" s="8"/>
      <c r="CA40" s="210"/>
      <c r="CB40" s="211"/>
      <c r="CC40" s="515"/>
      <c r="CD40" s="515"/>
      <c r="CE40" s="515"/>
      <c r="CF40" s="515"/>
      <c r="CG40" s="515"/>
      <c r="CH40" s="515"/>
      <c r="CI40" s="515"/>
      <c r="CJ40" s="515"/>
      <c r="CK40" s="515"/>
      <c r="CL40" s="515"/>
      <c r="CM40" s="515"/>
      <c r="CN40" s="515"/>
      <c r="CO40" s="515"/>
      <c r="CP40" s="8"/>
      <c r="CQ40" s="48"/>
      <c r="CR40" s="8"/>
      <c r="CS40" s="71"/>
      <c r="CT40" s="71"/>
      <c r="CU40" s="516"/>
      <c r="CV40" s="516"/>
      <c r="CW40" s="516"/>
      <c r="CX40" s="516"/>
      <c r="CY40" s="516"/>
      <c r="CZ40" s="516"/>
      <c r="DA40" s="516"/>
      <c r="DB40" s="516"/>
      <c r="DC40" s="516"/>
      <c r="DD40" s="516"/>
      <c r="DE40" s="516"/>
      <c r="DF40" s="516"/>
      <c r="DG40" s="516"/>
      <c r="DH40" s="8"/>
      <c r="DI40" s="48"/>
      <c r="DJ40" s="8"/>
      <c r="DK40" s="8"/>
      <c r="DL40" s="8"/>
      <c r="DM40" s="8"/>
      <c r="DN40" s="8"/>
      <c r="DO40" s="8"/>
      <c r="DP40" s="8"/>
      <c r="DQ40" s="8"/>
      <c r="DR40" s="2"/>
      <c r="DS40" s="2"/>
      <c r="DT40" s="2"/>
      <c r="DU40" s="2"/>
      <c r="DV40" s="2"/>
      <c r="DW40" s="2"/>
      <c r="DX40" s="2"/>
      <c r="DY40" s="2"/>
      <c r="DZ40" s="8"/>
      <c r="EA40" s="8"/>
      <c r="EB40" s="8"/>
      <c r="EC40" s="8"/>
      <c r="ED40" s="8"/>
      <c r="EE40" s="8"/>
      <c r="EF40" s="8"/>
      <c r="EG40" s="8"/>
      <c r="EH40" s="8"/>
      <c r="EI40" s="8"/>
      <c r="EJ40" s="8"/>
      <c r="EK40" s="8"/>
      <c r="EL40" s="8"/>
    </row>
    <row r="41" spans="1:142" ht="28.5" customHeight="1" x14ac:dyDescent="0.25">
      <c r="A41" s="14"/>
      <c r="B41" s="211"/>
      <c r="C41" s="265"/>
      <c r="D41" s="270"/>
      <c r="E41" s="270"/>
      <c r="F41" s="270"/>
      <c r="G41" s="14"/>
      <c r="H41" s="21"/>
      <c r="I41" s="21"/>
      <c r="J41" s="14"/>
      <c r="K41" s="14"/>
      <c r="L41" s="8"/>
      <c r="M41" s="8"/>
      <c r="N41" s="8"/>
      <c r="O41" s="8"/>
      <c r="P41" s="8"/>
      <c r="Q41" s="48"/>
      <c r="R41" s="44"/>
      <c r="S41" s="19"/>
      <c r="T41" s="19"/>
      <c r="U41" s="50"/>
      <c r="V41" s="19"/>
      <c r="W41" s="50"/>
      <c r="X41" s="14"/>
      <c r="Y41" s="14"/>
      <c r="Z41" s="8"/>
      <c r="AA41" s="8"/>
      <c r="AB41" s="8"/>
      <c r="AC41" s="8"/>
      <c r="AD41" s="102"/>
      <c r="AE41" s="101"/>
      <c r="AF41" s="371"/>
      <c r="AG41" s="44"/>
      <c r="AH41" s="19"/>
      <c r="AI41" s="19"/>
      <c r="AJ41" s="50"/>
      <c r="AK41" s="19"/>
      <c r="AL41" s="50"/>
      <c r="AM41" s="14"/>
      <c r="AN41" s="14"/>
      <c r="AO41" s="8"/>
      <c r="AP41" s="8"/>
      <c r="AQ41" s="8"/>
      <c r="AR41" s="8"/>
      <c r="AS41" s="102"/>
      <c r="AT41" s="101"/>
      <c r="AU41" s="371"/>
      <c r="AV41" s="8"/>
      <c r="AW41" s="19"/>
      <c r="AX41" s="19"/>
      <c r="AY41" s="50"/>
      <c r="AZ41" s="19"/>
      <c r="BA41" s="50"/>
      <c r="BB41" s="14"/>
      <c r="BC41" s="14"/>
      <c r="BD41" s="8"/>
      <c r="BE41" s="8"/>
      <c r="BF41" s="8"/>
      <c r="BG41" s="8"/>
      <c r="BH41" s="102"/>
      <c r="BI41" s="101"/>
      <c r="BJ41" s="371"/>
      <c r="BK41" s="44"/>
      <c r="BL41" s="19"/>
      <c r="BM41" s="19"/>
      <c r="BN41" s="50"/>
      <c r="BO41" s="19"/>
      <c r="BP41" s="50"/>
      <c r="BQ41" s="14"/>
      <c r="BR41" s="14"/>
      <c r="BS41" s="8"/>
      <c r="BT41" s="8"/>
      <c r="BU41" s="8"/>
      <c r="BV41" s="8"/>
      <c r="BW41" s="102"/>
      <c r="BX41" s="101"/>
      <c r="BY41" s="371"/>
      <c r="BZ41" s="8"/>
      <c r="CA41" s="210"/>
      <c r="CB41" s="211"/>
      <c r="CC41" s="515"/>
      <c r="CD41" s="515"/>
      <c r="CE41" s="515"/>
      <c r="CF41" s="515"/>
      <c r="CG41" s="515"/>
      <c r="CH41" s="515"/>
      <c r="CI41" s="515"/>
      <c r="CJ41" s="515"/>
      <c r="CK41" s="515"/>
      <c r="CL41" s="515"/>
      <c r="CM41" s="515"/>
      <c r="CN41" s="515"/>
      <c r="CO41" s="515"/>
      <c r="CP41" s="14"/>
      <c r="CQ41" s="48"/>
      <c r="CR41" s="14"/>
      <c r="CS41" s="71"/>
      <c r="CT41" s="71"/>
      <c r="CU41" s="516"/>
      <c r="CV41" s="516"/>
      <c r="CW41" s="516"/>
      <c r="CX41" s="516"/>
      <c r="CY41" s="516"/>
      <c r="CZ41" s="516"/>
      <c r="DA41" s="516"/>
      <c r="DB41" s="516"/>
      <c r="DC41" s="516"/>
      <c r="DD41" s="516"/>
      <c r="DE41" s="516"/>
      <c r="DF41" s="516"/>
      <c r="DG41" s="516"/>
      <c r="DH41" s="14"/>
      <c r="DI41" s="48"/>
      <c r="DJ41" s="14"/>
      <c r="DK41" s="14"/>
      <c r="DL41" s="14"/>
      <c r="DM41" s="14"/>
      <c r="DN41" s="14"/>
      <c r="DO41" s="14"/>
      <c r="DP41" s="14"/>
      <c r="DQ41" s="14"/>
      <c r="DR41" s="2"/>
      <c r="DS41" s="2"/>
      <c r="DT41" s="2"/>
      <c r="DU41" s="2"/>
      <c r="DV41" s="2"/>
      <c r="DW41" s="2"/>
      <c r="DX41" s="2"/>
      <c r="DY41" s="2"/>
      <c r="DZ41" s="14"/>
      <c r="EA41" s="14"/>
      <c r="EB41" s="14"/>
      <c r="EC41" s="14"/>
      <c r="ED41" s="14"/>
      <c r="EE41" s="14"/>
      <c r="EF41" s="14"/>
      <c r="EG41" s="14"/>
      <c r="EH41" s="14"/>
      <c r="EI41" s="14"/>
      <c r="EJ41" s="14"/>
      <c r="EK41" s="14"/>
      <c r="EL41" s="14"/>
    </row>
    <row r="42" spans="1:142" ht="28.5" customHeight="1" x14ac:dyDescent="0.25">
      <c r="A42" s="14"/>
      <c r="B42" s="211"/>
      <c r="C42" s="265"/>
      <c r="D42" s="270"/>
      <c r="E42" s="270"/>
      <c r="F42" s="270"/>
      <c r="G42" s="14"/>
      <c r="H42" s="21"/>
      <c r="I42" s="21"/>
      <c r="J42" s="14"/>
      <c r="K42" s="14"/>
      <c r="L42" s="14"/>
      <c r="M42" s="14"/>
      <c r="N42" s="14"/>
      <c r="O42" s="14"/>
      <c r="P42" s="14"/>
      <c r="Q42" s="47"/>
      <c r="R42" s="19"/>
      <c r="S42" s="19"/>
      <c r="T42" s="19"/>
      <c r="U42" s="50"/>
      <c r="V42" s="19"/>
      <c r="W42" s="50"/>
      <c r="X42" s="14"/>
      <c r="Y42" s="14"/>
      <c r="Z42" s="14"/>
      <c r="AA42" s="14"/>
      <c r="AB42" s="14"/>
      <c r="AC42" s="14"/>
      <c r="AD42" s="65"/>
      <c r="AE42" s="63"/>
      <c r="AF42" s="352"/>
      <c r="AG42" s="19"/>
      <c r="AH42" s="19"/>
      <c r="AI42" s="19"/>
      <c r="AJ42" s="50"/>
      <c r="AK42" s="19"/>
      <c r="AL42" s="50"/>
      <c r="AM42" s="14"/>
      <c r="AN42" s="14"/>
      <c r="AO42" s="14"/>
      <c r="AP42" s="14"/>
      <c r="AQ42" s="14"/>
      <c r="AR42" s="14"/>
      <c r="AS42" s="65"/>
      <c r="AT42" s="63"/>
      <c r="AU42" s="352"/>
      <c r="AV42" s="14"/>
      <c r="AW42" s="19"/>
      <c r="AX42" s="19"/>
      <c r="AY42" s="50"/>
      <c r="AZ42" s="19"/>
      <c r="BA42" s="50"/>
      <c r="BB42" s="14"/>
      <c r="BC42" s="14"/>
      <c r="BD42" s="14"/>
      <c r="BE42" s="14"/>
      <c r="BF42" s="14"/>
      <c r="BG42" s="14"/>
      <c r="BH42" s="65"/>
      <c r="BI42" s="63"/>
      <c r="BJ42" s="352"/>
      <c r="BK42" s="19"/>
      <c r="BL42" s="19"/>
      <c r="BM42" s="19"/>
      <c r="BN42" s="50"/>
      <c r="BO42" s="19"/>
      <c r="BP42" s="50"/>
      <c r="BQ42" s="14"/>
      <c r="BR42" s="14"/>
      <c r="BS42" s="14"/>
      <c r="BT42" s="14"/>
      <c r="BU42" s="14"/>
      <c r="BV42" s="14"/>
      <c r="BW42" s="65"/>
      <c r="BX42" s="63"/>
      <c r="BY42" s="352"/>
      <c r="BZ42" s="14"/>
      <c r="CA42" s="210"/>
      <c r="CB42" s="211"/>
      <c r="CC42" s="515"/>
      <c r="CD42" s="515"/>
      <c r="CE42" s="515"/>
      <c r="CF42" s="515"/>
      <c r="CG42" s="515"/>
      <c r="CH42" s="515"/>
      <c r="CI42" s="515"/>
      <c r="CJ42" s="515"/>
      <c r="CK42" s="515"/>
      <c r="CL42" s="515"/>
      <c r="CM42" s="515"/>
      <c r="CN42" s="515"/>
      <c r="CO42" s="515"/>
      <c r="CP42" s="14"/>
      <c r="CQ42" s="47"/>
      <c r="CR42" s="14"/>
      <c r="CS42" s="71"/>
      <c r="CT42" s="71"/>
      <c r="CU42" s="516"/>
      <c r="CV42" s="516"/>
      <c r="CW42" s="516"/>
      <c r="CX42" s="516"/>
      <c r="CY42" s="516"/>
      <c r="CZ42" s="516"/>
      <c r="DA42" s="516"/>
      <c r="DB42" s="516"/>
      <c r="DC42" s="516"/>
      <c r="DD42" s="516"/>
      <c r="DE42" s="516"/>
      <c r="DF42" s="516"/>
      <c r="DG42" s="516"/>
      <c r="DH42" s="14"/>
      <c r="DI42" s="47"/>
      <c r="DJ42" s="14"/>
      <c r="DK42" s="14"/>
      <c r="DL42" s="14"/>
      <c r="DM42" s="14"/>
      <c r="DN42" s="14"/>
      <c r="DO42" s="14"/>
      <c r="DP42" s="14"/>
      <c r="DQ42" s="14"/>
      <c r="DR42" s="127"/>
      <c r="DS42" s="128"/>
      <c r="DT42" s="128"/>
      <c r="DU42" s="128"/>
      <c r="DV42" s="128"/>
      <c r="DW42" s="128"/>
      <c r="DX42" s="128"/>
      <c r="DY42" s="128"/>
      <c r="DZ42" s="14"/>
      <c r="EA42" s="14"/>
      <c r="EB42" s="14"/>
      <c r="EC42" s="14"/>
      <c r="ED42" s="14"/>
      <c r="EE42" s="14"/>
      <c r="EF42" s="14"/>
      <c r="EG42" s="14"/>
      <c r="EH42" s="14"/>
      <c r="EI42" s="14"/>
      <c r="EJ42" s="14"/>
      <c r="EK42" s="14"/>
      <c r="EL42" s="14"/>
    </row>
    <row r="43" spans="1:142" ht="28.5" customHeight="1" x14ac:dyDescent="0.25">
      <c r="A43" s="14"/>
      <c r="B43" s="211"/>
      <c r="C43" s="265"/>
      <c r="D43" s="270"/>
      <c r="E43" s="270"/>
      <c r="F43" s="270"/>
      <c r="G43" s="14"/>
      <c r="H43" s="21"/>
      <c r="I43" s="21"/>
      <c r="J43" s="14"/>
      <c r="K43" s="14"/>
      <c r="L43" s="14"/>
      <c r="M43" s="14"/>
      <c r="N43" s="14"/>
      <c r="O43" s="14"/>
      <c r="P43" s="14"/>
      <c r="Q43" s="47"/>
      <c r="R43" s="19"/>
      <c r="S43" s="19"/>
      <c r="T43" s="19"/>
      <c r="U43" s="50"/>
      <c r="V43" s="19"/>
      <c r="W43" s="50"/>
      <c r="X43" s="14"/>
      <c r="Y43" s="14"/>
      <c r="Z43" s="14"/>
      <c r="AA43" s="14"/>
      <c r="AB43" s="14"/>
      <c r="AC43" s="14"/>
      <c r="AD43" s="65"/>
      <c r="AE43" s="63"/>
      <c r="AF43" s="352"/>
      <c r="AG43" s="19"/>
      <c r="AH43" s="19"/>
      <c r="AI43" s="19"/>
      <c r="AJ43" s="50"/>
      <c r="AK43" s="19"/>
      <c r="AL43" s="50"/>
      <c r="AM43" s="14"/>
      <c r="AN43" s="14"/>
      <c r="AO43" s="14"/>
      <c r="AP43" s="14"/>
      <c r="AQ43" s="14"/>
      <c r="AR43" s="14"/>
      <c r="AS43" s="65"/>
      <c r="AT43" s="63"/>
      <c r="AU43" s="352"/>
      <c r="AV43" s="14"/>
      <c r="AW43" s="19"/>
      <c r="AX43" s="19"/>
      <c r="AY43" s="50"/>
      <c r="AZ43" s="19"/>
      <c r="BA43" s="50"/>
      <c r="BB43" s="14"/>
      <c r="BC43" s="14"/>
      <c r="BD43" s="14"/>
      <c r="BE43" s="14"/>
      <c r="BF43" s="14"/>
      <c r="BG43" s="14"/>
      <c r="BH43" s="65"/>
      <c r="BI43" s="63"/>
      <c r="BJ43" s="352"/>
      <c r="BK43" s="19"/>
      <c r="BL43" s="19"/>
      <c r="BM43" s="19"/>
      <c r="BN43" s="50"/>
      <c r="BO43" s="19"/>
      <c r="BP43" s="50"/>
      <c r="BQ43" s="14"/>
      <c r="BR43" s="14"/>
      <c r="BS43" s="14"/>
      <c r="BT43" s="14"/>
      <c r="BU43" s="14"/>
      <c r="BV43" s="14"/>
      <c r="BW43" s="65"/>
      <c r="BX43" s="63"/>
      <c r="BY43" s="352"/>
      <c r="BZ43" s="14"/>
      <c r="CA43" s="210"/>
      <c r="CB43" s="211"/>
      <c r="CC43" s="515"/>
      <c r="CD43" s="515"/>
      <c r="CE43" s="515"/>
      <c r="CF43" s="515"/>
      <c r="CG43" s="515"/>
      <c r="CH43" s="515"/>
      <c r="CI43" s="515"/>
      <c r="CJ43" s="515"/>
      <c r="CK43" s="515"/>
      <c r="CL43" s="515"/>
      <c r="CM43" s="515"/>
      <c r="CN43" s="515"/>
      <c r="CO43" s="515"/>
      <c r="CP43" s="14"/>
      <c r="CQ43" s="47"/>
      <c r="CR43" s="14"/>
      <c r="CS43" s="71"/>
      <c r="CT43" s="71"/>
      <c r="CU43" s="516"/>
      <c r="CV43" s="516"/>
      <c r="CW43" s="516"/>
      <c r="CX43" s="516"/>
      <c r="CY43" s="516"/>
      <c r="CZ43" s="516"/>
      <c r="DA43" s="516"/>
      <c r="DB43" s="516"/>
      <c r="DC43" s="516"/>
      <c r="DD43" s="516"/>
      <c r="DE43" s="516"/>
      <c r="DF43" s="516"/>
      <c r="DG43" s="516"/>
      <c r="DH43" s="14"/>
      <c r="DI43" s="47"/>
      <c r="DJ43" s="14"/>
      <c r="DK43" s="14"/>
      <c r="DL43" s="14"/>
      <c r="DM43" s="14"/>
      <c r="DN43" s="14"/>
      <c r="DO43" s="14"/>
      <c r="DP43" s="14"/>
      <c r="DQ43" s="14"/>
      <c r="DR43" s="127"/>
      <c r="DS43" s="128"/>
      <c r="DT43" s="128"/>
      <c r="DU43" s="128"/>
      <c r="DV43" s="128"/>
      <c r="DW43" s="128"/>
      <c r="DX43" s="128"/>
      <c r="DY43" s="128"/>
      <c r="DZ43" s="14"/>
      <c r="EA43" s="14"/>
      <c r="EB43" s="14"/>
      <c r="EC43" s="14"/>
      <c r="ED43" s="14"/>
      <c r="EE43" s="14"/>
      <c r="EF43" s="14"/>
      <c r="EG43" s="14"/>
      <c r="EH43" s="14"/>
      <c r="EI43" s="14"/>
      <c r="EJ43" s="14"/>
      <c r="EK43" s="14"/>
      <c r="EL43" s="14"/>
    </row>
    <row r="44" spans="1:142" ht="42.75" customHeight="1" x14ac:dyDescent="0.25">
      <c r="A44" s="14"/>
      <c r="B44" s="211"/>
      <c r="C44" s="265"/>
      <c r="D44" s="265"/>
      <c r="E44" s="265"/>
      <c r="F44" s="265"/>
      <c r="G44" s="524" t="s">
        <v>755</v>
      </c>
      <c r="H44" s="542"/>
      <c r="I44" s="542"/>
      <c r="J44" s="525"/>
      <c r="K44" s="14"/>
      <c r="L44" s="14"/>
      <c r="M44" s="14"/>
      <c r="N44" s="14"/>
      <c r="O44" s="14"/>
      <c r="P44" s="14"/>
      <c r="Q44" s="47"/>
      <c r="R44" s="19"/>
      <c r="S44" s="19"/>
      <c r="T44" s="19"/>
      <c r="U44" s="50"/>
      <c r="V44" s="19"/>
      <c r="W44" s="50"/>
      <c r="X44" s="524" t="s">
        <v>755</v>
      </c>
      <c r="Y44" s="542"/>
      <c r="Z44" s="542"/>
      <c r="AA44" s="525"/>
      <c r="AB44" s="14"/>
      <c r="AC44" s="14"/>
      <c r="AD44" s="65"/>
      <c r="AE44" s="63"/>
      <c r="AF44" s="352"/>
      <c r="AG44" s="19"/>
      <c r="AH44" s="19"/>
      <c r="AI44" s="19"/>
      <c r="AJ44" s="50"/>
      <c r="AK44" s="19"/>
      <c r="AL44" s="50"/>
      <c r="AM44" s="524" t="s">
        <v>755</v>
      </c>
      <c r="AN44" s="542"/>
      <c r="AO44" s="542"/>
      <c r="AP44" s="525"/>
      <c r="AQ44" s="14"/>
      <c r="AR44" s="14"/>
      <c r="AS44" s="65"/>
      <c r="AT44" s="63"/>
      <c r="AU44" s="352"/>
      <c r="AV44" s="14"/>
      <c r="AW44" s="19"/>
      <c r="AX44" s="19"/>
      <c r="AY44" s="50"/>
      <c r="AZ44" s="19"/>
      <c r="BA44" s="524" t="s">
        <v>755</v>
      </c>
      <c r="BB44" s="542"/>
      <c r="BC44" s="542"/>
      <c r="BD44" s="525"/>
      <c r="BE44" s="14"/>
      <c r="BF44" s="14"/>
      <c r="BG44" s="14"/>
      <c r="BH44" s="65"/>
      <c r="BI44" s="63"/>
      <c r="BJ44" s="352"/>
      <c r="BK44" s="19"/>
      <c r="BL44" s="19"/>
      <c r="BM44" s="19"/>
      <c r="BN44" s="50"/>
      <c r="BO44" s="19"/>
      <c r="BP44" s="50"/>
      <c r="BQ44" s="524" t="s">
        <v>755</v>
      </c>
      <c r="BR44" s="542"/>
      <c r="BS44" s="542"/>
      <c r="BT44" s="525"/>
      <c r="BU44" s="14"/>
      <c r="BV44" s="14"/>
      <c r="BW44" s="65"/>
      <c r="BX44" s="63"/>
      <c r="BY44" s="352"/>
      <c r="BZ44" s="14"/>
      <c r="CA44" s="210"/>
      <c r="CB44" s="211"/>
      <c r="CC44" s="515"/>
      <c r="CD44" s="515"/>
      <c r="CE44" s="515"/>
      <c r="CF44" s="515"/>
      <c r="CG44" s="515"/>
      <c r="CH44" s="515"/>
      <c r="CI44" s="515"/>
      <c r="CJ44" s="515"/>
      <c r="CK44" s="515"/>
      <c r="CL44" s="515"/>
      <c r="CM44" s="515"/>
      <c r="CN44" s="515"/>
      <c r="CO44" s="515"/>
      <c r="CP44" s="14"/>
      <c r="CQ44" s="47"/>
      <c r="CR44" s="14"/>
      <c r="CS44" s="71"/>
      <c r="CT44" s="71"/>
      <c r="CU44" s="516"/>
      <c r="CV44" s="516"/>
      <c r="CW44" s="516"/>
      <c r="CX44" s="516"/>
      <c r="CY44" s="516"/>
      <c r="CZ44" s="516"/>
      <c r="DA44" s="516"/>
      <c r="DB44" s="516"/>
      <c r="DC44" s="516"/>
      <c r="DD44" s="516"/>
      <c r="DE44" s="516"/>
      <c r="DF44" s="516"/>
      <c r="DG44" s="516"/>
      <c r="DH44" s="14"/>
      <c r="DI44" s="47"/>
      <c r="DJ44" s="14"/>
      <c r="DK44" s="14"/>
      <c r="DL44" s="14"/>
      <c r="DM44" s="14"/>
      <c r="DN44" s="14"/>
      <c r="DO44" s="14"/>
      <c r="DP44" s="524" t="s">
        <v>755</v>
      </c>
      <c r="DQ44" s="542"/>
      <c r="DR44" s="542"/>
      <c r="DS44" s="525"/>
      <c r="DT44" s="128"/>
      <c r="DU44" s="128"/>
      <c r="DV44" s="128"/>
      <c r="DW44" s="128"/>
      <c r="DX44" s="128"/>
      <c r="DY44" s="128"/>
      <c r="DZ44" s="14"/>
      <c r="EA44" s="14"/>
      <c r="EB44" s="14"/>
      <c r="EC44" s="14"/>
      <c r="ED44" s="14"/>
      <c r="EE44" s="14"/>
      <c r="EF44" s="14"/>
      <c r="EG44" s="14"/>
      <c r="EH44" s="14"/>
      <c r="EI44" s="14"/>
      <c r="EJ44" s="14"/>
      <c r="EK44" s="14"/>
      <c r="EL44" s="14"/>
    </row>
    <row r="45" spans="1:142" ht="28.5" customHeight="1" x14ac:dyDescent="0.25">
      <c r="A45" s="14"/>
      <c r="B45" s="211"/>
      <c r="C45" s="265"/>
      <c r="D45" s="265"/>
      <c r="E45" s="265"/>
      <c r="F45" s="265"/>
      <c r="G45" s="526"/>
      <c r="H45" s="543"/>
      <c r="I45" s="543"/>
      <c r="J45" s="527"/>
      <c r="K45" s="14"/>
      <c r="L45" s="14"/>
      <c r="M45" s="14"/>
      <c r="N45" s="14"/>
      <c r="O45" s="14"/>
      <c r="P45" s="14"/>
      <c r="Q45" s="47"/>
      <c r="R45" s="19"/>
      <c r="S45" s="19"/>
      <c r="T45" s="19"/>
      <c r="U45" s="50"/>
      <c r="V45" s="19"/>
      <c r="W45" s="50"/>
      <c r="X45" s="526"/>
      <c r="Y45" s="543"/>
      <c r="Z45" s="543"/>
      <c r="AA45" s="527"/>
      <c r="AB45" s="14"/>
      <c r="AC45" s="14"/>
      <c r="AD45" s="65"/>
      <c r="AE45" s="63"/>
      <c r="AF45" s="352"/>
      <c r="AG45" s="19"/>
      <c r="AH45" s="19"/>
      <c r="AI45" s="19"/>
      <c r="AJ45" s="50"/>
      <c r="AK45" s="19"/>
      <c r="AL45" s="50"/>
      <c r="AM45" s="526"/>
      <c r="AN45" s="543"/>
      <c r="AO45" s="543"/>
      <c r="AP45" s="527"/>
      <c r="AQ45" s="14"/>
      <c r="AR45" s="14"/>
      <c r="AS45" s="65"/>
      <c r="AT45" s="63"/>
      <c r="AU45" s="352"/>
      <c r="AV45" s="14"/>
      <c r="AW45" s="19"/>
      <c r="AX45" s="19"/>
      <c r="AY45" s="50"/>
      <c r="AZ45" s="19"/>
      <c r="BA45" s="526"/>
      <c r="BB45" s="543"/>
      <c r="BC45" s="543"/>
      <c r="BD45" s="527"/>
      <c r="BE45" s="14"/>
      <c r="BF45" s="14"/>
      <c r="BG45" s="14"/>
      <c r="BH45" s="65"/>
      <c r="BI45" s="63"/>
      <c r="BJ45" s="352"/>
      <c r="BK45" s="19"/>
      <c r="BL45" s="19"/>
      <c r="BM45" s="19"/>
      <c r="BN45" s="50"/>
      <c r="BO45" s="19"/>
      <c r="BP45" s="50"/>
      <c r="BQ45" s="526"/>
      <c r="BR45" s="543"/>
      <c r="BS45" s="543"/>
      <c r="BT45" s="527"/>
      <c r="BU45" s="14"/>
      <c r="BV45" s="14"/>
      <c r="BW45" s="65"/>
      <c r="BX45" s="63"/>
      <c r="BY45" s="352"/>
      <c r="BZ45" s="14"/>
      <c r="CA45" s="210"/>
      <c r="CB45" s="211"/>
      <c r="CC45" s="515"/>
      <c r="CD45" s="515"/>
      <c r="CE45" s="515"/>
      <c r="CF45" s="515"/>
      <c r="CG45" s="515"/>
      <c r="CH45" s="515"/>
      <c r="CI45" s="515"/>
      <c r="CJ45" s="515"/>
      <c r="CK45" s="515"/>
      <c r="CL45" s="515"/>
      <c r="CM45" s="515"/>
      <c r="CN45" s="515"/>
      <c r="CO45" s="515"/>
      <c r="CP45" s="14"/>
      <c r="CQ45" s="47"/>
      <c r="CR45" s="14"/>
      <c r="CS45" s="71"/>
      <c r="CT45" s="71"/>
      <c r="CU45" s="516"/>
      <c r="CV45" s="516"/>
      <c r="CW45" s="516"/>
      <c r="CX45" s="516"/>
      <c r="CY45" s="516"/>
      <c r="CZ45" s="516"/>
      <c r="DA45" s="516"/>
      <c r="DB45" s="516"/>
      <c r="DC45" s="516"/>
      <c r="DD45" s="516"/>
      <c r="DE45" s="516"/>
      <c r="DF45" s="516"/>
      <c r="DG45" s="516"/>
      <c r="DH45" s="14"/>
      <c r="DI45" s="47"/>
      <c r="DJ45" s="14"/>
      <c r="DK45" s="14"/>
      <c r="DL45" s="14"/>
      <c r="DM45" s="14"/>
      <c r="DN45" s="14"/>
      <c r="DO45" s="14"/>
      <c r="DP45" s="526"/>
      <c r="DQ45" s="543"/>
      <c r="DR45" s="543"/>
      <c r="DS45" s="527"/>
      <c r="DT45" s="128"/>
      <c r="DU45" s="128"/>
      <c r="DV45" s="128"/>
      <c r="DW45" s="128"/>
      <c r="DX45" s="128"/>
      <c r="DY45" s="128"/>
      <c r="DZ45" s="14"/>
      <c r="EA45" s="14"/>
      <c r="EB45" s="14"/>
      <c r="EC45" s="14"/>
      <c r="ED45" s="14"/>
      <c r="EE45" s="14"/>
      <c r="EF45" s="14"/>
      <c r="EG45" s="14"/>
      <c r="EH45" s="14"/>
      <c r="EI45" s="14"/>
      <c r="EJ45" s="14"/>
      <c r="EK45" s="14"/>
      <c r="EL45" s="14"/>
    </row>
    <row r="46" spans="1:142" ht="15.75" customHeight="1" x14ac:dyDescent="0.25">
      <c r="A46" s="14"/>
      <c r="B46" s="211"/>
      <c r="C46" s="265"/>
      <c r="D46" s="265"/>
      <c r="E46" s="265"/>
      <c r="F46" s="265"/>
      <c r="G46" s="526"/>
      <c r="H46" s="543"/>
      <c r="I46" s="543"/>
      <c r="J46" s="527"/>
      <c r="K46" s="14"/>
      <c r="L46" s="14"/>
      <c r="M46" s="14"/>
      <c r="N46" s="14"/>
      <c r="O46" s="14"/>
      <c r="P46" s="14"/>
      <c r="Q46" s="47"/>
      <c r="R46" s="19"/>
      <c r="S46" s="19"/>
      <c r="T46" s="19"/>
      <c r="U46" s="50"/>
      <c r="V46" s="19"/>
      <c r="W46" s="50"/>
      <c r="X46" s="526"/>
      <c r="Y46" s="543"/>
      <c r="Z46" s="543"/>
      <c r="AA46" s="527"/>
      <c r="AB46" s="14"/>
      <c r="AC46" s="14"/>
      <c r="AD46" s="65"/>
      <c r="AE46" s="63"/>
      <c r="AF46" s="352"/>
      <c r="AG46" s="19"/>
      <c r="AH46" s="19"/>
      <c r="AI46" s="19"/>
      <c r="AJ46" s="50"/>
      <c r="AK46" s="19"/>
      <c r="AL46" s="50"/>
      <c r="AM46" s="526"/>
      <c r="AN46" s="543"/>
      <c r="AO46" s="543"/>
      <c r="AP46" s="527"/>
      <c r="AQ46" s="14"/>
      <c r="AR46" s="14"/>
      <c r="AS46" s="65"/>
      <c r="AT46" s="63"/>
      <c r="AU46" s="352"/>
      <c r="AV46" s="14"/>
      <c r="AW46" s="19"/>
      <c r="AX46" s="19"/>
      <c r="AY46" s="50"/>
      <c r="AZ46" s="19"/>
      <c r="BA46" s="526"/>
      <c r="BB46" s="543"/>
      <c r="BC46" s="543"/>
      <c r="BD46" s="527"/>
      <c r="BE46" s="14"/>
      <c r="BF46" s="14"/>
      <c r="BG46" s="14"/>
      <c r="BH46" s="65"/>
      <c r="BI46" s="63"/>
      <c r="BJ46" s="352"/>
      <c r="BK46" s="19"/>
      <c r="BL46" s="19"/>
      <c r="BM46" s="19"/>
      <c r="BN46" s="50"/>
      <c r="BO46" s="19"/>
      <c r="BP46" s="50"/>
      <c r="BQ46" s="526"/>
      <c r="BR46" s="543"/>
      <c r="BS46" s="543"/>
      <c r="BT46" s="527"/>
      <c r="BU46" s="14"/>
      <c r="BV46" s="14"/>
      <c r="BW46" s="65"/>
      <c r="BX46" s="63"/>
      <c r="BY46" s="352"/>
      <c r="BZ46" s="14"/>
      <c r="CA46" s="210"/>
      <c r="CB46" s="211"/>
      <c r="CC46" s="515"/>
      <c r="CD46" s="515"/>
      <c r="CE46" s="515"/>
      <c r="CF46" s="515"/>
      <c r="CG46" s="515"/>
      <c r="CH46" s="515"/>
      <c r="CI46" s="515"/>
      <c r="CJ46" s="515"/>
      <c r="CK46" s="515"/>
      <c r="CL46" s="515"/>
      <c r="CM46" s="515"/>
      <c r="CN46" s="515"/>
      <c r="CO46" s="515"/>
      <c r="CP46" s="14"/>
      <c r="CQ46" s="47"/>
      <c r="CR46" s="14"/>
      <c r="CS46" s="71"/>
      <c r="CT46" s="71"/>
      <c r="CU46" s="516"/>
      <c r="CV46" s="516"/>
      <c r="CW46" s="516"/>
      <c r="CX46" s="516"/>
      <c r="CY46" s="516"/>
      <c r="CZ46" s="516"/>
      <c r="DA46" s="516"/>
      <c r="DB46" s="516"/>
      <c r="DC46" s="516"/>
      <c r="DD46" s="516"/>
      <c r="DE46" s="516"/>
      <c r="DF46" s="516"/>
      <c r="DG46" s="516"/>
      <c r="DH46" s="14"/>
      <c r="DI46" s="47"/>
      <c r="DJ46" s="14"/>
      <c r="DK46" s="14"/>
      <c r="DL46" s="14"/>
      <c r="DM46" s="14"/>
      <c r="DN46" s="14"/>
      <c r="DO46" s="14"/>
      <c r="DP46" s="526"/>
      <c r="DQ46" s="543"/>
      <c r="DR46" s="543"/>
      <c r="DS46" s="527"/>
      <c r="DT46" s="128"/>
      <c r="DU46" s="128"/>
      <c r="DV46" s="128"/>
      <c r="DW46" s="128"/>
      <c r="DX46" s="128"/>
      <c r="DY46" s="128"/>
      <c r="DZ46" s="14"/>
      <c r="EA46" s="14"/>
      <c r="EB46" s="14"/>
      <c r="EC46" s="14"/>
      <c r="ED46" s="14"/>
      <c r="EE46" s="14"/>
      <c r="EF46" s="14"/>
      <c r="EG46" s="14"/>
      <c r="EH46" s="14"/>
      <c r="EI46" s="14"/>
      <c r="EJ46" s="14"/>
      <c r="EK46" s="14"/>
      <c r="EL46" s="14"/>
    </row>
    <row r="47" spans="1:142" ht="15.75" customHeight="1" x14ac:dyDescent="0.25">
      <c r="A47" s="14"/>
      <c r="B47" s="211"/>
      <c r="C47" s="265"/>
      <c r="D47" s="265"/>
      <c r="E47" s="265"/>
      <c r="F47" s="265"/>
      <c r="G47" s="528"/>
      <c r="H47" s="544"/>
      <c r="I47" s="544"/>
      <c r="J47" s="529"/>
      <c r="K47" s="14"/>
      <c r="L47" s="14"/>
      <c r="M47" s="14"/>
      <c r="N47" s="14"/>
      <c r="O47" s="14"/>
      <c r="P47" s="14"/>
      <c r="Q47" s="47"/>
      <c r="R47" s="19"/>
      <c r="S47" s="34"/>
      <c r="T47" s="33"/>
      <c r="U47" s="517"/>
      <c r="V47" s="517"/>
      <c r="W47" s="53"/>
      <c r="X47" s="528"/>
      <c r="Y47" s="544"/>
      <c r="Z47" s="544"/>
      <c r="AA47" s="529"/>
      <c r="AB47" s="14"/>
      <c r="AC47" s="14"/>
      <c r="AD47" s="65"/>
      <c r="AE47" s="63"/>
      <c r="AF47" s="352"/>
      <c r="AG47" s="19"/>
      <c r="AH47" s="34"/>
      <c r="AI47" s="33"/>
      <c r="AJ47" s="517"/>
      <c r="AK47" s="517"/>
      <c r="AL47" s="53"/>
      <c r="AM47" s="528"/>
      <c r="AN47" s="544"/>
      <c r="AO47" s="544"/>
      <c r="AP47" s="529"/>
      <c r="AQ47" s="14"/>
      <c r="AR47" s="14"/>
      <c r="AS47" s="65"/>
      <c r="AT47" s="63"/>
      <c r="AU47" s="352"/>
      <c r="AV47" s="14"/>
      <c r="AW47" s="34"/>
      <c r="AX47" s="33"/>
      <c r="AY47" s="517"/>
      <c r="AZ47" s="517"/>
      <c r="BA47" s="528"/>
      <c r="BB47" s="544"/>
      <c r="BC47" s="544"/>
      <c r="BD47" s="529"/>
      <c r="BE47" s="14"/>
      <c r="BF47" s="14"/>
      <c r="BG47" s="14"/>
      <c r="BH47" s="65"/>
      <c r="BI47" s="63"/>
      <c r="BJ47" s="352"/>
      <c r="BK47" s="19"/>
      <c r="BL47" s="34"/>
      <c r="BM47" s="33"/>
      <c r="BN47" s="517"/>
      <c r="BO47" s="517"/>
      <c r="BP47" s="53"/>
      <c r="BQ47" s="528"/>
      <c r="BR47" s="544"/>
      <c r="BS47" s="544"/>
      <c r="BT47" s="529"/>
      <c r="BU47" s="14"/>
      <c r="BV47" s="14"/>
      <c r="BW47" s="65"/>
      <c r="BX47" s="63"/>
      <c r="BY47" s="352"/>
      <c r="BZ47" s="14"/>
      <c r="CA47" s="210"/>
      <c r="CB47" s="211"/>
      <c r="CC47" s="515"/>
      <c r="CD47" s="515"/>
      <c r="CE47" s="515"/>
      <c r="CF47" s="515"/>
      <c r="CG47" s="515"/>
      <c r="CH47" s="515"/>
      <c r="CI47" s="515"/>
      <c r="CJ47" s="515"/>
      <c r="CK47" s="515"/>
      <c r="CL47" s="515"/>
      <c r="CM47" s="515"/>
      <c r="CN47" s="515"/>
      <c r="CO47" s="515"/>
      <c r="CP47" s="14"/>
      <c r="CQ47" s="47"/>
      <c r="CR47" s="14"/>
      <c r="CS47" s="71"/>
      <c r="CT47" s="71"/>
      <c r="CU47" s="516"/>
      <c r="CV47" s="516"/>
      <c r="CW47" s="516"/>
      <c r="CX47" s="516"/>
      <c r="CY47" s="516"/>
      <c r="CZ47" s="516"/>
      <c r="DA47" s="516"/>
      <c r="DB47" s="516"/>
      <c r="DC47" s="516"/>
      <c r="DD47" s="516"/>
      <c r="DE47" s="516"/>
      <c r="DF47" s="516"/>
      <c r="DG47" s="516"/>
      <c r="DH47" s="14"/>
      <c r="DI47" s="47"/>
      <c r="DJ47" s="14"/>
      <c r="DK47" s="14"/>
      <c r="DL47" s="14"/>
      <c r="DM47" s="14"/>
      <c r="DN47" s="14"/>
      <c r="DO47" s="14"/>
      <c r="DP47" s="528"/>
      <c r="DQ47" s="544"/>
      <c r="DR47" s="544"/>
      <c r="DS47" s="529"/>
      <c r="DT47" s="2"/>
      <c r="DU47" s="14"/>
      <c r="DV47" s="14"/>
      <c r="DW47" s="14"/>
      <c r="DX47" s="14"/>
      <c r="DY47" s="14"/>
      <c r="DZ47" s="14"/>
      <c r="EA47" s="14"/>
      <c r="EB47" s="14"/>
      <c r="EC47" s="14"/>
      <c r="ED47" s="14"/>
      <c r="EE47" s="14"/>
      <c r="EF47" s="14"/>
      <c r="EG47" s="14"/>
      <c r="EH47" s="14"/>
      <c r="EI47" s="14"/>
      <c r="EJ47" s="14"/>
      <c r="EK47" s="14"/>
      <c r="EL47" s="14"/>
    </row>
    <row r="48" spans="1:142" ht="15" customHeight="1" x14ac:dyDescent="0.25">
      <c r="A48" s="14"/>
      <c r="B48" s="211"/>
      <c r="C48" s="265"/>
      <c r="D48" s="265"/>
      <c r="E48" s="265"/>
      <c r="F48" s="265"/>
      <c r="G48" s="23"/>
      <c r="H48" s="18"/>
      <c r="I48" s="27"/>
      <c r="J48" s="14"/>
      <c r="K48" s="14"/>
      <c r="L48" s="14"/>
      <c r="M48" s="14"/>
      <c r="N48" s="14"/>
      <c r="O48" s="14"/>
      <c r="P48" s="14"/>
      <c r="Q48" s="47"/>
      <c r="R48" s="19"/>
      <c r="S48" s="14"/>
      <c r="T48" s="14"/>
      <c r="U48" s="14"/>
      <c r="V48" s="14"/>
      <c r="W48" s="14"/>
      <c r="X48" s="14"/>
      <c r="Y48" s="14"/>
      <c r="Z48" s="14"/>
      <c r="AA48" s="14"/>
      <c r="AB48" s="14"/>
      <c r="AC48" s="14"/>
      <c r="AD48" s="65"/>
      <c r="AE48" s="63"/>
      <c r="AF48" s="352"/>
      <c r="AG48" s="19"/>
      <c r="AH48" s="14"/>
      <c r="AI48" s="14"/>
      <c r="AJ48" s="14"/>
      <c r="AK48" s="14"/>
      <c r="AL48" s="14"/>
      <c r="AM48" s="14"/>
      <c r="AN48" s="14"/>
      <c r="AO48" s="14"/>
      <c r="AP48" s="14"/>
      <c r="AQ48" s="14"/>
      <c r="AR48" s="14"/>
      <c r="AS48" s="65"/>
      <c r="AT48" s="63"/>
      <c r="AU48" s="352"/>
      <c r="AV48" s="14"/>
      <c r="AW48" s="14"/>
      <c r="AX48" s="14"/>
      <c r="AY48" s="14"/>
      <c r="AZ48" s="14"/>
      <c r="BA48" s="14"/>
      <c r="BB48" s="14"/>
      <c r="BC48" s="14"/>
      <c r="BD48" s="14"/>
      <c r="BE48" s="14"/>
      <c r="BF48" s="14"/>
      <c r="BG48" s="14"/>
      <c r="BH48" s="65"/>
      <c r="BI48" s="63"/>
      <c r="BJ48" s="352"/>
      <c r="BK48" s="19"/>
      <c r="BL48" s="14"/>
      <c r="BM48" s="14"/>
      <c r="BN48" s="14"/>
      <c r="BO48" s="14"/>
      <c r="BP48" s="14"/>
      <c r="BQ48" s="14"/>
      <c r="BR48" s="14"/>
      <c r="BS48" s="14"/>
      <c r="BT48" s="14"/>
      <c r="BU48" s="14"/>
      <c r="BV48" s="14"/>
      <c r="BW48" s="65"/>
      <c r="BX48" s="63"/>
      <c r="BY48" s="352"/>
      <c r="BZ48" s="14"/>
      <c r="CA48" s="210"/>
      <c r="CB48" s="211"/>
      <c r="CC48" s="515"/>
      <c r="CD48" s="515"/>
      <c r="CE48" s="515"/>
      <c r="CF48" s="515"/>
      <c r="CG48" s="515"/>
      <c r="CH48" s="515"/>
      <c r="CI48" s="515"/>
      <c r="CJ48" s="515"/>
      <c r="CK48" s="515"/>
      <c r="CL48" s="515"/>
      <c r="CM48" s="515"/>
      <c r="CN48" s="515"/>
      <c r="CO48" s="515"/>
      <c r="CP48" s="14"/>
      <c r="CQ48" s="47"/>
      <c r="CR48" s="14"/>
      <c r="CS48" s="71"/>
      <c r="CT48" s="71"/>
      <c r="CU48" s="516"/>
      <c r="CV48" s="516"/>
      <c r="CW48" s="516"/>
      <c r="CX48" s="516"/>
      <c r="CY48" s="516"/>
      <c r="CZ48" s="516"/>
      <c r="DA48" s="516"/>
      <c r="DB48" s="516"/>
      <c r="DC48" s="516"/>
      <c r="DD48" s="516"/>
      <c r="DE48" s="516"/>
      <c r="DF48" s="516"/>
      <c r="DG48" s="516"/>
      <c r="DH48" s="14"/>
      <c r="DI48" s="47"/>
      <c r="DJ48" s="14"/>
      <c r="DK48" s="14"/>
      <c r="DL48" s="14"/>
      <c r="DM48" s="14"/>
      <c r="DN48" s="14"/>
      <c r="DO48" s="14"/>
      <c r="DP48" s="14"/>
      <c r="DQ48" s="14"/>
      <c r="DR48" s="2"/>
      <c r="DS48" s="2"/>
      <c r="DT48" s="2"/>
      <c r="DU48" s="14"/>
      <c r="DV48" s="14"/>
      <c r="DW48" s="14"/>
      <c r="DX48" s="14"/>
      <c r="DY48" s="14"/>
      <c r="DZ48" s="14"/>
      <c r="EA48" s="14"/>
      <c r="EB48" s="14"/>
      <c r="EC48" s="14"/>
      <c r="ED48" s="14"/>
      <c r="EE48" s="14"/>
      <c r="EF48" s="14"/>
      <c r="EG48" s="14"/>
      <c r="EH48" s="14"/>
      <c r="EI48" s="14"/>
      <c r="EJ48" s="14"/>
      <c r="EK48" s="14"/>
      <c r="EL48" s="14"/>
    </row>
    <row r="49" spans="1:142" x14ac:dyDescent="0.25">
      <c r="A49" s="14"/>
      <c r="B49" s="211"/>
      <c r="C49" s="265"/>
      <c r="D49" s="265"/>
      <c r="E49" s="265"/>
      <c r="F49" s="265"/>
      <c r="G49" s="14"/>
      <c r="H49" s="21"/>
      <c r="I49" s="21"/>
      <c r="J49" s="14"/>
      <c r="K49" s="14"/>
      <c r="L49" s="14"/>
      <c r="M49" s="14"/>
      <c r="N49" s="14"/>
      <c r="O49" s="14"/>
      <c r="P49" s="14"/>
      <c r="Q49" s="47"/>
      <c r="R49" s="19"/>
      <c r="S49" s="14"/>
      <c r="T49" s="14"/>
      <c r="U49" s="14"/>
      <c r="V49" s="14"/>
      <c r="W49" s="14"/>
      <c r="X49" s="14"/>
      <c r="Y49" s="14"/>
      <c r="Z49" s="14"/>
      <c r="AA49" s="14"/>
      <c r="AB49" s="14"/>
      <c r="AC49" s="14"/>
      <c r="AD49" s="65"/>
      <c r="AE49" s="63"/>
      <c r="AF49" s="352"/>
      <c r="AG49" s="19"/>
      <c r="AH49" s="14"/>
      <c r="AI49" s="14"/>
      <c r="AJ49" s="14"/>
      <c r="AK49" s="14"/>
      <c r="AL49" s="14"/>
      <c r="AM49" s="14"/>
      <c r="AN49" s="14"/>
      <c r="AO49" s="14"/>
      <c r="AP49" s="14"/>
      <c r="AQ49" s="14"/>
      <c r="AR49" s="14"/>
      <c r="AS49" s="65"/>
      <c r="AT49" s="63"/>
      <c r="AU49" s="352"/>
      <c r="AV49" s="14"/>
      <c r="AW49" s="14"/>
      <c r="AX49" s="14"/>
      <c r="AY49" s="14"/>
      <c r="AZ49" s="14"/>
      <c r="BA49" s="14"/>
      <c r="BB49" s="14"/>
      <c r="BC49" s="14"/>
      <c r="BD49" s="14"/>
      <c r="BE49" s="14"/>
      <c r="BF49" s="14"/>
      <c r="BG49" s="14"/>
      <c r="BH49" s="65"/>
      <c r="BI49" s="63"/>
      <c r="BJ49" s="352"/>
      <c r="BK49" s="19"/>
      <c r="BL49" s="14"/>
      <c r="BM49" s="14"/>
      <c r="BN49" s="14"/>
      <c r="BO49" s="14"/>
      <c r="BP49" s="14"/>
      <c r="BQ49" s="14"/>
      <c r="BR49" s="14"/>
      <c r="BS49" s="14"/>
      <c r="BT49" s="14"/>
      <c r="BU49" s="14"/>
      <c r="BV49" s="14"/>
      <c r="BW49" s="65"/>
      <c r="BX49" s="63"/>
      <c r="BY49" s="352"/>
      <c r="BZ49" s="14"/>
      <c r="CA49" s="210"/>
      <c r="CB49" s="211"/>
      <c r="CC49" s="515"/>
      <c r="CD49" s="515"/>
      <c r="CE49" s="515"/>
      <c r="CF49" s="515"/>
      <c r="CG49" s="515"/>
      <c r="CH49" s="515"/>
      <c r="CI49" s="515"/>
      <c r="CJ49" s="515"/>
      <c r="CK49" s="515"/>
      <c r="CL49" s="515"/>
      <c r="CM49" s="515"/>
      <c r="CN49" s="515"/>
      <c r="CO49" s="515"/>
      <c r="CP49" s="14"/>
      <c r="CQ49" s="47"/>
      <c r="CR49" s="14"/>
      <c r="CS49" s="71"/>
      <c r="CT49" s="71"/>
      <c r="CU49" s="516"/>
      <c r="CV49" s="516"/>
      <c r="CW49" s="516"/>
      <c r="CX49" s="516"/>
      <c r="CY49" s="516"/>
      <c r="CZ49" s="516"/>
      <c r="DA49" s="516"/>
      <c r="DB49" s="516"/>
      <c r="DC49" s="516"/>
      <c r="DD49" s="516"/>
      <c r="DE49" s="516"/>
      <c r="DF49" s="516"/>
      <c r="DG49" s="516"/>
      <c r="DH49" s="14"/>
      <c r="DI49" s="47"/>
      <c r="DJ49" s="14"/>
      <c r="DK49" s="14"/>
      <c r="DL49" s="14"/>
      <c r="DM49" s="14"/>
      <c r="DN49" s="14"/>
      <c r="DO49" s="14"/>
      <c r="DP49" s="14"/>
      <c r="DQ49" s="14"/>
      <c r="DR49" s="2"/>
      <c r="DS49" s="2"/>
      <c r="DT49" s="2"/>
      <c r="DU49" s="14"/>
      <c r="DV49" s="14"/>
      <c r="DW49" s="14"/>
      <c r="DX49" s="14"/>
      <c r="DY49" s="14"/>
      <c r="DZ49" s="14"/>
      <c r="EA49" s="14"/>
      <c r="EB49" s="14"/>
      <c r="EC49" s="14"/>
      <c r="ED49" s="14"/>
      <c r="EE49" s="14"/>
      <c r="EF49" s="14"/>
      <c r="EG49" s="14"/>
      <c r="EH49" s="14"/>
      <c r="EI49" s="14"/>
      <c r="EJ49" s="14"/>
      <c r="EK49" s="14"/>
      <c r="EL49" s="14"/>
    </row>
    <row r="50" spans="1:142" x14ac:dyDescent="0.25">
      <c r="A50" s="14"/>
      <c r="B50" s="211"/>
      <c r="C50" s="265"/>
      <c r="D50" s="265"/>
      <c r="E50" s="265"/>
      <c r="F50" s="265"/>
      <c r="G50" s="19"/>
      <c r="H50" s="27"/>
      <c r="I50" s="21"/>
      <c r="J50" s="14"/>
      <c r="K50" s="14"/>
      <c r="L50" s="14"/>
      <c r="M50" s="14"/>
      <c r="N50" s="14"/>
      <c r="O50" s="14"/>
      <c r="P50" s="14"/>
      <c r="Q50" s="47"/>
      <c r="R50" s="19"/>
      <c r="S50" s="14"/>
      <c r="T50" s="14"/>
      <c r="U50" s="14"/>
      <c r="V50" s="14"/>
      <c r="W50" s="14"/>
      <c r="X50" s="14"/>
      <c r="Y50" s="14"/>
      <c r="Z50" s="14"/>
      <c r="AA50" s="14"/>
      <c r="AB50" s="14"/>
      <c r="AC50" s="14"/>
      <c r="AD50" s="65"/>
      <c r="AE50" s="63"/>
      <c r="AF50" s="352"/>
      <c r="AG50" s="19"/>
      <c r="AH50" s="14"/>
      <c r="AI50" s="14"/>
      <c r="AJ50" s="14"/>
      <c r="AK50" s="14"/>
      <c r="AL50" s="14"/>
      <c r="AM50" s="14"/>
      <c r="AN50" s="14"/>
      <c r="AO50" s="14"/>
      <c r="AP50" s="14"/>
      <c r="AQ50" s="14"/>
      <c r="AR50" s="14"/>
      <c r="AS50" s="65"/>
      <c r="AT50" s="63"/>
      <c r="AU50" s="352"/>
      <c r="AV50" s="14"/>
      <c r="AW50" s="14"/>
      <c r="AX50" s="14"/>
      <c r="AY50" s="14"/>
      <c r="AZ50" s="14"/>
      <c r="BA50" s="14"/>
      <c r="BB50" s="14"/>
      <c r="BC50" s="14"/>
      <c r="BD50" s="14"/>
      <c r="BE50" s="14"/>
      <c r="BF50" s="14"/>
      <c r="BG50" s="14"/>
      <c r="BH50" s="65"/>
      <c r="BI50" s="63"/>
      <c r="BJ50" s="352"/>
      <c r="BK50" s="19"/>
      <c r="BL50" s="14"/>
      <c r="BM50" s="14"/>
      <c r="BN50" s="14"/>
      <c r="BO50" s="14"/>
      <c r="BP50" s="14"/>
      <c r="BQ50" s="14"/>
      <c r="BR50" s="14"/>
      <c r="BS50" s="14"/>
      <c r="BT50" s="14"/>
      <c r="BU50" s="14"/>
      <c r="BV50" s="14"/>
      <c r="BW50" s="65"/>
      <c r="BX50" s="63"/>
      <c r="BY50" s="352"/>
      <c r="BZ50" s="14"/>
      <c r="CA50" s="210"/>
      <c r="CB50" s="211"/>
      <c r="CC50" s="515"/>
      <c r="CD50" s="515"/>
      <c r="CE50" s="515"/>
      <c r="CF50" s="515"/>
      <c r="CG50" s="515"/>
      <c r="CH50" s="515"/>
      <c r="CI50" s="515"/>
      <c r="CJ50" s="515"/>
      <c r="CK50" s="515"/>
      <c r="CL50" s="515"/>
      <c r="CM50" s="515"/>
      <c r="CN50" s="515"/>
      <c r="CO50" s="515"/>
      <c r="CP50" s="14"/>
      <c r="CQ50" s="47"/>
      <c r="CR50" s="14"/>
      <c r="CS50" s="71"/>
      <c r="CT50" s="71"/>
      <c r="CU50" s="516"/>
      <c r="CV50" s="516"/>
      <c r="CW50" s="516"/>
      <c r="CX50" s="516"/>
      <c r="CY50" s="516"/>
      <c r="CZ50" s="516"/>
      <c r="DA50" s="516"/>
      <c r="DB50" s="516"/>
      <c r="DC50" s="516"/>
      <c r="DD50" s="516"/>
      <c r="DE50" s="516"/>
      <c r="DF50" s="516"/>
      <c r="DG50" s="516"/>
      <c r="DH50" s="14"/>
      <c r="DI50" s="47"/>
      <c r="DJ50" s="14"/>
      <c r="DK50" s="14"/>
      <c r="DL50" s="14"/>
      <c r="DM50" s="14"/>
      <c r="DN50" s="14"/>
      <c r="DO50" s="14"/>
      <c r="DP50" s="14"/>
      <c r="DQ50" s="14"/>
      <c r="DR50" s="2"/>
      <c r="DS50" s="2"/>
      <c r="DT50" s="2"/>
      <c r="DU50" s="14"/>
      <c r="DV50" s="14"/>
      <c r="DW50" s="14"/>
      <c r="DX50" s="14"/>
      <c r="DY50" s="14"/>
      <c r="DZ50" s="14"/>
      <c r="EA50" s="14"/>
      <c r="EB50" s="14"/>
      <c r="EC50" s="14"/>
      <c r="ED50" s="14"/>
      <c r="EE50" s="14"/>
      <c r="EF50" s="14"/>
      <c r="EG50" s="14"/>
      <c r="EH50" s="14"/>
      <c r="EI50" s="14"/>
      <c r="EJ50" s="14"/>
      <c r="EK50" s="14"/>
      <c r="EL50" s="14"/>
    </row>
    <row r="51" spans="1:142" x14ac:dyDescent="0.25">
      <c r="A51" s="14"/>
      <c r="B51" s="14"/>
      <c r="C51" s="14"/>
      <c r="D51" s="21"/>
      <c r="E51" s="14"/>
      <c r="F51" s="19"/>
      <c r="G51" s="19"/>
      <c r="H51" s="27"/>
      <c r="I51" s="21"/>
      <c r="J51" s="14"/>
      <c r="K51" s="14"/>
      <c r="L51" s="14"/>
      <c r="M51" s="14"/>
      <c r="N51" s="14"/>
      <c r="O51" s="14"/>
      <c r="P51" s="14"/>
      <c r="Q51" s="47"/>
      <c r="R51" s="19"/>
      <c r="S51" s="14"/>
      <c r="T51" s="14"/>
      <c r="U51" s="14"/>
      <c r="V51" s="14"/>
      <c r="W51" s="14"/>
      <c r="X51" s="14"/>
      <c r="Y51" s="14"/>
      <c r="Z51" s="14"/>
      <c r="AA51" s="14"/>
      <c r="AB51" s="14"/>
      <c r="AC51" s="14"/>
      <c r="AD51" s="65"/>
      <c r="AE51" s="63"/>
      <c r="AF51" s="352"/>
      <c r="AG51" s="19"/>
      <c r="AH51" s="14"/>
      <c r="AI51" s="14"/>
      <c r="AJ51" s="14"/>
      <c r="AK51" s="14"/>
      <c r="AL51" s="14"/>
      <c r="AM51" s="14"/>
      <c r="AN51" s="14"/>
      <c r="AO51" s="14"/>
      <c r="AP51" s="14"/>
      <c r="AQ51" s="14"/>
      <c r="AR51" s="14"/>
      <c r="AS51" s="65"/>
      <c r="AT51" s="63"/>
      <c r="AU51" s="352"/>
      <c r="AV51" s="14"/>
      <c r="AW51" s="14"/>
      <c r="AX51" s="14"/>
      <c r="AY51" s="14"/>
      <c r="AZ51" s="14"/>
      <c r="BA51" s="14"/>
      <c r="BB51" s="14"/>
      <c r="BC51" s="14"/>
      <c r="BD51" s="14"/>
      <c r="BE51" s="14"/>
      <c r="BF51" s="14"/>
      <c r="BG51" s="14"/>
      <c r="BH51" s="65"/>
      <c r="BI51" s="63"/>
      <c r="BJ51" s="352"/>
      <c r="BK51" s="19"/>
      <c r="BL51" s="14"/>
      <c r="BM51" s="14"/>
      <c r="BN51" s="14"/>
      <c r="BO51" s="14"/>
      <c r="BP51" s="14"/>
      <c r="BQ51" s="14"/>
      <c r="BR51" s="14"/>
      <c r="BS51" s="14"/>
      <c r="BT51" s="14"/>
      <c r="BU51" s="14"/>
      <c r="BV51" s="14"/>
      <c r="BW51" s="65"/>
      <c r="BX51" s="63"/>
      <c r="BY51" s="352"/>
      <c r="BZ51" s="14"/>
      <c r="CA51" s="14"/>
      <c r="CB51" s="21"/>
      <c r="CC51" s="21"/>
      <c r="CD51" s="21"/>
      <c r="CE51" s="21"/>
      <c r="CF51" s="21"/>
      <c r="CG51" s="14"/>
      <c r="CH51" s="71"/>
      <c r="CI51" s="71"/>
      <c r="CJ51" s="71"/>
      <c r="CK51" s="14"/>
      <c r="CL51" s="14"/>
      <c r="CM51" s="14"/>
      <c r="CN51" s="14"/>
      <c r="CO51" s="129"/>
      <c r="CP51" s="14"/>
      <c r="CQ51" s="47"/>
      <c r="CR51" s="14"/>
      <c r="CS51" s="71"/>
      <c r="CT51" s="71"/>
      <c r="CU51" s="71"/>
      <c r="CV51" s="330"/>
      <c r="CW51" s="71"/>
      <c r="CX51" s="71"/>
      <c r="CY51" s="71"/>
      <c r="CZ51" s="71"/>
      <c r="DA51" s="71"/>
      <c r="DB51" s="71"/>
      <c r="DC51" s="71"/>
      <c r="DD51" s="71"/>
      <c r="DE51" s="71"/>
      <c r="DF51" s="71"/>
      <c r="DG51" s="260"/>
      <c r="DH51" s="14"/>
      <c r="DI51" s="47"/>
      <c r="DJ51" s="14"/>
      <c r="DK51" s="14"/>
      <c r="DL51" s="14"/>
      <c r="DM51" s="14"/>
      <c r="DN51" s="14"/>
      <c r="DO51" s="14"/>
      <c r="DP51" s="14"/>
      <c r="DQ51" s="14"/>
      <c r="DR51" s="2"/>
      <c r="DS51" s="2"/>
      <c r="DT51" s="2"/>
      <c r="DU51" s="14"/>
      <c r="DV51" s="14"/>
      <c r="DW51" s="14"/>
      <c r="DX51" s="14"/>
      <c r="DY51" s="14"/>
      <c r="DZ51" s="14"/>
      <c r="EA51" s="14"/>
      <c r="EB51" s="14"/>
      <c r="EC51" s="14"/>
      <c r="ED51" s="14"/>
      <c r="EE51" s="14"/>
      <c r="EF51" s="14"/>
      <c r="EG51" s="14"/>
      <c r="EH51" s="14"/>
      <c r="EI51" s="14"/>
      <c r="EJ51" s="14"/>
      <c r="EK51" s="14"/>
      <c r="EL51" s="14"/>
    </row>
    <row r="52" spans="1:142" s="130" customFormat="1" x14ac:dyDescent="0.25">
      <c r="A52" s="87"/>
      <c r="B52" s="87" t="s">
        <v>756</v>
      </c>
      <c r="C52" s="87"/>
      <c r="D52" s="88"/>
      <c r="E52" s="87"/>
      <c r="F52" s="87"/>
      <c r="G52" s="87"/>
      <c r="H52" s="88"/>
      <c r="I52" s="88"/>
      <c r="J52" s="87"/>
      <c r="K52" s="87"/>
      <c r="L52" s="87"/>
      <c r="M52" s="87"/>
      <c r="N52" s="87"/>
      <c r="O52" s="87"/>
      <c r="P52" s="87"/>
      <c r="Q52" s="93"/>
      <c r="R52" s="196"/>
      <c r="S52" s="87" t="str">
        <f>$B52</f>
        <v>Analysis by stakeholder group</v>
      </c>
      <c r="T52" s="87"/>
      <c r="U52" s="87"/>
      <c r="V52" s="87"/>
      <c r="W52" s="87"/>
      <c r="X52" s="87"/>
      <c r="Y52" s="87"/>
      <c r="Z52" s="87"/>
      <c r="AA52" s="87"/>
      <c r="AB52" s="87"/>
      <c r="AC52" s="87"/>
      <c r="AD52" s="91"/>
      <c r="AE52" s="92"/>
      <c r="AF52" s="351"/>
      <c r="AG52" s="196"/>
      <c r="AH52" s="87" t="str">
        <f>$B52</f>
        <v>Analysis by stakeholder group</v>
      </c>
      <c r="AI52" s="87"/>
      <c r="AJ52" s="87"/>
      <c r="AK52" s="87"/>
      <c r="AL52" s="87"/>
      <c r="AM52" s="87"/>
      <c r="AN52" s="87"/>
      <c r="AO52" s="87"/>
      <c r="AP52" s="87"/>
      <c r="AQ52" s="87"/>
      <c r="AR52" s="87"/>
      <c r="AS52" s="91"/>
      <c r="AT52" s="92"/>
      <c r="AU52" s="351"/>
      <c r="AV52" s="87"/>
      <c r="AW52" s="87" t="str">
        <f>$B52</f>
        <v>Analysis by stakeholder group</v>
      </c>
      <c r="AX52" s="87"/>
      <c r="AY52" s="87"/>
      <c r="AZ52" s="87"/>
      <c r="BA52" s="87"/>
      <c r="BB52" s="87"/>
      <c r="BC52" s="87"/>
      <c r="BD52" s="87"/>
      <c r="BE52" s="87"/>
      <c r="BF52" s="87"/>
      <c r="BG52" s="87"/>
      <c r="BH52" s="91"/>
      <c r="BI52" s="92"/>
      <c r="BJ52" s="351"/>
      <c r="BK52" s="196"/>
      <c r="BL52" s="87" t="str">
        <f>$B52</f>
        <v>Analysis by stakeholder group</v>
      </c>
      <c r="BM52" s="87"/>
      <c r="BN52" s="87"/>
      <c r="BO52" s="87"/>
      <c r="BP52" s="87"/>
      <c r="BQ52" s="87"/>
      <c r="BR52" s="87"/>
      <c r="BS52" s="87"/>
      <c r="BT52" s="87"/>
      <c r="BU52" s="87"/>
      <c r="BV52" s="87"/>
      <c r="BW52" s="91"/>
      <c r="BX52" s="92"/>
      <c r="BY52" s="351"/>
      <c r="BZ52" s="87"/>
      <c r="CA52" s="87" t="str">
        <f>$B52</f>
        <v>Analysis by stakeholder group</v>
      </c>
      <c r="CB52" s="88"/>
      <c r="CC52" s="88"/>
      <c r="CD52" s="88"/>
      <c r="CE52" s="88"/>
      <c r="CF52" s="88"/>
      <c r="CG52" s="87"/>
      <c r="CH52" s="87"/>
      <c r="CI52" s="87"/>
      <c r="CJ52" s="87"/>
      <c r="CK52" s="87"/>
      <c r="CL52" s="87"/>
      <c r="CM52" s="87"/>
      <c r="CN52" s="87"/>
      <c r="CO52" s="87"/>
      <c r="CP52" s="87"/>
      <c r="CQ52" s="93"/>
      <c r="CR52" s="87"/>
      <c r="CS52" s="87" t="str">
        <f>$B52</f>
        <v>Analysis by stakeholder group</v>
      </c>
      <c r="CT52" s="87"/>
      <c r="CU52" s="87"/>
      <c r="CV52" s="88"/>
      <c r="CW52" s="87"/>
      <c r="CX52" s="87"/>
      <c r="CY52" s="87"/>
      <c r="CZ52" s="87"/>
      <c r="DA52" s="87"/>
      <c r="DB52" s="87"/>
      <c r="DC52" s="87"/>
      <c r="DD52" s="87"/>
      <c r="DE52" s="87"/>
      <c r="DF52" s="87"/>
      <c r="DG52" s="87"/>
      <c r="DH52" s="87"/>
      <c r="DI52" s="93"/>
      <c r="DJ52" s="87"/>
      <c r="DK52" s="87" t="str">
        <f>$B52</f>
        <v>Analysis by stakeholder group</v>
      </c>
      <c r="DL52" s="87"/>
      <c r="DM52" s="87"/>
      <c r="DN52" s="87"/>
      <c r="DO52" s="87"/>
      <c r="DP52" s="87"/>
      <c r="DQ52" s="87"/>
      <c r="DR52" s="87"/>
      <c r="DS52" s="87"/>
      <c r="DT52" s="87"/>
      <c r="DU52" s="87"/>
      <c r="DV52" s="87"/>
      <c r="DW52" s="87"/>
      <c r="DX52" s="87"/>
      <c r="DY52" s="87"/>
      <c r="DZ52" s="87"/>
      <c r="EA52" s="87"/>
      <c r="EB52" s="87"/>
      <c r="EC52" s="87"/>
      <c r="ED52" s="87"/>
      <c r="EE52" s="87"/>
      <c r="EF52" s="87"/>
      <c r="EG52" s="87"/>
      <c r="EH52" s="87"/>
      <c r="EI52" s="87"/>
      <c r="EJ52" s="87"/>
      <c r="EK52" s="87"/>
      <c r="EL52" s="87"/>
    </row>
    <row r="53" spans="1:142" x14ac:dyDescent="0.25">
      <c r="A53" s="14"/>
      <c r="B53" s="211"/>
      <c r="C53" s="345"/>
      <c r="D53" s="345"/>
      <c r="E53" s="345"/>
      <c r="F53" s="345"/>
      <c r="G53" s="19"/>
      <c r="H53" s="27"/>
      <c r="I53" s="21"/>
      <c r="J53" s="14"/>
      <c r="K53" s="14"/>
      <c r="L53" s="14"/>
      <c r="M53" s="14"/>
      <c r="N53" s="14"/>
      <c r="O53" s="14"/>
      <c r="P53" s="14"/>
      <c r="Q53" s="47"/>
      <c r="R53" s="19"/>
      <c r="S53" s="14"/>
      <c r="T53" s="14"/>
      <c r="U53" s="14"/>
      <c r="V53" s="14"/>
      <c r="W53" s="14"/>
      <c r="X53" s="14"/>
      <c r="Y53" s="14"/>
      <c r="Z53" s="14"/>
      <c r="AA53" s="14"/>
      <c r="AB53" s="14"/>
      <c r="AC53" s="14"/>
      <c r="AD53" s="65"/>
      <c r="AE53" s="63"/>
      <c r="AF53" s="352"/>
      <c r="AG53" s="19"/>
      <c r="AH53" s="14"/>
      <c r="AI53" s="14"/>
      <c r="AJ53" s="14"/>
      <c r="AK53" s="14"/>
      <c r="AL53" s="14"/>
      <c r="AM53" s="14"/>
      <c r="AN53" s="14"/>
      <c r="AO53" s="14"/>
      <c r="AP53" s="14"/>
      <c r="AQ53" s="14"/>
      <c r="AR53" s="14"/>
      <c r="AS53" s="65"/>
      <c r="AT53" s="63"/>
      <c r="AU53" s="352"/>
      <c r="AV53" s="14"/>
      <c r="AW53" s="14"/>
      <c r="AX53" s="14"/>
      <c r="AY53" s="14"/>
      <c r="AZ53" s="14"/>
      <c r="BA53" s="14"/>
      <c r="BB53" s="14"/>
      <c r="BC53" s="14"/>
      <c r="BD53" s="14"/>
      <c r="BE53" s="14"/>
      <c r="BF53" s="14"/>
      <c r="BG53" s="14"/>
      <c r="BH53" s="65"/>
      <c r="BI53" s="63"/>
      <c r="BJ53" s="352"/>
      <c r="BK53" s="19"/>
      <c r="BL53" s="14"/>
      <c r="BM53" s="14"/>
      <c r="BN53" s="14"/>
      <c r="BO53" s="14"/>
      <c r="BP53" s="14"/>
      <c r="BQ53" s="14"/>
      <c r="BR53" s="14"/>
      <c r="BS53" s="14"/>
      <c r="BT53" s="14"/>
      <c r="BU53" s="14"/>
      <c r="BV53" s="14"/>
      <c r="BW53" s="65"/>
      <c r="BX53" s="63"/>
      <c r="BY53" s="352"/>
      <c r="BZ53" s="14"/>
      <c r="CA53" s="345"/>
      <c r="CB53" s="211"/>
      <c r="CC53" s="345"/>
      <c r="CD53" s="345"/>
      <c r="CE53" s="345"/>
      <c r="CF53" s="345"/>
      <c r="CG53" s="345"/>
      <c r="CH53" s="345"/>
      <c r="CI53" s="345"/>
      <c r="CJ53" s="345"/>
      <c r="CK53" s="345"/>
      <c r="CL53" s="345"/>
      <c r="CM53" s="345"/>
      <c r="CN53" s="345"/>
      <c r="CO53" s="345"/>
      <c r="CP53" s="14"/>
      <c r="CQ53" s="47"/>
      <c r="CR53" s="14"/>
      <c r="CS53" s="71"/>
      <c r="CT53" s="71"/>
      <c r="CU53" s="346"/>
      <c r="CV53" s="346"/>
      <c r="CW53" s="346"/>
      <c r="CX53" s="346"/>
      <c r="CY53" s="346"/>
      <c r="CZ53" s="346"/>
      <c r="DA53" s="346"/>
      <c r="DB53" s="346"/>
      <c r="DC53" s="346"/>
      <c r="DD53" s="346"/>
      <c r="DE53" s="346"/>
      <c r="DF53" s="346"/>
      <c r="DG53" s="346"/>
      <c r="DH53" s="14"/>
      <c r="DI53" s="47"/>
      <c r="DJ53" s="14"/>
      <c r="DK53" s="14"/>
      <c r="DL53" s="14"/>
      <c r="DM53" s="14"/>
      <c r="DN53" s="14"/>
      <c r="DO53" s="14"/>
      <c r="DP53" s="14"/>
      <c r="DQ53" s="14"/>
      <c r="DR53" s="2"/>
      <c r="DS53" s="2"/>
      <c r="DT53" s="2"/>
      <c r="DU53" s="14"/>
      <c r="DV53" s="14"/>
      <c r="DW53" s="14"/>
      <c r="DX53" s="14"/>
      <c r="DY53" s="14"/>
      <c r="DZ53" s="14"/>
      <c r="EA53" s="14"/>
      <c r="EB53" s="14"/>
      <c r="EC53" s="14"/>
      <c r="ED53" s="14"/>
      <c r="EE53" s="14"/>
      <c r="EF53" s="14"/>
      <c r="EG53" s="14"/>
      <c r="EH53" s="14"/>
      <c r="EI53" s="14"/>
      <c r="EJ53" s="14"/>
      <c r="EK53" s="14"/>
      <c r="EL53" s="14"/>
    </row>
    <row r="54" spans="1:142" s="131" customFormat="1" x14ac:dyDescent="0.25">
      <c r="A54" s="78"/>
      <c r="B54" s="78" t="s">
        <v>2</v>
      </c>
      <c r="C54" s="78" t="s">
        <v>123</v>
      </c>
      <c r="D54" s="79"/>
      <c r="E54" s="78"/>
      <c r="F54" s="78"/>
      <c r="G54" s="78"/>
      <c r="H54" s="79"/>
      <c r="I54" s="79"/>
      <c r="J54" s="78"/>
      <c r="K54" s="78"/>
      <c r="L54" s="78"/>
      <c r="M54" s="78"/>
      <c r="N54" s="78"/>
      <c r="O54" s="78"/>
      <c r="P54" s="78"/>
      <c r="Q54" s="82"/>
      <c r="R54" s="83"/>
      <c r="S54" s="78" t="str">
        <f>$B54</f>
        <v>Forest owners/managers</v>
      </c>
      <c r="T54" s="78"/>
      <c r="U54" s="78"/>
      <c r="V54" s="78"/>
      <c r="W54" s="78"/>
      <c r="X54" s="78"/>
      <c r="Y54" s="78"/>
      <c r="Z54" s="78"/>
      <c r="AA54" s="78"/>
      <c r="AB54" s="78"/>
      <c r="AC54" s="78"/>
      <c r="AD54" s="80"/>
      <c r="AE54" s="81"/>
      <c r="AF54" s="373"/>
      <c r="AG54" s="83"/>
      <c r="AH54" s="78" t="str">
        <f>$B54</f>
        <v>Forest owners/managers</v>
      </c>
      <c r="AI54" s="78"/>
      <c r="AJ54" s="78"/>
      <c r="AK54" s="78"/>
      <c r="AL54" s="78"/>
      <c r="AM54" s="78"/>
      <c r="AN54" s="78"/>
      <c r="AO54" s="78"/>
      <c r="AP54" s="78"/>
      <c r="AQ54" s="78"/>
      <c r="AR54" s="78"/>
      <c r="AS54" s="80"/>
      <c r="AT54" s="81"/>
      <c r="AU54" s="373"/>
      <c r="AV54" s="78"/>
      <c r="AW54" s="78" t="str">
        <f>$B54</f>
        <v>Forest owners/managers</v>
      </c>
      <c r="AX54" s="78"/>
      <c r="AY54" s="78"/>
      <c r="AZ54" s="78"/>
      <c r="BA54" s="78"/>
      <c r="BB54" s="78"/>
      <c r="BC54" s="78"/>
      <c r="BD54" s="78"/>
      <c r="BE54" s="78"/>
      <c r="BF54" s="78"/>
      <c r="BG54" s="78"/>
      <c r="BH54" s="80"/>
      <c r="BI54" s="81"/>
      <c r="BJ54" s="373"/>
      <c r="BK54" s="83"/>
      <c r="BL54" s="78" t="str">
        <f>$B54</f>
        <v>Forest owners/managers</v>
      </c>
      <c r="BM54" s="78"/>
      <c r="BN54" s="78"/>
      <c r="BO54" s="78"/>
      <c r="BP54" s="78"/>
      <c r="BQ54" s="78"/>
      <c r="BR54" s="78"/>
      <c r="BS54" s="78"/>
      <c r="BT54" s="78"/>
      <c r="BU54" s="78"/>
      <c r="BV54" s="78"/>
      <c r="BW54" s="80"/>
      <c r="BX54" s="81"/>
      <c r="BY54" s="373"/>
      <c r="BZ54" s="78"/>
      <c r="CA54" s="78" t="str">
        <f>$B54</f>
        <v>Forest owners/managers</v>
      </c>
      <c r="CB54" s="79"/>
      <c r="CC54" s="79"/>
      <c r="CD54" s="79"/>
      <c r="CE54" s="79"/>
      <c r="CF54" s="79"/>
      <c r="CG54" s="78"/>
      <c r="CH54" s="78"/>
      <c r="CI54" s="78"/>
      <c r="CJ54" s="78"/>
      <c r="CK54" s="78"/>
      <c r="CL54" s="78"/>
      <c r="CM54" s="78"/>
      <c r="CN54" s="78"/>
      <c r="CO54" s="78"/>
      <c r="CP54" s="78"/>
      <c r="CQ54" s="82"/>
      <c r="CR54" s="78"/>
      <c r="CS54" s="78" t="str">
        <f>$B54</f>
        <v>Forest owners/managers</v>
      </c>
      <c r="CT54" s="78"/>
      <c r="CU54" s="78"/>
      <c r="CV54" s="79"/>
      <c r="CW54" s="78"/>
      <c r="CX54" s="78"/>
      <c r="CY54" s="78"/>
      <c r="CZ54" s="78"/>
      <c r="DA54" s="78"/>
      <c r="DB54" s="78"/>
      <c r="DC54" s="78"/>
      <c r="DD54" s="78"/>
      <c r="DE54" s="78"/>
      <c r="DF54" s="78"/>
      <c r="DG54" s="78"/>
      <c r="DH54" s="78"/>
      <c r="DI54" s="82"/>
      <c r="DJ54" s="78"/>
      <c r="DK54" s="78" t="str">
        <f>$B54</f>
        <v>Forest owners/managers</v>
      </c>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row>
    <row r="55" spans="1:142" x14ac:dyDescent="0.25">
      <c r="A55" s="14"/>
      <c r="B55" s="84" t="s">
        <v>301</v>
      </c>
      <c r="C55" s="84"/>
      <c r="D55" s="85"/>
      <c r="E55" s="84"/>
      <c r="F55" s="14"/>
      <c r="G55" s="14"/>
      <c r="H55" s="21"/>
      <c r="I55" s="21"/>
      <c r="J55" s="14"/>
      <c r="K55" s="14"/>
      <c r="L55" s="14"/>
      <c r="M55" s="14"/>
      <c r="N55" s="14"/>
      <c r="O55" s="14"/>
      <c r="P55" s="14"/>
      <c r="Q55" s="47"/>
      <c r="R55" s="19"/>
      <c r="S55" s="84" t="s">
        <v>322</v>
      </c>
      <c r="T55" s="84"/>
      <c r="U55" s="85"/>
      <c r="V55" s="84"/>
      <c r="W55" s="14"/>
      <c r="X55" s="14"/>
      <c r="Y55" s="14"/>
      <c r="Z55" s="14"/>
      <c r="AA55" s="14"/>
      <c r="AB55" s="14"/>
      <c r="AC55" s="14"/>
      <c r="AD55" s="65"/>
      <c r="AE55" s="63"/>
      <c r="AF55" s="352"/>
      <c r="AG55" s="19"/>
      <c r="AH55" s="84" t="s">
        <v>328</v>
      </c>
      <c r="AI55" s="84"/>
      <c r="AJ55" s="85"/>
      <c r="AK55" s="84"/>
      <c r="AL55" s="84"/>
      <c r="AM55" s="14"/>
      <c r="AN55" s="14"/>
      <c r="AO55" s="14"/>
      <c r="AP55" s="14"/>
      <c r="AQ55" s="14"/>
      <c r="AR55" s="14"/>
      <c r="AS55" s="65"/>
      <c r="AT55" s="63"/>
      <c r="AU55" s="352"/>
      <c r="AV55" s="14"/>
      <c r="AW55" s="84" t="s">
        <v>347</v>
      </c>
      <c r="AX55" s="84"/>
      <c r="AY55" s="85"/>
      <c r="AZ55" s="84"/>
      <c r="BA55" s="84"/>
      <c r="BB55" s="14"/>
      <c r="BC55" s="14"/>
      <c r="BD55" s="14"/>
      <c r="BE55" s="14"/>
      <c r="BF55" s="14"/>
      <c r="BG55" s="14"/>
      <c r="BH55" s="65"/>
      <c r="BI55" s="63"/>
      <c r="BJ55" s="352"/>
      <c r="BK55" s="19"/>
      <c r="BL55" s="84" t="s">
        <v>348</v>
      </c>
      <c r="BM55" s="84"/>
      <c r="BN55" s="85"/>
      <c r="BO55" s="84"/>
      <c r="BP55" s="84"/>
      <c r="BQ55" s="14"/>
      <c r="BR55" s="14"/>
      <c r="BS55" s="14"/>
      <c r="BT55" s="14"/>
      <c r="BU55" s="14"/>
      <c r="BV55" s="14"/>
      <c r="BW55" s="65"/>
      <c r="BX55" s="63"/>
      <c r="BY55" s="352"/>
      <c r="BZ55" s="14"/>
      <c r="CA55" s="148" t="s">
        <v>303</v>
      </c>
      <c r="CB55" s="85"/>
      <c r="CC55" s="85"/>
      <c r="CD55" s="147"/>
      <c r="CE55" s="147"/>
      <c r="CF55" s="147"/>
      <c r="CG55" s="14"/>
      <c r="CH55" s="14"/>
      <c r="CI55" s="14"/>
      <c r="CJ55" s="14"/>
      <c r="CK55" s="14"/>
      <c r="CL55" s="14"/>
      <c r="CM55" s="14"/>
      <c r="CN55" s="14"/>
      <c r="CO55" s="129"/>
      <c r="CP55" s="14"/>
      <c r="CQ55" s="47"/>
      <c r="CR55" s="14"/>
      <c r="CS55" s="148" t="s">
        <v>304</v>
      </c>
      <c r="CT55" s="84"/>
      <c r="CU55" s="85"/>
      <c r="CV55" s="85"/>
      <c r="CW55" s="150"/>
      <c r="CX55" s="150"/>
      <c r="CY55" s="14"/>
      <c r="CZ55" s="14"/>
      <c r="DA55" s="14"/>
      <c r="DB55" s="14"/>
      <c r="DC55" s="14"/>
      <c r="DD55" s="14"/>
      <c r="DE55" s="14"/>
      <c r="DF55" s="14"/>
      <c r="DG55" s="129"/>
      <c r="DH55" s="14"/>
      <c r="DI55" s="47"/>
      <c r="DJ55" s="14"/>
      <c r="DK55" s="84" t="s">
        <v>305</v>
      </c>
      <c r="DL55" s="84"/>
      <c r="DM55" s="85"/>
      <c r="DN55" s="8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row>
    <row r="56" spans="1:142" x14ac:dyDescent="0.25">
      <c r="A56" s="14"/>
      <c r="B56" s="14"/>
      <c r="C56" s="14"/>
      <c r="D56" s="14"/>
      <c r="E56" s="14"/>
      <c r="F56" s="14"/>
      <c r="G56" s="14"/>
      <c r="H56" s="21"/>
      <c r="I56" s="21"/>
      <c r="J56" s="14"/>
      <c r="K56" s="14"/>
      <c r="L56" s="14"/>
      <c r="M56" s="14"/>
      <c r="N56" s="14"/>
      <c r="O56" s="14"/>
      <c r="P56" s="14"/>
      <c r="Q56" s="47"/>
      <c r="R56" s="19"/>
      <c r="S56" s="14"/>
      <c r="T56" s="14"/>
      <c r="U56" s="15"/>
      <c r="V56" s="14"/>
      <c r="W56" s="14"/>
      <c r="X56" s="14"/>
      <c r="Y56" s="14"/>
      <c r="Z56" s="14"/>
      <c r="AA56" s="14"/>
      <c r="AB56" s="14"/>
      <c r="AC56" s="14"/>
      <c r="AD56" s="65"/>
      <c r="AE56" s="63"/>
      <c r="AF56" s="352"/>
      <c r="AG56" s="19"/>
      <c r="AH56" s="14"/>
      <c r="AI56" s="14"/>
      <c r="AJ56" s="15"/>
      <c r="AK56" s="14"/>
      <c r="AL56" s="14"/>
      <c r="AM56" s="14"/>
      <c r="AN56" s="14"/>
      <c r="AO56" s="14"/>
      <c r="AP56" s="14"/>
      <c r="AQ56" s="14"/>
      <c r="AR56" s="14"/>
      <c r="AS56" s="65"/>
      <c r="AT56" s="63"/>
      <c r="AU56" s="352"/>
      <c r="AV56" s="14"/>
      <c r="AW56" s="14"/>
      <c r="AX56" s="14"/>
      <c r="AY56" s="15"/>
      <c r="AZ56" s="14"/>
      <c r="BA56" s="14"/>
      <c r="BB56" s="14"/>
      <c r="BC56" s="14"/>
      <c r="BD56" s="14"/>
      <c r="BE56" s="14"/>
      <c r="BF56" s="14"/>
      <c r="BG56" s="14"/>
      <c r="BH56" s="65"/>
      <c r="BI56" s="63"/>
      <c r="BJ56" s="352"/>
      <c r="BK56" s="19"/>
      <c r="BL56" s="14"/>
      <c r="BM56" s="14"/>
      <c r="BN56" s="15"/>
      <c r="BO56" s="14"/>
      <c r="BP56" s="14"/>
      <c r="BQ56" s="14"/>
      <c r="BR56" s="14"/>
      <c r="BS56" s="14"/>
      <c r="BT56" s="14"/>
      <c r="BU56" s="14"/>
      <c r="BV56" s="14"/>
      <c r="BW56" s="65"/>
      <c r="BX56" s="63"/>
      <c r="BY56" s="352"/>
      <c r="BZ56" s="14"/>
      <c r="CA56" s="14"/>
      <c r="CB56" s="21"/>
      <c r="CC56" s="21"/>
      <c r="CD56" s="21"/>
      <c r="CE56" s="21"/>
      <c r="CF56" s="21"/>
      <c r="CG56" s="17"/>
      <c r="CH56" s="14"/>
      <c r="CI56" s="14"/>
      <c r="CJ56" s="14"/>
      <c r="CK56" s="14"/>
      <c r="CL56" s="14"/>
      <c r="CM56" s="14"/>
      <c r="CN56" s="14"/>
      <c r="CO56" s="129"/>
      <c r="CP56" s="14"/>
      <c r="CQ56" s="47"/>
      <c r="CR56" s="14"/>
      <c r="CS56" s="14"/>
      <c r="CT56" s="14"/>
      <c r="CU56" s="14"/>
      <c r="CV56" s="21"/>
      <c r="CW56" s="14"/>
      <c r="CX56" s="14"/>
      <c r="CY56" s="14"/>
      <c r="CZ56" s="14"/>
      <c r="DA56" s="14"/>
      <c r="DB56" s="14"/>
      <c r="DC56" s="14"/>
      <c r="DD56" s="14"/>
      <c r="DE56" s="14"/>
      <c r="DF56" s="14"/>
      <c r="DG56" s="129"/>
      <c r="DH56" s="14"/>
      <c r="DI56" s="47"/>
      <c r="DJ56" s="14"/>
      <c r="DK56" s="14"/>
      <c r="DL56" s="14"/>
      <c r="DM56" s="15"/>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row>
    <row r="57" spans="1:142" ht="27.6" x14ac:dyDescent="0.25">
      <c r="A57" s="14"/>
      <c r="B57" s="112" t="s">
        <v>23</v>
      </c>
      <c r="C57" s="113" t="s">
        <v>24</v>
      </c>
      <c r="D57" s="113" t="s">
        <v>145</v>
      </c>
      <c r="E57" s="113" t="s">
        <v>300</v>
      </c>
      <c r="F57" s="14"/>
      <c r="G57" s="14"/>
      <c r="H57" s="27"/>
      <c r="I57" s="21"/>
      <c r="J57" s="14"/>
      <c r="K57" s="14"/>
      <c r="L57" s="51"/>
      <c r="M57" s="51"/>
      <c r="N57" s="51"/>
      <c r="O57" s="51"/>
      <c r="P57" s="51"/>
      <c r="Q57" s="47"/>
      <c r="R57" s="19"/>
      <c r="S57" s="112" t="s">
        <v>23</v>
      </c>
      <c r="T57" s="113" t="s">
        <v>24</v>
      </c>
      <c r="U57" s="113" t="s">
        <v>145</v>
      </c>
      <c r="V57" s="113" t="s">
        <v>300</v>
      </c>
      <c r="W57" s="14"/>
      <c r="X57" s="14"/>
      <c r="Y57" s="14"/>
      <c r="Z57" s="14"/>
      <c r="AA57" s="14"/>
      <c r="AB57" s="14"/>
      <c r="AC57" s="14"/>
      <c r="AD57" s="65"/>
      <c r="AE57" s="63"/>
      <c r="AF57" s="352"/>
      <c r="AG57" s="19"/>
      <c r="AH57" s="112" t="s">
        <v>23</v>
      </c>
      <c r="AI57" s="113" t="s">
        <v>24</v>
      </c>
      <c r="AJ57" s="113" t="s">
        <v>145</v>
      </c>
      <c r="AK57" s="113" t="s">
        <v>300</v>
      </c>
      <c r="AL57" s="14"/>
      <c r="AM57" s="14"/>
      <c r="AN57" s="14"/>
      <c r="AO57" s="14"/>
      <c r="AP57" s="14"/>
      <c r="AQ57" s="14"/>
      <c r="AR57" s="14"/>
      <c r="AS57" s="65"/>
      <c r="AT57" s="63"/>
      <c r="AU57" s="352"/>
      <c r="AV57" s="19"/>
      <c r="AW57" s="112" t="s">
        <v>23</v>
      </c>
      <c r="AX57" s="113" t="s">
        <v>24</v>
      </c>
      <c r="AY57" s="113" t="s">
        <v>145</v>
      </c>
      <c r="AZ57" s="113" t="s">
        <v>300</v>
      </c>
      <c r="BA57" s="14"/>
      <c r="BB57" s="14"/>
      <c r="BC57" s="14"/>
      <c r="BD57" s="14"/>
      <c r="BE57" s="14"/>
      <c r="BF57" s="14"/>
      <c r="BG57" s="14"/>
      <c r="BH57" s="65"/>
      <c r="BI57" s="63"/>
      <c r="BJ57" s="352"/>
      <c r="BK57" s="19"/>
      <c r="BL57" s="112" t="s">
        <v>23</v>
      </c>
      <c r="BM57" s="113" t="s">
        <v>24</v>
      </c>
      <c r="BN57" s="113" t="s">
        <v>145</v>
      </c>
      <c r="BO57" s="113" t="s">
        <v>300</v>
      </c>
      <c r="BP57" s="14"/>
      <c r="BQ57" s="14"/>
      <c r="BR57" s="14"/>
      <c r="BS57" s="14"/>
      <c r="BT57" s="14"/>
      <c r="BU57" s="14"/>
      <c r="BV57" s="14"/>
      <c r="BW57" s="65"/>
      <c r="BX57" s="63"/>
      <c r="BY57" s="352"/>
      <c r="BZ57" s="14"/>
      <c r="CA57" s="112" t="s">
        <v>23</v>
      </c>
      <c r="CB57" s="113" t="s">
        <v>145</v>
      </c>
      <c r="CC57" s="58"/>
      <c r="CD57" s="58"/>
      <c r="CE57" s="21"/>
      <c r="CF57" s="21"/>
      <c r="CG57" s="14"/>
      <c r="CH57" s="14"/>
      <c r="CI57" s="14"/>
      <c r="CJ57" s="14"/>
      <c r="CK57" s="14"/>
      <c r="CL57" s="14"/>
      <c r="CM57" s="14"/>
      <c r="CN57" s="14"/>
      <c r="CO57" s="129"/>
      <c r="CP57" s="20"/>
      <c r="CQ57" s="47"/>
      <c r="CR57" s="14"/>
      <c r="CS57" s="112" t="s">
        <v>23</v>
      </c>
      <c r="CT57" s="113" t="s">
        <v>145</v>
      </c>
      <c r="CU57" s="14"/>
      <c r="CV57" s="21"/>
      <c r="CW57" s="14"/>
      <c r="CX57" s="14"/>
      <c r="CY57" s="14"/>
      <c r="CZ57" s="14"/>
      <c r="DA57" s="14"/>
      <c r="DB57" s="14"/>
      <c r="DC57" s="14"/>
      <c r="DD57" s="14"/>
      <c r="DE57" s="14"/>
      <c r="DF57" s="14"/>
      <c r="DG57" s="129"/>
      <c r="DH57" s="17"/>
      <c r="DI57" s="47"/>
      <c r="DJ57" s="17"/>
      <c r="DK57" s="112" t="s">
        <v>23</v>
      </c>
      <c r="DL57" s="113" t="s">
        <v>24</v>
      </c>
      <c r="DM57" s="113" t="s">
        <v>145</v>
      </c>
      <c r="DN57" s="113" t="s">
        <v>300</v>
      </c>
      <c r="DO57" s="14"/>
      <c r="DP57" s="14"/>
      <c r="DQ57" s="14"/>
      <c r="DR57" s="14"/>
      <c r="DS57" s="14"/>
      <c r="DT57" s="14"/>
      <c r="DU57" s="51"/>
      <c r="DV57" s="14"/>
      <c r="DW57" s="14"/>
      <c r="DX57" s="14"/>
      <c r="DY57" s="14"/>
      <c r="DZ57" s="14"/>
      <c r="EA57" s="14"/>
      <c r="EB57" s="14"/>
      <c r="EC57" s="14"/>
      <c r="ED57" s="14"/>
      <c r="EE57" s="14"/>
      <c r="EF57" s="14"/>
      <c r="EG57" s="14"/>
      <c r="EH57" s="14"/>
      <c r="EI57" s="14"/>
      <c r="EJ57" s="14"/>
      <c r="EK57" s="14"/>
      <c r="EL57" s="14"/>
    </row>
    <row r="58" spans="1:142" x14ac:dyDescent="0.25">
      <c r="A58" s="14"/>
      <c r="B58" s="57" t="s">
        <v>2</v>
      </c>
      <c r="C58" s="121" t="str">
        <f>IF(H77=0,"na",IF(COUNTIF(H72:H76,MAX(H72:H76))&gt;COUNTIF(G72:G76,"&lt;&gt;""")/2,"No clear choice of the most common response",INDEX(G72:G76,MATCH(MAX(H72:H76),H72:H76,0),1)))</f>
        <v>I don’t know</v>
      </c>
      <c r="D58" s="58">
        <f>COUNTIFS(S30_stakeholder_category,"FO",Response_Q173_1,"&lt;&gt;0")</f>
        <v>5</v>
      </c>
      <c r="E58" s="121">
        <f>COUNTIFS(S30_stakeholder_category,"FO",Response_Q173_1,"I don’t know")</f>
        <v>2</v>
      </c>
      <c r="F58" s="14"/>
      <c r="G58" s="14"/>
      <c r="H58" s="27"/>
      <c r="I58" s="21"/>
      <c r="J58" s="14"/>
      <c r="K58" s="14"/>
      <c r="L58" s="19"/>
      <c r="M58" s="19"/>
      <c r="N58" s="19"/>
      <c r="O58" s="19"/>
      <c r="P58" s="19"/>
      <c r="Q58" s="47"/>
      <c r="R58" s="19"/>
      <c r="S58" s="34" t="s">
        <v>2</v>
      </c>
      <c r="T58" s="37" t="str">
        <f>IF(Y79=0,"na",IF(COUNTIF(Y72:Y78,MAX(Y72:Y78))&gt;COUNTIF(X72:X78,"&lt;&gt;""")/2,"No clear choice of the most common response",INDEX(X72:X78,MATCH(MAX(Y72:Y78),Y72:Y78,0),1)))</f>
        <v>Very unlikely</v>
      </c>
      <c r="U58" s="33">
        <f>COUNTIFS(S30_stakeholder_category,"FO",Response_Q176_1,"&lt;&gt;0")</f>
        <v>5</v>
      </c>
      <c r="V58" s="37">
        <f>COUNTIFS(S30_stakeholder_category,"FO",Response_Q176_1,"I don’t know")</f>
        <v>2</v>
      </c>
      <c r="W58" s="14"/>
      <c r="X58" s="14"/>
      <c r="Y58" s="14"/>
      <c r="Z58" s="14"/>
      <c r="AA58" s="14"/>
      <c r="AB58" s="14"/>
      <c r="AC58" s="14"/>
      <c r="AD58" s="65"/>
      <c r="AE58" s="63"/>
      <c r="AF58" s="352"/>
      <c r="AG58" s="19"/>
      <c r="AH58" s="57" t="s">
        <v>2</v>
      </c>
      <c r="AI58" s="121" t="str">
        <f>IF(AN79=0,"na",IF(COUNTIF(AN72:AN78,MAX(AN72:AN78))&gt;COUNTIF(AM72:AM78,"&lt;&gt;""")/2,"No clear choice of the most common response",INDEX(AM72:AM78,MATCH(MAX(AN72:AN78),AN72:AN78,0),1)))</f>
        <v>Very unlikely</v>
      </c>
      <c r="AJ58" s="58">
        <f>COUNTIFS(S30_stakeholder_category,"FO",Response_30a_CaseA,"&lt;&gt;0")</f>
        <v>4</v>
      </c>
      <c r="AK58" s="121">
        <f>COUNTIFS(S30_stakeholder_category,"FO",Response_30a_CaseA,"I don’t know")</f>
        <v>0</v>
      </c>
      <c r="AL58" s="14"/>
      <c r="AM58" s="14"/>
      <c r="AN58" s="14"/>
      <c r="AO58" s="14"/>
      <c r="AP58" s="14"/>
      <c r="AQ58" s="14"/>
      <c r="AR58" s="14"/>
      <c r="AS58" s="65"/>
      <c r="AT58" s="63"/>
      <c r="AU58" s="352"/>
      <c r="AV58" s="19"/>
      <c r="AW58" s="57" t="s">
        <v>2</v>
      </c>
      <c r="AX58" s="121" t="str">
        <f>IF(BC79=0,"na",IF(COUNTIF(BC72:BC78,MAX(BC72:BC78))&gt;COUNTIF(BB72:BB78,"&lt;&gt;""")/2,"No clear choice of the most common response",INDEX(BB72:BB78,MATCH(MAX(BC72:BC78),BC72:BC78,0),1)))</f>
        <v>Very unlikely</v>
      </c>
      <c r="AY58" s="58">
        <f>COUNTIFS(S30_stakeholder_category,"FO",Response_30a_CaseB,"&lt;&gt;0")</f>
        <v>4</v>
      </c>
      <c r="AZ58" s="121">
        <f>COUNTIFS(S30_stakeholder_category,"FO",Response_30a_CaseB,"I don’t know")</f>
        <v>0</v>
      </c>
      <c r="BA58" s="14"/>
      <c r="BB58" s="14"/>
      <c r="BC58" s="14"/>
      <c r="BD58" s="14"/>
      <c r="BE58" s="14"/>
      <c r="BF58" s="14"/>
      <c r="BG58" s="14"/>
      <c r="BH58" s="65"/>
      <c r="BI58" s="63"/>
      <c r="BJ58" s="352"/>
      <c r="BK58" s="19"/>
      <c r="BL58" s="57" t="s">
        <v>2</v>
      </c>
      <c r="BM58" s="121" t="str">
        <f>IF(BR79=0,"na",IF(COUNTIF(BR72:BR78,MAX(BR72:BR78))&gt;COUNTIF(BQ72:BQ78,"&lt;&gt;""")/2,"No clear choice of the most common response",INDEX(BQ72:BQ78,MATCH(MAX(BR72:BR78),BR72:BR78,0),1)))</f>
        <v>Very unlikely</v>
      </c>
      <c r="BN58" s="58">
        <f>COUNTIFS(S30_stakeholder_category,"FO",Response_30a_CaseC,"&lt;&gt;0")</f>
        <v>4</v>
      </c>
      <c r="BO58" s="121">
        <f>COUNTIFS(S30_stakeholder_category,"FO",Response_30a_CaseC,"I don’t know")</f>
        <v>0</v>
      </c>
      <c r="BP58" s="14"/>
      <c r="BQ58" s="14"/>
      <c r="BR58" s="14"/>
      <c r="BS58" s="14"/>
      <c r="BT58" s="14"/>
      <c r="BU58" s="14"/>
      <c r="BV58" s="14"/>
      <c r="BW58" s="65"/>
      <c r="BX58" s="63"/>
      <c r="BY58" s="352"/>
      <c r="BZ58" s="14"/>
      <c r="CA58" s="34" t="s">
        <v>2</v>
      </c>
      <c r="CB58" s="37">
        <f>MAX(SUM(CC64:CC70),SUM(CD64:CD70),SUM(CE64:CE70))</f>
        <v>5</v>
      </c>
      <c r="CC58" s="21"/>
      <c r="CD58" s="21"/>
      <c r="CE58" s="21"/>
      <c r="CF58" s="21"/>
      <c r="CG58" s="14"/>
      <c r="CH58" s="14"/>
      <c r="CI58" s="14"/>
      <c r="CJ58" s="14"/>
      <c r="CK58" s="14"/>
      <c r="CL58" s="14"/>
      <c r="CM58" s="14"/>
      <c r="CN58" s="14"/>
      <c r="CO58" s="129"/>
      <c r="CP58" s="38"/>
      <c r="CQ58" s="47"/>
      <c r="CR58" s="14"/>
      <c r="CS58" s="34" t="s">
        <v>2</v>
      </c>
      <c r="CT58" s="37">
        <f>MAX(SUM(CU64:CU70),SUM(CV64:CV70),SUM(CW64:CW70))</f>
        <v>2</v>
      </c>
      <c r="CU58" s="14"/>
      <c r="CV58" s="21"/>
      <c r="CW58" s="14"/>
      <c r="CX58" s="14"/>
      <c r="CY58" s="14"/>
      <c r="CZ58" s="14"/>
      <c r="DA58" s="14"/>
      <c r="DB58" s="14"/>
      <c r="DC58" s="14"/>
      <c r="DD58" s="14"/>
      <c r="DE58" s="14"/>
      <c r="DF58" s="14"/>
      <c r="DG58" s="129"/>
      <c r="DH58" s="29"/>
      <c r="DI58" s="47"/>
      <c r="DJ58" s="29"/>
      <c r="DK58" s="34" t="s">
        <v>2</v>
      </c>
      <c r="DL58" s="37" t="str">
        <f>IF(DQ77=0,"na",IF(COUNTIF(DQ72:DQ76,MAX(DQ72:DQ76))&gt;COUNTIF(DP72:DP76,"&lt;&gt;""")/2,"No clear choice of the most common response",INDEX(DP72:DP76,MATCH(MAX(DQ72:DQ76),DQ72:DQ76,0),1)))</f>
        <v>Sometimes</v>
      </c>
      <c r="DM58" s="33">
        <f>COUNTIFS(S30_stakeholder_category,"FO",Response_Q172_1,"&lt;&gt;0",Response_Q173_1,"&lt;&gt;0")</f>
        <v>5</v>
      </c>
      <c r="DN58" s="37">
        <f>DQ76</f>
        <v>1</v>
      </c>
      <c r="DO58" s="14"/>
      <c r="DP58" s="14"/>
      <c r="DQ58" s="14"/>
      <c r="DR58" s="14"/>
      <c r="DS58" s="14"/>
      <c r="DT58" s="14"/>
      <c r="DU58" s="40"/>
      <c r="DV58" s="14"/>
      <c r="DW58" s="14"/>
      <c r="DX58" s="14"/>
      <c r="DY58" s="14"/>
      <c r="DZ58" s="14"/>
      <c r="EA58" s="14"/>
      <c r="EB58" s="14"/>
      <c r="EC58" s="14"/>
      <c r="ED58" s="14"/>
      <c r="EE58" s="14"/>
      <c r="EF58" s="14"/>
      <c r="EG58" s="14"/>
      <c r="EH58" s="14"/>
      <c r="EI58" s="14"/>
      <c r="EJ58" s="14"/>
      <c r="EK58" s="14"/>
      <c r="EL58" s="14"/>
    </row>
    <row r="59" spans="1:142" x14ac:dyDescent="0.25">
      <c r="A59" s="14"/>
      <c r="B59" s="57"/>
      <c r="C59" s="121" t="str">
        <f ca="1">IF(H77=0,"",IF(COUNTIF(H72:H76,MAX(H72:H76))=1,"",IF(COUNTIF(H72:H76,MAX(H72:H76))&gt;COUNTIF(G72:G76,"&lt;&gt;""")/2,"",INDEX(OFFSET(G72,MATCH(C58,G72:G77,0),0):G76,MATCH(MAX(H72:H76),OFFSET(H72,MATCH(C58,G72:G77,0),0):H76,0),1))))</f>
        <v/>
      </c>
      <c r="D59" s="58"/>
      <c r="E59" s="121"/>
      <c r="F59" s="14"/>
      <c r="G59" s="14"/>
      <c r="H59" s="27"/>
      <c r="I59" s="21"/>
      <c r="J59" s="14"/>
      <c r="K59" s="14"/>
      <c r="L59" s="19"/>
      <c r="M59" s="19"/>
      <c r="N59" s="19"/>
      <c r="O59" s="19"/>
      <c r="P59" s="19"/>
      <c r="Q59" s="47"/>
      <c r="R59" s="19"/>
      <c r="S59" s="34"/>
      <c r="T59" s="37" t="str">
        <f ca="1">IF(Y79=0,"",IF(COUNTIF(Y72:Y78,MAX(Y72:Y78))=1,"",IF(COUNTIF(Y72:Y78,MAX(Y72:Y78))&gt;COUNTIF(X72:X78,"&lt;&gt;""")/2,"",INDEX(OFFSET(X72,MATCH(T58,X72:X78,0),0):X78,MATCH(MAX(Y72:Y78),OFFSET(Y72,MATCH(T58,X72:X78,0),0):Y78,0),1))))</f>
        <v>I don’t know</v>
      </c>
      <c r="U59" s="33"/>
      <c r="V59" s="37"/>
      <c r="W59" s="14"/>
      <c r="X59" s="14"/>
      <c r="Y59" s="14"/>
      <c r="Z59" s="14"/>
      <c r="AA59" s="14"/>
      <c r="AB59" s="14"/>
      <c r="AC59" s="14"/>
      <c r="AD59" s="65"/>
      <c r="AE59" s="63"/>
      <c r="AF59" s="352"/>
      <c r="AG59" s="19"/>
      <c r="AH59" s="57"/>
      <c r="AI59" s="121" t="str">
        <f ca="1">IF(AN79=0,"",IF(COUNTIF(AN72:AN78,MAX(AN72:AN78))=1,"",IF(COUNTIF(AN72:AN78,MAX(AN72:AN78))&gt;COUNTIF(AM72:AM78,"&lt;&gt;""")/2,"",INDEX(OFFSET(AM72,MATCH(AI58,AM72:AM78,0),0):AM78,MATCH(MAX(AN72:AN78),OFFSET(AN72,MATCH(AI58,AM72:AM78,0),0):AN78,0),1))))</f>
        <v/>
      </c>
      <c r="AJ59" s="58"/>
      <c r="AK59" s="121"/>
      <c r="AL59" s="14"/>
      <c r="AM59" s="14"/>
      <c r="AN59" s="14"/>
      <c r="AO59" s="14"/>
      <c r="AP59" s="14"/>
      <c r="AQ59" s="14"/>
      <c r="AR59" s="14"/>
      <c r="AS59" s="65"/>
      <c r="AT59" s="63"/>
      <c r="AU59" s="352"/>
      <c r="AV59" s="19"/>
      <c r="AW59" s="57"/>
      <c r="AX59" s="121" t="str">
        <f ca="1">IF(BC79=0,"",IF(COUNTIF(BC72:BC78,MAX(BC72:BC78))=1,"",IF(COUNTIF(BC72:BC78,MAX(BC72:BC78))&gt;COUNTIF(BB72:BB78,"&lt;&gt;""")/2,"",INDEX(OFFSET(BB72,MATCH(AX58,BB72:BB78,0),0):BB78,MATCH(MAX(BC72:BC78),OFFSET(BC72,MATCH(AX58,BB72:BB78,0),0):BC78,0),1))))</f>
        <v/>
      </c>
      <c r="AY59" s="58"/>
      <c r="AZ59" s="121"/>
      <c r="BA59" s="14"/>
      <c r="BB59" s="14"/>
      <c r="BC59" s="14"/>
      <c r="BD59" s="14"/>
      <c r="BE59" s="14"/>
      <c r="BF59" s="14"/>
      <c r="BG59" s="14"/>
      <c r="BH59" s="65"/>
      <c r="BI59" s="63"/>
      <c r="BJ59" s="352"/>
      <c r="BK59" s="19"/>
      <c r="BL59" s="57"/>
      <c r="BM59" s="121" t="str">
        <f ca="1">IF(BR79=0,"",IF(COUNTIF(BR72:BR78,MAX(BR72:BR78))=1,"",IF(COUNTIF(BR72:BR78,MAX(BR72:BR78))&gt;COUNTIF(BQ72:BQ78,"&lt;&gt;""")/2,"",INDEX(OFFSET(BQ72,MATCH(BM58,BQ72:BQ78,0),0):BQ78,MATCH(MAX(BR72:BR78),OFFSET(BR72,MATCH(BM58,BQ72:BQ78,0),0):BR78,0),1))))</f>
        <v/>
      </c>
      <c r="BN59" s="58"/>
      <c r="BO59" s="121"/>
      <c r="BP59" s="14"/>
      <c r="BQ59" s="14"/>
      <c r="BR59" s="14"/>
      <c r="BS59" s="14"/>
      <c r="BT59" s="14"/>
      <c r="BU59" s="14"/>
      <c r="BV59" s="14"/>
      <c r="BW59" s="65"/>
      <c r="BX59" s="63"/>
      <c r="BY59" s="352"/>
      <c r="BZ59" s="14"/>
      <c r="CA59" s="14"/>
      <c r="CB59" s="21"/>
      <c r="CC59" s="21"/>
      <c r="CD59" s="21"/>
      <c r="CE59" s="21"/>
      <c r="CF59" s="21"/>
      <c r="CG59" s="14"/>
      <c r="CH59" s="14"/>
      <c r="CI59" s="14"/>
      <c r="CJ59" s="14"/>
      <c r="CK59" s="14"/>
      <c r="CL59" s="14"/>
      <c r="CM59" s="14"/>
      <c r="CN59" s="14"/>
      <c r="CO59" s="129"/>
      <c r="CP59" s="38"/>
      <c r="CQ59" s="47"/>
      <c r="CR59" s="14"/>
      <c r="CS59" s="14"/>
      <c r="CT59" s="14"/>
      <c r="CU59" s="14"/>
      <c r="CV59" s="21"/>
      <c r="CW59" s="14"/>
      <c r="CX59" s="14"/>
      <c r="CY59" s="14"/>
      <c r="CZ59" s="14"/>
      <c r="DA59" s="14"/>
      <c r="DB59" s="14"/>
      <c r="DC59" s="14"/>
      <c r="DD59" s="14"/>
      <c r="DE59" s="14"/>
      <c r="DF59" s="14"/>
      <c r="DG59" s="129"/>
      <c r="DH59" s="29"/>
      <c r="DI59" s="47"/>
      <c r="DJ59" s="29"/>
      <c r="DK59" s="34"/>
      <c r="DL59" s="121" t="str">
        <f ca="1">IF(DQ77=0,"",IF(COUNTIF(DQ72:DQ76,MAX(DQ72:DQ76))=1,"",IF(COUNTIF(DQ72:DQ76,MAX(DQ72:DQ76))&gt;COUNTIF(DP72:DP76,"&lt;&gt;""")/2,"",INDEX(OFFSET(DP72,MATCH(DL58,DP72:DP77,0),0):DP76,MATCH(MAX(DQ72:DQ76),OFFSET(DQ72,MATCH(DL58,DP72:DP77,0),0):DQ76,0),1))))</f>
        <v/>
      </c>
      <c r="DM59" s="33"/>
      <c r="DN59" s="37"/>
      <c r="DO59" s="14"/>
      <c r="DP59" s="14"/>
      <c r="DQ59" s="14"/>
      <c r="DR59" s="14"/>
      <c r="DS59" s="14"/>
      <c r="DT59" s="14"/>
      <c r="DU59" s="40"/>
      <c r="DV59" s="14"/>
      <c r="DW59" s="14"/>
      <c r="DX59" s="14"/>
      <c r="DY59" s="14"/>
      <c r="DZ59" s="14"/>
      <c r="EA59" s="14"/>
      <c r="EB59" s="14"/>
      <c r="EC59" s="14"/>
      <c r="ED59" s="14"/>
      <c r="EE59" s="14"/>
      <c r="EF59" s="14"/>
      <c r="EG59" s="14"/>
      <c r="EH59" s="14"/>
      <c r="EI59" s="14"/>
      <c r="EJ59" s="14"/>
      <c r="EK59" s="14"/>
      <c r="EL59" s="14"/>
    </row>
    <row r="60" spans="1:142" x14ac:dyDescent="0.25">
      <c r="A60" s="14"/>
      <c r="B60" s="57"/>
      <c r="C60" s="121" t="str">
        <f ca="1" xml:space="preserve"> IF(H77=0,"",IF(H77=0,"", IF(COUNTIF(H72:H76,MAX(H72:H76))&lt;=2,"",IF(COUNTIF(H72:H76,MAX(H72:H76))&gt;COUNTIF(G72:G76,"&lt;&gt;""")/2,"", INDEX(OFFSET(G72,MATCH(C59,G72:G77,0),0):G76,         MATCH(MAX(H72:H76),        OFFSET(H72,MATCH(C59,G72:G77,0),0):H76,0),1)))))</f>
        <v/>
      </c>
      <c r="D60" s="58"/>
      <c r="E60" s="121"/>
      <c r="F60" s="14"/>
      <c r="G60" s="14"/>
      <c r="H60" s="27"/>
      <c r="I60" s="21"/>
      <c r="J60" s="14"/>
      <c r="K60" s="14"/>
      <c r="L60" s="19"/>
      <c r="M60" s="19"/>
      <c r="N60" s="19"/>
      <c r="O60" s="19"/>
      <c r="P60" s="19"/>
      <c r="Q60" s="47"/>
      <c r="R60" s="19"/>
      <c r="S60" s="34"/>
      <c r="T60" s="121" t="str">
        <f ca="1" xml:space="preserve"> IF(Y79=0,"",IF(Y79=0,"", IF(COUNTIF(Y72:Y78,MAX(Y72:Y78))&lt;=2,"",IF(COUNTIF(Y72:Y78,MAX(Y72:Y78))&gt;COUNTIF(X72:X78,"&lt;&gt;""")/2,"", INDEX(OFFSET(X72,MATCH(T59,X72:X78,0),0):X78,         MATCH(MAX(Y72:Y78),        OFFSET(Y72,MATCH(T59,X72:X78,0),0):Y78,0),1)))))</f>
        <v/>
      </c>
      <c r="U60" s="33"/>
      <c r="V60" s="37"/>
      <c r="W60" s="14"/>
      <c r="X60" s="14"/>
      <c r="Y60" s="14"/>
      <c r="Z60" s="14"/>
      <c r="AA60" s="14"/>
      <c r="AB60" s="14"/>
      <c r="AC60" s="14"/>
      <c r="AD60" s="65"/>
      <c r="AE60" s="63"/>
      <c r="AF60" s="352"/>
      <c r="AG60" s="19"/>
      <c r="AH60" s="57"/>
      <c r="AI60" s="121" t="str">
        <f ca="1" xml:space="preserve"> IF(AN79=0,"",IF(AN79=0,"", IF(COUNTIF(AN72:AN78,MAX(AN72:AN78))&lt;=2,"",IF(COUNTIF(AN72:AN78,MAX(AN72:AN78))&gt;COUNTIF(AM72:AM78,"&lt;&gt;""")/2,"", INDEX(OFFSET(AM72,MATCH(AI59,AM72:AM78,0),0):AM78,         MATCH(MAX(AN72:AN78),        OFFSET(AN72,MATCH(AI59,AM72:AM78,0),0):AN78,0),1)))))</f>
        <v/>
      </c>
      <c r="AJ60" s="58"/>
      <c r="AK60" s="121"/>
      <c r="AL60" s="14"/>
      <c r="AM60" s="14"/>
      <c r="AN60" s="14"/>
      <c r="AO60" s="14"/>
      <c r="AP60" s="14"/>
      <c r="AQ60" s="14"/>
      <c r="AR60" s="14"/>
      <c r="AS60" s="65"/>
      <c r="AT60" s="63"/>
      <c r="AU60" s="352"/>
      <c r="AV60" s="19"/>
      <c r="AW60" s="57"/>
      <c r="AX60" s="121" t="str">
        <f ca="1" xml:space="preserve"> IF(BC79=0,"",IF(BC79=0,"", IF(COUNTIF(BC72:BC78,MAX(BC72:BC78))&lt;=2,"",IF(COUNTIF(BC72:BC78,MAX(BC72:BC78))&gt;COUNTIF(BB72:BB78,"&lt;&gt;""")/2,"", INDEX(OFFSET(BB72,MATCH(AX59,BB72:BB78,0),0):BB78,         MATCH(MAX(BC72:BC78),        OFFSET(BC72,MATCH(AX59,BB72:BB78,0),0):BC78,0),1)))))</f>
        <v/>
      </c>
      <c r="AY60" s="58"/>
      <c r="AZ60" s="121"/>
      <c r="BA60" s="14"/>
      <c r="BB60" s="14"/>
      <c r="BC60" s="14"/>
      <c r="BD60" s="14"/>
      <c r="BE60" s="14"/>
      <c r="BF60" s="14"/>
      <c r="BG60" s="14"/>
      <c r="BH60" s="65"/>
      <c r="BI60" s="63"/>
      <c r="BJ60" s="352"/>
      <c r="BK60" s="19"/>
      <c r="BL60" s="57"/>
      <c r="BM60" s="121" t="str">
        <f ca="1" xml:space="preserve"> IF(BR79=0,"",IF(BR79=0,"", IF(COUNTIF(BR72:BR78,MAX(BR72:BR78))&lt;=2,"",IF(COUNTIF(BR72:BR78,MAX(BR72:BR78))&gt;COUNTIF(BQ72:BQ78,"&lt;&gt;""")/2,"", INDEX(OFFSET(BQ72,MATCH(BM59,BQ72:BQ78,0),0):BQ78,         MATCH(MAX(BR72:BR78),        OFFSET(BR72,MATCH(BM59,BQ72:BQ78,0),0):BR78,0),1)))))</f>
        <v/>
      </c>
      <c r="BN60" s="58"/>
      <c r="BO60" s="121"/>
      <c r="BP60" s="14"/>
      <c r="BQ60" s="14"/>
      <c r="BR60" s="14"/>
      <c r="BS60" s="14"/>
      <c r="BT60" s="14"/>
      <c r="BU60" s="14"/>
      <c r="BV60" s="14"/>
      <c r="BW60" s="65"/>
      <c r="BX60" s="63"/>
      <c r="BY60" s="352"/>
      <c r="BZ60" s="14"/>
      <c r="CA60" s="14"/>
      <c r="CB60" s="21"/>
      <c r="CC60" s="21"/>
      <c r="CD60" s="21"/>
      <c r="CE60" s="21"/>
      <c r="CF60" s="21"/>
      <c r="CG60" s="14"/>
      <c r="CH60" s="14"/>
      <c r="CI60" s="14"/>
      <c r="CJ60" s="14"/>
      <c r="CK60" s="14"/>
      <c r="CL60" s="14"/>
      <c r="CM60" s="14"/>
      <c r="CN60" s="14"/>
      <c r="CO60" s="129"/>
      <c r="CP60" s="38"/>
      <c r="CQ60" s="47"/>
      <c r="CR60" s="14"/>
      <c r="CS60" s="14"/>
      <c r="CT60" s="14"/>
      <c r="CU60" s="14"/>
      <c r="CV60" s="21"/>
      <c r="CW60" s="14"/>
      <c r="CX60" s="14"/>
      <c r="CY60" s="14"/>
      <c r="CZ60" s="14"/>
      <c r="DA60" s="14"/>
      <c r="DB60" s="14"/>
      <c r="DC60" s="14"/>
      <c r="DD60" s="14"/>
      <c r="DE60" s="14"/>
      <c r="DF60" s="14"/>
      <c r="DG60" s="129"/>
      <c r="DH60" s="29"/>
      <c r="DI60" s="47"/>
      <c r="DJ60" s="29"/>
      <c r="DK60" s="34"/>
      <c r="DL60" s="121" t="str">
        <f ca="1" xml:space="preserve"> IF(DQ77=0,"",IF(DQ77=0,"", IF(COUNTIF(DQ72:DQ76,MAX(DQ72:DQ76))&lt;=2,"",IF(COUNTIF(DQ72:DQ76,MAX(DQ72:DQ76))&gt;COUNTIF(DP72:DP76,"&lt;&gt;""")/2,"", INDEX(OFFSET(DP72,MATCH(DL59,DP72:DP77,0),0):DP76,         MATCH(MAX(DQ72:DQ76),        OFFSET(DQ72,MATCH(DL59,DP72:DP77,0),0):DQ76,0),1)))))</f>
        <v/>
      </c>
      <c r="DM60" s="33"/>
      <c r="DN60" s="37"/>
      <c r="DO60" s="14"/>
      <c r="DP60" s="14"/>
      <c r="DQ60" s="14"/>
      <c r="DR60" s="14"/>
      <c r="DS60" s="14"/>
      <c r="DT60" s="14"/>
      <c r="DU60" s="40"/>
      <c r="DV60" s="14"/>
      <c r="DW60" s="14"/>
      <c r="DX60" s="14"/>
      <c r="DY60" s="14"/>
      <c r="DZ60" s="14"/>
      <c r="EA60" s="14"/>
      <c r="EB60" s="14"/>
      <c r="EC60" s="14"/>
      <c r="ED60" s="14"/>
      <c r="EE60" s="14"/>
      <c r="EF60" s="14"/>
      <c r="EG60" s="14"/>
      <c r="EH60" s="14"/>
      <c r="EI60" s="14"/>
      <c r="EJ60" s="14"/>
      <c r="EK60" s="14"/>
      <c r="EL60" s="14"/>
    </row>
    <row r="61" spans="1:142" x14ac:dyDescent="0.25">
      <c r="A61" s="14"/>
      <c r="B61" s="19"/>
      <c r="C61" s="19"/>
      <c r="D61" s="27"/>
      <c r="E61" s="70"/>
      <c r="F61" s="14"/>
      <c r="G61" s="14"/>
      <c r="H61" s="27"/>
      <c r="I61" s="21"/>
      <c r="J61" s="14"/>
      <c r="K61" s="14"/>
      <c r="L61" s="19"/>
      <c r="M61" s="19"/>
      <c r="N61" s="19"/>
      <c r="O61" s="19"/>
      <c r="P61" s="19"/>
      <c r="Q61" s="47"/>
      <c r="R61" s="19"/>
      <c r="S61" s="19"/>
      <c r="T61" s="14"/>
      <c r="U61" s="27"/>
      <c r="V61" s="14"/>
      <c r="W61" s="14"/>
      <c r="X61" s="14"/>
      <c r="Y61" s="14"/>
      <c r="Z61" s="14"/>
      <c r="AA61" s="14"/>
      <c r="AB61" s="14"/>
      <c r="AC61" s="14"/>
      <c r="AD61" s="65"/>
      <c r="AE61" s="63"/>
      <c r="AF61" s="352"/>
      <c r="AG61" s="19"/>
      <c r="AH61" s="19"/>
      <c r="AI61" s="14"/>
      <c r="AJ61" s="27"/>
      <c r="AK61" s="14"/>
      <c r="AL61" s="14"/>
      <c r="AM61" s="14"/>
      <c r="AN61" s="14"/>
      <c r="AO61" s="14"/>
      <c r="AP61" s="14"/>
      <c r="AQ61" s="14"/>
      <c r="AR61" s="14"/>
      <c r="AS61" s="65"/>
      <c r="AT61" s="63"/>
      <c r="AU61" s="352"/>
      <c r="AV61" s="19"/>
      <c r="AW61" s="19"/>
      <c r="AX61" s="14"/>
      <c r="AY61" s="27"/>
      <c r="AZ61" s="14"/>
      <c r="BA61" s="14"/>
      <c r="BB61" s="14"/>
      <c r="BC61" s="14"/>
      <c r="BD61" s="14"/>
      <c r="BE61" s="14"/>
      <c r="BF61" s="14"/>
      <c r="BG61" s="14"/>
      <c r="BH61" s="65"/>
      <c r="BI61" s="63"/>
      <c r="BJ61" s="352"/>
      <c r="BK61" s="19"/>
      <c r="BL61" s="124"/>
      <c r="BM61" s="7"/>
      <c r="BN61" s="125"/>
      <c r="BO61" s="7"/>
      <c r="BP61" s="14"/>
      <c r="BQ61" s="14"/>
      <c r="BR61" s="14"/>
      <c r="BS61" s="14"/>
      <c r="BT61" s="14"/>
      <c r="BU61" s="14"/>
      <c r="BV61" s="14"/>
      <c r="BW61" s="65"/>
      <c r="BX61" s="63"/>
      <c r="BY61" s="352"/>
      <c r="BZ61" s="14"/>
      <c r="CA61" s="14"/>
      <c r="CB61" s="21"/>
      <c r="CC61" s="21"/>
      <c r="CD61" s="21"/>
      <c r="CE61" s="21"/>
      <c r="CF61" s="21"/>
      <c r="CG61" s="14"/>
      <c r="CH61" s="14"/>
      <c r="CI61" s="14"/>
      <c r="CJ61" s="14"/>
      <c r="CK61" s="14"/>
      <c r="CL61" s="14"/>
      <c r="CM61" s="14"/>
      <c r="CN61" s="14"/>
      <c r="CO61" s="129"/>
      <c r="CP61" s="38"/>
      <c r="CQ61" s="47"/>
      <c r="CR61" s="14"/>
      <c r="CS61" s="14"/>
      <c r="CT61" s="14"/>
      <c r="CU61" s="14"/>
      <c r="CV61" s="21"/>
      <c r="CW61" s="14"/>
      <c r="CX61" s="14"/>
      <c r="CY61" s="14"/>
      <c r="CZ61" s="14"/>
      <c r="DA61" s="14"/>
      <c r="DB61" s="14"/>
      <c r="DC61" s="14"/>
      <c r="DD61" s="14"/>
      <c r="DE61" s="14"/>
      <c r="DF61" s="14"/>
      <c r="DG61" s="129"/>
      <c r="DH61" s="29"/>
      <c r="DI61" s="47"/>
      <c r="DJ61" s="29"/>
      <c r="DK61" s="14"/>
      <c r="DL61" s="14"/>
      <c r="DM61" s="27"/>
      <c r="DN61" s="14"/>
      <c r="DO61" s="14"/>
      <c r="DP61" s="14"/>
      <c r="DQ61" s="14"/>
      <c r="DR61" s="14"/>
      <c r="DS61" s="14"/>
      <c r="DT61" s="14"/>
      <c r="DU61" s="40"/>
      <c r="DV61" s="14"/>
      <c r="DW61" s="14"/>
      <c r="DX61" s="14"/>
      <c r="DY61" s="14"/>
      <c r="DZ61" s="14"/>
      <c r="EA61" s="14"/>
      <c r="EB61" s="14"/>
      <c r="EC61" s="14"/>
      <c r="ED61" s="14"/>
      <c r="EE61" s="14"/>
      <c r="EF61" s="14"/>
      <c r="EG61" s="14"/>
      <c r="EH61" s="14"/>
      <c r="EI61" s="14"/>
      <c r="EJ61" s="14"/>
      <c r="EK61" s="14"/>
      <c r="EL61" s="14"/>
    </row>
    <row r="62" spans="1:142" x14ac:dyDescent="0.25">
      <c r="A62" s="14"/>
      <c r="B62" s="19"/>
      <c r="C62" s="19"/>
      <c r="D62" s="27"/>
      <c r="E62" s="19"/>
      <c r="F62" s="14"/>
      <c r="G62" s="14"/>
      <c r="H62" s="27"/>
      <c r="I62" s="21"/>
      <c r="J62" s="14"/>
      <c r="K62" s="14"/>
      <c r="L62" s="19"/>
      <c r="M62" s="19"/>
      <c r="N62" s="19"/>
      <c r="O62" s="19"/>
      <c r="P62" s="19"/>
      <c r="Q62" s="47"/>
      <c r="R62" s="19"/>
      <c r="S62" s="19"/>
      <c r="T62" s="14"/>
      <c r="U62" s="27"/>
      <c r="V62" s="14"/>
      <c r="W62" s="14"/>
      <c r="X62" s="14"/>
      <c r="Y62" s="14"/>
      <c r="Z62" s="14"/>
      <c r="AA62" s="14"/>
      <c r="AB62" s="14"/>
      <c r="AC62" s="14"/>
      <c r="AD62" s="65"/>
      <c r="AE62" s="63"/>
      <c r="AF62" s="352"/>
      <c r="AG62" s="19"/>
      <c r="AH62" s="19"/>
      <c r="AI62" s="14"/>
      <c r="AJ62" s="27"/>
      <c r="AK62" s="14"/>
      <c r="AL62" s="14"/>
      <c r="AM62" s="14"/>
      <c r="AN62" s="14"/>
      <c r="AO62" s="14"/>
      <c r="AP62" s="14"/>
      <c r="AQ62" s="14"/>
      <c r="AR62" s="14"/>
      <c r="AS62" s="65"/>
      <c r="AT62" s="63"/>
      <c r="AU62" s="352"/>
      <c r="AV62" s="19"/>
      <c r="AW62" s="19"/>
      <c r="AX62" s="14"/>
      <c r="AY62" s="27"/>
      <c r="AZ62" s="14"/>
      <c r="BA62" s="14"/>
      <c r="BB62" s="14"/>
      <c r="BC62" s="14"/>
      <c r="BD62" s="14"/>
      <c r="BE62" s="14"/>
      <c r="BF62" s="14"/>
      <c r="BG62" s="14"/>
      <c r="BH62" s="65"/>
      <c r="BI62" s="63"/>
      <c r="BJ62" s="352"/>
      <c r="BK62" s="19"/>
      <c r="BL62" s="19"/>
      <c r="BM62" s="14"/>
      <c r="BN62" s="27"/>
      <c r="BO62" s="14"/>
      <c r="BP62" s="14"/>
      <c r="BQ62" s="14"/>
      <c r="BR62" s="14"/>
      <c r="BS62" s="14"/>
      <c r="BT62" s="14"/>
      <c r="BU62" s="14"/>
      <c r="BV62" s="14"/>
      <c r="BW62" s="65"/>
      <c r="BX62" s="63"/>
      <c r="BY62" s="352"/>
      <c r="BZ62" s="14"/>
      <c r="CA62" s="14"/>
      <c r="CB62" s="21"/>
      <c r="CC62" s="21"/>
      <c r="CD62" s="21"/>
      <c r="CE62" s="21"/>
      <c r="CF62" s="21"/>
      <c r="CG62" s="14"/>
      <c r="CH62" s="14"/>
      <c r="CI62" s="14"/>
      <c r="CJ62" s="14"/>
      <c r="CK62" s="14"/>
      <c r="CL62" s="14"/>
      <c r="CM62" s="14"/>
      <c r="CN62" s="14"/>
      <c r="CO62" s="129"/>
      <c r="CP62" s="38"/>
      <c r="CQ62" s="47"/>
      <c r="CR62" s="14"/>
      <c r="CS62" s="14"/>
      <c r="CT62" s="14"/>
      <c r="CU62" s="14"/>
      <c r="CV62" s="21"/>
      <c r="CW62" s="14"/>
      <c r="CX62" s="14"/>
      <c r="CY62" s="14"/>
      <c r="CZ62" s="14"/>
      <c r="DA62" s="14"/>
      <c r="DB62" s="14"/>
      <c r="DC62" s="14"/>
      <c r="DD62" s="14"/>
      <c r="DE62" s="14"/>
      <c r="DF62" s="14"/>
      <c r="DG62" s="129"/>
      <c r="DH62" s="29"/>
      <c r="DI62" s="47"/>
      <c r="DJ62" s="29"/>
      <c r="DK62" s="19"/>
      <c r="DL62" s="19"/>
      <c r="DM62" s="27"/>
      <c r="DN62" s="14"/>
      <c r="DO62" s="14"/>
      <c r="DP62" s="14"/>
      <c r="DQ62" s="14"/>
      <c r="DR62" s="14"/>
      <c r="DS62" s="14"/>
      <c r="DT62" s="14"/>
      <c r="DU62" s="40"/>
      <c r="DV62" s="14"/>
      <c r="DW62" s="14"/>
      <c r="DX62" s="14"/>
      <c r="DY62" s="14"/>
      <c r="DZ62" s="14"/>
      <c r="EA62" s="14"/>
      <c r="EB62" s="14"/>
      <c r="EC62" s="14"/>
      <c r="ED62" s="14"/>
      <c r="EE62" s="14"/>
      <c r="EF62" s="14"/>
      <c r="EG62" s="14"/>
      <c r="EH62" s="14"/>
      <c r="EI62" s="14"/>
      <c r="EJ62" s="14"/>
      <c r="EK62" s="14"/>
      <c r="EL62" s="14"/>
    </row>
    <row r="63" spans="1:142" ht="27.6" x14ac:dyDescent="0.25">
      <c r="A63" s="14"/>
      <c r="B63" s="14"/>
      <c r="C63" s="19"/>
      <c r="D63" s="27"/>
      <c r="E63" s="14"/>
      <c r="F63" s="14"/>
      <c r="G63" s="14"/>
      <c r="H63" s="27"/>
      <c r="I63" s="21"/>
      <c r="J63" s="14"/>
      <c r="K63" s="14"/>
      <c r="L63" s="19"/>
      <c r="M63" s="19"/>
      <c r="N63" s="19"/>
      <c r="O63" s="19"/>
      <c r="P63" s="19"/>
      <c r="Q63" s="47"/>
      <c r="R63" s="19"/>
      <c r="S63" s="19"/>
      <c r="T63" s="14"/>
      <c r="U63" s="27"/>
      <c r="V63" s="14"/>
      <c r="W63" s="14"/>
      <c r="X63" s="14"/>
      <c r="Y63" s="14"/>
      <c r="Z63" s="14"/>
      <c r="AA63" s="14"/>
      <c r="AB63" s="14"/>
      <c r="AC63" s="14"/>
      <c r="AD63" s="65"/>
      <c r="AE63" s="63"/>
      <c r="AF63" s="352"/>
      <c r="AG63" s="19"/>
      <c r="AH63" s="19"/>
      <c r="AI63" s="14"/>
      <c r="AJ63" s="27"/>
      <c r="AK63" s="14"/>
      <c r="AL63" s="14"/>
      <c r="AM63" s="14"/>
      <c r="AN63" s="14"/>
      <c r="AO63" s="14"/>
      <c r="AP63" s="14"/>
      <c r="AQ63" s="14"/>
      <c r="AR63" s="14"/>
      <c r="AS63" s="65"/>
      <c r="AT63" s="63"/>
      <c r="AU63" s="352"/>
      <c r="AV63" s="19"/>
      <c r="AW63" s="19"/>
      <c r="AX63" s="14"/>
      <c r="AY63" s="27"/>
      <c r="AZ63" s="14"/>
      <c r="BA63" s="14"/>
      <c r="BB63" s="14"/>
      <c r="BC63" s="14"/>
      <c r="BD63" s="14"/>
      <c r="BE63" s="14"/>
      <c r="BF63" s="14"/>
      <c r="BG63" s="14"/>
      <c r="BH63" s="65"/>
      <c r="BI63" s="63"/>
      <c r="BJ63" s="352"/>
      <c r="BK63" s="19"/>
      <c r="BL63" s="19"/>
      <c r="BM63" s="14"/>
      <c r="BN63" s="27"/>
      <c r="BO63" s="14"/>
      <c r="BP63" s="14"/>
      <c r="BQ63" s="14"/>
      <c r="BR63" s="14"/>
      <c r="BS63" s="14"/>
      <c r="BT63" s="14"/>
      <c r="BU63" s="14"/>
      <c r="BV63" s="14"/>
      <c r="BW63" s="65"/>
      <c r="BX63" s="63"/>
      <c r="BY63" s="352"/>
      <c r="BZ63" s="14"/>
      <c r="CA63" s="109"/>
      <c r="CB63" s="110" t="s">
        <v>164</v>
      </c>
      <c r="CC63" s="110" t="s">
        <v>149</v>
      </c>
      <c r="CD63" s="110" t="s">
        <v>150</v>
      </c>
      <c r="CE63" s="110" t="s">
        <v>151</v>
      </c>
      <c r="CF63" s="110" t="s">
        <v>152</v>
      </c>
      <c r="CG63" s="14"/>
      <c r="CH63" s="109"/>
      <c r="CI63" s="110" t="s">
        <v>5</v>
      </c>
      <c r="CJ63" s="110" t="s">
        <v>4</v>
      </c>
      <c r="CK63" s="110" t="s">
        <v>33</v>
      </c>
      <c r="CL63" s="110" t="s">
        <v>29</v>
      </c>
      <c r="CM63" s="110" t="s">
        <v>3</v>
      </c>
      <c r="CN63" s="110" t="s">
        <v>54</v>
      </c>
      <c r="CO63" s="328" t="s">
        <v>160</v>
      </c>
      <c r="CP63" s="38"/>
      <c r="CQ63" s="47"/>
      <c r="CR63" s="14"/>
      <c r="CS63" s="109" t="s">
        <v>14</v>
      </c>
      <c r="CT63" s="110" t="s">
        <v>164</v>
      </c>
      <c r="CU63" s="110" t="s">
        <v>149</v>
      </c>
      <c r="CV63" s="110" t="s">
        <v>150</v>
      </c>
      <c r="CW63" s="110" t="s">
        <v>151</v>
      </c>
      <c r="CX63" s="109" t="s">
        <v>152</v>
      </c>
      <c r="CY63" s="14"/>
      <c r="CZ63" s="109" t="s">
        <v>14</v>
      </c>
      <c r="DA63" s="110" t="s">
        <v>5</v>
      </c>
      <c r="DB63" s="110" t="s">
        <v>4</v>
      </c>
      <c r="DC63" s="110" t="s">
        <v>33</v>
      </c>
      <c r="DD63" s="110" t="s">
        <v>29</v>
      </c>
      <c r="DE63" s="110" t="s">
        <v>3</v>
      </c>
      <c r="DF63" s="110" t="s">
        <v>54</v>
      </c>
      <c r="DG63" s="328" t="s">
        <v>160</v>
      </c>
      <c r="DH63" s="29"/>
      <c r="DI63" s="47"/>
      <c r="DJ63" s="29"/>
      <c r="DK63" s="19"/>
      <c r="DL63" s="19"/>
      <c r="DM63" s="27"/>
      <c r="DN63" s="14"/>
      <c r="DO63" s="14"/>
      <c r="DP63" s="14"/>
      <c r="DQ63" s="14"/>
      <c r="DR63" s="14"/>
      <c r="DS63" s="14"/>
      <c r="DT63" s="14"/>
      <c r="DU63" s="40"/>
      <c r="DV63" s="14"/>
      <c r="DW63" s="14"/>
      <c r="DX63" s="14"/>
      <c r="DY63" s="14"/>
      <c r="DZ63" s="14"/>
      <c r="EA63" s="14"/>
      <c r="EB63" s="14"/>
      <c r="EC63" s="14"/>
      <c r="ED63" s="14"/>
      <c r="EE63" s="14"/>
      <c r="EF63" s="14"/>
      <c r="EG63" s="14"/>
      <c r="EH63" s="14"/>
      <c r="EI63" s="14"/>
      <c r="EJ63" s="14"/>
      <c r="EK63" s="14"/>
      <c r="EL63" s="14"/>
    </row>
    <row r="64" spans="1:142" x14ac:dyDescent="0.25">
      <c r="A64" s="14"/>
      <c r="B64" s="14"/>
      <c r="C64" s="14"/>
      <c r="D64" s="21"/>
      <c r="E64" s="14"/>
      <c r="F64" s="14"/>
      <c r="G64" s="14"/>
      <c r="H64" s="27"/>
      <c r="I64" s="15"/>
      <c r="J64" s="13"/>
      <c r="K64" s="14"/>
      <c r="L64" s="14"/>
      <c r="M64" s="14"/>
      <c r="N64" s="14"/>
      <c r="O64" s="14"/>
      <c r="P64" s="14"/>
      <c r="Q64" s="47"/>
      <c r="R64" s="19"/>
      <c r="S64" s="14"/>
      <c r="T64" s="14"/>
      <c r="U64" s="14"/>
      <c r="V64" s="14"/>
      <c r="W64" s="14"/>
      <c r="X64" s="14"/>
      <c r="Y64" s="14"/>
      <c r="Z64" s="14"/>
      <c r="AA64" s="14"/>
      <c r="AB64" s="14"/>
      <c r="AC64" s="14"/>
      <c r="AD64" s="65"/>
      <c r="AE64" s="63"/>
      <c r="AF64" s="352"/>
      <c r="AG64" s="19"/>
      <c r="AH64" s="14"/>
      <c r="AI64" s="14"/>
      <c r="AJ64" s="14"/>
      <c r="AK64" s="14"/>
      <c r="AL64" s="14"/>
      <c r="AM64" s="14"/>
      <c r="AN64" s="14"/>
      <c r="AO64" s="14"/>
      <c r="AP64" s="14"/>
      <c r="AQ64" s="14"/>
      <c r="AR64" s="14"/>
      <c r="AS64" s="65"/>
      <c r="AT64" s="63"/>
      <c r="AU64" s="352"/>
      <c r="AV64" s="19"/>
      <c r="AW64" s="14"/>
      <c r="AX64" s="14"/>
      <c r="AY64" s="14"/>
      <c r="AZ64" s="14"/>
      <c r="BA64" s="14"/>
      <c r="BB64" s="14"/>
      <c r="BC64" s="14"/>
      <c r="BD64" s="14"/>
      <c r="BE64" s="14"/>
      <c r="BF64" s="14"/>
      <c r="BG64" s="14"/>
      <c r="BH64" s="65"/>
      <c r="BI64" s="63"/>
      <c r="BJ64" s="352"/>
      <c r="BK64" s="19"/>
      <c r="BL64" s="14"/>
      <c r="BM64" s="14"/>
      <c r="BN64" s="14"/>
      <c r="BO64" s="14"/>
      <c r="BP64" s="14"/>
      <c r="BQ64" s="14"/>
      <c r="BR64" s="14"/>
      <c r="BS64" s="14"/>
      <c r="BT64" s="14"/>
      <c r="BU64" s="14"/>
      <c r="BV64" s="14"/>
      <c r="BW64" s="65"/>
      <c r="BX64" s="63"/>
      <c r="BY64" s="352"/>
      <c r="BZ64" s="14"/>
      <c r="CA64" s="140" t="s">
        <v>701</v>
      </c>
      <c r="CB64" s="27">
        <f>COUNTIFS(S30_stakeholder_category,"FO",Response_Q177_1,"&lt;&gt;0",Response_Q173_1,"&lt;&gt;0")</f>
        <v>2</v>
      </c>
      <c r="CC64" s="37">
        <f>COUNTIFS(S30_stakeholder_category,"FO",Response_Q177_1,1,Response_Q173_1,"&lt;&gt;""0")</f>
        <v>3</v>
      </c>
      <c r="CD64" s="37">
        <f>COUNTIFS(S30_stakeholder_category,"FO",Response_Q177_1,2,Response_Q173_1,"&lt;&gt;""0")</f>
        <v>0</v>
      </c>
      <c r="CE64" s="37">
        <f>COUNTIFS(S30_stakeholder_category,"FO",Response_Q177_1,3,Response_Q173_1,"&lt;&gt;""0")</f>
        <v>0</v>
      </c>
      <c r="CF64" s="97">
        <f>IF(CB58=0,0,SUMPRODUCT(CC64:CE64,Rank_score)/$CB58)</f>
        <v>1.8</v>
      </c>
      <c r="CG64" s="14"/>
      <c r="CH64" s="140" t="s">
        <v>701</v>
      </c>
      <c r="CI64" s="27">
        <f t="shared" ref="CI64:CN64" si="18">COUNTIFS(S30_stakeholder_category,"FO",Response_Q177_1,"&lt;&gt;0",Response_Q177_2,CI$63,Response_Q173_1,"&lt;&gt;0")</f>
        <v>1</v>
      </c>
      <c r="CJ64" s="27">
        <f t="shared" si="18"/>
        <v>0</v>
      </c>
      <c r="CK64" s="27">
        <f t="shared" si="18"/>
        <v>0</v>
      </c>
      <c r="CL64" s="27">
        <f t="shared" si="18"/>
        <v>1</v>
      </c>
      <c r="CM64" s="27">
        <f t="shared" si="18"/>
        <v>0</v>
      </c>
      <c r="CN64" s="27">
        <f t="shared" si="18"/>
        <v>0</v>
      </c>
      <c r="CO64" s="141">
        <f>IF(ISBLANK(CH64),"",IF(CF64=0,not_ranked,IF(SUM(CI64:CN64)=0,not_estimated,IFERROR(SUMPRODUCT(CI64:CN64,Likekihood_score)/SUM(CI64:CN64),0))))</f>
        <v>2.5</v>
      </c>
      <c r="CP64" s="38"/>
      <c r="CQ64" s="47"/>
      <c r="CR64" s="14"/>
      <c r="CS64" s="140" t="s">
        <v>373</v>
      </c>
      <c r="CT64" s="27">
        <f>COUNTIFS(S30_stakeholder_category,"FO",Response_Q178_1,"&lt;&gt;0",Response_Q173_1,"&lt;&gt;0")</f>
        <v>2</v>
      </c>
      <c r="CU64" s="37">
        <f>COUNTIFS(S30_stakeholder_category,"FO",Response_Q178_1,1,Response_Q173_1,"&lt;&gt;0")</f>
        <v>2</v>
      </c>
      <c r="CV64" s="37">
        <f>COUNTIFS(S30_stakeholder_category,"FO",Response_Q178_1,2,Response_Q173_1,"&lt;&gt;0")</f>
        <v>0</v>
      </c>
      <c r="CW64" s="37">
        <f>COUNTIFS(S30_stakeholder_category,"FO",Response_Q178_1,3,Response_Q173_1,"&lt;&gt;0")</f>
        <v>0</v>
      </c>
      <c r="CX64" s="37">
        <f>IF(CT58=0,0,SUMPRODUCT(CU64:CW64,Rank_score)/CT$58)</f>
        <v>3</v>
      </c>
      <c r="CY64" s="14"/>
      <c r="CZ64" s="140" t="s">
        <v>373</v>
      </c>
      <c r="DA64" s="27">
        <f t="shared" ref="DA64:DF64" si="19">COUNTIFS(S30_stakeholder_category,"FO",Response_Q178_1,"&lt;&gt;0",Response_Q178_2,DA$63,Response_Q173_1,"&lt;&gt;0")</f>
        <v>0</v>
      </c>
      <c r="DB64" s="27">
        <f t="shared" si="19"/>
        <v>0</v>
      </c>
      <c r="DC64" s="27">
        <f t="shared" si="19"/>
        <v>0</v>
      </c>
      <c r="DD64" s="27">
        <f t="shared" si="19"/>
        <v>1</v>
      </c>
      <c r="DE64" s="27">
        <f t="shared" si="19"/>
        <v>0</v>
      </c>
      <c r="DF64" s="27">
        <f t="shared" si="19"/>
        <v>0</v>
      </c>
      <c r="DG64" s="141">
        <f t="shared" ref="DG64:DG71" si="20">IF(ISBLANK(CZ64),"",IF(CX64=0,not_ranked,IF(SUM(DA64:DF64)=0,not_estimated,IFERROR(SUMPRODUCT(DA64:DF64,Likekihood_score)/SUM(DA64:DF64),0))))</f>
        <v>4</v>
      </c>
      <c r="DH64" s="29"/>
      <c r="DI64" s="47"/>
      <c r="DJ64" s="29"/>
      <c r="DK64" s="56"/>
      <c r="DL64" s="29"/>
      <c r="DM64" s="14"/>
      <c r="DN64" s="14"/>
      <c r="DO64" s="14"/>
      <c r="DP64" s="107"/>
      <c r="DQ64" s="27"/>
      <c r="DR64" s="41"/>
      <c r="DS64" s="14"/>
      <c r="DT64" s="14"/>
      <c r="DU64" s="14"/>
      <c r="DV64" s="14"/>
      <c r="DW64" s="14"/>
      <c r="DX64" s="14"/>
      <c r="DY64" s="14"/>
      <c r="DZ64" s="14"/>
      <c r="EA64" s="14"/>
      <c r="EB64" s="14"/>
      <c r="EC64" s="14"/>
      <c r="ED64" s="14"/>
      <c r="EE64" s="14"/>
      <c r="EF64" s="14"/>
      <c r="EG64" s="14"/>
      <c r="EH64" s="14"/>
      <c r="EI64" s="14"/>
      <c r="EJ64" s="14"/>
      <c r="EK64" s="14"/>
      <c r="EL64" s="14"/>
    </row>
    <row r="65" spans="1:142" x14ac:dyDescent="0.25">
      <c r="A65" s="14"/>
      <c r="B65" s="56"/>
      <c r="C65" s="19"/>
      <c r="D65" s="59"/>
      <c r="E65" s="14"/>
      <c r="F65" s="14"/>
      <c r="G65" s="14"/>
      <c r="H65" s="21"/>
      <c r="I65" s="21"/>
      <c r="J65" s="14"/>
      <c r="K65" s="14"/>
      <c r="L65" s="14"/>
      <c r="M65" s="14"/>
      <c r="N65" s="14"/>
      <c r="O65" s="14"/>
      <c r="P65" s="14"/>
      <c r="Q65" s="47"/>
      <c r="R65" s="19"/>
      <c r="S65" s="19"/>
      <c r="T65" s="19"/>
      <c r="U65" s="59"/>
      <c r="V65" s="14"/>
      <c r="W65" s="14"/>
      <c r="X65" s="14"/>
      <c r="Y65" s="14"/>
      <c r="Z65" s="14"/>
      <c r="AA65" s="14"/>
      <c r="AB65" s="14"/>
      <c r="AC65" s="14"/>
      <c r="AD65" s="65"/>
      <c r="AE65" s="63"/>
      <c r="AF65" s="352"/>
      <c r="AG65" s="19"/>
      <c r="AH65" s="19"/>
      <c r="AI65" s="19"/>
      <c r="AJ65" s="59"/>
      <c r="AK65" s="14"/>
      <c r="AL65" s="14"/>
      <c r="AM65" s="14"/>
      <c r="AN65" s="14"/>
      <c r="AO65" s="14"/>
      <c r="AP65" s="14"/>
      <c r="AQ65" s="14"/>
      <c r="AR65" s="14"/>
      <c r="AS65" s="65"/>
      <c r="AT65" s="63"/>
      <c r="AU65" s="352"/>
      <c r="AV65" s="19"/>
      <c r="AW65" s="19"/>
      <c r="AX65" s="19"/>
      <c r="AY65" s="59"/>
      <c r="AZ65" s="14"/>
      <c r="BA65" s="14"/>
      <c r="BB65" s="14"/>
      <c r="BC65" s="14"/>
      <c r="BD65" s="14"/>
      <c r="BE65" s="14"/>
      <c r="BF65" s="14"/>
      <c r="BG65" s="14"/>
      <c r="BH65" s="65"/>
      <c r="BI65" s="63"/>
      <c r="BJ65" s="352"/>
      <c r="BK65" s="19"/>
      <c r="BL65" s="19"/>
      <c r="BM65" s="19"/>
      <c r="BN65" s="59"/>
      <c r="BO65" s="14"/>
      <c r="BP65" s="14"/>
      <c r="BQ65" s="14"/>
      <c r="BR65" s="14"/>
      <c r="BS65" s="14"/>
      <c r="BT65" s="14"/>
      <c r="BU65" s="14"/>
      <c r="BV65" s="14"/>
      <c r="BW65" s="65"/>
      <c r="BX65" s="63"/>
      <c r="BY65" s="352"/>
      <c r="BZ65" s="14"/>
      <c r="CA65" s="140" t="s">
        <v>344</v>
      </c>
      <c r="CB65" s="27">
        <f>COUNTIFS(S30_stakeholder_category,"FO",Response_Q177_3,"&lt;&gt;0",Response_Q173_1,"&lt;&gt;0")</f>
        <v>2</v>
      </c>
      <c r="CC65" s="37">
        <f>COUNTIFS(S30_stakeholder_category,"FO",Response_Q177_3,1,Response_Q173_1,"&lt;&gt;0")</f>
        <v>0</v>
      </c>
      <c r="CD65" s="37">
        <f>COUNTIFS(S30_stakeholder_category,"FO",Response_Q177_3,2,Response_Q173_1,"&lt;&gt;0")</f>
        <v>2</v>
      </c>
      <c r="CE65" s="37">
        <f>COUNTIFS(S30_stakeholder_category,"FO",Response_Q177_3,3,Response_Q173_1,"&lt;&gt;0")</f>
        <v>0</v>
      </c>
      <c r="CF65" s="97">
        <f>IF(CB58=0,0,SUMPRODUCT(CC65:CE65,Rank_score)/$CB58)</f>
        <v>0.8</v>
      </c>
      <c r="CG65" s="14"/>
      <c r="CH65" s="140" t="s">
        <v>344</v>
      </c>
      <c r="CI65" s="27">
        <f t="shared" ref="CI65:CN65" si="21">COUNTIFS(S30_stakeholder_category,"FO",Response_Q177_3,"&lt;&gt;0",Response_Q177_4,CI$63,Response_Q173_1,"&lt;&gt;0")</f>
        <v>1</v>
      </c>
      <c r="CJ65" s="27">
        <f t="shared" si="21"/>
        <v>0</v>
      </c>
      <c r="CK65" s="27">
        <f t="shared" si="21"/>
        <v>0</v>
      </c>
      <c r="CL65" s="27">
        <f t="shared" si="21"/>
        <v>1</v>
      </c>
      <c r="CM65" s="27">
        <f t="shared" si="21"/>
        <v>0</v>
      </c>
      <c r="CN65" s="27">
        <f t="shared" si="21"/>
        <v>0</v>
      </c>
      <c r="CO65" s="141">
        <f t="shared" ref="CO65:CO70" si="22">IF(ISBLANK(CH65),"",IF(CF65=0,not_ranked,IF(SUM(CI65:CN65)=0,not_estimated,IFERROR(SUMPRODUCT(CI65:CN65,Likekihood_score)/SUM(CI65:CN65),0))))</f>
        <v>2.5</v>
      </c>
      <c r="CP65" s="14"/>
      <c r="CQ65" s="47"/>
      <c r="CR65" s="14"/>
      <c r="CS65" s="140" t="s">
        <v>338</v>
      </c>
      <c r="CT65" s="27">
        <f>COUNTIFS(S30_stakeholder_category,"FO",Response_Q178_3,"&lt;&gt;0",Response_Q173_1,"&lt;&gt;0")</f>
        <v>1</v>
      </c>
      <c r="CU65" s="37">
        <f>COUNTIFS(S30_stakeholder_category,"FO",Response_Q178_3,1,Response_Q173_1,"&lt;&gt;0")</f>
        <v>0</v>
      </c>
      <c r="CV65" s="37">
        <f>COUNTIFS(S30_stakeholder_category,"FO",Response_Q178_3,2,Response_Q173_1,"&lt;&gt;0")</f>
        <v>1</v>
      </c>
      <c r="CW65" s="37">
        <f>COUNTIFS(S30_stakeholder_category,"FO",Response_Q178_3,3,Response_Q173_1,"&lt;&gt;0")</f>
        <v>0</v>
      </c>
      <c r="CX65" s="37">
        <f>IF(CT58=0,0,SUMPRODUCT(CU65:CW65,Rank_score)/CT$58)</f>
        <v>1</v>
      </c>
      <c r="CY65" s="14"/>
      <c r="CZ65" s="140" t="s">
        <v>338</v>
      </c>
      <c r="DA65" s="27">
        <f t="shared" ref="DA65:DF65" si="23">COUNTIFS(S30_stakeholder_category,"FO",Response_Q178_3,"&lt;&gt;0",Response_Q178_4,DA$63,Response_Q173_1,"&lt;&gt;0")</f>
        <v>0</v>
      </c>
      <c r="DB65" s="27">
        <f t="shared" si="23"/>
        <v>0</v>
      </c>
      <c r="DC65" s="27">
        <f t="shared" si="23"/>
        <v>0</v>
      </c>
      <c r="DD65" s="27">
        <f t="shared" si="23"/>
        <v>0</v>
      </c>
      <c r="DE65" s="27">
        <f t="shared" si="23"/>
        <v>0</v>
      </c>
      <c r="DF65" s="27">
        <f t="shared" si="23"/>
        <v>0</v>
      </c>
      <c r="DG65" s="141" t="str">
        <f t="shared" si="20"/>
        <v>Ranked, but likelihood not estimated</v>
      </c>
      <c r="DH65" s="14"/>
      <c r="DI65" s="47"/>
      <c r="DJ65" s="14"/>
      <c r="DK65" s="56"/>
      <c r="DL65" s="19"/>
      <c r="DM65" s="59"/>
      <c r="DN65" s="14"/>
      <c r="DO65" s="14"/>
      <c r="DP65" s="103"/>
      <c r="DQ65" s="114"/>
      <c r="DR65" s="120"/>
      <c r="DS65" s="14"/>
      <c r="DT65" s="14"/>
      <c r="DU65" s="14"/>
      <c r="DV65" s="14"/>
      <c r="DW65" s="14"/>
      <c r="DX65" s="14"/>
      <c r="DY65" s="14"/>
      <c r="DZ65" s="14"/>
      <c r="EA65" s="14"/>
      <c r="EB65" s="14"/>
      <c r="EC65" s="14"/>
      <c r="ED65" s="14"/>
      <c r="EE65" s="14"/>
      <c r="EF65" s="14"/>
      <c r="EG65" s="14"/>
      <c r="EH65" s="14"/>
      <c r="EI65" s="14"/>
      <c r="EJ65" s="14"/>
      <c r="EK65" s="14"/>
      <c r="EL65" s="14"/>
    </row>
    <row r="66" spans="1:142" x14ac:dyDescent="0.25">
      <c r="A66" s="14"/>
      <c r="B66" s="62"/>
      <c r="C66" s="19"/>
      <c r="D66" s="59"/>
      <c r="E66" s="14"/>
      <c r="F66" s="14"/>
      <c r="G66" s="14"/>
      <c r="H66" s="21"/>
      <c r="I66" s="21"/>
      <c r="J66" s="14"/>
      <c r="K66" s="14"/>
      <c r="L66" s="14"/>
      <c r="M66" s="14"/>
      <c r="N66" s="14"/>
      <c r="O66" s="14"/>
      <c r="P66" s="14"/>
      <c r="Q66" s="47"/>
      <c r="R66" s="19"/>
      <c r="S66" s="19"/>
      <c r="T66" s="19"/>
      <c r="U66" s="59"/>
      <c r="V66" s="14"/>
      <c r="W66" s="14"/>
      <c r="X66" s="14"/>
      <c r="Y66" s="14"/>
      <c r="Z66" s="14"/>
      <c r="AA66" s="14"/>
      <c r="AB66" s="14"/>
      <c r="AC66" s="14"/>
      <c r="AD66" s="65"/>
      <c r="AE66" s="63"/>
      <c r="AF66" s="352"/>
      <c r="AG66" s="19"/>
      <c r="AH66" s="19"/>
      <c r="AI66" s="19"/>
      <c r="AJ66" s="59"/>
      <c r="AK66" s="14"/>
      <c r="AL66" s="14"/>
      <c r="AM66" s="14"/>
      <c r="AN66" s="14"/>
      <c r="AO66" s="14"/>
      <c r="AP66" s="14"/>
      <c r="AQ66" s="14"/>
      <c r="AR66" s="14"/>
      <c r="AS66" s="65"/>
      <c r="AT66" s="63"/>
      <c r="AU66" s="352"/>
      <c r="AV66" s="19"/>
      <c r="AW66" s="19"/>
      <c r="AX66" s="19"/>
      <c r="AY66" s="59"/>
      <c r="AZ66" s="14"/>
      <c r="BA66" s="14"/>
      <c r="BB66" s="14"/>
      <c r="BC66" s="14"/>
      <c r="BD66" s="14"/>
      <c r="BE66" s="14"/>
      <c r="BF66" s="14"/>
      <c r="BG66" s="14"/>
      <c r="BH66" s="65"/>
      <c r="BI66" s="63"/>
      <c r="BJ66" s="352"/>
      <c r="BK66" s="19"/>
      <c r="BL66" s="19"/>
      <c r="BM66" s="19"/>
      <c r="BN66" s="59"/>
      <c r="BO66" s="14"/>
      <c r="BP66" s="14"/>
      <c r="BQ66" s="14"/>
      <c r="BR66" s="14"/>
      <c r="BS66" s="14"/>
      <c r="BT66" s="14"/>
      <c r="BU66" s="14"/>
      <c r="BV66" s="14"/>
      <c r="BW66" s="65"/>
      <c r="BX66" s="63"/>
      <c r="BY66" s="352"/>
      <c r="BZ66" s="14"/>
      <c r="CA66" s="140" t="s">
        <v>146</v>
      </c>
      <c r="CB66" s="27">
        <f>COUNTIFS(S30_stakeholder_category,"FO",Response_Q177_5,"&lt;&gt;0",Response_Q173_1,"&lt;&gt;0")</f>
        <v>1</v>
      </c>
      <c r="CC66" s="37">
        <f>COUNTIFS(S30_stakeholder_category,"FO",Response_Q177_5,1,Response_Q173_1,"&lt;&gt;0")</f>
        <v>0</v>
      </c>
      <c r="CD66" s="37">
        <f>COUNTIFS(S30_stakeholder_category,"FO",Response_Q177_5,2,Response_Q173_1,"&lt;&gt;0")</f>
        <v>0</v>
      </c>
      <c r="CE66" s="37">
        <f>COUNTIFS(S30_stakeholder_category,"FO",Response_Q177_5,3,Response_Q173_1,"&lt;&gt;0")</f>
        <v>1</v>
      </c>
      <c r="CF66" s="97">
        <f>IF(CB58=0,0,SUMPRODUCT(CC66:CE66,Rank_score)/$CB58)</f>
        <v>0.2</v>
      </c>
      <c r="CG66" s="14"/>
      <c r="CH66" s="140" t="s">
        <v>146</v>
      </c>
      <c r="CI66" s="27">
        <f t="shared" ref="CI66:CN66" si="24">COUNTIFS(S30_stakeholder_category,"FO",Response_Q177_5,"&lt;&gt;0",Response_Q177_6,CI$63,Response_Q173_1,"&lt;&gt;0")</f>
        <v>0</v>
      </c>
      <c r="CJ66" s="27">
        <f t="shared" si="24"/>
        <v>0</v>
      </c>
      <c r="CK66" s="27">
        <f t="shared" si="24"/>
        <v>0</v>
      </c>
      <c r="CL66" s="27">
        <f t="shared" si="24"/>
        <v>0</v>
      </c>
      <c r="CM66" s="27">
        <f t="shared" si="24"/>
        <v>0</v>
      </c>
      <c r="CN66" s="27">
        <f t="shared" si="24"/>
        <v>0</v>
      </c>
      <c r="CO66" s="141" t="str">
        <f t="shared" si="22"/>
        <v>Ranked, but likelihood not estimated</v>
      </c>
      <c r="CP66" s="14"/>
      <c r="CQ66" s="47"/>
      <c r="CR66" s="14"/>
      <c r="CS66" s="106" t="s">
        <v>339</v>
      </c>
      <c r="CT66" s="27">
        <f>COUNTIFS(S30_stakeholder_category,"FO",Response_Q178_5,"&lt;&gt;0",Response_Q173_1,"&lt;&gt;0")</f>
        <v>1</v>
      </c>
      <c r="CU66" s="37">
        <f>COUNTIFS(S30_stakeholder_category,"FO",Response_Q178_5,1,Response_Q173_1,"&lt;&gt;0")</f>
        <v>0</v>
      </c>
      <c r="CV66" s="37">
        <f>COUNTIFS(S30_stakeholder_category,"FO",Response_Q178_5,2,Response_Q173_1,"&lt;&gt;0")</f>
        <v>0</v>
      </c>
      <c r="CW66" s="37">
        <f>COUNTIFS(S30_stakeholder_category,"FO",Response_Q178_5,3,Response_Q173_1,"&lt;&gt;0")</f>
        <v>1</v>
      </c>
      <c r="CX66" s="37">
        <f>IF(CT58=0,0,SUMPRODUCT(CU66:CW66,Rank_score)/CT$58)</f>
        <v>0.5</v>
      </c>
      <c r="CY66" s="14"/>
      <c r="CZ66" s="106" t="s">
        <v>339</v>
      </c>
      <c r="DA66" s="27">
        <f t="shared" ref="DA66:DF66" si="25">COUNTIFS(S30_stakeholder_category,"FO",Response_Q178_5,"&lt;&gt;0",Response_Q178_6,DA$63,Response_Q173_1,"&lt;&gt;0")</f>
        <v>0</v>
      </c>
      <c r="DB66" s="27">
        <f t="shared" si="25"/>
        <v>0</v>
      </c>
      <c r="DC66" s="27">
        <f t="shared" si="25"/>
        <v>0</v>
      </c>
      <c r="DD66" s="27">
        <f t="shared" si="25"/>
        <v>0</v>
      </c>
      <c r="DE66" s="27">
        <f t="shared" si="25"/>
        <v>1</v>
      </c>
      <c r="DF66" s="27">
        <f t="shared" si="25"/>
        <v>0</v>
      </c>
      <c r="DG66" s="141">
        <f t="shared" si="20"/>
        <v>5</v>
      </c>
      <c r="DH66" s="14"/>
      <c r="DI66" s="47"/>
      <c r="DJ66" s="14"/>
      <c r="DK66" s="14"/>
      <c r="DL66" s="19"/>
      <c r="DM66" s="59"/>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row>
    <row r="67" spans="1:142" x14ac:dyDescent="0.25">
      <c r="A67" s="14"/>
      <c r="B67" s="62"/>
      <c r="C67" s="19"/>
      <c r="D67" s="59"/>
      <c r="E67" s="14"/>
      <c r="F67" s="14"/>
      <c r="G67" s="14"/>
      <c r="H67" s="21"/>
      <c r="I67" s="21"/>
      <c r="J67" s="14"/>
      <c r="K67" s="14"/>
      <c r="L67" s="14"/>
      <c r="M67" s="14"/>
      <c r="N67" s="14"/>
      <c r="O67" s="14"/>
      <c r="P67" s="14"/>
      <c r="Q67" s="47"/>
      <c r="R67" s="19"/>
      <c r="S67" s="56"/>
      <c r="T67" s="29"/>
      <c r="U67" s="59"/>
      <c r="V67" s="14"/>
      <c r="W67" s="14"/>
      <c r="X67" s="14"/>
      <c r="Y67" s="14"/>
      <c r="Z67" s="14"/>
      <c r="AA67" s="14"/>
      <c r="AB67" s="14"/>
      <c r="AC67" s="14"/>
      <c r="AD67" s="65"/>
      <c r="AE67" s="63"/>
      <c r="AF67" s="352"/>
      <c r="AG67" s="19"/>
      <c r="AH67" s="56"/>
      <c r="AI67" s="29"/>
      <c r="AJ67" s="59"/>
      <c r="AK67" s="14"/>
      <c r="AL67" s="14"/>
      <c r="AM67" s="14"/>
      <c r="AN67" s="14"/>
      <c r="AO67" s="14"/>
      <c r="AP67" s="14"/>
      <c r="AQ67" s="14"/>
      <c r="AR67" s="14"/>
      <c r="AS67" s="65"/>
      <c r="AT67" s="63"/>
      <c r="AU67" s="352"/>
      <c r="AV67" s="19"/>
      <c r="AW67" s="56"/>
      <c r="AX67" s="29"/>
      <c r="AY67" s="59"/>
      <c r="AZ67" s="14"/>
      <c r="BA67" s="14"/>
      <c r="BB67" s="14"/>
      <c r="BC67" s="14"/>
      <c r="BD67" s="14"/>
      <c r="BE67" s="14"/>
      <c r="BF67" s="14"/>
      <c r="BG67" s="14"/>
      <c r="BH67" s="65"/>
      <c r="BI67" s="63"/>
      <c r="BJ67" s="352"/>
      <c r="BK67" s="19"/>
      <c r="BL67" s="56"/>
      <c r="BM67" s="29"/>
      <c r="BN67" s="59"/>
      <c r="BO67" s="14"/>
      <c r="BP67" s="14"/>
      <c r="BQ67" s="14"/>
      <c r="BR67" s="14"/>
      <c r="BS67" s="14"/>
      <c r="BT67" s="14"/>
      <c r="BU67" s="14"/>
      <c r="BV67" s="14"/>
      <c r="BW67" s="65"/>
      <c r="BX67" s="63"/>
      <c r="BY67" s="352"/>
      <c r="BZ67" s="14"/>
      <c r="CA67" s="140" t="s">
        <v>147</v>
      </c>
      <c r="CB67" s="27">
        <f>COUNTIFS(S30_stakeholder_category,"FO",Response_Q177_7,"&lt;&gt;0",Response_Q173_1,"&lt;&gt;0")</f>
        <v>0</v>
      </c>
      <c r="CC67" s="37">
        <f>COUNTIFS(S30_stakeholder_category,"FO",Response_Q177_7,1,Response_Q173_1,"&lt;&gt;0")</f>
        <v>0</v>
      </c>
      <c r="CD67" s="37">
        <f>COUNTIFS(S30_stakeholder_category,"FO",Response_Q177_7,2,Response_Q173_1,"&lt;&gt;0")</f>
        <v>0</v>
      </c>
      <c r="CE67" s="37">
        <f>COUNTIFS(S30_stakeholder_category,"FO",Response_Q177_7,3,Response_Q173_1,"&lt;&gt;0")</f>
        <v>0</v>
      </c>
      <c r="CF67" s="97">
        <f>IF(CB58=0,0,SUMPRODUCT(CC67:CE67,Rank_score)/$CB58)</f>
        <v>0</v>
      </c>
      <c r="CG67" s="14"/>
      <c r="CH67" s="140" t="s">
        <v>147</v>
      </c>
      <c r="CI67" s="27">
        <f t="shared" ref="CI67:CN67" si="26">COUNTIFS(S30_stakeholder_category,"FO",Response_Q177_7,"&lt;&gt;0",Response_Q177_8,CI$63,Response_Q173_1,"&lt;&gt;0")</f>
        <v>0</v>
      </c>
      <c r="CJ67" s="27">
        <f t="shared" si="26"/>
        <v>0</v>
      </c>
      <c r="CK67" s="27">
        <f t="shared" si="26"/>
        <v>0</v>
      </c>
      <c r="CL67" s="27">
        <f t="shared" si="26"/>
        <v>0</v>
      </c>
      <c r="CM67" s="27">
        <f t="shared" si="26"/>
        <v>0</v>
      </c>
      <c r="CN67" s="27">
        <f t="shared" si="26"/>
        <v>0</v>
      </c>
      <c r="CO67" s="141" t="str">
        <f t="shared" si="22"/>
        <v>Factor not ranked</v>
      </c>
      <c r="CP67" s="14"/>
      <c r="CQ67" s="47"/>
      <c r="CR67" s="14"/>
      <c r="CS67" s="106" t="s">
        <v>345</v>
      </c>
      <c r="CT67" s="27">
        <f>COUNTIFS(S30_stakeholder_category,"FO",Response_Q178_7,"&lt;&gt;0",Response_Q173_1,"&lt;&gt;0")</f>
        <v>1</v>
      </c>
      <c r="CU67" s="37">
        <f>COUNTIFS(S30_stakeholder_category,"FO",Response_Q178_7,1,Response_Q173_1,"&lt;&gt;0")</f>
        <v>0</v>
      </c>
      <c r="CV67" s="37">
        <f>COUNTIFS(S30_stakeholder_category,"FO",Response_Q178_7,2,Response_Q173_1,"&lt;&gt;0")</f>
        <v>1</v>
      </c>
      <c r="CW67" s="37">
        <f>COUNTIFS(S30_stakeholder_category,"FO",Response_Q178_7,3,Response_Q173_1,"&lt;&gt;0")</f>
        <v>0</v>
      </c>
      <c r="CX67" s="37">
        <f>IF(CT58=0,0,SUMPRODUCT(CU67:CW67,Rank_score)/CT$58)</f>
        <v>1</v>
      </c>
      <c r="CY67" s="14"/>
      <c r="CZ67" s="106" t="s">
        <v>345</v>
      </c>
      <c r="DA67" s="27">
        <f t="shared" ref="DA67:DF67" si="27">COUNTIFS(S30_stakeholder_category,"FO",Response_Q178_7,"&lt;&gt;0",Response_Q178_8,DA$63,Response_Q173_1,"&lt;&gt;0")</f>
        <v>0</v>
      </c>
      <c r="DB67" s="27">
        <f t="shared" si="27"/>
        <v>0</v>
      </c>
      <c r="DC67" s="27">
        <f t="shared" si="27"/>
        <v>0</v>
      </c>
      <c r="DD67" s="27">
        <f t="shared" si="27"/>
        <v>1</v>
      </c>
      <c r="DE67" s="27">
        <f t="shared" si="27"/>
        <v>0</v>
      </c>
      <c r="DF67" s="27">
        <f t="shared" si="27"/>
        <v>0</v>
      </c>
      <c r="DG67" s="141">
        <f t="shared" si="20"/>
        <v>4</v>
      </c>
      <c r="DH67" s="14"/>
      <c r="DI67" s="47"/>
      <c r="DJ67" s="14"/>
      <c r="DK67" s="14"/>
      <c r="DL67" s="19"/>
      <c r="DM67" s="59"/>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row>
    <row r="68" spans="1:142" x14ac:dyDescent="0.25">
      <c r="A68" s="14"/>
      <c r="B68" s="62"/>
      <c r="C68" s="19"/>
      <c r="D68" s="19"/>
      <c r="E68" s="14"/>
      <c r="F68" s="14"/>
      <c r="G68" s="14"/>
      <c r="H68" s="21"/>
      <c r="I68" s="21"/>
      <c r="J68" s="14"/>
      <c r="K68" s="14"/>
      <c r="L68" s="14"/>
      <c r="M68" s="14"/>
      <c r="N68" s="14"/>
      <c r="O68" s="14"/>
      <c r="P68" s="14"/>
      <c r="Q68" s="47"/>
      <c r="R68" s="19"/>
      <c r="S68" s="56"/>
      <c r="T68" s="19"/>
      <c r="U68" s="59"/>
      <c r="V68" s="14"/>
      <c r="W68" s="14"/>
      <c r="X68" s="14"/>
      <c r="Y68" s="14"/>
      <c r="Z68" s="14"/>
      <c r="AA68" s="14"/>
      <c r="AB68" s="14"/>
      <c r="AC68" s="14"/>
      <c r="AD68" s="65"/>
      <c r="AE68" s="63"/>
      <c r="AF68" s="352"/>
      <c r="AG68" s="19"/>
      <c r="AH68" s="56"/>
      <c r="AI68" s="19"/>
      <c r="AJ68" s="59"/>
      <c r="AK68" s="14"/>
      <c r="AL68" s="14"/>
      <c r="AM68" s="14"/>
      <c r="AN68" s="14"/>
      <c r="AO68" s="14"/>
      <c r="AP68" s="14"/>
      <c r="AQ68" s="14"/>
      <c r="AR68" s="14"/>
      <c r="AS68" s="65"/>
      <c r="AT68" s="63"/>
      <c r="AU68" s="352"/>
      <c r="AV68" s="14"/>
      <c r="AW68" s="56"/>
      <c r="AX68" s="19"/>
      <c r="AY68" s="59"/>
      <c r="AZ68" s="14"/>
      <c r="BA68" s="14"/>
      <c r="BB68" s="14"/>
      <c r="BC68" s="14"/>
      <c r="BD68" s="14"/>
      <c r="BE68" s="14"/>
      <c r="BF68" s="14"/>
      <c r="BG68" s="14"/>
      <c r="BH68" s="65"/>
      <c r="BI68" s="63"/>
      <c r="BJ68" s="352"/>
      <c r="BK68" s="19"/>
      <c r="BL68" s="56"/>
      <c r="BM68" s="19"/>
      <c r="BN68" s="59"/>
      <c r="BO68" s="14"/>
      <c r="BP68" s="14"/>
      <c r="BQ68" s="14"/>
      <c r="BR68" s="14"/>
      <c r="BS68" s="14"/>
      <c r="BT68" s="14"/>
      <c r="BU68" s="14"/>
      <c r="BV68" s="14"/>
      <c r="BW68" s="65"/>
      <c r="BX68" s="63"/>
      <c r="BY68" s="352"/>
      <c r="BZ68" s="14"/>
      <c r="CA68" s="140" t="s">
        <v>341</v>
      </c>
      <c r="CB68" s="27">
        <f>COUNTIFS(S30_stakeholder_category,"FO",Response_Q177_9,"&lt;&gt;0",Response_Q173_1,"&lt;&gt;0")</f>
        <v>0</v>
      </c>
      <c r="CC68" s="37">
        <f>COUNTIFS(S30_stakeholder_category,"FO",Response_Q177_9,1,Response_Q173_1,"&lt;&gt;0")</f>
        <v>0</v>
      </c>
      <c r="CD68" s="37">
        <f>COUNTIFS(S30_stakeholder_category,"FO",Response_Q177_9,2,Response_Q173_1,"&lt;&gt;0")</f>
        <v>0</v>
      </c>
      <c r="CE68" s="37">
        <f>COUNTIFS(S30_stakeholder_category,"FO",Response_Q177_9,3,Response_Q173_1,"&lt;&gt;0")</f>
        <v>0</v>
      </c>
      <c r="CF68" s="97">
        <f>IF(CB58=0,0,SUMPRODUCT(CC68:CE68,Rank_score)/$CB58)</f>
        <v>0</v>
      </c>
      <c r="CG68" s="14"/>
      <c r="CH68" s="140" t="s">
        <v>341</v>
      </c>
      <c r="CI68" s="27">
        <f t="shared" ref="CI68:CN68" si="28">COUNTIFS(S30_stakeholder_category,"FO",Response_Q177_9,"&lt;&gt;0",Response_Q177_10,CI$63,Response_Q173_1,"&lt;&gt;0")</f>
        <v>0</v>
      </c>
      <c r="CJ68" s="27">
        <f t="shared" si="28"/>
        <v>0</v>
      </c>
      <c r="CK68" s="27">
        <f t="shared" si="28"/>
        <v>0</v>
      </c>
      <c r="CL68" s="27">
        <f t="shared" si="28"/>
        <v>0</v>
      </c>
      <c r="CM68" s="27">
        <f t="shared" si="28"/>
        <v>0</v>
      </c>
      <c r="CN68" s="27">
        <f t="shared" si="28"/>
        <v>0</v>
      </c>
      <c r="CO68" s="141" t="str">
        <f t="shared" si="22"/>
        <v>Factor not ranked</v>
      </c>
      <c r="CP68" s="14"/>
      <c r="CQ68" s="47"/>
      <c r="CR68" s="14"/>
      <c r="CS68" s="106" t="s">
        <v>561</v>
      </c>
      <c r="CT68" s="27">
        <f>COUNTIFS(S30_stakeholder_category,"FO",Response_Q178_9,"&lt;&gt;0",Response_Q173_1,"&lt;&gt;0")</f>
        <v>0</v>
      </c>
      <c r="CU68" s="37">
        <f>COUNTIFS(S30_stakeholder_category,"FO",Response_Q178_9,1,Response_Q173_1,"&lt;&gt;0")</f>
        <v>0</v>
      </c>
      <c r="CV68" s="37">
        <f>COUNTIFS(S30_stakeholder_category,"FO",Response_Q178_9,2,Response_Q173_1,"&lt;&gt;0")</f>
        <v>0</v>
      </c>
      <c r="CW68" s="37">
        <f>COUNTIFS(S30_stakeholder_category,"FO",Response_Q178_9,3,Response_Q173_1,"&lt;&gt;0")</f>
        <v>0</v>
      </c>
      <c r="CX68" s="37">
        <f>IF(CT58=0,0,SUMPRODUCT(CU68:CW68,Rank_score)/CT$58)</f>
        <v>0</v>
      </c>
      <c r="CY68" s="14"/>
      <c r="CZ68" s="106" t="s">
        <v>561</v>
      </c>
      <c r="DA68" s="27">
        <f t="shared" ref="DA68:DF68" si="29">COUNTIFS(S30_stakeholder_category,"FO",Response_Q178_9,"&lt;&gt;0",Response_Q178_10,DA$63,Response_Q173_1,"&lt;&gt;0")</f>
        <v>0</v>
      </c>
      <c r="DB68" s="27">
        <f t="shared" si="29"/>
        <v>0</v>
      </c>
      <c r="DC68" s="27">
        <f t="shared" si="29"/>
        <v>0</v>
      </c>
      <c r="DD68" s="27">
        <f t="shared" si="29"/>
        <v>0</v>
      </c>
      <c r="DE68" s="27">
        <f t="shared" si="29"/>
        <v>0</v>
      </c>
      <c r="DF68" s="27">
        <f t="shared" si="29"/>
        <v>0</v>
      </c>
      <c r="DG68" s="141" t="str">
        <f t="shared" si="20"/>
        <v>Factor not ranked</v>
      </c>
      <c r="DH68" s="14"/>
      <c r="DI68" s="47"/>
      <c r="DJ68" s="14"/>
      <c r="DK68" s="14"/>
      <c r="DL68" s="19"/>
      <c r="DM68" s="59"/>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row>
    <row r="69" spans="1:142" x14ac:dyDescent="0.25">
      <c r="A69" s="14"/>
      <c r="B69" s="62"/>
      <c r="C69" s="19"/>
      <c r="D69" s="19"/>
      <c r="E69" s="14"/>
      <c r="F69" s="14"/>
      <c r="G69" s="14"/>
      <c r="H69" s="21"/>
      <c r="I69" s="21"/>
      <c r="J69" s="14"/>
      <c r="K69" s="14"/>
      <c r="L69" s="14"/>
      <c r="M69" s="14"/>
      <c r="N69" s="14"/>
      <c r="O69" s="14"/>
      <c r="P69" s="14"/>
      <c r="Q69" s="47"/>
      <c r="R69" s="19"/>
      <c r="S69" s="14"/>
      <c r="T69" s="19"/>
      <c r="U69" s="59"/>
      <c r="V69" s="14"/>
      <c r="W69" s="14"/>
      <c r="X69" s="14"/>
      <c r="Y69" s="19"/>
      <c r="Z69" s="19"/>
      <c r="AA69" s="19"/>
      <c r="AB69" s="19"/>
      <c r="AC69" s="19"/>
      <c r="AD69" s="65"/>
      <c r="AE69" s="63"/>
      <c r="AF69" s="352"/>
      <c r="AG69" s="19"/>
      <c r="AH69" s="14"/>
      <c r="AI69" s="19"/>
      <c r="AJ69" s="59"/>
      <c r="AK69" s="14"/>
      <c r="AL69" s="14"/>
      <c r="AM69" s="14"/>
      <c r="AN69" s="19"/>
      <c r="AO69" s="19"/>
      <c r="AP69" s="19"/>
      <c r="AQ69" s="19"/>
      <c r="AR69" s="19"/>
      <c r="AS69" s="65"/>
      <c r="AT69" s="63"/>
      <c r="AU69" s="352"/>
      <c r="AV69" s="14"/>
      <c r="AW69" s="14"/>
      <c r="AX69" s="19"/>
      <c r="AY69" s="59"/>
      <c r="AZ69" s="14"/>
      <c r="BA69" s="14"/>
      <c r="BB69" s="14"/>
      <c r="BC69" s="19"/>
      <c r="BD69" s="19"/>
      <c r="BE69" s="19"/>
      <c r="BF69" s="19"/>
      <c r="BG69" s="19"/>
      <c r="BH69" s="65"/>
      <c r="BI69" s="63"/>
      <c r="BJ69" s="352"/>
      <c r="BK69" s="19"/>
      <c r="BL69" s="14"/>
      <c r="BM69" s="19"/>
      <c r="BN69" s="59"/>
      <c r="BO69" s="14"/>
      <c r="BP69" s="14"/>
      <c r="BQ69" s="14"/>
      <c r="BR69" s="19"/>
      <c r="BS69" s="19"/>
      <c r="BT69" s="19"/>
      <c r="BU69" s="19"/>
      <c r="BV69" s="19"/>
      <c r="BW69" s="65"/>
      <c r="BX69" s="63"/>
      <c r="BY69" s="352"/>
      <c r="BZ69" s="14"/>
      <c r="CA69" s="106" t="s">
        <v>148</v>
      </c>
      <c r="CB69" s="27">
        <f>COUNTIFS(S30_stakeholder_category,"FO",Response_Q177_11,"&lt;&gt;0",Response_Q173_1,"&lt;&gt;0")</f>
        <v>1</v>
      </c>
      <c r="CC69" s="37">
        <f>COUNTIFS(S30_stakeholder_category,"FO",Response_Q177_11,1,Response_Q173_1,"&lt;&gt;0")</f>
        <v>0</v>
      </c>
      <c r="CD69" s="37">
        <f>COUNTIFS(S30_stakeholder_category,"FO",Response_Q177_11,2,Response_Q173_1,"&lt;&gt;0")</f>
        <v>0</v>
      </c>
      <c r="CE69" s="37">
        <f>COUNTIFS(S30_stakeholder_category,"FO",Response_Q177_11,3,Response_Q173_1,"&lt;&gt;0")</f>
        <v>1</v>
      </c>
      <c r="CF69" s="97">
        <f>IF(CB58=0,0,SUMPRODUCT(CC69:CE69,Rank_score)/$CB58)</f>
        <v>0.2</v>
      </c>
      <c r="CG69" s="43"/>
      <c r="CH69" s="106" t="s">
        <v>148</v>
      </c>
      <c r="CI69" s="27">
        <f t="shared" ref="CI69:CN69" si="30">COUNTIFS(S30_stakeholder_category,"FO",Response_Q177_11,"&lt;&gt;0",Response_Q177_12,CI$63,Response_Q173_1,"&lt;&gt;0")</f>
        <v>0</v>
      </c>
      <c r="CJ69" s="27">
        <f t="shared" si="30"/>
        <v>1</v>
      </c>
      <c r="CK69" s="27">
        <f t="shared" si="30"/>
        <v>0</v>
      </c>
      <c r="CL69" s="27">
        <f t="shared" si="30"/>
        <v>0</v>
      </c>
      <c r="CM69" s="27">
        <f t="shared" si="30"/>
        <v>0</v>
      </c>
      <c r="CN69" s="27">
        <f t="shared" si="30"/>
        <v>0</v>
      </c>
      <c r="CO69" s="141">
        <f t="shared" si="22"/>
        <v>2</v>
      </c>
      <c r="CP69" s="14"/>
      <c r="CQ69" s="47"/>
      <c r="CR69" s="14"/>
      <c r="CS69" s="106" t="s">
        <v>49</v>
      </c>
      <c r="CT69" s="27">
        <f>COUNTIFS(S30_stakeholder_category,"FO",Response_Q178_11,"&lt;&gt;0",Response_Q173_1,"&lt;&gt;0")</f>
        <v>0</v>
      </c>
      <c r="CU69" s="37">
        <f>COUNTIFS(S30_stakeholder_category,"FO",Response_Q178_11,1,Response_Q173_1,"&lt;&gt;0")</f>
        <v>0</v>
      </c>
      <c r="CV69" s="37">
        <f>COUNTIFS(S30_stakeholder_category,"FO",Response_Q178_11,2,Response_Q173_1,"&lt;&gt;0")</f>
        <v>0</v>
      </c>
      <c r="CW69" s="37">
        <f>COUNTIFS(S30_stakeholder_category,"FO",Response_Q178_11,3,Response_Q173_1,"&lt;&gt;0")</f>
        <v>0</v>
      </c>
      <c r="CX69" s="37">
        <f>IF(CT58=0,0,SUMPRODUCT(CU69:CW69,Rank_score)/CT$58)</f>
        <v>0</v>
      </c>
      <c r="CY69" s="43"/>
      <c r="CZ69" s="106" t="s">
        <v>49</v>
      </c>
      <c r="DA69" s="27">
        <f t="shared" ref="DA69:DF69" si="31">COUNTIFS(S30_stakeholder_category,"FO",Response_Q178_11,"&lt;&gt;0",Response_Q178_12,DA$63,Response_Q173_1,"&lt;&gt;0")</f>
        <v>0</v>
      </c>
      <c r="DB69" s="27">
        <f t="shared" si="31"/>
        <v>0</v>
      </c>
      <c r="DC69" s="27">
        <f t="shared" si="31"/>
        <v>0</v>
      </c>
      <c r="DD69" s="27">
        <f t="shared" si="31"/>
        <v>0</v>
      </c>
      <c r="DE69" s="27">
        <f t="shared" si="31"/>
        <v>0</v>
      </c>
      <c r="DF69" s="27">
        <f t="shared" si="31"/>
        <v>0</v>
      </c>
      <c r="DG69" s="141" t="str">
        <f t="shared" si="20"/>
        <v>Factor not ranked</v>
      </c>
      <c r="DH69" s="14"/>
      <c r="DI69" s="47"/>
      <c r="DJ69" s="14"/>
      <c r="DK69" s="62"/>
      <c r="DL69" s="19"/>
      <c r="DM69" s="59"/>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row>
    <row r="70" spans="1:142" x14ac:dyDescent="0.25">
      <c r="A70" s="14"/>
      <c r="B70" s="62"/>
      <c r="C70" s="19"/>
      <c r="D70" s="59"/>
      <c r="E70" s="14"/>
      <c r="F70" s="14"/>
      <c r="G70" s="14"/>
      <c r="H70" s="21"/>
      <c r="I70" s="21"/>
      <c r="J70" s="14"/>
      <c r="K70" s="14"/>
      <c r="L70" s="14"/>
      <c r="M70" s="14"/>
      <c r="N70" s="14"/>
      <c r="O70" s="14"/>
      <c r="P70" s="14"/>
      <c r="Q70" s="47"/>
      <c r="R70" s="19"/>
      <c r="S70" s="14"/>
      <c r="T70" s="19"/>
      <c r="U70" s="59"/>
      <c r="V70" s="14"/>
      <c r="W70" s="14"/>
      <c r="X70" s="14"/>
      <c r="Y70" s="19"/>
      <c r="Z70" s="14"/>
      <c r="AA70" s="14"/>
      <c r="AB70" s="14"/>
      <c r="AC70" s="14"/>
      <c r="AD70" s="65"/>
      <c r="AE70" s="63"/>
      <c r="AF70" s="352"/>
      <c r="AG70" s="19"/>
      <c r="AH70" s="14"/>
      <c r="AI70" s="19"/>
      <c r="AJ70" s="59"/>
      <c r="AK70" s="14"/>
      <c r="AL70" s="14"/>
      <c r="AM70" s="14"/>
      <c r="AN70" s="19"/>
      <c r="AO70" s="14"/>
      <c r="AP70" s="14"/>
      <c r="AQ70" s="14"/>
      <c r="AR70" s="14"/>
      <c r="AS70" s="65"/>
      <c r="AT70" s="63"/>
      <c r="AU70" s="352"/>
      <c r="AV70" s="14"/>
      <c r="AW70" s="14"/>
      <c r="AX70" s="19"/>
      <c r="AY70" s="59"/>
      <c r="AZ70" s="14"/>
      <c r="BA70" s="14"/>
      <c r="BB70" s="14"/>
      <c r="BC70" s="19"/>
      <c r="BD70" s="14"/>
      <c r="BE70" s="14"/>
      <c r="BF70" s="14"/>
      <c r="BG70" s="14"/>
      <c r="BH70" s="65"/>
      <c r="BI70" s="63"/>
      <c r="BJ70" s="352"/>
      <c r="BK70" s="19"/>
      <c r="BL70" s="14"/>
      <c r="BM70" s="19"/>
      <c r="BN70" s="59"/>
      <c r="BO70" s="14"/>
      <c r="BP70" s="14"/>
      <c r="BQ70" s="14"/>
      <c r="BR70" s="19"/>
      <c r="BS70" s="14"/>
      <c r="BT70" s="14"/>
      <c r="BU70" s="14"/>
      <c r="BV70" s="14"/>
      <c r="BW70" s="65"/>
      <c r="BX70" s="63"/>
      <c r="BY70" s="352"/>
      <c r="BZ70" s="14"/>
      <c r="CA70" s="107" t="s">
        <v>49</v>
      </c>
      <c r="CB70" s="27">
        <f>COUNTIFS(S30_stakeholder_category,"FO",Response_Q177_13,"&lt;&gt;0",Response_Q173_1,"&lt;&gt;0")</f>
        <v>2</v>
      </c>
      <c r="CC70" s="37">
        <f>COUNTIFS(S30_stakeholder_category,"FO",Response_Q177_13,1,Response_Q173_1,"&lt;&gt;0")</f>
        <v>2</v>
      </c>
      <c r="CD70" s="37">
        <f>COUNTIFS(S30_stakeholder_category,"FO",Response_Q177_13,2,Response_Q173_1,"&lt;&gt;0")</f>
        <v>0</v>
      </c>
      <c r="CE70" s="37">
        <f>COUNTIFS(S30_stakeholder_category,"FO",Response_Q177_13,3,Response_Q173_1,"&lt;&gt;0")</f>
        <v>0</v>
      </c>
      <c r="CF70" s="97">
        <f>IF(CB58=0,0,SUMPRODUCT(CC70:CE70,Rank_score)/$CB58)</f>
        <v>1.2</v>
      </c>
      <c r="CG70" s="29"/>
      <c r="CH70" s="107" t="s">
        <v>49</v>
      </c>
      <c r="CI70" s="27">
        <f t="shared" ref="CI70:CN70" si="32">COUNTIFS(S30_stakeholder_category,"FO",Response_Q177_13,"&lt;&gt;0",Response_Q177_14,CI$63,Response_Q173_1,"&lt;&gt;0")</f>
        <v>0</v>
      </c>
      <c r="CJ70" s="27">
        <f t="shared" si="32"/>
        <v>0</v>
      </c>
      <c r="CK70" s="27">
        <f t="shared" si="32"/>
        <v>0</v>
      </c>
      <c r="CL70" s="27">
        <f t="shared" si="32"/>
        <v>1</v>
      </c>
      <c r="CM70" s="27">
        <f t="shared" si="32"/>
        <v>0</v>
      </c>
      <c r="CN70" s="27">
        <f t="shared" si="32"/>
        <v>1</v>
      </c>
      <c r="CO70" s="141">
        <f t="shared" si="22"/>
        <v>5</v>
      </c>
      <c r="CP70" s="14"/>
      <c r="CQ70" s="47"/>
      <c r="CR70" s="14"/>
      <c r="CS70" s="107"/>
      <c r="CT70" s="27"/>
      <c r="CU70" s="37"/>
      <c r="CV70" s="37"/>
      <c r="CW70" s="37"/>
      <c r="CX70" s="37"/>
      <c r="CY70" s="29"/>
      <c r="CZ70" s="106"/>
      <c r="DA70" s="27"/>
      <c r="DB70" s="27"/>
      <c r="DC70" s="27"/>
      <c r="DD70" s="27"/>
      <c r="DE70" s="27"/>
      <c r="DF70" s="27"/>
      <c r="DG70" s="141" t="str">
        <f t="shared" si="20"/>
        <v/>
      </c>
      <c r="DH70" s="14"/>
      <c r="DI70" s="47"/>
      <c r="DJ70" s="14"/>
      <c r="DK70" s="62"/>
      <c r="DL70" s="19"/>
      <c r="DM70" s="59"/>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row>
    <row r="71" spans="1:142" x14ac:dyDescent="0.25">
      <c r="A71" s="14"/>
      <c r="B71" s="62"/>
      <c r="C71" s="19"/>
      <c r="D71" s="59"/>
      <c r="E71" s="14"/>
      <c r="F71" s="14"/>
      <c r="G71" s="109" t="s">
        <v>14</v>
      </c>
      <c r="H71" s="110" t="s">
        <v>6</v>
      </c>
      <c r="I71" s="110" t="s">
        <v>7</v>
      </c>
      <c r="J71" s="14"/>
      <c r="K71" s="14"/>
      <c r="L71" s="14"/>
      <c r="M71" s="14"/>
      <c r="N71" s="14"/>
      <c r="O71" s="14"/>
      <c r="P71" s="14"/>
      <c r="Q71" s="47"/>
      <c r="R71" s="19"/>
      <c r="S71" s="14"/>
      <c r="T71" s="19"/>
      <c r="U71" s="59"/>
      <c r="V71" s="14"/>
      <c r="W71" s="14"/>
      <c r="X71" s="109" t="s">
        <v>14</v>
      </c>
      <c r="Y71" s="110" t="s">
        <v>6</v>
      </c>
      <c r="Z71" s="110" t="s">
        <v>7</v>
      </c>
      <c r="AA71" s="56"/>
      <c r="AB71" s="14"/>
      <c r="AC71" s="14"/>
      <c r="AD71" s="65"/>
      <c r="AE71" s="63"/>
      <c r="AF71" s="352"/>
      <c r="AG71" s="19"/>
      <c r="AH71" s="14"/>
      <c r="AI71" s="19"/>
      <c r="AJ71" s="59"/>
      <c r="AK71" s="14"/>
      <c r="AL71" s="14"/>
      <c r="AM71" s="109" t="s">
        <v>14</v>
      </c>
      <c r="AN71" s="110" t="s">
        <v>6</v>
      </c>
      <c r="AO71" s="110" t="s">
        <v>7</v>
      </c>
      <c r="AP71" s="56"/>
      <c r="AQ71" s="14"/>
      <c r="AR71" s="14"/>
      <c r="AS71" s="65"/>
      <c r="AT71" s="63"/>
      <c r="AU71" s="352"/>
      <c r="AV71" s="14"/>
      <c r="AW71" s="14"/>
      <c r="AX71" s="19"/>
      <c r="AY71" s="59"/>
      <c r="AZ71" s="14"/>
      <c r="BA71" s="14"/>
      <c r="BB71" s="109" t="s">
        <v>14</v>
      </c>
      <c r="BC71" s="110" t="s">
        <v>6</v>
      </c>
      <c r="BD71" s="110" t="s">
        <v>7</v>
      </c>
      <c r="BE71" s="56"/>
      <c r="BF71" s="14"/>
      <c r="BG71" s="14"/>
      <c r="BH71" s="65"/>
      <c r="BI71" s="63"/>
      <c r="BJ71" s="352"/>
      <c r="BK71" s="19"/>
      <c r="BL71" s="14"/>
      <c r="BM71" s="19"/>
      <c r="BN71" s="59"/>
      <c r="BO71" s="14"/>
      <c r="BP71" s="14"/>
      <c r="BQ71" s="109" t="s">
        <v>14</v>
      </c>
      <c r="BR71" s="110" t="s">
        <v>6</v>
      </c>
      <c r="BS71" s="110" t="s">
        <v>7</v>
      </c>
      <c r="BT71" s="56"/>
      <c r="BU71" s="14"/>
      <c r="BV71" s="14"/>
      <c r="BW71" s="65"/>
      <c r="BX71" s="63"/>
      <c r="BY71" s="352"/>
      <c r="BZ71" s="14"/>
      <c r="CA71" s="86"/>
      <c r="CB71" s="111"/>
      <c r="CC71" s="111"/>
      <c r="CD71" s="179"/>
      <c r="CE71" s="179"/>
      <c r="CF71" s="108"/>
      <c r="CG71" s="29"/>
      <c r="CH71" s="109"/>
      <c r="CI71" s="109"/>
      <c r="CJ71" s="109"/>
      <c r="CK71" s="109"/>
      <c r="CL71" s="109"/>
      <c r="CM71" s="109"/>
      <c r="CN71" s="109"/>
      <c r="CO71" s="329"/>
      <c r="CP71" s="14"/>
      <c r="CQ71" s="47"/>
      <c r="CR71" s="14"/>
      <c r="CS71" s="107"/>
      <c r="CT71" s="27"/>
      <c r="CU71" s="37"/>
      <c r="CV71" s="37"/>
      <c r="CW71" s="37"/>
      <c r="CX71" s="37"/>
      <c r="CY71" s="29"/>
      <c r="CZ71" s="106"/>
      <c r="DA71" s="27"/>
      <c r="DB71" s="27"/>
      <c r="DC71" s="27"/>
      <c r="DD71" s="27"/>
      <c r="DE71" s="27"/>
      <c r="DF71" s="27"/>
      <c r="DG71" s="141" t="str">
        <f t="shared" si="20"/>
        <v/>
      </c>
      <c r="DH71" s="14"/>
      <c r="DI71" s="47"/>
      <c r="DJ71" s="14"/>
      <c r="DK71" s="62"/>
      <c r="DL71" s="19"/>
      <c r="DM71" s="59"/>
      <c r="DN71" s="14"/>
      <c r="DO71" s="14"/>
      <c r="DP71" s="109" t="s">
        <v>14</v>
      </c>
      <c r="DQ71" s="110" t="s">
        <v>6</v>
      </c>
      <c r="DR71" s="110" t="s">
        <v>7</v>
      </c>
      <c r="DS71" s="14"/>
      <c r="DT71" s="14"/>
      <c r="DU71" s="14"/>
      <c r="DV71" s="14"/>
      <c r="DW71" s="14"/>
      <c r="DX71" s="14"/>
      <c r="DY71" s="14"/>
      <c r="DZ71" s="14"/>
      <c r="EA71" s="14"/>
      <c r="EB71" s="14"/>
      <c r="EC71" s="14"/>
      <c r="ED71" s="14"/>
      <c r="EE71" s="14"/>
      <c r="EF71" s="14"/>
      <c r="EG71" s="14"/>
      <c r="EH71" s="14"/>
      <c r="EI71" s="14"/>
      <c r="EJ71" s="14"/>
      <c r="EK71" s="14"/>
      <c r="EL71" s="14"/>
    </row>
    <row r="72" spans="1:142" x14ac:dyDescent="0.25">
      <c r="A72" s="14"/>
      <c r="B72" s="62"/>
      <c r="C72" s="19"/>
      <c r="D72" s="59"/>
      <c r="E72" s="14"/>
      <c r="F72" s="14"/>
      <c r="G72" s="107" t="s">
        <v>34</v>
      </c>
      <c r="H72" s="27">
        <f>COUNTIFS(S30_stakeholder_category,"FO",Response_Q173_1,G72)</f>
        <v>1</v>
      </c>
      <c r="I72" s="41">
        <f>IFERROR(H72/H$77,"")</f>
        <v>0.2</v>
      </c>
      <c r="J72" s="14"/>
      <c r="K72" s="14"/>
      <c r="L72" s="14"/>
      <c r="M72" s="14"/>
      <c r="N72" s="14"/>
      <c r="O72" s="14"/>
      <c r="P72" s="14"/>
      <c r="Q72" s="47"/>
      <c r="R72" s="19"/>
      <c r="S72" s="62"/>
      <c r="T72" s="19"/>
      <c r="U72" s="59"/>
      <c r="V72" s="14"/>
      <c r="W72" s="14"/>
      <c r="X72" s="107" t="s">
        <v>5</v>
      </c>
      <c r="Y72" s="27">
        <f t="shared" ref="Y72:Y78" si="33">COUNTIFS(S30_stakeholder_category,"FO",Response_Q176_1,X72)</f>
        <v>2</v>
      </c>
      <c r="Z72" s="41">
        <f t="shared" ref="Z72:Z79" si="34">IFERROR(Y72/Y$79,0)</f>
        <v>0.4</v>
      </c>
      <c r="AA72" s="19"/>
      <c r="AB72" s="14"/>
      <c r="AC72" s="14"/>
      <c r="AD72" s="65"/>
      <c r="AE72" s="63"/>
      <c r="AF72" s="352"/>
      <c r="AG72" s="19"/>
      <c r="AH72" s="62"/>
      <c r="AI72" s="19"/>
      <c r="AJ72" s="59"/>
      <c r="AK72" s="14"/>
      <c r="AL72" s="14"/>
      <c r="AM72" s="107" t="s">
        <v>5</v>
      </c>
      <c r="AN72" s="27">
        <f t="shared" ref="AN72:AN78" si="35">COUNTIFS(S30_stakeholder_category,"FO",Response_30a_CaseA,AM72)</f>
        <v>2</v>
      </c>
      <c r="AO72" s="41">
        <f>IFERROR(AN72/AN$79,0)</f>
        <v>0.5</v>
      </c>
      <c r="AP72" s="19"/>
      <c r="AQ72" s="14"/>
      <c r="AR72" s="14"/>
      <c r="AS72" s="65"/>
      <c r="AT72" s="63"/>
      <c r="AU72" s="352"/>
      <c r="AV72" s="14"/>
      <c r="AW72" s="62"/>
      <c r="AX72" s="19"/>
      <c r="AY72" s="59"/>
      <c r="AZ72" s="14"/>
      <c r="BA72" s="14"/>
      <c r="BB72" s="107" t="s">
        <v>5</v>
      </c>
      <c r="BC72" s="27">
        <f t="shared" ref="BC72:BC78" si="36">COUNTIFS(S30_stakeholder_category,"FO",Response_30a_CaseB,BB72)</f>
        <v>2</v>
      </c>
      <c r="BD72" s="41">
        <f>IFERROR(BC72/BC$79,0)</f>
        <v>0.5</v>
      </c>
      <c r="BE72" s="19"/>
      <c r="BF72" s="14"/>
      <c r="BG72" s="14"/>
      <c r="BH72" s="65"/>
      <c r="BI72" s="63"/>
      <c r="BJ72" s="352"/>
      <c r="BK72" s="19"/>
      <c r="BL72" s="62"/>
      <c r="BM72" s="19"/>
      <c r="BN72" s="59"/>
      <c r="BO72" s="14"/>
      <c r="BP72" s="14"/>
      <c r="BQ72" s="107" t="s">
        <v>5</v>
      </c>
      <c r="BR72" s="27">
        <f t="shared" ref="BR72:BR78" si="37">COUNTIFS(S30_stakeholder_category,"FO",Response_30a_CaseC,BQ72)</f>
        <v>2</v>
      </c>
      <c r="BS72" s="41">
        <f>IFERROR(BR72/BR$79,0)</f>
        <v>0.5</v>
      </c>
      <c r="BT72" s="19"/>
      <c r="BU72" s="14"/>
      <c r="BV72" s="14"/>
      <c r="BW72" s="65"/>
      <c r="BX72" s="63"/>
      <c r="BY72" s="352"/>
      <c r="BZ72" s="14"/>
      <c r="CA72" s="14"/>
      <c r="CB72" s="21"/>
      <c r="CC72" s="21"/>
      <c r="CD72" s="180"/>
      <c r="CE72" s="181"/>
      <c r="CF72" s="31"/>
      <c r="CG72" s="52"/>
      <c r="CH72" s="52"/>
      <c r="CI72" s="99"/>
      <c r="CJ72" s="14"/>
      <c r="CK72" s="14"/>
      <c r="CL72" s="14"/>
      <c r="CM72" s="14"/>
      <c r="CN72" s="14"/>
      <c r="CO72" s="129"/>
      <c r="CP72" s="14"/>
      <c r="CQ72" s="47"/>
      <c r="CR72" s="14"/>
      <c r="CS72" s="86"/>
      <c r="CT72" s="111"/>
      <c r="CU72" s="86"/>
      <c r="CV72" s="179"/>
      <c r="CW72" s="188"/>
      <c r="CX72" s="179"/>
      <c r="CY72" s="29"/>
      <c r="CZ72" s="109"/>
      <c r="DA72" s="109"/>
      <c r="DB72" s="109"/>
      <c r="DC72" s="109"/>
      <c r="DD72" s="109"/>
      <c r="DE72" s="109"/>
      <c r="DF72" s="109"/>
      <c r="DG72" s="329"/>
      <c r="DH72" s="14"/>
      <c r="DI72" s="47"/>
      <c r="DJ72" s="14"/>
      <c r="DK72" s="62"/>
      <c r="DL72" s="19"/>
      <c r="DM72" s="59"/>
      <c r="DN72" s="14"/>
      <c r="DO72" s="14"/>
      <c r="DP72" s="107" t="s">
        <v>34</v>
      </c>
      <c r="DQ72" s="27">
        <f>COUNTIFS(S30_stakeholder_category,"FO",Response_Q172_1,DP72,Response_Q173_1,"&lt;&gt;0")</f>
        <v>1</v>
      </c>
      <c r="DR72" s="41">
        <f>IF(DQ77=0,"",DQ72/DQ77)</f>
        <v>0.2</v>
      </c>
      <c r="DS72" s="14"/>
      <c r="DT72" s="14"/>
      <c r="DU72" s="14"/>
      <c r="DV72" s="14"/>
      <c r="DW72" s="14"/>
      <c r="DX72" s="14"/>
      <c r="DY72" s="14"/>
      <c r="DZ72" s="14"/>
      <c r="EA72" s="14"/>
      <c r="EB72" s="14"/>
      <c r="EC72" s="14"/>
      <c r="ED72" s="14"/>
      <c r="EE72" s="14"/>
      <c r="EF72" s="14"/>
      <c r="EG72" s="14"/>
      <c r="EH72" s="14"/>
      <c r="EI72" s="14"/>
      <c r="EJ72" s="14"/>
      <c r="EK72" s="14"/>
      <c r="EL72" s="14"/>
    </row>
    <row r="73" spans="1:142" x14ac:dyDescent="0.25">
      <c r="A73" s="14"/>
      <c r="B73" s="62"/>
      <c r="C73" s="19"/>
      <c r="D73" s="59"/>
      <c r="E73" s="14"/>
      <c r="F73" s="14"/>
      <c r="G73" s="107" t="s">
        <v>35</v>
      </c>
      <c r="H73" s="27">
        <f>COUNTIFS(S30_stakeholder_category,"FO",Response_Q173_1,G73)</f>
        <v>1</v>
      </c>
      <c r="I73" s="41">
        <f t="shared" ref="I73:I77" si="38">IFERROR(H73/H$77,"")</f>
        <v>0.2</v>
      </c>
      <c r="J73" s="14"/>
      <c r="K73" s="14"/>
      <c r="L73" s="14"/>
      <c r="M73" s="14"/>
      <c r="N73" s="14"/>
      <c r="O73" s="14"/>
      <c r="P73" s="14"/>
      <c r="Q73" s="47"/>
      <c r="R73" s="19"/>
      <c r="S73" s="62"/>
      <c r="T73" s="19"/>
      <c r="U73" s="59"/>
      <c r="V73" s="14"/>
      <c r="W73" s="14"/>
      <c r="X73" s="107" t="s">
        <v>4</v>
      </c>
      <c r="Y73" s="27">
        <f t="shared" si="33"/>
        <v>0</v>
      </c>
      <c r="Z73" s="41">
        <f t="shared" si="34"/>
        <v>0</v>
      </c>
      <c r="AA73" s="19"/>
      <c r="AB73" s="14"/>
      <c r="AC73" s="14"/>
      <c r="AD73" s="65"/>
      <c r="AE73" s="63"/>
      <c r="AF73" s="352"/>
      <c r="AG73" s="19"/>
      <c r="AH73" s="62"/>
      <c r="AI73" s="19"/>
      <c r="AJ73" s="59"/>
      <c r="AK73" s="14"/>
      <c r="AL73" s="14"/>
      <c r="AM73" s="107" t="s">
        <v>4</v>
      </c>
      <c r="AN73" s="27">
        <f t="shared" si="35"/>
        <v>1</v>
      </c>
      <c r="AO73" s="41">
        <f t="shared" ref="AO73:AO79" si="39">IFERROR(AN73/AN$79,0)</f>
        <v>0.25</v>
      </c>
      <c r="AP73" s="19"/>
      <c r="AQ73" s="14"/>
      <c r="AR73" s="14"/>
      <c r="AS73" s="65"/>
      <c r="AT73" s="63"/>
      <c r="AU73" s="352"/>
      <c r="AV73" s="14"/>
      <c r="AW73" s="62"/>
      <c r="AX73" s="19"/>
      <c r="AY73" s="59"/>
      <c r="AZ73" s="14"/>
      <c r="BA73" s="14"/>
      <c r="BB73" s="107" t="s">
        <v>4</v>
      </c>
      <c r="BC73" s="27">
        <f t="shared" si="36"/>
        <v>1</v>
      </c>
      <c r="BD73" s="41">
        <f t="shared" ref="BD73:BD79" si="40">IFERROR(BC73/BC$79,0)</f>
        <v>0.25</v>
      </c>
      <c r="BE73" s="19"/>
      <c r="BF73" s="14"/>
      <c r="BG73" s="14"/>
      <c r="BH73" s="65"/>
      <c r="BI73" s="63"/>
      <c r="BJ73" s="352"/>
      <c r="BK73" s="19"/>
      <c r="BL73" s="62"/>
      <c r="BM73" s="19"/>
      <c r="BN73" s="59"/>
      <c r="BO73" s="14"/>
      <c r="BP73" s="14"/>
      <c r="BQ73" s="107" t="s">
        <v>4</v>
      </c>
      <c r="BR73" s="27">
        <f t="shared" si="37"/>
        <v>1</v>
      </c>
      <c r="BS73" s="41">
        <f t="shared" ref="BS73:BS79" si="41">IFERROR(BR73/BR$79,0)</f>
        <v>0.25</v>
      </c>
      <c r="BT73" s="19"/>
      <c r="BU73" s="14"/>
      <c r="BV73" s="14"/>
      <c r="BW73" s="65"/>
      <c r="BX73" s="63"/>
      <c r="BY73" s="352"/>
      <c r="BZ73" s="14"/>
      <c r="CA73" s="14"/>
      <c r="CB73" s="21"/>
      <c r="CC73" s="21"/>
      <c r="CD73" s="180"/>
      <c r="CE73" s="181"/>
      <c r="CF73" s="31"/>
      <c r="CG73" s="52"/>
      <c r="CH73" s="52"/>
      <c r="CI73" s="99"/>
      <c r="CJ73" s="14"/>
      <c r="CK73" s="14"/>
      <c r="CL73" s="14"/>
      <c r="CM73" s="14"/>
      <c r="CN73" s="14"/>
      <c r="CO73" s="129"/>
      <c r="CP73" s="14"/>
      <c r="CQ73" s="47"/>
      <c r="CR73" s="14"/>
      <c r="CS73" s="14"/>
      <c r="CT73" s="14"/>
      <c r="CU73" s="14"/>
      <c r="CV73" s="180"/>
      <c r="CW73" s="190"/>
      <c r="CX73" s="191"/>
      <c r="CY73" s="52"/>
      <c r="CZ73" s="52"/>
      <c r="DA73" s="54"/>
      <c r="DB73" s="19"/>
      <c r="DC73" s="19"/>
      <c r="DD73" s="19"/>
      <c r="DE73" s="19"/>
      <c r="DF73" s="19"/>
      <c r="DG73" s="260"/>
      <c r="DH73" s="14"/>
      <c r="DI73" s="47"/>
      <c r="DJ73" s="14"/>
      <c r="DK73" s="62"/>
      <c r="DL73" s="19"/>
      <c r="DM73" s="59"/>
      <c r="DN73" s="14"/>
      <c r="DO73" s="14"/>
      <c r="DP73" s="107" t="s">
        <v>35</v>
      </c>
      <c r="DQ73" s="27">
        <f>COUNTIFS(S30_stakeholder_category,"FO",Response_Q172_1,DP73,Response_Q173_1,"&lt;&gt;0")</f>
        <v>2</v>
      </c>
      <c r="DR73" s="41">
        <f>IF(DQ77=0,"",DQ73/DQ77)</f>
        <v>0.4</v>
      </c>
      <c r="DS73" s="14"/>
      <c r="DT73" s="14"/>
      <c r="DU73" s="14"/>
      <c r="DV73" s="14"/>
      <c r="DW73" s="14"/>
      <c r="DX73" s="14"/>
      <c r="DY73" s="14"/>
      <c r="DZ73" s="14"/>
      <c r="EA73" s="14"/>
      <c r="EB73" s="14"/>
      <c r="EC73" s="14"/>
      <c r="ED73" s="14"/>
      <c r="EE73" s="14"/>
      <c r="EF73" s="14"/>
      <c r="EG73" s="14"/>
      <c r="EH73" s="14"/>
      <c r="EI73" s="14"/>
      <c r="EJ73" s="14"/>
      <c r="EK73" s="14"/>
      <c r="EL73" s="14"/>
    </row>
    <row r="74" spans="1:142" x14ac:dyDescent="0.25">
      <c r="A74" s="14"/>
      <c r="B74" s="62"/>
      <c r="C74" s="19"/>
      <c r="D74" s="59"/>
      <c r="E74" s="14"/>
      <c r="F74" s="14"/>
      <c r="G74" s="107" t="s">
        <v>36</v>
      </c>
      <c r="H74" s="27">
        <f>COUNTIFS(S30_stakeholder_category,"FO",Response_Q173_1,G74)</f>
        <v>1</v>
      </c>
      <c r="I74" s="41">
        <f t="shared" si="38"/>
        <v>0.2</v>
      </c>
      <c r="J74" s="14"/>
      <c r="K74" s="14"/>
      <c r="L74" s="14"/>
      <c r="M74" s="14"/>
      <c r="N74" s="14"/>
      <c r="O74" s="14"/>
      <c r="P74" s="14"/>
      <c r="Q74" s="47"/>
      <c r="R74" s="19"/>
      <c r="S74" s="62"/>
      <c r="T74" s="19"/>
      <c r="U74" s="59"/>
      <c r="V74" s="14"/>
      <c r="W74" s="14"/>
      <c r="X74" s="107" t="s">
        <v>33</v>
      </c>
      <c r="Y74" s="27">
        <f t="shared" si="33"/>
        <v>0</v>
      </c>
      <c r="Z74" s="41">
        <f t="shared" si="34"/>
        <v>0</v>
      </c>
      <c r="AA74" s="19"/>
      <c r="AB74" s="14"/>
      <c r="AC74" s="14"/>
      <c r="AD74" s="65"/>
      <c r="AE74" s="63"/>
      <c r="AF74" s="352"/>
      <c r="AG74" s="19"/>
      <c r="AH74" s="62"/>
      <c r="AI74" s="19"/>
      <c r="AJ74" s="59"/>
      <c r="AK74" s="14"/>
      <c r="AL74" s="14"/>
      <c r="AM74" s="107" t="s">
        <v>33</v>
      </c>
      <c r="AN74" s="27">
        <f t="shared" si="35"/>
        <v>0</v>
      </c>
      <c r="AO74" s="41">
        <f t="shared" si="39"/>
        <v>0</v>
      </c>
      <c r="AP74" s="19"/>
      <c r="AQ74" s="14"/>
      <c r="AR74" s="14"/>
      <c r="AS74" s="65"/>
      <c r="AT74" s="63"/>
      <c r="AU74" s="352"/>
      <c r="AV74" s="14"/>
      <c r="AW74" s="62"/>
      <c r="AX74" s="19"/>
      <c r="AY74" s="59"/>
      <c r="AZ74" s="14"/>
      <c r="BA74" s="14"/>
      <c r="BB74" s="107" t="s">
        <v>33</v>
      </c>
      <c r="BC74" s="27">
        <f t="shared" si="36"/>
        <v>0</v>
      </c>
      <c r="BD74" s="41">
        <f t="shared" si="40"/>
        <v>0</v>
      </c>
      <c r="BE74" s="19"/>
      <c r="BF74" s="14"/>
      <c r="BG74" s="14"/>
      <c r="BH74" s="65"/>
      <c r="BI74" s="63"/>
      <c r="BJ74" s="352"/>
      <c r="BK74" s="19"/>
      <c r="BL74" s="62"/>
      <c r="BM74" s="19"/>
      <c r="BN74" s="59"/>
      <c r="BO74" s="14"/>
      <c r="BP74" s="14"/>
      <c r="BQ74" s="107" t="s">
        <v>33</v>
      </c>
      <c r="BR74" s="27">
        <f t="shared" si="37"/>
        <v>0</v>
      </c>
      <c r="BS74" s="41">
        <f t="shared" si="41"/>
        <v>0</v>
      </c>
      <c r="BT74" s="19"/>
      <c r="BU74" s="14"/>
      <c r="BV74" s="14"/>
      <c r="BW74" s="65"/>
      <c r="BX74" s="63"/>
      <c r="BY74" s="352"/>
      <c r="BZ74" s="14"/>
      <c r="CA74" s="14"/>
      <c r="CB74" s="21"/>
      <c r="CC74" s="21"/>
      <c r="CD74" s="180"/>
      <c r="CE74" s="181"/>
      <c r="CF74" s="31"/>
      <c r="CG74" s="52"/>
      <c r="CH74" s="52"/>
      <c r="CI74" s="99"/>
      <c r="CJ74" s="14"/>
      <c r="CK74" s="14"/>
      <c r="CL74" s="14"/>
      <c r="CM74" s="14"/>
      <c r="CN74" s="14"/>
      <c r="CO74" s="129"/>
      <c r="CP74" s="14"/>
      <c r="CQ74" s="47"/>
      <c r="CR74" s="14"/>
      <c r="CS74" s="14"/>
      <c r="CT74" s="14"/>
      <c r="CU74" s="14"/>
      <c r="CV74" s="180"/>
      <c r="CW74" s="190"/>
      <c r="CX74" s="191"/>
      <c r="CY74" s="52"/>
      <c r="CZ74" s="52"/>
      <c r="DA74" s="54"/>
      <c r="DB74" s="19"/>
      <c r="DC74" s="19"/>
      <c r="DD74" s="19"/>
      <c r="DE74" s="19"/>
      <c r="DF74" s="19"/>
      <c r="DG74" s="260"/>
      <c r="DH74" s="14"/>
      <c r="DI74" s="47"/>
      <c r="DJ74" s="14"/>
      <c r="DK74" s="62"/>
      <c r="DL74" s="19"/>
      <c r="DM74" s="59"/>
      <c r="DN74" s="14"/>
      <c r="DO74" s="14"/>
      <c r="DP74" s="107" t="s">
        <v>36</v>
      </c>
      <c r="DQ74" s="27">
        <f>COUNTIFS(S30_stakeholder_category,"FO",Response_Q172_1,DP74,Response_Q173_1,"&lt;&gt;0")</f>
        <v>1</v>
      </c>
      <c r="DR74" s="41">
        <f>IF(DQ77=0,"",DQ74/DQ77)</f>
        <v>0.2</v>
      </c>
      <c r="DS74" s="14"/>
      <c r="DT74" s="14"/>
      <c r="DU74" s="14"/>
      <c r="DV74" s="14"/>
      <c r="DW74" s="14"/>
      <c r="DX74" s="14"/>
      <c r="DY74" s="14"/>
      <c r="DZ74" s="14"/>
      <c r="EA74" s="14"/>
      <c r="EB74" s="14"/>
      <c r="EC74" s="14"/>
      <c r="ED74" s="14"/>
      <c r="EE74" s="14"/>
      <c r="EF74" s="14"/>
      <c r="EG74" s="14"/>
      <c r="EH74" s="14"/>
      <c r="EI74" s="14"/>
      <c r="EJ74" s="14"/>
      <c r="EK74" s="14"/>
      <c r="EL74" s="14"/>
    </row>
    <row r="75" spans="1:142" x14ac:dyDescent="0.25">
      <c r="A75" s="14"/>
      <c r="B75" s="62"/>
      <c r="C75" s="19"/>
      <c r="D75" s="59"/>
      <c r="E75" s="14"/>
      <c r="F75" s="14"/>
      <c r="G75" s="107" t="s">
        <v>38</v>
      </c>
      <c r="H75" s="27">
        <f>COUNTIFS(S30_stakeholder_category,"FO",Response_Q173_1,G75)</f>
        <v>0</v>
      </c>
      <c r="I75" s="41">
        <f t="shared" si="38"/>
        <v>0</v>
      </c>
      <c r="J75" s="14"/>
      <c r="K75" s="14"/>
      <c r="L75" s="14"/>
      <c r="M75" s="14"/>
      <c r="N75" s="14"/>
      <c r="O75" s="14"/>
      <c r="P75" s="14"/>
      <c r="Q75" s="47"/>
      <c r="R75" s="19"/>
      <c r="S75" s="62"/>
      <c r="T75" s="19"/>
      <c r="U75" s="59"/>
      <c r="V75" s="14"/>
      <c r="W75" s="14"/>
      <c r="X75" s="107" t="s">
        <v>29</v>
      </c>
      <c r="Y75" s="27">
        <f t="shared" si="33"/>
        <v>1</v>
      </c>
      <c r="Z75" s="41">
        <f t="shared" si="34"/>
        <v>0.2</v>
      </c>
      <c r="AA75" s="19"/>
      <c r="AB75" s="14"/>
      <c r="AC75" s="14"/>
      <c r="AD75" s="65"/>
      <c r="AE75" s="63"/>
      <c r="AF75" s="352"/>
      <c r="AG75" s="19"/>
      <c r="AH75" s="62"/>
      <c r="AI75" s="19"/>
      <c r="AJ75" s="59"/>
      <c r="AK75" s="14"/>
      <c r="AL75" s="14"/>
      <c r="AM75" s="107" t="s">
        <v>29</v>
      </c>
      <c r="AN75" s="27">
        <f t="shared" si="35"/>
        <v>1</v>
      </c>
      <c r="AO75" s="41">
        <f t="shared" si="39"/>
        <v>0.25</v>
      </c>
      <c r="AP75" s="19"/>
      <c r="AQ75" s="14"/>
      <c r="AR75" s="14"/>
      <c r="AS75" s="65"/>
      <c r="AT75" s="63"/>
      <c r="AU75" s="352"/>
      <c r="AV75" s="14"/>
      <c r="AW75" s="62"/>
      <c r="AX75" s="19"/>
      <c r="AY75" s="59"/>
      <c r="AZ75" s="14"/>
      <c r="BA75" s="14"/>
      <c r="BB75" s="107" t="s">
        <v>29</v>
      </c>
      <c r="BC75" s="27">
        <f t="shared" si="36"/>
        <v>1</v>
      </c>
      <c r="BD75" s="41">
        <f t="shared" si="40"/>
        <v>0.25</v>
      </c>
      <c r="BE75" s="19"/>
      <c r="BF75" s="14"/>
      <c r="BG75" s="14"/>
      <c r="BH75" s="65"/>
      <c r="BI75" s="63"/>
      <c r="BJ75" s="352"/>
      <c r="BK75" s="19"/>
      <c r="BL75" s="62"/>
      <c r="BM75" s="19"/>
      <c r="BN75" s="59"/>
      <c r="BO75" s="14"/>
      <c r="BP75" s="14"/>
      <c r="BQ75" s="107" t="s">
        <v>29</v>
      </c>
      <c r="BR75" s="27">
        <f t="shared" si="37"/>
        <v>0</v>
      </c>
      <c r="BS75" s="41">
        <f t="shared" si="41"/>
        <v>0</v>
      </c>
      <c r="BT75" s="19"/>
      <c r="BU75" s="14"/>
      <c r="BV75" s="14"/>
      <c r="BW75" s="65"/>
      <c r="BX75" s="63"/>
      <c r="BY75" s="352"/>
      <c r="BZ75" s="14"/>
      <c r="CA75" s="14"/>
      <c r="CB75" s="21"/>
      <c r="CC75" s="21"/>
      <c r="CD75" s="180"/>
      <c r="CE75" s="181"/>
      <c r="CF75" s="31"/>
      <c r="CG75" s="52"/>
      <c r="CH75" s="52"/>
      <c r="CI75" s="99"/>
      <c r="CJ75" s="14"/>
      <c r="CK75" s="14"/>
      <c r="CL75" s="14"/>
      <c r="CM75" s="14"/>
      <c r="CN75" s="14"/>
      <c r="CO75" s="129"/>
      <c r="CP75" s="14"/>
      <c r="CQ75" s="47"/>
      <c r="CR75" s="14"/>
      <c r="CS75" s="14"/>
      <c r="CT75" s="14"/>
      <c r="CU75" s="14"/>
      <c r="CV75" s="180"/>
      <c r="CW75" s="190"/>
      <c r="CX75" s="191"/>
      <c r="CY75" s="52"/>
      <c r="CZ75" s="52"/>
      <c r="DA75" s="54"/>
      <c r="DB75" s="19"/>
      <c r="DC75" s="19"/>
      <c r="DD75" s="19"/>
      <c r="DE75" s="19"/>
      <c r="DF75" s="19"/>
      <c r="DG75" s="260"/>
      <c r="DH75" s="14"/>
      <c r="DI75" s="47"/>
      <c r="DJ75" s="14"/>
      <c r="DK75" s="62"/>
      <c r="DL75" s="19"/>
      <c r="DM75" s="59"/>
      <c r="DN75" s="14"/>
      <c r="DO75" s="14"/>
      <c r="DP75" s="107" t="s">
        <v>38</v>
      </c>
      <c r="DQ75" s="27">
        <f>COUNTIFS(S30_stakeholder_category,"FO",Response_Q172_1,DP75,Response_Q173_1,"&lt;&gt;0")</f>
        <v>0</v>
      </c>
      <c r="DR75" s="41">
        <f>IF(DQ77=0,"",DQ75/DQ77)</f>
        <v>0</v>
      </c>
      <c r="DS75" s="14"/>
      <c r="DT75" s="14"/>
      <c r="DU75" s="14"/>
      <c r="DV75" s="14"/>
      <c r="DW75" s="14"/>
      <c r="DX75" s="14"/>
      <c r="DY75" s="14"/>
      <c r="DZ75" s="14"/>
      <c r="EA75" s="14"/>
      <c r="EB75" s="14"/>
      <c r="EC75" s="14"/>
      <c r="ED75" s="14"/>
      <c r="EE75" s="14"/>
      <c r="EF75" s="14"/>
      <c r="EG75" s="14"/>
      <c r="EH75" s="14"/>
      <c r="EI75" s="14"/>
      <c r="EJ75" s="14"/>
      <c r="EK75" s="14"/>
      <c r="EL75" s="14"/>
    </row>
    <row r="76" spans="1:142" x14ac:dyDescent="0.25">
      <c r="A76" s="14"/>
      <c r="B76" s="62"/>
      <c r="C76" s="19"/>
      <c r="D76" s="59"/>
      <c r="E76" s="14"/>
      <c r="F76" s="14"/>
      <c r="G76" s="107" t="s">
        <v>39</v>
      </c>
      <c r="H76" s="27">
        <f>COUNTIFS(S30_stakeholder_category,"FO",Response_Q173_1,G76)</f>
        <v>2</v>
      </c>
      <c r="I76" s="41">
        <f t="shared" si="38"/>
        <v>0.4</v>
      </c>
      <c r="J76" s="14"/>
      <c r="K76" s="14"/>
      <c r="L76" s="14"/>
      <c r="M76" s="14"/>
      <c r="N76" s="14"/>
      <c r="O76" s="14"/>
      <c r="P76" s="14"/>
      <c r="Q76" s="47"/>
      <c r="R76" s="19"/>
      <c r="S76" s="62"/>
      <c r="T76" s="19"/>
      <c r="U76" s="59"/>
      <c r="V76" s="14"/>
      <c r="W76" s="14"/>
      <c r="X76" s="107" t="s">
        <v>3</v>
      </c>
      <c r="Y76" s="27">
        <f t="shared" si="33"/>
        <v>0</v>
      </c>
      <c r="Z76" s="41">
        <f t="shared" si="34"/>
        <v>0</v>
      </c>
      <c r="AA76" s="19"/>
      <c r="AB76" s="14"/>
      <c r="AC76" s="14"/>
      <c r="AD76" s="65"/>
      <c r="AE76" s="63"/>
      <c r="AF76" s="352"/>
      <c r="AG76" s="19"/>
      <c r="AH76" s="62"/>
      <c r="AI76" s="19"/>
      <c r="AJ76" s="59"/>
      <c r="AK76" s="14"/>
      <c r="AL76" s="14"/>
      <c r="AM76" s="107" t="s">
        <v>3</v>
      </c>
      <c r="AN76" s="27">
        <f t="shared" si="35"/>
        <v>0</v>
      </c>
      <c r="AO76" s="41">
        <f t="shared" si="39"/>
        <v>0</v>
      </c>
      <c r="AP76" s="19"/>
      <c r="AQ76" s="14"/>
      <c r="AR76" s="14"/>
      <c r="AS76" s="65"/>
      <c r="AT76" s="63"/>
      <c r="AU76" s="352"/>
      <c r="AV76" s="14"/>
      <c r="AW76" s="62"/>
      <c r="AX76" s="19"/>
      <c r="AY76" s="59"/>
      <c r="AZ76" s="14"/>
      <c r="BA76" s="14"/>
      <c r="BB76" s="107" t="s">
        <v>3</v>
      </c>
      <c r="BC76" s="27">
        <f t="shared" si="36"/>
        <v>0</v>
      </c>
      <c r="BD76" s="41">
        <f t="shared" si="40"/>
        <v>0</v>
      </c>
      <c r="BE76" s="19"/>
      <c r="BF76" s="14"/>
      <c r="BG76" s="14"/>
      <c r="BH76" s="65"/>
      <c r="BI76" s="63"/>
      <c r="BJ76" s="352"/>
      <c r="BK76" s="19"/>
      <c r="BL76" s="62"/>
      <c r="BM76" s="19"/>
      <c r="BN76" s="59"/>
      <c r="BO76" s="14"/>
      <c r="BP76" s="14"/>
      <c r="BQ76" s="107" t="s">
        <v>3</v>
      </c>
      <c r="BR76" s="27">
        <f t="shared" si="37"/>
        <v>1</v>
      </c>
      <c r="BS76" s="41">
        <f t="shared" si="41"/>
        <v>0.25</v>
      </c>
      <c r="BT76" s="19"/>
      <c r="BU76" s="14"/>
      <c r="BV76" s="14"/>
      <c r="BW76" s="65"/>
      <c r="BX76" s="63"/>
      <c r="BY76" s="352"/>
      <c r="BZ76" s="14"/>
      <c r="CA76" s="14"/>
      <c r="CB76" s="21"/>
      <c r="CC76" s="21"/>
      <c r="CD76" s="180"/>
      <c r="CE76" s="181"/>
      <c r="CF76" s="31"/>
      <c r="CG76" s="52"/>
      <c r="CH76" s="52"/>
      <c r="CI76" s="99"/>
      <c r="CJ76" s="14"/>
      <c r="CK76" s="14"/>
      <c r="CL76" s="14"/>
      <c r="CM76" s="14"/>
      <c r="CN76" s="14"/>
      <c r="CO76" s="129"/>
      <c r="CP76" s="14"/>
      <c r="CQ76" s="47"/>
      <c r="CR76" s="14"/>
      <c r="CS76" s="14"/>
      <c r="CT76" s="14"/>
      <c r="CU76" s="14"/>
      <c r="CV76" s="180"/>
      <c r="CW76" s="190"/>
      <c r="CX76" s="191"/>
      <c r="CY76" s="52"/>
      <c r="CZ76" s="52"/>
      <c r="DA76" s="54"/>
      <c r="DB76" s="19"/>
      <c r="DC76" s="19"/>
      <c r="DD76" s="19"/>
      <c r="DE76" s="19"/>
      <c r="DF76" s="19"/>
      <c r="DG76" s="260"/>
      <c r="DH76" s="14"/>
      <c r="DI76" s="47"/>
      <c r="DJ76" s="14"/>
      <c r="DK76" s="62"/>
      <c r="DL76" s="19"/>
      <c r="DM76" s="59"/>
      <c r="DN76" s="14"/>
      <c r="DO76" s="14"/>
      <c r="DP76" s="107" t="s">
        <v>39</v>
      </c>
      <c r="DQ76" s="27">
        <f>COUNTIFS(S30_stakeholder_category,"FO",Response_Q172_1,DP76,Response_Q173_1,"&lt;&gt;0")</f>
        <v>1</v>
      </c>
      <c r="DR76" s="41">
        <f>IF(DQ77=0,"",DQ76/DQ77)</f>
        <v>0.2</v>
      </c>
      <c r="DS76" s="14"/>
      <c r="DT76" s="14"/>
      <c r="DU76" s="14"/>
      <c r="DV76" s="14"/>
      <c r="DW76" s="14"/>
      <c r="DX76" s="14"/>
      <c r="DY76" s="14"/>
      <c r="DZ76" s="14"/>
      <c r="EA76" s="14"/>
      <c r="EB76" s="14"/>
      <c r="EC76" s="14"/>
      <c r="ED76" s="14"/>
      <c r="EE76" s="14"/>
      <c r="EF76" s="14"/>
      <c r="EG76" s="14"/>
      <c r="EH76" s="14"/>
      <c r="EI76" s="14"/>
      <c r="EJ76" s="14"/>
      <c r="EK76" s="14"/>
      <c r="EL76" s="14"/>
    </row>
    <row r="77" spans="1:142" x14ac:dyDescent="0.25">
      <c r="A77" s="14"/>
      <c r="B77" s="62"/>
      <c r="C77" s="19"/>
      <c r="D77" s="59"/>
      <c r="E77" s="14"/>
      <c r="F77" s="14"/>
      <c r="G77" s="86" t="s">
        <v>145</v>
      </c>
      <c r="H77" s="111">
        <f>COUNTIFS(S30_stakeholder_category,"FO",Response_Q173_1,"&lt;&gt;0")</f>
        <v>5</v>
      </c>
      <c r="I77" s="119">
        <f t="shared" si="38"/>
        <v>1</v>
      </c>
      <c r="J77" s="14"/>
      <c r="K77" s="14"/>
      <c r="L77" s="14"/>
      <c r="M77" s="14"/>
      <c r="N77" s="14"/>
      <c r="O77" s="14"/>
      <c r="P77" s="14"/>
      <c r="Q77" s="47"/>
      <c r="R77" s="19"/>
      <c r="S77" s="62"/>
      <c r="T77" s="19"/>
      <c r="U77" s="59"/>
      <c r="V77" s="14"/>
      <c r="W77" s="14"/>
      <c r="X77" s="107" t="s">
        <v>54</v>
      </c>
      <c r="Y77" s="27">
        <f t="shared" si="33"/>
        <v>0</v>
      </c>
      <c r="Z77" s="41">
        <f t="shared" si="34"/>
        <v>0</v>
      </c>
      <c r="AA77" s="19"/>
      <c r="AB77" s="14"/>
      <c r="AC77" s="14"/>
      <c r="AD77" s="65"/>
      <c r="AE77" s="63"/>
      <c r="AF77" s="352"/>
      <c r="AG77" s="19"/>
      <c r="AH77" s="62"/>
      <c r="AI77" s="19"/>
      <c r="AJ77" s="59"/>
      <c r="AK77" s="14"/>
      <c r="AL77" s="14"/>
      <c r="AM77" s="107" t="s">
        <v>54</v>
      </c>
      <c r="AN77" s="27">
        <f t="shared" si="35"/>
        <v>0</v>
      </c>
      <c r="AO77" s="41">
        <f t="shared" si="39"/>
        <v>0</v>
      </c>
      <c r="AP77" s="19"/>
      <c r="AQ77" s="14"/>
      <c r="AR77" s="14"/>
      <c r="AS77" s="65"/>
      <c r="AT77" s="63"/>
      <c r="AU77" s="352"/>
      <c r="AV77" s="14"/>
      <c r="AW77" s="62"/>
      <c r="AX77" s="19"/>
      <c r="AY77" s="59"/>
      <c r="AZ77" s="14"/>
      <c r="BA77" s="14"/>
      <c r="BB77" s="107" t="s">
        <v>54</v>
      </c>
      <c r="BC77" s="27">
        <f t="shared" si="36"/>
        <v>0</v>
      </c>
      <c r="BD77" s="41">
        <f t="shared" si="40"/>
        <v>0</v>
      </c>
      <c r="BE77" s="19"/>
      <c r="BF77" s="14"/>
      <c r="BG77" s="14"/>
      <c r="BH77" s="65"/>
      <c r="BI77" s="63"/>
      <c r="BJ77" s="352"/>
      <c r="BK77" s="19"/>
      <c r="BL77" s="62"/>
      <c r="BM77" s="19"/>
      <c r="BN77" s="59"/>
      <c r="BO77" s="14"/>
      <c r="BP77" s="14"/>
      <c r="BQ77" s="107" t="s">
        <v>54</v>
      </c>
      <c r="BR77" s="27">
        <f t="shared" si="37"/>
        <v>0</v>
      </c>
      <c r="BS77" s="41">
        <f t="shared" si="41"/>
        <v>0</v>
      </c>
      <c r="BT77" s="19"/>
      <c r="BU77" s="14"/>
      <c r="BV77" s="14"/>
      <c r="BW77" s="65"/>
      <c r="BX77" s="63"/>
      <c r="BY77" s="352"/>
      <c r="BZ77" s="14"/>
      <c r="CA77" s="14"/>
      <c r="CB77" s="21"/>
      <c r="CC77" s="21"/>
      <c r="CD77" s="180"/>
      <c r="CE77" s="181"/>
      <c r="CF77" s="31"/>
      <c r="CG77" s="52"/>
      <c r="CH77" s="52"/>
      <c r="CI77" s="99"/>
      <c r="CJ77" s="14"/>
      <c r="CK77" s="14"/>
      <c r="CL77" s="14"/>
      <c r="CM77" s="14"/>
      <c r="CN77" s="14"/>
      <c r="CO77" s="129"/>
      <c r="CP77" s="14"/>
      <c r="CQ77" s="47"/>
      <c r="CR77" s="14"/>
      <c r="CS77" s="14"/>
      <c r="CT77" s="14"/>
      <c r="CU77" s="14"/>
      <c r="CV77" s="180"/>
      <c r="CW77" s="190"/>
      <c r="CX77" s="191"/>
      <c r="CY77" s="52"/>
      <c r="CZ77" s="52"/>
      <c r="DA77" s="54"/>
      <c r="DB77" s="19"/>
      <c r="DC77" s="19"/>
      <c r="DD77" s="19"/>
      <c r="DE77" s="19"/>
      <c r="DF77" s="19"/>
      <c r="DG77" s="260"/>
      <c r="DH77" s="14"/>
      <c r="DI77" s="47"/>
      <c r="DJ77" s="14"/>
      <c r="DK77" s="62"/>
      <c r="DL77" s="19"/>
      <c r="DM77" s="59"/>
      <c r="DN77" s="14"/>
      <c r="DO77" s="14"/>
      <c r="DP77" s="86" t="s">
        <v>145</v>
      </c>
      <c r="DQ77" s="111">
        <f>COUNTIFS(S30_stakeholder_category,"FO",Response_Q172_1,"&lt;&gt;0",Response_Q173_1,"&lt;&gt;0")</f>
        <v>5</v>
      </c>
      <c r="DR77" s="119">
        <f>IF(DQ77=0,"",DQ77/DQ77)</f>
        <v>1</v>
      </c>
      <c r="DS77" s="14"/>
      <c r="DT77" s="14"/>
      <c r="DU77" s="14"/>
      <c r="DV77" s="14"/>
      <c r="DW77" s="14"/>
      <c r="DX77" s="14"/>
      <c r="DY77" s="14"/>
      <c r="DZ77" s="14"/>
      <c r="EA77" s="14"/>
      <c r="EB77" s="14"/>
      <c r="EC77" s="14"/>
      <c r="ED77" s="14"/>
      <c r="EE77" s="14"/>
      <c r="EF77" s="14"/>
      <c r="EG77" s="14"/>
      <c r="EH77" s="14"/>
      <c r="EI77" s="14"/>
      <c r="EJ77" s="14"/>
      <c r="EK77" s="14"/>
      <c r="EL77" s="14"/>
    </row>
    <row r="78" spans="1:142" x14ac:dyDescent="0.25">
      <c r="A78" s="14"/>
      <c r="B78" s="62"/>
      <c r="C78" s="19"/>
      <c r="D78" s="59"/>
      <c r="E78" s="14"/>
      <c r="F78" s="14"/>
      <c r="G78" s="14"/>
      <c r="H78" s="21"/>
      <c r="I78" s="21"/>
      <c r="J78" s="14"/>
      <c r="K78" s="14"/>
      <c r="L78" s="14"/>
      <c r="M78" s="14"/>
      <c r="N78" s="14"/>
      <c r="O78" s="14"/>
      <c r="P78" s="14"/>
      <c r="Q78" s="47"/>
      <c r="R78" s="19"/>
      <c r="S78" s="62"/>
      <c r="T78" s="19"/>
      <c r="U78" s="59"/>
      <c r="V78" s="14"/>
      <c r="W78" s="14"/>
      <c r="X78" s="107" t="s">
        <v>39</v>
      </c>
      <c r="Y78" s="27">
        <f t="shared" si="33"/>
        <v>2</v>
      </c>
      <c r="Z78" s="41">
        <f t="shared" si="34"/>
        <v>0.4</v>
      </c>
      <c r="AA78" s="19"/>
      <c r="AB78" s="14"/>
      <c r="AC78" s="14"/>
      <c r="AD78" s="65"/>
      <c r="AE78" s="63"/>
      <c r="AF78" s="352"/>
      <c r="AG78" s="19"/>
      <c r="AH78" s="62"/>
      <c r="AI78" s="19"/>
      <c r="AJ78" s="59"/>
      <c r="AK78" s="14"/>
      <c r="AL78" s="14"/>
      <c r="AM78" s="107" t="s">
        <v>39</v>
      </c>
      <c r="AN78" s="27">
        <f t="shared" si="35"/>
        <v>0</v>
      </c>
      <c r="AO78" s="41">
        <f t="shared" si="39"/>
        <v>0</v>
      </c>
      <c r="AP78" s="19"/>
      <c r="AQ78" s="14"/>
      <c r="AR78" s="14"/>
      <c r="AS78" s="65"/>
      <c r="AT78" s="63"/>
      <c r="AU78" s="352"/>
      <c r="AV78" s="14"/>
      <c r="AW78" s="62"/>
      <c r="AX78" s="19"/>
      <c r="AY78" s="59"/>
      <c r="AZ78" s="14"/>
      <c r="BA78" s="14"/>
      <c r="BB78" s="107" t="s">
        <v>39</v>
      </c>
      <c r="BC78" s="27">
        <f t="shared" si="36"/>
        <v>0</v>
      </c>
      <c r="BD78" s="41">
        <f t="shared" si="40"/>
        <v>0</v>
      </c>
      <c r="BE78" s="19"/>
      <c r="BF78" s="14"/>
      <c r="BG78" s="14"/>
      <c r="BH78" s="65"/>
      <c r="BI78" s="63"/>
      <c r="BJ78" s="352"/>
      <c r="BK78" s="19"/>
      <c r="BL78" s="62"/>
      <c r="BM78" s="19"/>
      <c r="BN78" s="59"/>
      <c r="BO78" s="14"/>
      <c r="BP78" s="14"/>
      <c r="BQ78" s="107" t="s">
        <v>39</v>
      </c>
      <c r="BR78" s="27">
        <f t="shared" si="37"/>
        <v>0</v>
      </c>
      <c r="BS78" s="41">
        <f t="shared" si="41"/>
        <v>0</v>
      </c>
      <c r="BT78" s="19"/>
      <c r="BU78" s="14"/>
      <c r="BV78" s="14"/>
      <c r="BW78" s="65"/>
      <c r="BX78" s="63"/>
      <c r="BY78" s="352"/>
      <c r="BZ78" s="14"/>
      <c r="CA78" s="14"/>
      <c r="CB78" s="21"/>
      <c r="CC78" s="21"/>
      <c r="CD78" s="180"/>
      <c r="CE78" s="181"/>
      <c r="CF78" s="31"/>
      <c r="CG78" s="52"/>
      <c r="CH78" s="52"/>
      <c r="CI78" s="99"/>
      <c r="CJ78" s="14"/>
      <c r="CK78" s="14"/>
      <c r="CL78" s="14"/>
      <c r="CM78" s="14"/>
      <c r="CN78" s="14"/>
      <c r="CO78" s="129"/>
      <c r="CP78" s="14"/>
      <c r="CQ78" s="47"/>
      <c r="CR78" s="14"/>
      <c r="CS78" s="14"/>
      <c r="CT78" s="14"/>
      <c r="CU78" s="14"/>
      <c r="CV78" s="180"/>
      <c r="CW78" s="190"/>
      <c r="CX78" s="191"/>
      <c r="CY78" s="52"/>
      <c r="CZ78" s="52"/>
      <c r="DA78" s="54"/>
      <c r="DB78" s="19"/>
      <c r="DC78" s="19"/>
      <c r="DD78" s="19"/>
      <c r="DE78" s="19"/>
      <c r="DF78" s="19"/>
      <c r="DG78" s="260"/>
      <c r="DH78" s="14"/>
      <c r="DI78" s="47"/>
      <c r="DJ78" s="14"/>
      <c r="DK78" s="62"/>
      <c r="DL78" s="19"/>
      <c r="DM78" s="59"/>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row>
    <row r="79" spans="1:142" x14ac:dyDescent="0.25">
      <c r="A79" s="14"/>
      <c r="B79" s="62"/>
      <c r="C79" s="19"/>
      <c r="D79" s="59"/>
      <c r="E79" s="14"/>
      <c r="F79" s="14"/>
      <c r="G79" s="14"/>
      <c r="H79" s="21"/>
      <c r="I79" s="21"/>
      <c r="J79" s="14"/>
      <c r="K79" s="14"/>
      <c r="L79" s="14"/>
      <c r="M79" s="14"/>
      <c r="N79" s="14"/>
      <c r="O79" s="14"/>
      <c r="P79" s="14"/>
      <c r="Q79" s="47"/>
      <c r="R79" s="19"/>
      <c r="S79" s="62"/>
      <c r="T79" s="19"/>
      <c r="U79" s="59"/>
      <c r="V79" s="14"/>
      <c r="W79" s="14"/>
      <c r="X79" s="86" t="s">
        <v>145</v>
      </c>
      <c r="Y79" s="111">
        <f>COUNTIFS(S30_stakeholder_category,"FO",Response_Q176_1,"&lt;&gt;0")</f>
        <v>5</v>
      </c>
      <c r="Z79" s="119">
        <f t="shared" si="34"/>
        <v>1</v>
      </c>
      <c r="AA79" s="19"/>
      <c r="AB79" s="14"/>
      <c r="AC79" s="14"/>
      <c r="AD79" s="65"/>
      <c r="AE79" s="63"/>
      <c r="AF79" s="352"/>
      <c r="AG79" s="19"/>
      <c r="AH79" s="62"/>
      <c r="AI79" s="19"/>
      <c r="AJ79" s="59"/>
      <c r="AK79" s="14"/>
      <c r="AL79" s="14"/>
      <c r="AM79" s="86" t="s">
        <v>145</v>
      </c>
      <c r="AN79" s="111">
        <f>COUNTIFS(S30_stakeholder_category,"FO",Response_30a_CaseA,"&lt;&gt;0")</f>
        <v>4</v>
      </c>
      <c r="AO79" s="119">
        <f t="shared" si="39"/>
        <v>1</v>
      </c>
      <c r="AP79" s="19"/>
      <c r="AQ79" s="14"/>
      <c r="AR79" s="14"/>
      <c r="AS79" s="65"/>
      <c r="AT79" s="63"/>
      <c r="AU79" s="352"/>
      <c r="AV79" s="14"/>
      <c r="AW79" s="62"/>
      <c r="AX79" s="19"/>
      <c r="AY79" s="59"/>
      <c r="AZ79" s="14"/>
      <c r="BA79" s="14"/>
      <c r="BB79" s="86" t="s">
        <v>145</v>
      </c>
      <c r="BC79" s="111">
        <f>COUNTIFS(S30_stakeholder_category,"FO",Response_30a_CaseB,"&lt;&gt;0")</f>
        <v>4</v>
      </c>
      <c r="BD79" s="119">
        <f t="shared" si="40"/>
        <v>1</v>
      </c>
      <c r="BE79" s="19"/>
      <c r="BF79" s="14"/>
      <c r="BG79" s="14"/>
      <c r="BH79" s="65"/>
      <c r="BI79" s="63"/>
      <c r="BJ79" s="352"/>
      <c r="BK79" s="19"/>
      <c r="BL79" s="62"/>
      <c r="BM79" s="19"/>
      <c r="BN79" s="59"/>
      <c r="BO79" s="14"/>
      <c r="BP79" s="14"/>
      <c r="BQ79" s="86" t="s">
        <v>145</v>
      </c>
      <c r="BR79" s="111">
        <f>COUNTIFS(S30_stakeholder_category,"FO",Response_30a_CaseC,"&lt;&gt;0")</f>
        <v>4</v>
      </c>
      <c r="BS79" s="119">
        <f t="shared" si="41"/>
        <v>1</v>
      </c>
      <c r="BT79" s="19"/>
      <c r="BU79" s="14"/>
      <c r="BV79" s="14"/>
      <c r="BW79" s="65"/>
      <c r="BX79" s="63"/>
      <c r="BY79" s="352"/>
      <c r="BZ79" s="14"/>
      <c r="CA79" s="14"/>
      <c r="CB79" s="21"/>
      <c r="CC79" s="21"/>
      <c r="CD79" s="180"/>
      <c r="CE79" s="181"/>
      <c r="CF79" s="31"/>
      <c r="CG79" s="52"/>
      <c r="CH79" s="52"/>
      <c r="CI79" s="99"/>
      <c r="CJ79" s="14"/>
      <c r="CK79" s="14"/>
      <c r="CL79" s="14"/>
      <c r="CM79" s="14"/>
      <c r="CN79" s="14"/>
      <c r="CO79" s="129"/>
      <c r="CP79" s="14"/>
      <c r="CQ79" s="47"/>
      <c r="CR79" s="14"/>
      <c r="CS79" s="14"/>
      <c r="CT79" s="14"/>
      <c r="CU79" s="14"/>
      <c r="CV79" s="180"/>
      <c r="CW79" s="190"/>
      <c r="CX79" s="191"/>
      <c r="CY79" s="52"/>
      <c r="CZ79" s="52"/>
      <c r="DA79" s="54"/>
      <c r="DB79" s="19"/>
      <c r="DC79" s="19"/>
      <c r="DD79" s="19"/>
      <c r="DE79" s="19"/>
      <c r="DF79" s="19"/>
      <c r="DG79" s="260"/>
      <c r="DH79" s="14"/>
      <c r="DI79" s="47"/>
      <c r="DJ79" s="14"/>
      <c r="DK79" s="62"/>
      <c r="DL79" s="19"/>
      <c r="DM79" s="59"/>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row>
    <row r="80" spans="1:142" s="135" customFormat="1" ht="16.5" customHeight="1" x14ac:dyDescent="0.25">
      <c r="A80" s="14"/>
      <c r="B80" s="13"/>
      <c r="C80" s="13"/>
      <c r="D80" s="21"/>
      <c r="E80" s="14"/>
      <c r="F80" s="14"/>
      <c r="G80" s="14"/>
      <c r="H80" s="21"/>
      <c r="I80" s="21"/>
      <c r="J80" s="14"/>
      <c r="K80" s="14"/>
      <c r="L80" s="14"/>
      <c r="M80" s="14"/>
      <c r="N80" s="14"/>
      <c r="O80" s="14"/>
      <c r="P80" s="14"/>
      <c r="Q80" s="47"/>
      <c r="R80" s="19"/>
      <c r="S80" s="13"/>
      <c r="T80" s="13"/>
      <c r="U80" s="21"/>
      <c r="V80" s="14"/>
      <c r="W80" s="14"/>
      <c r="X80" s="14"/>
      <c r="Y80" s="55"/>
      <c r="Z80" s="55"/>
      <c r="AA80" s="55"/>
      <c r="AB80" s="55"/>
      <c r="AC80" s="55"/>
      <c r="AD80" s="65"/>
      <c r="AE80" s="63"/>
      <c r="AF80" s="352"/>
      <c r="AG80" s="19"/>
      <c r="AH80" s="13"/>
      <c r="AI80" s="13"/>
      <c r="AJ80" s="21"/>
      <c r="AK80" s="14"/>
      <c r="AL80" s="14"/>
      <c r="AM80" s="14"/>
      <c r="AN80" s="55"/>
      <c r="AO80" s="55"/>
      <c r="AP80" s="55"/>
      <c r="AQ80" s="55"/>
      <c r="AR80" s="55"/>
      <c r="AS80" s="65"/>
      <c r="AT80" s="63"/>
      <c r="AU80" s="352"/>
      <c r="AV80" s="14"/>
      <c r="AW80" s="13"/>
      <c r="AX80" s="13"/>
      <c r="AY80" s="21"/>
      <c r="AZ80" s="14"/>
      <c r="BA80" s="14"/>
      <c r="BB80" s="14"/>
      <c r="BC80" s="55"/>
      <c r="BD80" s="55"/>
      <c r="BE80" s="55"/>
      <c r="BF80" s="55"/>
      <c r="BG80" s="55"/>
      <c r="BH80" s="65"/>
      <c r="BI80" s="63"/>
      <c r="BJ80" s="352"/>
      <c r="BK80" s="19"/>
      <c r="BL80" s="13"/>
      <c r="BM80" s="13"/>
      <c r="BN80" s="21"/>
      <c r="BO80" s="14"/>
      <c r="BP80" s="14"/>
      <c r="BQ80" s="14"/>
      <c r="BR80" s="55"/>
      <c r="BS80" s="55"/>
      <c r="BT80" s="55"/>
      <c r="BU80" s="55"/>
      <c r="BV80" s="55"/>
      <c r="BW80" s="65"/>
      <c r="BX80" s="63"/>
      <c r="BY80" s="352"/>
      <c r="BZ80" s="14"/>
      <c r="CA80" s="14"/>
      <c r="CB80" s="21"/>
      <c r="CC80" s="21"/>
      <c r="CD80" s="180"/>
      <c r="CE80" s="181"/>
      <c r="CF80" s="31"/>
      <c r="CG80" s="31"/>
      <c r="CH80" s="31"/>
      <c r="CI80" s="14"/>
      <c r="CJ80" s="14"/>
      <c r="CK80" s="14"/>
      <c r="CL80" s="14"/>
      <c r="CM80" s="14"/>
      <c r="CN80" s="14"/>
      <c r="CO80" s="129"/>
      <c r="CP80" s="14"/>
      <c r="CQ80" s="47"/>
      <c r="CR80" s="14"/>
      <c r="CS80" s="14"/>
      <c r="CT80" s="14"/>
      <c r="CU80" s="14"/>
      <c r="CV80" s="180"/>
      <c r="CW80" s="190"/>
      <c r="CX80" s="191"/>
      <c r="CY80" s="31"/>
      <c r="CZ80" s="31"/>
      <c r="DA80" s="14"/>
      <c r="DB80" s="14"/>
      <c r="DC80" s="14"/>
      <c r="DD80" s="14"/>
      <c r="DE80" s="14"/>
      <c r="DF80" s="14"/>
      <c r="DG80" s="129"/>
      <c r="DH80" s="14"/>
      <c r="DI80" s="47"/>
      <c r="DJ80" s="14"/>
      <c r="DK80" s="13"/>
      <c r="DL80" s="13"/>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row>
    <row r="81" spans="1:142" s="131" customFormat="1" x14ac:dyDescent="0.25">
      <c r="A81" s="78"/>
      <c r="B81" s="78" t="s">
        <v>31</v>
      </c>
      <c r="C81" s="78" t="s">
        <v>135</v>
      </c>
      <c r="D81" s="79"/>
      <c r="E81" s="78"/>
      <c r="F81" s="78"/>
      <c r="G81" s="78"/>
      <c r="H81" s="79"/>
      <c r="I81" s="79"/>
      <c r="J81" s="78"/>
      <c r="K81" s="78"/>
      <c r="L81" s="78"/>
      <c r="M81" s="78"/>
      <c r="N81" s="78"/>
      <c r="O81" s="78"/>
      <c r="P81" s="78"/>
      <c r="Q81" s="82"/>
      <c r="R81" s="83"/>
      <c r="S81" s="78" t="str">
        <f>$B81</f>
        <v>Pellet producers</v>
      </c>
      <c r="T81" s="78"/>
      <c r="U81" s="78"/>
      <c r="V81" s="78"/>
      <c r="W81" s="78"/>
      <c r="X81" s="78"/>
      <c r="Y81" s="78"/>
      <c r="Z81" s="78"/>
      <c r="AA81" s="78"/>
      <c r="AB81" s="78"/>
      <c r="AC81" s="78"/>
      <c r="AD81" s="80"/>
      <c r="AE81" s="81"/>
      <c r="AF81" s="373"/>
      <c r="AG81" s="83"/>
      <c r="AH81" s="78" t="str">
        <f>$B81</f>
        <v>Pellet producers</v>
      </c>
      <c r="AI81" s="78"/>
      <c r="AJ81" s="78"/>
      <c r="AK81" s="78"/>
      <c r="AL81" s="78"/>
      <c r="AM81" s="78"/>
      <c r="AN81" s="78"/>
      <c r="AO81" s="78"/>
      <c r="AP81" s="78"/>
      <c r="AQ81" s="78"/>
      <c r="AR81" s="78"/>
      <c r="AS81" s="80"/>
      <c r="AT81" s="81"/>
      <c r="AU81" s="373"/>
      <c r="AV81" s="78"/>
      <c r="AW81" s="78" t="str">
        <f>$B81</f>
        <v>Pellet producers</v>
      </c>
      <c r="AX81" s="78"/>
      <c r="AY81" s="78"/>
      <c r="AZ81" s="78"/>
      <c r="BA81" s="78"/>
      <c r="BB81" s="78"/>
      <c r="BC81" s="78"/>
      <c r="BD81" s="78"/>
      <c r="BE81" s="78"/>
      <c r="BF81" s="78"/>
      <c r="BG81" s="78"/>
      <c r="BH81" s="80"/>
      <c r="BI81" s="81"/>
      <c r="BJ81" s="373"/>
      <c r="BK81" s="83"/>
      <c r="BL81" s="78" t="str">
        <f>$B81</f>
        <v>Pellet producers</v>
      </c>
      <c r="BM81" s="78"/>
      <c r="BN81" s="78"/>
      <c r="BO81" s="78"/>
      <c r="BP81" s="78"/>
      <c r="BQ81" s="78"/>
      <c r="BR81" s="78"/>
      <c r="BS81" s="78"/>
      <c r="BT81" s="78"/>
      <c r="BU81" s="78"/>
      <c r="BV81" s="78"/>
      <c r="BW81" s="80"/>
      <c r="BX81" s="81"/>
      <c r="BY81" s="373"/>
      <c r="BZ81" s="78"/>
      <c r="CA81" s="78" t="str">
        <f>$B81</f>
        <v>Pellet producers</v>
      </c>
      <c r="CB81" s="79"/>
      <c r="CC81" s="79"/>
      <c r="CD81" s="182"/>
      <c r="CE81" s="182"/>
      <c r="CF81" s="79"/>
      <c r="CG81" s="78"/>
      <c r="CH81" s="78"/>
      <c r="CI81" s="78"/>
      <c r="CJ81" s="78"/>
      <c r="CK81" s="78"/>
      <c r="CL81" s="78"/>
      <c r="CM81" s="78"/>
      <c r="CN81" s="78"/>
      <c r="CO81" s="78"/>
      <c r="CP81" s="78"/>
      <c r="CQ81" s="82"/>
      <c r="CR81" s="78"/>
      <c r="CS81" s="78" t="str">
        <f>$B81</f>
        <v>Pellet producers</v>
      </c>
      <c r="CT81" s="78"/>
      <c r="CU81" s="78"/>
      <c r="CV81" s="182"/>
      <c r="CW81" s="192"/>
      <c r="CX81" s="192"/>
      <c r="CY81" s="78"/>
      <c r="CZ81" s="78"/>
      <c r="DA81" s="78"/>
      <c r="DB81" s="78"/>
      <c r="DC81" s="78"/>
      <c r="DD81" s="78"/>
      <c r="DE81" s="78"/>
      <c r="DF81" s="78"/>
      <c r="DG81" s="78"/>
      <c r="DH81" s="78"/>
      <c r="DI81" s="82"/>
      <c r="DJ81" s="78"/>
      <c r="DK81" s="78" t="str">
        <f>$B81</f>
        <v>Pellet producers</v>
      </c>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row>
    <row r="82" spans="1:142" x14ac:dyDescent="0.25">
      <c r="A82" s="14"/>
      <c r="B82" s="84" t="s">
        <v>301</v>
      </c>
      <c r="C82" s="84"/>
      <c r="D82" s="85"/>
      <c r="E82" s="84"/>
      <c r="F82" s="14"/>
      <c r="G82" s="14"/>
      <c r="H82" s="21"/>
      <c r="I82" s="21"/>
      <c r="J82" s="14"/>
      <c r="K82" s="14"/>
      <c r="L82" s="14"/>
      <c r="M82" s="14"/>
      <c r="N82" s="14"/>
      <c r="O82" s="14"/>
      <c r="P82" s="14"/>
      <c r="Q82" s="47"/>
      <c r="R82" s="19"/>
      <c r="S82" s="84" t="s">
        <v>322</v>
      </c>
      <c r="T82" s="84"/>
      <c r="U82" s="85"/>
      <c r="V82" s="84"/>
      <c r="W82" s="14"/>
      <c r="X82" s="14"/>
      <c r="Y82" s="14"/>
      <c r="Z82" s="14"/>
      <c r="AA82" s="14"/>
      <c r="AB82" s="14"/>
      <c r="AC82" s="14"/>
      <c r="AD82" s="65"/>
      <c r="AE82" s="63"/>
      <c r="AF82" s="352"/>
      <c r="AG82" s="19"/>
      <c r="AH82" s="84" t="s">
        <v>328</v>
      </c>
      <c r="AI82" s="84"/>
      <c r="AJ82" s="85"/>
      <c r="AK82" s="84"/>
      <c r="AL82" s="84"/>
      <c r="AM82" s="14"/>
      <c r="AN82" s="14"/>
      <c r="AO82" s="14"/>
      <c r="AP82" s="14"/>
      <c r="AQ82" s="14"/>
      <c r="AR82" s="14"/>
      <c r="AS82" s="65"/>
      <c r="AT82" s="63"/>
      <c r="AU82" s="352"/>
      <c r="AV82" s="14"/>
      <c r="AW82" s="84" t="s">
        <v>347</v>
      </c>
      <c r="AX82" s="84"/>
      <c r="AY82" s="85"/>
      <c r="AZ82" s="84"/>
      <c r="BA82" s="84"/>
      <c r="BB82" s="14"/>
      <c r="BC82" s="14"/>
      <c r="BD82" s="14"/>
      <c r="BE82" s="14"/>
      <c r="BF82" s="14"/>
      <c r="BG82" s="14"/>
      <c r="BH82" s="65"/>
      <c r="BI82" s="63"/>
      <c r="BJ82" s="352"/>
      <c r="BK82" s="19"/>
      <c r="BL82" s="84" t="s">
        <v>348</v>
      </c>
      <c r="BM82" s="84"/>
      <c r="BN82" s="85"/>
      <c r="BO82" s="84"/>
      <c r="BP82" s="84"/>
      <c r="BQ82" s="14"/>
      <c r="BR82" s="14"/>
      <c r="BS82" s="14"/>
      <c r="BT82" s="14"/>
      <c r="BU82" s="14"/>
      <c r="BV82" s="14"/>
      <c r="BW82" s="65"/>
      <c r="BX82" s="63"/>
      <c r="BY82" s="352"/>
      <c r="BZ82" s="19"/>
      <c r="CA82" s="84" t="s">
        <v>348</v>
      </c>
      <c r="CB82" s="84"/>
      <c r="CC82" s="85"/>
      <c r="CD82" s="183"/>
      <c r="CE82" s="183"/>
      <c r="CF82" s="14"/>
      <c r="CG82" s="14"/>
      <c r="CH82" s="14"/>
      <c r="CI82" s="14"/>
      <c r="CJ82" s="14"/>
      <c r="CK82" s="14"/>
      <c r="CL82" s="14"/>
      <c r="CM82" s="14"/>
      <c r="CN82" s="14"/>
      <c r="CO82" s="129"/>
      <c r="CP82" s="14"/>
      <c r="CQ82" s="47"/>
      <c r="CR82" s="14"/>
      <c r="CS82" s="148" t="s">
        <v>304</v>
      </c>
      <c r="CT82" s="84"/>
      <c r="CU82" s="85"/>
      <c r="CV82" s="185"/>
      <c r="CW82" s="193"/>
      <c r="CX82" s="193"/>
      <c r="CY82" s="14"/>
      <c r="CZ82" s="14"/>
      <c r="DA82" s="14"/>
      <c r="DB82" s="14"/>
      <c r="DC82" s="14"/>
      <c r="DD82" s="14"/>
      <c r="DE82" s="14"/>
      <c r="DF82" s="14"/>
      <c r="DG82" s="129"/>
      <c r="DH82" s="14"/>
      <c r="DI82" s="47"/>
      <c r="DJ82" s="14"/>
      <c r="DK82" s="84" t="s">
        <v>305</v>
      </c>
      <c r="DL82" s="84"/>
      <c r="DM82" s="85"/>
      <c r="DN82" s="8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row>
    <row r="83" spans="1:142" x14ac:dyDescent="0.25">
      <c r="A83" s="14"/>
      <c r="B83" s="14"/>
      <c r="C83" s="14"/>
      <c r="D83" s="15"/>
      <c r="E83" s="14"/>
      <c r="F83" s="14"/>
      <c r="G83" s="14"/>
      <c r="H83" s="21"/>
      <c r="I83" s="21"/>
      <c r="J83" s="14"/>
      <c r="K83" s="14"/>
      <c r="L83" s="14"/>
      <c r="M83" s="14"/>
      <c r="N83" s="14"/>
      <c r="O83" s="14"/>
      <c r="P83" s="14"/>
      <c r="Q83" s="47"/>
      <c r="R83" s="19"/>
      <c r="S83" s="14"/>
      <c r="T83" s="14"/>
      <c r="U83" s="15"/>
      <c r="V83" s="14"/>
      <c r="W83" s="14"/>
      <c r="X83" s="14"/>
      <c r="Y83" s="14"/>
      <c r="Z83" s="14"/>
      <c r="AA83" s="14"/>
      <c r="AB83" s="14"/>
      <c r="AC83" s="14"/>
      <c r="AD83" s="65"/>
      <c r="AE83" s="63"/>
      <c r="AF83" s="352"/>
      <c r="AG83" s="19"/>
      <c r="AH83" s="14"/>
      <c r="AI83" s="14"/>
      <c r="AJ83" s="15"/>
      <c r="AK83" s="14"/>
      <c r="AL83" s="14"/>
      <c r="AM83" s="14"/>
      <c r="AN83" s="14"/>
      <c r="AO83" s="14"/>
      <c r="AP83" s="14"/>
      <c r="AQ83" s="14"/>
      <c r="AR83" s="14"/>
      <c r="AS83" s="65"/>
      <c r="AT83" s="63"/>
      <c r="AU83" s="352"/>
      <c r="AV83" s="14"/>
      <c r="AW83" s="14"/>
      <c r="AX83" s="14"/>
      <c r="AY83" s="15"/>
      <c r="AZ83" s="14"/>
      <c r="BA83" s="14"/>
      <c r="BB83" s="14"/>
      <c r="BC83" s="14"/>
      <c r="BD83" s="14"/>
      <c r="BE83" s="14"/>
      <c r="BF83" s="14"/>
      <c r="BG83" s="14"/>
      <c r="BH83" s="65"/>
      <c r="BI83" s="63"/>
      <c r="BJ83" s="352"/>
      <c r="BK83" s="19"/>
      <c r="BL83" s="14"/>
      <c r="BM83" s="14"/>
      <c r="BN83" s="15"/>
      <c r="BO83" s="14"/>
      <c r="BP83" s="14"/>
      <c r="BQ83" s="14"/>
      <c r="BR83" s="14"/>
      <c r="BS83" s="14"/>
      <c r="BT83" s="14"/>
      <c r="BU83" s="14"/>
      <c r="BV83" s="14"/>
      <c r="BW83" s="65"/>
      <c r="BX83" s="63"/>
      <c r="BY83" s="352"/>
      <c r="BZ83" s="14"/>
      <c r="CA83" s="14"/>
      <c r="CB83" s="21"/>
      <c r="CC83" s="21"/>
      <c r="CD83" s="180"/>
      <c r="CE83" s="180"/>
      <c r="CF83" s="21"/>
      <c r="CG83" s="14"/>
      <c r="CH83" s="14"/>
      <c r="CI83" s="14"/>
      <c r="CJ83" s="14"/>
      <c r="CK83" s="14"/>
      <c r="CL83" s="14"/>
      <c r="CM83" s="14"/>
      <c r="CN83" s="14"/>
      <c r="CO83" s="129"/>
      <c r="CP83" s="14"/>
      <c r="CQ83" s="47"/>
      <c r="CR83" s="14"/>
      <c r="CS83" s="14"/>
      <c r="CT83" s="14"/>
      <c r="CU83" s="14"/>
      <c r="CV83" s="180"/>
      <c r="CW83" s="189"/>
      <c r="CX83" s="189"/>
      <c r="CY83" s="14"/>
      <c r="CZ83" s="14"/>
      <c r="DA83" s="14"/>
      <c r="DB83" s="14"/>
      <c r="DC83" s="14"/>
      <c r="DD83" s="14"/>
      <c r="DE83" s="14"/>
      <c r="DF83" s="14"/>
      <c r="DG83" s="129"/>
      <c r="DH83" s="14"/>
      <c r="DI83" s="47"/>
      <c r="DJ83" s="14"/>
      <c r="DK83" s="14"/>
      <c r="DL83" s="14"/>
      <c r="DM83" s="15"/>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row>
    <row r="84" spans="1:142" ht="27.6" x14ac:dyDescent="0.25">
      <c r="A84" s="14"/>
      <c r="B84" s="112" t="s">
        <v>23</v>
      </c>
      <c r="C84" s="113" t="s">
        <v>24</v>
      </c>
      <c r="D84" s="113" t="s">
        <v>145</v>
      </c>
      <c r="E84" s="113" t="s">
        <v>300</v>
      </c>
      <c r="F84" s="14"/>
      <c r="G84" s="14"/>
      <c r="H84" s="21"/>
      <c r="I84" s="21"/>
      <c r="J84" s="14"/>
      <c r="K84" s="14"/>
      <c r="L84" s="51"/>
      <c r="M84" s="51"/>
      <c r="N84" s="51"/>
      <c r="O84" s="51"/>
      <c r="P84" s="51"/>
      <c r="Q84" s="47"/>
      <c r="R84" s="19"/>
      <c r="S84" s="112" t="s">
        <v>23</v>
      </c>
      <c r="T84" s="113" t="s">
        <v>24</v>
      </c>
      <c r="U84" s="113" t="s">
        <v>145</v>
      </c>
      <c r="V84" s="113" t="s">
        <v>300</v>
      </c>
      <c r="W84" s="14"/>
      <c r="X84" s="14"/>
      <c r="Y84" s="14"/>
      <c r="Z84" s="14"/>
      <c r="AA84" s="56"/>
      <c r="AB84" s="56"/>
      <c r="AC84" s="56"/>
      <c r="AD84" s="65"/>
      <c r="AE84" s="63"/>
      <c r="AF84" s="352"/>
      <c r="AG84" s="19"/>
      <c r="AH84" s="112" t="s">
        <v>23</v>
      </c>
      <c r="AI84" s="113" t="s">
        <v>24</v>
      </c>
      <c r="AJ84" s="113" t="s">
        <v>145</v>
      </c>
      <c r="AK84" s="113" t="s">
        <v>300</v>
      </c>
      <c r="AL84" s="14"/>
      <c r="AM84" s="14"/>
      <c r="AN84" s="14"/>
      <c r="AO84" s="14"/>
      <c r="AP84" s="56"/>
      <c r="AQ84" s="56"/>
      <c r="AR84" s="56"/>
      <c r="AS84" s="65"/>
      <c r="AT84" s="63"/>
      <c r="AU84" s="352"/>
      <c r="AV84" s="14"/>
      <c r="AW84" s="112" t="s">
        <v>23</v>
      </c>
      <c r="AX84" s="113" t="s">
        <v>24</v>
      </c>
      <c r="AY84" s="113" t="s">
        <v>145</v>
      </c>
      <c r="AZ84" s="113" t="s">
        <v>300</v>
      </c>
      <c r="BA84" s="14"/>
      <c r="BB84" s="14"/>
      <c r="BC84" s="14"/>
      <c r="BD84" s="14"/>
      <c r="BE84" s="56"/>
      <c r="BF84" s="56"/>
      <c r="BG84" s="56"/>
      <c r="BH84" s="65"/>
      <c r="BI84" s="63"/>
      <c r="BJ84" s="352"/>
      <c r="BK84" s="19"/>
      <c r="BL84" s="112" t="s">
        <v>23</v>
      </c>
      <c r="BM84" s="113" t="s">
        <v>24</v>
      </c>
      <c r="BN84" s="113" t="s">
        <v>145</v>
      </c>
      <c r="BO84" s="113" t="s">
        <v>300</v>
      </c>
      <c r="BP84" s="14"/>
      <c r="BQ84" s="14"/>
      <c r="BR84" s="14"/>
      <c r="BS84" s="14"/>
      <c r="BT84" s="56"/>
      <c r="BU84" s="56"/>
      <c r="BV84" s="56"/>
      <c r="BW84" s="65"/>
      <c r="BX84" s="63"/>
      <c r="BY84" s="352"/>
      <c r="BZ84" s="14"/>
      <c r="CA84" s="112" t="s">
        <v>23</v>
      </c>
      <c r="CB84" s="113" t="s">
        <v>145</v>
      </c>
      <c r="CC84" s="21"/>
      <c r="CD84" s="180"/>
      <c r="CE84" s="180"/>
      <c r="CF84" s="21"/>
      <c r="CG84" s="14"/>
      <c r="CH84" s="14"/>
      <c r="CI84" s="14"/>
      <c r="CJ84" s="14"/>
      <c r="CK84" s="14"/>
      <c r="CL84" s="14"/>
      <c r="CM84" s="14"/>
      <c r="CN84" s="14"/>
      <c r="CO84" s="129"/>
      <c r="CP84" s="17"/>
      <c r="CQ84" s="47"/>
      <c r="CR84" s="14"/>
      <c r="CS84" s="112" t="s">
        <v>23</v>
      </c>
      <c r="CT84" s="113" t="s">
        <v>145</v>
      </c>
      <c r="CU84" s="14"/>
      <c r="CV84" s="180"/>
      <c r="CW84" s="189"/>
      <c r="CX84" s="189"/>
      <c r="CY84" s="14"/>
      <c r="CZ84" s="14"/>
      <c r="DA84" s="14"/>
      <c r="DB84" s="14"/>
      <c r="DC84" s="14"/>
      <c r="DD84" s="14"/>
      <c r="DE84" s="14"/>
      <c r="DF84" s="14"/>
      <c r="DG84" s="129"/>
      <c r="DH84" s="17"/>
      <c r="DI84" s="47"/>
      <c r="DJ84" s="17"/>
      <c r="DK84" s="112" t="s">
        <v>23</v>
      </c>
      <c r="DL84" s="113" t="s">
        <v>24</v>
      </c>
      <c r="DM84" s="113" t="s">
        <v>145</v>
      </c>
      <c r="DN84" s="113" t="s">
        <v>300</v>
      </c>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row>
    <row r="85" spans="1:142" x14ac:dyDescent="0.25">
      <c r="A85" s="14"/>
      <c r="B85" s="57" t="s">
        <v>31</v>
      </c>
      <c r="C85" s="121" t="str">
        <f>IF(H104=0,"na",IF(COUNTIF(H99:H103,MAX(H99:H103))&gt;COUNTIF(G99:G103,"&lt;&gt;""")/2,"No clear choice of the most common response",INDEX(G99:G103,MATCH(MAX(H99:H103),H99:H103,0),1)))</f>
        <v>Sometimes</v>
      </c>
      <c r="D85" s="58">
        <f>COUNTIFS(S30_stakeholder_category,"PP",Response_Q173_1,"&lt;&gt;0")</f>
        <v>2</v>
      </c>
      <c r="E85" s="121">
        <f>COUNTIFS(S30_stakeholder_category,"PP",Response_Q173_1,"I don’t know")</f>
        <v>0</v>
      </c>
      <c r="F85" s="14"/>
      <c r="G85" s="14"/>
      <c r="H85" s="27"/>
      <c r="I85" s="21"/>
      <c r="J85" s="14"/>
      <c r="K85" s="14"/>
      <c r="L85" s="40"/>
      <c r="M85" s="40"/>
      <c r="N85" s="40"/>
      <c r="O85" s="40"/>
      <c r="P85" s="40"/>
      <c r="Q85" s="47"/>
      <c r="R85" s="19"/>
      <c r="S85" s="34" t="s">
        <v>31</v>
      </c>
      <c r="T85" s="37" t="str">
        <f>IF(Y106=0,"na",IF(COUNTIF(Y99:Y105,MAX(Y99:Y105))&gt;COUNTIF(X99:X105,"&lt;&gt;""")/2,"No clear choice of the most common response",INDEX(X99:X105,MATCH(MAX(Y99:Y105),Y99:Y105,0),1)))</f>
        <v>Moderately likely</v>
      </c>
      <c r="U85" s="33">
        <f>COUNTIFS(S30_stakeholder_category,"PP",Response_Q176_1,"&lt;&gt;0")</f>
        <v>2</v>
      </c>
      <c r="V85" s="37">
        <f>COUNTIFS(S30_stakeholder_category,"PP",Response_Q176_1,"I don’t know")</f>
        <v>0</v>
      </c>
      <c r="W85" s="14"/>
      <c r="X85" s="14"/>
      <c r="Y85" s="14"/>
      <c r="Z85" s="14"/>
      <c r="AA85" s="19"/>
      <c r="AB85" s="19"/>
      <c r="AC85" s="19"/>
      <c r="AD85" s="65"/>
      <c r="AE85" s="63"/>
      <c r="AF85" s="352"/>
      <c r="AG85" s="19"/>
      <c r="AH85" s="57" t="s">
        <v>31</v>
      </c>
      <c r="AI85" s="121" t="str">
        <f>IF(AN106=0,"na",IF(COUNTIF(AN99:AN105,MAX(AN99:AN105))&gt;COUNTIF(AM99:AM105,"&lt;&gt;""")/2,"No clear choice of the most common response",INDEX(AM99:AM105,MATCH(MAX(AN99:AN105),AN99:AN105,0),1)))</f>
        <v>Very unlikely</v>
      </c>
      <c r="AJ85" s="58">
        <f>COUNTIFS(S30_stakeholder_category,"PP",Response_30a_CaseA,"&lt;&gt;0")</f>
        <v>3</v>
      </c>
      <c r="AK85" s="121">
        <f>COUNTIFS(S30_stakeholder_category,"PP",Response_30a_CaseA,"I don’t know")</f>
        <v>0</v>
      </c>
      <c r="AL85" s="14"/>
      <c r="AM85" s="14"/>
      <c r="AN85" s="14"/>
      <c r="AO85" s="14"/>
      <c r="AP85" s="19"/>
      <c r="AQ85" s="19"/>
      <c r="AR85" s="19"/>
      <c r="AS85" s="65"/>
      <c r="AT85" s="63"/>
      <c r="AU85" s="352"/>
      <c r="AV85" s="14"/>
      <c r="AW85" s="57" t="s">
        <v>31</v>
      </c>
      <c r="AX85" s="121" t="str">
        <f>IF(BC106=0,"na",IF(COUNTIF(BC99:BC105,MAX(BC99:BC105))&gt;COUNTIF(BB99:BB105,"&lt;&gt;""")/2,"No clear choice of the most common response",INDEX(BB99:BB105,MATCH(MAX(BC99:BC105),BC99:BC105,0),1)))</f>
        <v>Very unlikely</v>
      </c>
      <c r="AY85" s="58">
        <f>COUNTIFS(S30_stakeholder_category,"PP",Response_30a_CaseB,"&lt;&gt;0")</f>
        <v>3</v>
      </c>
      <c r="AZ85" s="121">
        <f>COUNTIFS(S30_stakeholder_category,"PP",Response_30a_CaseB,"I don’t know")</f>
        <v>0</v>
      </c>
      <c r="BA85" s="14"/>
      <c r="BB85" s="14"/>
      <c r="BC85" s="14"/>
      <c r="BD85" s="14"/>
      <c r="BE85" s="19"/>
      <c r="BF85" s="19"/>
      <c r="BG85" s="19"/>
      <c r="BH85" s="65"/>
      <c r="BI85" s="63"/>
      <c r="BJ85" s="352"/>
      <c r="BK85" s="19"/>
      <c r="BL85" s="57" t="s">
        <v>31</v>
      </c>
      <c r="BM85" s="121" t="str">
        <f>IF(BR106=0,"na",IF(COUNTIF(BR99:BR105,MAX(BR99:BR105))&gt;COUNTIF(BQ99:BQ105,"&lt;&gt;""")/2,"No clear choice of the most common response",INDEX(BQ99:BQ105,MATCH(MAX(BR99:BR105),BR99:BR105,0),1)))</f>
        <v>Very unlikely</v>
      </c>
      <c r="BN85" s="58">
        <f>COUNTIFS(S30_stakeholder_category,"PP",Response_30a_CaseC,"&lt;&gt;0")</f>
        <v>3</v>
      </c>
      <c r="BO85" s="121">
        <f>COUNTIFS(S30_stakeholder_category,"PP",Response_30a_CaseC,"I don’t know")</f>
        <v>0</v>
      </c>
      <c r="BP85" s="14"/>
      <c r="BQ85" s="14"/>
      <c r="BR85" s="14"/>
      <c r="BS85" s="14"/>
      <c r="BT85" s="19"/>
      <c r="BU85" s="19"/>
      <c r="BV85" s="19"/>
      <c r="BW85" s="65"/>
      <c r="BX85" s="63"/>
      <c r="BY85" s="352"/>
      <c r="BZ85" s="14"/>
      <c r="CA85" s="34" t="s">
        <v>31</v>
      </c>
      <c r="CB85" s="37">
        <f>MAX(SUM(CC91:CC97),SUM(CD91:CD97),SUM(CE91:CE97))</f>
        <v>2</v>
      </c>
      <c r="CC85" s="21"/>
      <c r="CD85" s="180"/>
      <c r="CE85" s="180"/>
      <c r="CF85" s="21"/>
      <c r="CG85" s="14"/>
      <c r="CH85" s="14"/>
      <c r="CI85" s="14"/>
      <c r="CJ85" s="14"/>
      <c r="CK85" s="14"/>
      <c r="CL85" s="14"/>
      <c r="CM85" s="14"/>
      <c r="CN85" s="14"/>
      <c r="CO85" s="129"/>
      <c r="CP85" s="29"/>
      <c r="CQ85" s="47"/>
      <c r="CR85" s="14"/>
      <c r="CS85" s="34" t="s">
        <v>31</v>
      </c>
      <c r="CT85" s="37">
        <f>MAX(SUM(CU91:CU97),SUM(CV91:CV97),SUM(CW91:CW97))</f>
        <v>2</v>
      </c>
      <c r="CU85" s="14"/>
      <c r="CV85" s="180"/>
      <c r="CW85" s="189"/>
      <c r="CX85" s="189"/>
      <c r="CY85" s="14"/>
      <c r="CZ85" s="14"/>
      <c r="DA85" s="14"/>
      <c r="DB85" s="14"/>
      <c r="DC85" s="14"/>
      <c r="DD85" s="14"/>
      <c r="DE85" s="14"/>
      <c r="DF85" s="14"/>
      <c r="DG85" s="129"/>
      <c r="DH85" s="29"/>
      <c r="DI85" s="47"/>
      <c r="DJ85" s="29"/>
      <c r="DK85" s="34" t="s">
        <v>31</v>
      </c>
      <c r="DL85" s="37" t="str">
        <f>IF(DQ104=0,"na",IF(COUNTIF(DQ99:DQ103,MAX(DQ99:DQ103))&gt;COUNTIF(DP99:DP103,"&lt;&gt;""")/2,"No clear choice of the most common response",INDEX(DP99:DP103,MATCH(MAX(DQ99:DQ103),DQ99:DQ103,0),1)))</f>
        <v>Sometimes</v>
      </c>
      <c r="DM85" s="33">
        <f>COUNTIFS(S30_stakeholder_category,"PP",Response_Q172_1,"&lt;&gt;0",Response_Q173_1,"&lt;&gt;0")</f>
        <v>2</v>
      </c>
      <c r="DN85" s="37">
        <f>DQ103</f>
        <v>0</v>
      </c>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row>
    <row r="86" spans="1:142" x14ac:dyDescent="0.25">
      <c r="A86" s="14"/>
      <c r="B86" s="57"/>
      <c r="C86" s="121" t="str">
        <f ca="1">IF(H104=0,"",IF(COUNTIF(H99:H103,MAX(H99:H103))=1,"",IF(COUNTIF(H99:H103,MAX(H99:H103))&gt;COUNTIF(G99:G103,"&lt;&gt;""")/2,"",INDEX(OFFSET(G99,MATCH(C85,G99:G104,0),0):G103,MATCH(MAX(H99:H103),OFFSET(H99,MATCH(C85,G99:G104,0),0):H103,0),1))))</f>
        <v/>
      </c>
      <c r="D86" s="58"/>
      <c r="E86" s="121"/>
      <c r="F86" s="14"/>
      <c r="G86" s="14"/>
      <c r="H86" s="27"/>
      <c r="I86" s="21"/>
      <c r="J86" s="14"/>
      <c r="K86" s="14"/>
      <c r="L86" s="40"/>
      <c r="M86" s="40"/>
      <c r="N86" s="40"/>
      <c r="O86" s="40"/>
      <c r="P86" s="40"/>
      <c r="Q86" s="47"/>
      <c r="R86" s="19"/>
      <c r="S86" s="34"/>
      <c r="T86" s="37" t="str">
        <f ca="1">IF(Y106=0,"",IF(COUNTIF(Y99:Y105,MAX(Y99:Y105))=1,"",IF(COUNTIF(Y99:Y105,MAX(Y99:Y105))&gt;COUNTIF(X99:X105,"&lt;&gt;""")/2,"",INDEX(OFFSET(X99,MATCH(T85,X99:X105,0),0):X105,MATCH(MAX(Y99:Y105),OFFSET(Y99,MATCH(T85,X99:X105,0),0):Y105,0),1))))</f>
        <v>Likely</v>
      </c>
      <c r="U86" s="33"/>
      <c r="V86" s="37"/>
      <c r="W86" s="14"/>
      <c r="X86" s="14"/>
      <c r="Y86" s="14"/>
      <c r="Z86" s="14"/>
      <c r="AA86" s="19"/>
      <c r="AB86" s="19"/>
      <c r="AC86" s="19"/>
      <c r="AD86" s="65"/>
      <c r="AE86" s="63"/>
      <c r="AF86" s="352"/>
      <c r="AG86" s="19"/>
      <c r="AH86" s="57"/>
      <c r="AI86" s="121" t="str">
        <f ca="1">IF(AN106=0,"",IF(COUNTIF(AN99:AN105,MAX(AN99:AN105))=1,"",IF(COUNTIF(AN99:AN105,MAX(AN99:AN105))&gt;COUNTIF(AM99:AM105,"&lt;&gt;""")/2,"",INDEX(OFFSET(AM99,MATCH(AI85,AM99:AM105,0),0):AM105,MATCH(MAX(AN99:AN105),OFFSET(AN99,MATCH(AI85,AM99:AM105,0),0):AN105,0),1))))</f>
        <v/>
      </c>
      <c r="AJ86" s="58"/>
      <c r="AK86" s="121"/>
      <c r="AL86" s="14"/>
      <c r="AM86" s="14"/>
      <c r="AN86" s="14"/>
      <c r="AO86" s="14"/>
      <c r="AP86" s="19"/>
      <c r="AQ86" s="19"/>
      <c r="AR86" s="19"/>
      <c r="AS86" s="65"/>
      <c r="AT86" s="63"/>
      <c r="AU86" s="352"/>
      <c r="AV86" s="14"/>
      <c r="AW86" s="57"/>
      <c r="AX86" s="121" t="str">
        <f ca="1">IF(BC106=0,"",IF(COUNTIF(BC99:BC105,MAX(BC99:BC105))=1,"",IF(COUNTIF(BC99:BC105,MAX(BC99:BC105))&gt;COUNTIF(BB99:BB105,"&lt;&gt;""")/2,"",INDEX(OFFSET(BB99,MATCH(AX85,BB99:BB105,0),0):BB105,MATCH(MAX(BC99:BC105),OFFSET(BC99,MATCH(AX85,BB99:BB105,0),0):BC105,0),1))))</f>
        <v/>
      </c>
      <c r="AY86" s="58"/>
      <c r="AZ86" s="121"/>
      <c r="BA86" s="14"/>
      <c r="BB86" s="14"/>
      <c r="BC86" s="14"/>
      <c r="BD86" s="14"/>
      <c r="BE86" s="19"/>
      <c r="BF86" s="19"/>
      <c r="BG86" s="19"/>
      <c r="BH86" s="65"/>
      <c r="BI86" s="63"/>
      <c r="BJ86" s="352"/>
      <c r="BK86" s="19"/>
      <c r="BL86" s="57"/>
      <c r="BM86" s="121" t="str">
        <f ca="1">IF(BR106=0,"",IF(COUNTIF(BR99:BR105,MAX(BR99:BR105))=1,"",IF(COUNTIF(BR99:BR105,MAX(BR99:BR105))&gt;COUNTIF(BQ99:BQ105,"&lt;&gt;""")/2,"",INDEX(OFFSET(BQ99,MATCH(BM85,BQ99:BQ105,0),0):BQ105,MATCH(MAX(BR99:BR105),OFFSET(BR99,MATCH(BM85,BQ99:BQ105,0),0):BR105,0),1))))</f>
        <v/>
      </c>
      <c r="BN86" s="58"/>
      <c r="BO86" s="121"/>
      <c r="BP86" s="14"/>
      <c r="BQ86" s="14"/>
      <c r="BR86" s="14"/>
      <c r="BS86" s="14"/>
      <c r="BT86" s="19"/>
      <c r="BU86" s="19"/>
      <c r="BV86" s="19"/>
      <c r="BW86" s="65"/>
      <c r="BX86" s="63"/>
      <c r="BY86" s="352"/>
      <c r="BZ86" s="14"/>
      <c r="CA86" s="14"/>
      <c r="CB86" s="21"/>
      <c r="CC86" s="21"/>
      <c r="CD86" s="180"/>
      <c r="CE86" s="180"/>
      <c r="CF86" s="21"/>
      <c r="CG86" s="14"/>
      <c r="CH86" s="14"/>
      <c r="CI86" s="14"/>
      <c r="CJ86" s="14"/>
      <c r="CK86" s="14"/>
      <c r="CL86" s="14"/>
      <c r="CM86" s="14"/>
      <c r="CN86" s="14"/>
      <c r="CO86" s="129"/>
      <c r="CP86" s="29"/>
      <c r="CQ86" s="47"/>
      <c r="CR86" s="14"/>
      <c r="CS86" s="14"/>
      <c r="CT86" s="14"/>
      <c r="CU86" s="14"/>
      <c r="CV86" s="180"/>
      <c r="CW86" s="189"/>
      <c r="CX86" s="189"/>
      <c r="CY86" s="14"/>
      <c r="CZ86" s="14"/>
      <c r="DA86" s="14"/>
      <c r="DB86" s="14"/>
      <c r="DC86" s="14"/>
      <c r="DD86" s="14"/>
      <c r="DE86" s="14"/>
      <c r="DF86" s="14"/>
      <c r="DG86" s="129"/>
      <c r="DH86" s="29"/>
      <c r="DI86" s="47"/>
      <c r="DJ86" s="29"/>
      <c r="DK86" s="34"/>
      <c r="DL86" s="121" t="str">
        <f ca="1">IF(DQ104=0,"",IF(COUNTIF(DQ99:DQ103,MAX(DQ99:DQ103))=1,"",IF(COUNTIF(DQ99:DQ103,MAX(DQ99:DQ103))&gt;COUNTIF(DP99:DP103,"&lt;&gt;""")/2,"",INDEX(OFFSET(DP99,MATCH(DL85,DP99:DP104,0),0):DP103,MATCH(MAX(DQ99:DQ103),OFFSET(DQ99,MATCH(DL85,DP99:DP104,0),0):DQ103,0),1))))</f>
        <v>Most of the time</v>
      </c>
      <c r="DM86" s="33"/>
      <c r="DN86" s="37"/>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row>
    <row r="87" spans="1:142" x14ac:dyDescent="0.25">
      <c r="A87" s="14"/>
      <c r="B87" s="57"/>
      <c r="C87" s="121" t="str">
        <f ca="1" xml:space="preserve"> IF(H104=0,"", IF(COUNTIF(H99:H103,MAX(H99:H103))&lt;=2,"",IF(COUNTIF(H99:H103,MAX(H99:H103))&gt;COUNTIF(G99:G103,"&lt;&gt;""")/2,"", INDEX(OFFSET(G99,MATCH(C86,G99:G104,0),0):G103,         MATCH(MAX(H99:H103),        OFFSET(H99,MATCH(C86,G99:G104,0),0):H103,0),1))))</f>
        <v/>
      </c>
      <c r="D87" s="58"/>
      <c r="E87" s="121"/>
      <c r="F87" s="14"/>
      <c r="G87" s="14"/>
      <c r="H87" s="27"/>
      <c r="I87" s="21"/>
      <c r="J87" s="14"/>
      <c r="K87" s="14"/>
      <c r="L87" s="40"/>
      <c r="M87" s="40"/>
      <c r="N87" s="40"/>
      <c r="O87" s="40"/>
      <c r="P87" s="40"/>
      <c r="Q87" s="47"/>
      <c r="R87" s="19"/>
      <c r="S87" s="34"/>
      <c r="T87" s="121" t="str">
        <f ca="1" xml:space="preserve"> IF(Y106=0,"",IF(Y106=0,"", IF(COUNTIF(Y99:Y105,MAX(Y99:Y105))&lt;=2,"",IF(COUNTIF(Y99:Y105,MAX(Y99:Y105))&gt;COUNTIF(X99:X105,"&lt;&gt;""")/2,"", INDEX(OFFSET(X99,MATCH(T86,X99:X105,0),0):X105,         MATCH(MAX(Y99:Y105),        OFFSET(Y99,MATCH(T86,X99:X105,0),0):Y105,0),1)))))</f>
        <v/>
      </c>
      <c r="U87" s="33"/>
      <c r="V87" s="37"/>
      <c r="W87" s="14"/>
      <c r="X87" s="14"/>
      <c r="Y87" s="14"/>
      <c r="Z87" s="14"/>
      <c r="AA87" s="19"/>
      <c r="AB87" s="19"/>
      <c r="AC87" s="19"/>
      <c r="AD87" s="65"/>
      <c r="AE87" s="63"/>
      <c r="AF87" s="352"/>
      <c r="AG87" s="19"/>
      <c r="AH87" s="57"/>
      <c r="AI87" s="121" t="str">
        <f ca="1" xml:space="preserve"> IF(AN106=0,"",IF(AN106=0,"", IF(COUNTIF(AN99:AN105,MAX(AN99:AN105))&lt;=2,"",IF(COUNTIF(AN99:AN105,MAX(AN99:AN105))&gt;COUNTIF(AM99:AM105,"&lt;&gt;""")/2,"", INDEX(OFFSET(AM99,MATCH(AI86,AM99:AM105,0),0):AM105,         MATCH(MAX(AN99:AN105),        OFFSET(AN99,MATCH(AI86,AM99:AM105,0),0):AN105,0),1)))))</f>
        <v/>
      </c>
      <c r="AJ87" s="58"/>
      <c r="AK87" s="121"/>
      <c r="AL87" s="14"/>
      <c r="AM87" s="14"/>
      <c r="AN87" s="14"/>
      <c r="AO87" s="14"/>
      <c r="AP87" s="19"/>
      <c r="AQ87" s="19"/>
      <c r="AR87" s="19"/>
      <c r="AS87" s="65"/>
      <c r="AT87" s="63"/>
      <c r="AU87" s="352"/>
      <c r="AV87" s="14"/>
      <c r="AW87" s="57"/>
      <c r="AX87" s="121" t="str">
        <f ca="1" xml:space="preserve"> IF(BC106=0,"",IF(BC106=0,"", IF(COUNTIF(BC99:BC105,MAX(BC99:BC105))&lt;=2,"",IF(COUNTIF(BC99:BC105,MAX(BC99:BC105))&gt;COUNTIF(BB99:BB105,"&lt;&gt;""")/2,"", INDEX(OFFSET(BB99,MATCH(AX86,BB99:BB105,0),0):BB105,         MATCH(MAX(BC99:BC105),        OFFSET(BC99,MATCH(AX86,BB99:BB105,0),0):BC105,0),1)))))</f>
        <v/>
      </c>
      <c r="AY87" s="58"/>
      <c r="AZ87" s="121"/>
      <c r="BA87" s="14"/>
      <c r="BB87" s="14"/>
      <c r="BC87" s="14"/>
      <c r="BD87" s="14"/>
      <c r="BE87" s="19"/>
      <c r="BF87" s="19"/>
      <c r="BG87" s="19"/>
      <c r="BH87" s="65"/>
      <c r="BI87" s="63"/>
      <c r="BJ87" s="352"/>
      <c r="BK87" s="19"/>
      <c r="BL87" s="57"/>
      <c r="BM87" s="121" t="str">
        <f ca="1" xml:space="preserve"> IF(BR106=0,"",IF(BR106=0,"", IF(COUNTIF(BR99:BR105,MAX(BR99:BR105))&lt;=2,"",IF(COUNTIF(BR99:BR105,MAX(BR99:BR105))&gt;COUNTIF(BQ99:BQ105,"&lt;&gt;""")/2,"", INDEX(OFFSET(BQ99,MATCH(BM86,BQ99:BQ105,0),0):BQ105,         MATCH(MAX(BR99:BR105),        OFFSET(BR99,MATCH(BM86,BQ99:BQ105,0),0):BR105,0),1)))))</f>
        <v/>
      </c>
      <c r="BN87" s="58"/>
      <c r="BO87" s="121"/>
      <c r="BP87" s="14"/>
      <c r="BQ87" s="14"/>
      <c r="BR87" s="14"/>
      <c r="BS87" s="14"/>
      <c r="BT87" s="19"/>
      <c r="BU87" s="19"/>
      <c r="BV87" s="19"/>
      <c r="BW87" s="65"/>
      <c r="BX87" s="63"/>
      <c r="BY87" s="352"/>
      <c r="BZ87" s="14"/>
      <c r="CA87" s="14"/>
      <c r="CB87" s="21"/>
      <c r="CC87" s="21"/>
      <c r="CD87" s="180"/>
      <c r="CE87" s="180"/>
      <c r="CF87" s="21"/>
      <c r="CG87" s="14"/>
      <c r="CH87" s="14"/>
      <c r="CI87" s="14"/>
      <c r="CJ87" s="14"/>
      <c r="CK87" s="14"/>
      <c r="CL87" s="14"/>
      <c r="CM87" s="14"/>
      <c r="CN87" s="14"/>
      <c r="CO87" s="129"/>
      <c r="CP87" s="29"/>
      <c r="CQ87" s="47"/>
      <c r="CR87" s="14"/>
      <c r="CS87" s="14"/>
      <c r="CT87" s="14"/>
      <c r="CU87" s="14"/>
      <c r="CV87" s="180"/>
      <c r="CW87" s="189"/>
      <c r="CX87" s="189"/>
      <c r="CY87" s="14"/>
      <c r="CZ87" s="14"/>
      <c r="DA87" s="14"/>
      <c r="DB87" s="14"/>
      <c r="DC87" s="14"/>
      <c r="DD87" s="14"/>
      <c r="DE87" s="14"/>
      <c r="DF87" s="14"/>
      <c r="DG87" s="129"/>
      <c r="DH87" s="29"/>
      <c r="DI87" s="47"/>
      <c r="DJ87" s="29"/>
      <c r="DK87" s="34"/>
      <c r="DL87" s="121" t="str">
        <f ca="1" xml:space="preserve"> IF(DQ104=0,"",IF(DQ104=0,"", IF(COUNTIF(DQ99:DQ103,MAX(DQ99:DQ103))&lt;=2,"",IF(COUNTIF(DQ99:DQ103,MAX(DQ99:DQ103))&gt;COUNTIF(DP99:DP103,"&lt;&gt;""")/2,"", INDEX(OFFSET(DP99,MATCH(DL86,DP99:DP104,0),0):DP103,         MATCH(MAX(DQ99:DQ103),        OFFSET(DQ99,MATCH(DL86,DP99:DP104,0),0):DQ103,0),1)))))</f>
        <v/>
      </c>
      <c r="DM87" s="33"/>
      <c r="DN87" s="37"/>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row>
    <row r="88" spans="1:142" x14ac:dyDescent="0.25">
      <c r="A88" s="14"/>
      <c r="B88" s="14"/>
      <c r="C88" s="14"/>
      <c r="D88" s="27"/>
      <c r="E88" s="14"/>
      <c r="F88" s="14"/>
      <c r="G88" s="14"/>
      <c r="H88" s="27"/>
      <c r="I88" s="21"/>
      <c r="J88" s="14"/>
      <c r="K88" s="14"/>
      <c r="L88" s="40"/>
      <c r="M88" s="40"/>
      <c r="N88" s="40"/>
      <c r="O88" s="40"/>
      <c r="P88" s="40"/>
      <c r="Q88" s="47"/>
      <c r="R88" s="19"/>
      <c r="S88" s="19"/>
      <c r="T88" s="14"/>
      <c r="U88" s="27"/>
      <c r="V88" s="14"/>
      <c r="W88" s="14"/>
      <c r="X88" s="14"/>
      <c r="Y88" s="14"/>
      <c r="Z88" s="14"/>
      <c r="AA88" s="19"/>
      <c r="AB88" s="19"/>
      <c r="AC88" s="19"/>
      <c r="AD88" s="65"/>
      <c r="AE88" s="63"/>
      <c r="AF88" s="352"/>
      <c r="AG88" s="19"/>
      <c r="AH88" s="19"/>
      <c r="AI88" s="14"/>
      <c r="AJ88" s="27"/>
      <c r="AK88" s="14"/>
      <c r="AL88" s="14"/>
      <c r="AM88" s="14"/>
      <c r="AN88" s="14"/>
      <c r="AO88" s="14"/>
      <c r="AP88" s="19"/>
      <c r="AQ88" s="19"/>
      <c r="AR88" s="19"/>
      <c r="AS88" s="65"/>
      <c r="AT88" s="63"/>
      <c r="AU88" s="352"/>
      <c r="AV88" s="14"/>
      <c r="AW88" s="19"/>
      <c r="AX88" s="14"/>
      <c r="AY88" s="27"/>
      <c r="AZ88" s="14"/>
      <c r="BA88" s="14"/>
      <c r="BB88" s="14"/>
      <c r="BC88" s="14"/>
      <c r="BD88" s="14"/>
      <c r="BE88" s="19"/>
      <c r="BF88" s="19"/>
      <c r="BG88" s="19"/>
      <c r="BH88" s="65"/>
      <c r="BI88" s="63"/>
      <c r="BJ88" s="352"/>
      <c r="BK88" s="19"/>
      <c r="BL88" s="44"/>
      <c r="BM88" s="8"/>
      <c r="BN88" s="123"/>
      <c r="BO88" s="8"/>
      <c r="BP88" s="14"/>
      <c r="BQ88" s="14"/>
      <c r="BR88" s="14"/>
      <c r="BS88" s="14"/>
      <c r="BT88" s="19"/>
      <c r="BU88" s="19"/>
      <c r="BV88" s="19"/>
      <c r="BW88" s="65"/>
      <c r="BX88" s="63"/>
      <c r="BY88" s="352"/>
      <c r="BZ88" s="14"/>
      <c r="CA88" s="14"/>
      <c r="CB88" s="21"/>
      <c r="CC88" s="21"/>
      <c r="CD88" s="180"/>
      <c r="CE88" s="180"/>
      <c r="CF88" s="21"/>
      <c r="CG88" s="14"/>
      <c r="CH88" s="14"/>
      <c r="CI88" s="14"/>
      <c r="CJ88" s="14"/>
      <c r="CK88" s="14"/>
      <c r="CL88" s="14"/>
      <c r="CM88" s="14"/>
      <c r="CN88" s="14"/>
      <c r="CO88" s="129"/>
      <c r="CP88" s="29"/>
      <c r="CQ88" s="47"/>
      <c r="CR88" s="14"/>
      <c r="CS88" s="14"/>
      <c r="CT88" s="14"/>
      <c r="CU88" s="14"/>
      <c r="CV88" s="180"/>
      <c r="CW88" s="189"/>
      <c r="CX88" s="189"/>
      <c r="CY88" s="14"/>
      <c r="CZ88" s="14"/>
      <c r="DA88" s="14"/>
      <c r="DB88" s="14"/>
      <c r="DC88" s="14"/>
      <c r="DD88" s="14"/>
      <c r="DE88" s="14"/>
      <c r="DF88" s="14"/>
      <c r="DG88" s="129"/>
      <c r="DH88" s="29"/>
      <c r="DI88" s="47"/>
      <c r="DJ88" s="29"/>
      <c r="DK88" s="14"/>
      <c r="DL88" s="14"/>
      <c r="DM88" s="27"/>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row>
    <row r="89" spans="1:142" x14ac:dyDescent="0.25">
      <c r="A89" s="14"/>
      <c r="B89" s="14"/>
      <c r="C89" s="14"/>
      <c r="D89" s="27"/>
      <c r="E89" s="14"/>
      <c r="F89" s="14"/>
      <c r="G89" s="14"/>
      <c r="H89" s="27"/>
      <c r="I89" s="21"/>
      <c r="J89" s="14"/>
      <c r="K89" s="14"/>
      <c r="L89" s="40"/>
      <c r="M89" s="40"/>
      <c r="N89" s="40"/>
      <c r="O89" s="40"/>
      <c r="P89" s="40"/>
      <c r="Q89" s="47"/>
      <c r="R89" s="19"/>
      <c r="S89" s="19"/>
      <c r="T89" s="14"/>
      <c r="U89" s="27"/>
      <c r="V89" s="14"/>
      <c r="W89" s="14"/>
      <c r="X89" s="14"/>
      <c r="Y89" s="14"/>
      <c r="Z89" s="14"/>
      <c r="AA89" s="19"/>
      <c r="AB89" s="19"/>
      <c r="AC89" s="19"/>
      <c r="AD89" s="65"/>
      <c r="AE89" s="63"/>
      <c r="AF89" s="352"/>
      <c r="AG89" s="19"/>
      <c r="AH89" s="19"/>
      <c r="AI89" s="14"/>
      <c r="AJ89" s="27"/>
      <c r="AK89" s="14"/>
      <c r="AL89" s="14"/>
      <c r="AM89" s="14"/>
      <c r="AN89" s="14"/>
      <c r="AO89" s="14"/>
      <c r="AP89" s="19"/>
      <c r="AQ89" s="19"/>
      <c r="AR89" s="19"/>
      <c r="AS89" s="65"/>
      <c r="AT89" s="63"/>
      <c r="AU89" s="352"/>
      <c r="AV89" s="14"/>
      <c r="AW89" s="19"/>
      <c r="AX89" s="14"/>
      <c r="AY89" s="27"/>
      <c r="AZ89" s="14"/>
      <c r="BA89" s="14"/>
      <c r="BB89" s="14"/>
      <c r="BC89" s="14"/>
      <c r="BD89" s="14"/>
      <c r="BE89" s="19"/>
      <c r="BF89" s="19"/>
      <c r="BG89" s="19"/>
      <c r="BH89" s="65"/>
      <c r="BI89" s="63"/>
      <c r="BJ89" s="352"/>
      <c r="BK89" s="19"/>
      <c r="BL89" s="19"/>
      <c r="BM89" s="14"/>
      <c r="BN89" s="27"/>
      <c r="BO89" s="14"/>
      <c r="BP89" s="14"/>
      <c r="BQ89" s="14"/>
      <c r="BR89" s="14"/>
      <c r="BS89" s="14"/>
      <c r="BT89" s="19"/>
      <c r="BU89" s="19"/>
      <c r="BV89" s="19"/>
      <c r="BW89" s="65"/>
      <c r="BX89" s="63"/>
      <c r="BY89" s="352"/>
      <c r="BZ89" s="14"/>
      <c r="CA89" s="14"/>
      <c r="CB89" s="21"/>
      <c r="CC89" s="21"/>
      <c r="CD89" s="180"/>
      <c r="CE89" s="180"/>
      <c r="CF89" s="21"/>
      <c r="CG89" s="14"/>
      <c r="CH89" s="14"/>
      <c r="CI89" s="14"/>
      <c r="CJ89" s="14"/>
      <c r="CK89" s="14"/>
      <c r="CL89" s="14"/>
      <c r="CM89" s="14"/>
      <c r="CN89" s="14"/>
      <c r="CO89" s="129"/>
      <c r="CP89" s="29"/>
      <c r="CQ89" s="47"/>
      <c r="CR89" s="14"/>
      <c r="CS89" s="14"/>
      <c r="CT89" s="14"/>
      <c r="CU89" s="14"/>
      <c r="CV89" s="180"/>
      <c r="CW89" s="189"/>
      <c r="CX89" s="189"/>
      <c r="CY89" s="14"/>
      <c r="CZ89" s="14"/>
      <c r="DA89" s="14"/>
      <c r="DB89" s="14"/>
      <c r="DC89" s="14"/>
      <c r="DD89" s="14"/>
      <c r="DE89" s="14"/>
      <c r="DF89" s="14"/>
      <c r="DG89" s="129"/>
      <c r="DH89" s="29"/>
      <c r="DI89" s="47"/>
      <c r="DJ89" s="29"/>
      <c r="DK89" s="14"/>
      <c r="DL89" s="14"/>
      <c r="DM89" s="27"/>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row>
    <row r="90" spans="1:142" ht="27.6" x14ac:dyDescent="0.25">
      <c r="A90" s="14"/>
      <c r="B90" s="14"/>
      <c r="C90" s="14"/>
      <c r="D90" s="27"/>
      <c r="E90" s="14"/>
      <c r="F90" s="14"/>
      <c r="G90" s="14"/>
      <c r="H90" s="27"/>
      <c r="I90" s="21"/>
      <c r="J90" s="14"/>
      <c r="K90" s="14"/>
      <c r="L90" s="40"/>
      <c r="M90" s="40"/>
      <c r="N90" s="40"/>
      <c r="O90" s="40"/>
      <c r="P90" s="40"/>
      <c r="Q90" s="47"/>
      <c r="R90" s="19"/>
      <c r="S90" s="19"/>
      <c r="T90" s="14"/>
      <c r="U90" s="27"/>
      <c r="V90" s="14"/>
      <c r="W90" s="14"/>
      <c r="X90" s="14"/>
      <c r="Y90" s="14"/>
      <c r="Z90" s="14"/>
      <c r="AA90" s="19"/>
      <c r="AB90" s="19"/>
      <c r="AC90" s="19"/>
      <c r="AD90" s="65"/>
      <c r="AE90" s="63"/>
      <c r="AF90" s="352"/>
      <c r="AG90" s="19"/>
      <c r="AH90" s="19"/>
      <c r="AI90" s="14"/>
      <c r="AJ90" s="27"/>
      <c r="AK90" s="14"/>
      <c r="AL90" s="14"/>
      <c r="AM90" s="14"/>
      <c r="AN90" s="14"/>
      <c r="AO90" s="14"/>
      <c r="AP90" s="19"/>
      <c r="AQ90" s="19"/>
      <c r="AR90" s="19"/>
      <c r="AS90" s="65"/>
      <c r="AT90" s="63"/>
      <c r="AU90" s="352"/>
      <c r="AV90" s="14"/>
      <c r="AW90" s="19"/>
      <c r="AX90" s="14"/>
      <c r="AY90" s="27"/>
      <c r="AZ90" s="14"/>
      <c r="BA90" s="14"/>
      <c r="BB90" s="14"/>
      <c r="BC90" s="14"/>
      <c r="BD90" s="14"/>
      <c r="BE90" s="19"/>
      <c r="BF90" s="19"/>
      <c r="BG90" s="19"/>
      <c r="BH90" s="65"/>
      <c r="BI90" s="63"/>
      <c r="BJ90" s="352"/>
      <c r="BK90" s="19"/>
      <c r="BL90" s="19"/>
      <c r="BM90" s="14"/>
      <c r="BN90" s="27"/>
      <c r="BO90" s="14"/>
      <c r="BP90" s="14"/>
      <c r="BQ90" s="14"/>
      <c r="BR90" s="14"/>
      <c r="BS90" s="14"/>
      <c r="BT90" s="19"/>
      <c r="BU90" s="19"/>
      <c r="BV90" s="19"/>
      <c r="BW90" s="65"/>
      <c r="BX90" s="63"/>
      <c r="BY90" s="352"/>
      <c r="BZ90" s="14"/>
      <c r="CA90" s="109" t="s">
        <v>14</v>
      </c>
      <c r="CB90" s="110" t="s">
        <v>164</v>
      </c>
      <c r="CC90" s="110" t="s">
        <v>149</v>
      </c>
      <c r="CD90" s="184" t="s">
        <v>150</v>
      </c>
      <c r="CE90" s="184" t="s">
        <v>151</v>
      </c>
      <c r="CF90" s="110" t="s">
        <v>152</v>
      </c>
      <c r="CG90" s="14"/>
      <c r="CH90" s="109"/>
      <c r="CI90" s="110" t="s">
        <v>5</v>
      </c>
      <c r="CJ90" s="110" t="s">
        <v>4</v>
      </c>
      <c r="CK90" s="110" t="s">
        <v>33</v>
      </c>
      <c r="CL90" s="110" t="s">
        <v>29</v>
      </c>
      <c r="CM90" s="110" t="s">
        <v>3</v>
      </c>
      <c r="CN90" s="110" t="s">
        <v>54</v>
      </c>
      <c r="CO90" s="328" t="s">
        <v>160</v>
      </c>
      <c r="CP90" s="29"/>
      <c r="CQ90" s="47"/>
      <c r="CR90" s="14"/>
      <c r="CS90" s="109" t="s">
        <v>14</v>
      </c>
      <c r="CT90" s="110" t="s">
        <v>164</v>
      </c>
      <c r="CU90" s="110" t="s">
        <v>149</v>
      </c>
      <c r="CV90" s="184" t="s">
        <v>150</v>
      </c>
      <c r="CW90" s="184" t="s">
        <v>151</v>
      </c>
      <c r="CX90" s="194" t="s">
        <v>152</v>
      </c>
      <c r="CY90" s="14"/>
      <c r="CZ90" s="109" t="s">
        <v>14</v>
      </c>
      <c r="DA90" s="110" t="s">
        <v>5</v>
      </c>
      <c r="DB90" s="110" t="s">
        <v>4</v>
      </c>
      <c r="DC90" s="110" t="s">
        <v>33</v>
      </c>
      <c r="DD90" s="110" t="s">
        <v>29</v>
      </c>
      <c r="DE90" s="110" t="s">
        <v>3</v>
      </c>
      <c r="DF90" s="110" t="s">
        <v>54</v>
      </c>
      <c r="DG90" s="328" t="s">
        <v>160</v>
      </c>
      <c r="DH90" s="29"/>
      <c r="DI90" s="47"/>
      <c r="DJ90" s="29"/>
      <c r="DK90" s="19"/>
      <c r="DL90" s="19"/>
      <c r="DM90" s="27"/>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row>
    <row r="91" spans="1:142" x14ac:dyDescent="0.25">
      <c r="A91" s="14"/>
      <c r="B91" s="14"/>
      <c r="C91" s="14"/>
      <c r="D91" s="21"/>
      <c r="E91" s="14"/>
      <c r="F91" s="14"/>
      <c r="G91" s="14"/>
      <c r="H91" s="21"/>
      <c r="I91" s="15"/>
      <c r="J91" s="13"/>
      <c r="K91" s="14"/>
      <c r="L91" s="14"/>
      <c r="M91" s="14"/>
      <c r="N91" s="14"/>
      <c r="O91" s="14"/>
      <c r="P91" s="14"/>
      <c r="Q91" s="47"/>
      <c r="R91" s="19"/>
      <c r="S91" s="14"/>
      <c r="T91" s="14"/>
      <c r="U91" s="21"/>
      <c r="V91" s="14"/>
      <c r="W91" s="14"/>
      <c r="X91" s="14"/>
      <c r="Y91" s="14"/>
      <c r="Z91" s="14"/>
      <c r="AA91" s="19"/>
      <c r="AB91" s="19"/>
      <c r="AC91" s="19"/>
      <c r="AD91" s="65"/>
      <c r="AE91" s="63"/>
      <c r="AF91" s="352"/>
      <c r="AG91" s="19"/>
      <c r="AH91" s="14"/>
      <c r="AI91" s="14"/>
      <c r="AJ91" s="21"/>
      <c r="AK91" s="14"/>
      <c r="AL91" s="14"/>
      <c r="AM91" s="14"/>
      <c r="AN91" s="14"/>
      <c r="AO91" s="14"/>
      <c r="AP91" s="19"/>
      <c r="AQ91" s="19"/>
      <c r="AR91" s="19"/>
      <c r="AS91" s="65"/>
      <c r="AT91" s="63"/>
      <c r="AU91" s="352"/>
      <c r="AV91" s="14"/>
      <c r="AW91" s="14"/>
      <c r="AX91" s="14"/>
      <c r="AY91" s="21"/>
      <c r="AZ91" s="14"/>
      <c r="BA91" s="14"/>
      <c r="BB91" s="14"/>
      <c r="BC91" s="14"/>
      <c r="BD91" s="14"/>
      <c r="BE91" s="19"/>
      <c r="BF91" s="19"/>
      <c r="BG91" s="19"/>
      <c r="BH91" s="65"/>
      <c r="BI91" s="63"/>
      <c r="BJ91" s="352"/>
      <c r="BK91" s="19"/>
      <c r="BL91" s="14"/>
      <c r="BM91" s="14"/>
      <c r="BN91" s="21"/>
      <c r="BO91" s="14"/>
      <c r="BP91" s="14"/>
      <c r="BQ91" s="14"/>
      <c r="BR91" s="14"/>
      <c r="BS91" s="14"/>
      <c r="BT91" s="19"/>
      <c r="BU91" s="19"/>
      <c r="BV91" s="19"/>
      <c r="BW91" s="65"/>
      <c r="BX91" s="63"/>
      <c r="BY91" s="352"/>
      <c r="BZ91" s="14"/>
      <c r="CA91" s="140" t="s">
        <v>701</v>
      </c>
      <c r="CB91" s="27">
        <f>COUNTIFS(S30_stakeholder_category,"PP",Response_Q177_1,"&lt;&gt;0",Response_Q173_1,"&lt;&gt;0")</f>
        <v>2</v>
      </c>
      <c r="CC91" s="37">
        <f>COUNTIFS(S30_stakeholder_category,"PP",Response_Q177_1,1,Response_Q173_1,"&lt;&gt;""0")</f>
        <v>1</v>
      </c>
      <c r="CD91" s="37">
        <f>COUNTIFS(S26_stakeholder_category,"PP",Response_Q161_1,2,Response_Q156_1,"&lt;&gt;0")</f>
        <v>0</v>
      </c>
      <c r="CE91" s="37">
        <f>COUNTIFS(S26_stakeholder_category,"PP",Response_Q161_1,3,Response_Q156_1,"&lt;&gt;0")</f>
        <v>0</v>
      </c>
      <c r="CF91" s="97">
        <f t="shared" ref="CF91:CF97" si="42">IF(CB$85=0,0,SUMPRODUCT(CC91:CE91,Rank_score)/CB$85)</f>
        <v>1.5</v>
      </c>
      <c r="CG91" s="14"/>
      <c r="CH91" s="140" t="s">
        <v>701</v>
      </c>
      <c r="CI91" s="27">
        <f t="shared" ref="CI91:CN91" si="43">COUNTIFS(S30_stakeholder_category,"PP",Response_Q177_1,"&lt;&gt;0",Response_Q177_2,CI$63,Response_Q173_1,"&lt;&gt;0")</f>
        <v>1</v>
      </c>
      <c r="CJ91" s="27">
        <f t="shared" si="43"/>
        <v>0</v>
      </c>
      <c r="CK91" s="27">
        <f t="shared" si="43"/>
        <v>0</v>
      </c>
      <c r="CL91" s="27">
        <f t="shared" si="43"/>
        <v>1</v>
      </c>
      <c r="CM91" s="27">
        <f t="shared" si="43"/>
        <v>0</v>
      </c>
      <c r="CN91" s="27">
        <f t="shared" si="43"/>
        <v>0</v>
      </c>
      <c r="CO91" s="141">
        <f t="shared" ref="CO91:CO97" si="44">IF(ISBLANK(CH91),"",IF(CF91=0,not_ranked,IF(SUM(CI91:CN91)=0,not_estimated,IFERROR(SUMPRODUCT(CI91:CN91,Likekihood_score)/SUM(CI91:CN91),0))))</f>
        <v>2.5</v>
      </c>
      <c r="CP91" s="29"/>
      <c r="CQ91" s="47"/>
      <c r="CR91" s="14"/>
      <c r="CS91" s="140" t="s">
        <v>373</v>
      </c>
      <c r="CT91" s="27">
        <f>COUNTIFS(S30_stakeholder_category,"PP",Response_Q178_1,"&lt;&gt;0",Response_Q173_1,"&lt;&gt;0")</f>
        <v>1</v>
      </c>
      <c r="CU91" s="37">
        <f>COUNTIFS(S30_stakeholder_category,"PP",Response_Q178_1,1,Response_Q173_1,"&lt;&gt;0")</f>
        <v>1</v>
      </c>
      <c r="CV91" s="37">
        <f>COUNTIFS(S30_stakeholder_category,"PP",Response_Q178_1,2,Response_Q173_1,"&lt;&gt;0")</f>
        <v>0</v>
      </c>
      <c r="CW91" s="37">
        <f>COUNTIFS(S30_stakeholder_category,"PP",Response_Q178_1,3,Response_Q173_1,"&lt;&gt;0")</f>
        <v>0</v>
      </c>
      <c r="CX91" s="37">
        <f>IF(CT85=0,0,SUMPRODUCT(CU91:CW91,Rank_score)/CT$58)</f>
        <v>1.5</v>
      </c>
      <c r="CY91" s="14"/>
      <c r="CZ91" s="140" t="s">
        <v>373</v>
      </c>
      <c r="DA91" s="27">
        <f t="shared" ref="DA91:DF91" si="45">COUNTIFS(S30_stakeholder_category,"PP",Response_Q178_1,"&lt;&gt;0",Response_Q178_2,DA$63,Response_Q173_1,"&lt;&gt;0")</f>
        <v>0</v>
      </c>
      <c r="DB91" s="27">
        <f t="shared" si="45"/>
        <v>0</v>
      </c>
      <c r="DC91" s="27">
        <f t="shared" si="45"/>
        <v>1</v>
      </c>
      <c r="DD91" s="27">
        <f t="shared" si="45"/>
        <v>0</v>
      </c>
      <c r="DE91" s="27">
        <f t="shared" si="45"/>
        <v>0</v>
      </c>
      <c r="DF91" s="27">
        <f t="shared" si="45"/>
        <v>0</v>
      </c>
      <c r="DG91" s="141">
        <f t="shared" ref="DG91:DG98" si="46">IF(ISBLANK(CZ91),"",IF(CX91=0,not_ranked,IF(SUM(DA91:DF91)=0,not_estimated,IFERROR(SUMPRODUCT(DA91:DF91,Likekihood_score)/SUM(DA91:DF91),0))))</f>
        <v>3</v>
      </c>
      <c r="DH91" s="29"/>
      <c r="DI91" s="47"/>
      <c r="DJ91" s="29"/>
      <c r="DK91" s="19"/>
      <c r="DL91" s="19"/>
      <c r="DM91" s="14"/>
      <c r="DN91" s="14"/>
      <c r="DO91" s="14"/>
      <c r="DP91" s="14"/>
      <c r="DQ91" s="14"/>
      <c r="DR91" s="13"/>
      <c r="DS91" s="13"/>
      <c r="DT91" s="14"/>
      <c r="DU91" s="14"/>
      <c r="DV91" s="14"/>
      <c r="DW91" s="14"/>
      <c r="DX91" s="14"/>
      <c r="DY91" s="14"/>
      <c r="DZ91" s="14"/>
      <c r="EA91" s="14"/>
      <c r="EB91" s="14"/>
      <c r="EC91" s="14"/>
      <c r="ED91" s="14"/>
      <c r="EE91" s="14"/>
      <c r="EF91" s="14"/>
      <c r="EG91" s="14"/>
      <c r="EH91" s="14"/>
      <c r="EI91" s="14"/>
      <c r="EJ91" s="14"/>
      <c r="EK91" s="14"/>
      <c r="EL91" s="14"/>
    </row>
    <row r="92" spans="1:142" ht="14.4" x14ac:dyDescent="0.25">
      <c r="A92" s="14"/>
      <c r="B92" s="60"/>
      <c r="C92" s="19"/>
      <c r="D92" s="59"/>
      <c r="E92" s="14"/>
      <c r="F92" s="14"/>
      <c r="G92" s="14"/>
      <c r="H92" s="21"/>
      <c r="I92" s="21"/>
      <c r="J92" s="14"/>
      <c r="K92" s="14"/>
      <c r="L92" s="14"/>
      <c r="M92" s="14"/>
      <c r="N92" s="14"/>
      <c r="O92" s="14"/>
      <c r="P92" s="14"/>
      <c r="Q92" s="47"/>
      <c r="R92" s="19"/>
      <c r="S92" s="60"/>
      <c r="T92" s="19"/>
      <c r="U92" s="59"/>
      <c r="V92" s="14"/>
      <c r="W92" s="14"/>
      <c r="X92" s="14"/>
      <c r="Y92" s="14"/>
      <c r="Z92" s="14"/>
      <c r="AA92" s="19"/>
      <c r="AB92" s="19"/>
      <c r="AC92" s="19"/>
      <c r="AD92" s="65"/>
      <c r="AE92" s="63"/>
      <c r="AF92" s="352"/>
      <c r="AG92" s="19"/>
      <c r="AH92" s="60"/>
      <c r="AI92" s="19"/>
      <c r="AJ92" s="59"/>
      <c r="AK92" s="14"/>
      <c r="AL92" s="14"/>
      <c r="AM92" s="14"/>
      <c r="AN92" s="14"/>
      <c r="AO92" s="14"/>
      <c r="AP92" s="19"/>
      <c r="AQ92" s="19"/>
      <c r="AR92" s="19"/>
      <c r="AS92" s="65"/>
      <c r="AT92" s="63"/>
      <c r="AU92" s="352"/>
      <c r="AV92" s="14"/>
      <c r="AW92" s="60"/>
      <c r="AX92" s="19"/>
      <c r="AY92" s="59"/>
      <c r="AZ92" s="14"/>
      <c r="BA92" s="14"/>
      <c r="BB92" s="14"/>
      <c r="BC92" s="14"/>
      <c r="BD92" s="14"/>
      <c r="BE92" s="19"/>
      <c r="BF92" s="19"/>
      <c r="BG92" s="19"/>
      <c r="BH92" s="65"/>
      <c r="BI92" s="63"/>
      <c r="BJ92" s="352"/>
      <c r="BK92" s="19"/>
      <c r="BL92" s="60"/>
      <c r="BM92" s="19"/>
      <c r="BN92" s="59"/>
      <c r="BO92" s="14"/>
      <c r="BP92" s="14"/>
      <c r="BQ92" s="14"/>
      <c r="BR92" s="14"/>
      <c r="BS92" s="14"/>
      <c r="BT92" s="19"/>
      <c r="BU92" s="19"/>
      <c r="BV92" s="19"/>
      <c r="BW92" s="65"/>
      <c r="BX92" s="63"/>
      <c r="BY92" s="352"/>
      <c r="BZ92" s="14"/>
      <c r="CA92" s="140" t="s">
        <v>344</v>
      </c>
      <c r="CB92" s="27">
        <f>COUNTIFS(S30_stakeholder_category,"PP",Response_Q177_3,"&lt;&gt;0",Response_Q173_1,"&lt;&gt;0")</f>
        <v>1</v>
      </c>
      <c r="CC92" s="37">
        <f>COUNTIFS(S30_stakeholder_category,"PP",Response_Q177_3,1,Response_Q173_1,"&lt;&gt;0")</f>
        <v>0</v>
      </c>
      <c r="CD92" s="37">
        <f>COUNTIFS(S30_stakeholder_category,"PP",Response_Q177_3,2,Response_Q173_1,"&lt;&gt;0")</f>
        <v>1</v>
      </c>
      <c r="CE92" s="37">
        <f>COUNTIFS(S26_stakeholder_category,"PP",Response_Q161_3,3,Response_Q156_1,"&lt;&gt;0")</f>
        <v>0</v>
      </c>
      <c r="CF92" s="97">
        <f t="shared" si="42"/>
        <v>1</v>
      </c>
      <c r="CG92" s="14"/>
      <c r="CH92" s="140" t="s">
        <v>344</v>
      </c>
      <c r="CI92" s="27">
        <f t="shared" ref="CI92:CN92" si="47">COUNTIFS(S30_stakeholder_category,"PP",Response_Q177_3,"&lt;&gt;0",Response_Q177_4,CI$63,Response_Q173_1,"&lt;&gt;0")</f>
        <v>0</v>
      </c>
      <c r="CJ92" s="27">
        <f t="shared" si="47"/>
        <v>0</v>
      </c>
      <c r="CK92" s="27">
        <f t="shared" si="47"/>
        <v>0</v>
      </c>
      <c r="CL92" s="27">
        <f t="shared" si="47"/>
        <v>1</v>
      </c>
      <c r="CM92" s="27">
        <f t="shared" si="47"/>
        <v>0</v>
      </c>
      <c r="CN92" s="27">
        <f t="shared" si="47"/>
        <v>0</v>
      </c>
      <c r="CO92" s="141">
        <f t="shared" si="44"/>
        <v>4</v>
      </c>
      <c r="CP92" s="14"/>
      <c r="CQ92" s="47"/>
      <c r="CR92" s="14"/>
      <c r="CS92" s="140" t="s">
        <v>338</v>
      </c>
      <c r="CT92" s="27">
        <f>COUNTIFS(S30_stakeholder_category,"PP",Response_Q178_3,"&lt;&gt;0",Response_Q173_1,"&lt;&gt;0")</f>
        <v>0</v>
      </c>
      <c r="CU92" s="37">
        <f>COUNTIFS(S30_stakeholder_category,"PP",Response_Q178_3,1,Response_Q173_1,"&lt;&gt;0")</f>
        <v>0</v>
      </c>
      <c r="CV92" s="37">
        <f>COUNTIFS(S30_stakeholder_category,"PP",Response_Q178_3,2,Response_Q173_1,"&lt;&gt;0")</f>
        <v>0</v>
      </c>
      <c r="CW92" s="37">
        <f>COUNTIFS(S30_stakeholder_category,"PP",Response_Q178_3,3,Response_Q173_1,"&lt;&gt;0")</f>
        <v>0</v>
      </c>
      <c r="CX92" s="37">
        <f>IF(CT85=0,0,SUMPRODUCT(CU92:CW92,Rank_score)/CT$58)</f>
        <v>0</v>
      </c>
      <c r="CY92" s="14"/>
      <c r="CZ92" s="140" t="s">
        <v>338</v>
      </c>
      <c r="DA92" s="27">
        <f t="shared" ref="DA92:DF92" si="48">COUNTIFS(S30_stakeholder_category,"PP",Response_Q178_3,"&lt;&gt;0",Response_Q178_4,DA$63,Response_Q173_1,"&lt;&gt;0")</f>
        <v>0</v>
      </c>
      <c r="DB92" s="27">
        <f t="shared" si="48"/>
        <v>0</v>
      </c>
      <c r="DC92" s="27">
        <f t="shared" si="48"/>
        <v>0</v>
      </c>
      <c r="DD92" s="27">
        <f t="shared" si="48"/>
        <v>0</v>
      </c>
      <c r="DE92" s="27">
        <f t="shared" si="48"/>
        <v>0</v>
      </c>
      <c r="DF92" s="27">
        <f t="shared" si="48"/>
        <v>0</v>
      </c>
      <c r="DG92" s="141" t="str">
        <f t="shared" si="46"/>
        <v>Factor not ranked</v>
      </c>
      <c r="DH92" s="14"/>
      <c r="DI92" s="47"/>
      <c r="DJ92" s="14"/>
      <c r="DK92" s="56"/>
      <c r="DL92" s="29"/>
      <c r="DM92" s="59"/>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row>
    <row r="93" spans="1:142" ht="14.4" x14ac:dyDescent="0.25">
      <c r="A93" s="14"/>
      <c r="B93" s="62"/>
      <c r="C93" s="19"/>
      <c r="D93" s="59"/>
      <c r="E93" s="14"/>
      <c r="F93" s="14"/>
      <c r="G93" s="14"/>
      <c r="H93" s="21"/>
      <c r="I93" s="21"/>
      <c r="J93" s="14"/>
      <c r="K93" s="14"/>
      <c r="L93" s="14"/>
      <c r="M93" s="14"/>
      <c r="N93" s="14"/>
      <c r="O93" s="14"/>
      <c r="P93" s="14"/>
      <c r="Q93" s="47"/>
      <c r="R93" s="19"/>
      <c r="S93" s="61"/>
      <c r="T93" s="19"/>
      <c r="U93" s="59"/>
      <c r="V93" s="14"/>
      <c r="W93" s="14"/>
      <c r="X93" s="14"/>
      <c r="Y93" s="14"/>
      <c r="Z93" s="13"/>
      <c r="AA93" s="30"/>
      <c r="AB93" s="30"/>
      <c r="AC93" s="30"/>
      <c r="AD93" s="65"/>
      <c r="AE93" s="63"/>
      <c r="AF93" s="352"/>
      <c r="AG93" s="19"/>
      <c r="AH93" s="61"/>
      <c r="AI93" s="19"/>
      <c r="AJ93" s="59"/>
      <c r="AK93" s="14"/>
      <c r="AL93" s="14"/>
      <c r="AM93" s="14"/>
      <c r="AN93" s="14"/>
      <c r="AO93" s="13"/>
      <c r="AP93" s="30"/>
      <c r="AQ93" s="30"/>
      <c r="AR93" s="30"/>
      <c r="AS93" s="65"/>
      <c r="AT93" s="63"/>
      <c r="AU93" s="352"/>
      <c r="AV93" s="14"/>
      <c r="AW93" s="61"/>
      <c r="AX93" s="19"/>
      <c r="AY93" s="59"/>
      <c r="AZ93" s="14"/>
      <c r="BA93" s="14"/>
      <c r="BB93" s="14"/>
      <c r="BC93" s="14"/>
      <c r="BD93" s="13"/>
      <c r="BE93" s="30"/>
      <c r="BF93" s="30"/>
      <c r="BG93" s="30"/>
      <c r="BH93" s="65"/>
      <c r="BI93" s="63"/>
      <c r="BJ93" s="352"/>
      <c r="BK93" s="19"/>
      <c r="BL93" s="61"/>
      <c r="BM93" s="19"/>
      <c r="BN93" s="59"/>
      <c r="BO93" s="14"/>
      <c r="BP93" s="14"/>
      <c r="BQ93" s="14"/>
      <c r="BR93" s="14"/>
      <c r="BS93" s="13"/>
      <c r="BT93" s="30"/>
      <c r="BU93" s="30"/>
      <c r="BV93" s="30"/>
      <c r="BW93" s="65"/>
      <c r="BX93" s="63"/>
      <c r="BY93" s="352"/>
      <c r="BZ93" s="14"/>
      <c r="CA93" s="140" t="s">
        <v>146</v>
      </c>
      <c r="CB93" s="27">
        <f>COUNTIFS(S30_stakeholder_category,"PP",Response_Q177_5,"&lt;&gt;0",Response_Q173_1,"&lt;&gt;0")</f>
        <v>0</v>
      </c>
      <c r="CC93" s="37">
        <f>COUNTIFS(S30_stakeholder_category,"PP",Response_Q177_5,1,Response_Q173_1,"&lt;&gt;0")</f>
        <v>0</v>
      </c>
      <c r="CD93" s="37">
        <f>COUNTIFS(S30_stakeholder_category,"PP",Response_Q177_5,2,Response_Q173_1,"&lt;&gt;0")</f>
        <v>0</v>
      </c>
      <c r="CE93" s="37">
        <f>COUNTIFS(S30_stakeholder_category,"PP",Response_Q177_5,3,Response_Q173_1,"&lt;&gt;0")</f>
        <v>0</v>
      </c>
      <c r="CF93" s="97">
        <f t="shared" si="42"/>
        <v>0</v>
      </c>
      <c r="CG93" s="14"/>
      <c r="CH93" s="140" t="s">
        <v>146</v>
      </c>
      <c r="CI93" s="27">
        <f t="shared" ref="CI93:CN93" si="49">COUNTIFS(S30_stakeholder_category,"PP",Response_Q177_5,"&lt;&gt;0",Response_Q177_6,CI$63,Response_Q173_1,"&lt;&gt;0")</f>
        <v>0</v>
      </c>
      <c r="CJ93" s="27">
        <f t="shared" si="49"/>
        <v>0</v>
      </c>
      <c r="CK93" s="27">
        <f t="shared" si="49"/>
        <v>0</v>
      </c>
      <c r="CL93" s="27">
        <f t="shared" si="49"/>
        <v>0</v>
      </c>
      <c r="CM93" s="27">
        <f t="shared" si="49"/>
        <v>0</v>
      </c>
      <c r="CN93" s="27">
        <f t="shared" si="49"/>
        <v>0</v>
      </c>
      <c r="CO93" s="141" t="str">
        <f t="shared" si="44"/>
        <v>Factor not ranked</v>
      </c>
      <c r="CP93" s="14"/>
      <c r="CQ93" s="47"/>
      <c r="CR93" s="14"/>
      <c r="CS93" s="106" t="s">
        <v>339</v>
      </c>
      <c r="CT93" s="27">
        <f>COUNTIFS(S30_stakeholder_category,"PP",Response_Q178_5,"&lt;&gt;0",Response_Q173_1,"&lt;&gt;0")</f>
        <v>0</v>
      </c>
      <c r="CU93" s="37">
        <f>COUNTIFS(S30_stakeholder_category,"PP",Response_Q178_5,1,Response_Q173_1,"&lt;&gt;0")</f>
        <v>0</v>
      </c>
      <c r="CV93" s="37">
        <f>COUNTIFS(S30_stakeholder_category,"PP",Response_Q178_5,2,Response_Q173_1,"&lt;&gt;0")</f>
        <v>0</v>
      </c>
      <c r="CW93" s="37">
        <f>COUNTIFS(S30_stakeholder_category,"PP",Response_Q178_5,3,Response_Q173_1,"&lt;&gt;0")</f>
        <v>0</v>
      </c>
      <c r="CX93" s="37">
        <f>IF(CT85=0,0,SUMPRODUCT(CU93:CW93,Rank_score)/CT$58)</f>
        <v>0</v>
      </c>
      <c r="CY93" s="14"/>
      <c r="CZ93" s="106" t="s">
        <v>339</v>
      </c>
      <c r="DA93" s="27">
        <f t="shared" ref="DA93:DF93" si="50">COUNTIFS(S30_stakeholder_category,"PP",Response_Q178_5,"&lt;&gt;0",Response_Q178_6,DA$63,Response_Q173_1,"&lt;&gt;0")</f>
        <v>0</v>
      </c>
      <c r="DB93" s="27">
        <f t="shared" si="50"/>
        <v>0</v>
      </c>
      <c r="DC93" s="27">
        <f t="shared" si="50"/>
        <v>0</v>
      </c>
      <c r="DD93" s="27">
        <f t="shared" si="50"/>
        <v>0</v>
      </c>
      <c r="DE93" s="27">
        <f t="shared" si="50"/>
        <v>0</v>
      </c>
      <c r="DF93" s="27">
        <f t="shared" si="50"/>
        <v>0</v>
      </c>
      <c r="DG93" s="141" t="str">
        <f t="shared" si="46"/>
        <v>Factor not ranked</v>
      </c>
      <c r="DH93" s="14"/>
      <c r="DI93" s="47"/>
      <c r="DJ93" s="14"/>
      <c r="DK93" s="56"/>
      <c r="DL93" s="19"/>
      <c r="DM93" s="59"/>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row>
    <row r="94" spans="1:142" x14ac:dyDescent="0.25">
      <c r="A94" s="14"/>
      <c r="B94" s="19"/>
      <c r="C94" s="19"/>
      <c r="D94" s="59"/>
      <c r="E94" s="14"/>
      <c r="F94" s="14"/>
      <c r="G94" s="14"/>
      <c r="H94" s="21"/>
      <c r="I94" s="21"/>
      <c r="J94" s="14"/>
      <c r="K94" s="14"/>
      <c r="L94" s="14"/>
      <c r="M94" s="14"/>
      <c r="N94" s="14"/>
      <c r="O94" s="14"/>
      <c r="P94" s="14"/>
      <c r="Q94" s="47"/>
      <c r="R94" s="19"/>
      <c r="S94" s="62"/>
      <c r="T94" s="19"/>
      <c r="U94" s="59"/>
      <c r="V94" s="14"/>
      <c r="W94" s="14"/>
      <c r="X94" s="14"/>
      <c r="Y94" s="14"/>
      <c r="Z94" s="14"/>
      <c r="AA94" s="14"/>
      <c r="AB94" s="14"/>
      <c r="AC94" s="14"/>
      <c r="AD94" s="65"/>
      <c r="AE94" s="63"/>
      <c r="AF94" s="352"/>
      <c r="AG94" s="19"/>
      <c r="AH94" s="62"/>
      <c r="AI94" s="19"/>
      <c r="AJ94" s="59"/>
      <c r="AK94" s="14"/>
      <c r="AL94" s="14"/>
      <c r="AM94" s="14"/>
      <c r="AN94" s="14"/>
      <c r="AO94" s="14"/>
      <c r="AP94" s="14"/>
      <c r="AQ94" s="14"/>
      <c r="AR94" s="14"/>
      <c r="AS94" s="65"/>
      <c r="AT94" s="63"/>
      <c r="AU94" s="352"/>
      <c r="AV94" s="14"/>
      <c r="AW94" s="62"/>
      <c r="AX94" s="19"/>
      <c r="AY94" s="59"/>
      <c r="AZ94" s="14"/>
      <c r="BA94" s="14"/>
      <c r="BB94" s="14"/>
      <c r="BC94" s="14"/>
      <c r="BD94" s="14"/>
      <c r="BE94" s="14"/>
      <c r="BF94" s="14"/>
      <c r="BG94" s="14"/>
      <c r="BH94" s="65"/>
      <c r="BI94" s="63"/>
      <c r="BJ94" s="352"/>
      <c r="BK94" s="19"/>
      <c r="BL94" s="62"/>
      <c r="BM94" s="19"/>
      <c r="BN94" s="59"/>
      <c r="BO94" s="14"/>
      <c r="BP94" s="14"/>
      <c r="BQ94" s="14"/>
      <c r="BR94" s="14"/>
      <c r="BS94" s="14"/>
      <c r="BT94" s="14"/>
      <c r="BU94" s="14"/>
      <c r="BV94" s="14"/>
      <c r="BW94" s="65"/>
      <c r="BX94" s="63"/>
      <c r="BY94" s="352"/>
      <c r="BZ94" s="14"/>
      <c r="CA94" s="140" t="s">
        <v>147</v>
      </c>
      <c r="CB94" s="27">
        <f>COUNTIFS(S30_stakeholder_category,"PP",Response_Q177_7,"&lt;&gt;0",Response_Q173_1,"&lt;&gt;0")</f>
        <v>2</v>
      </c>
      <c r="CC94" s="37">
        <f>COUNTIFS(S30_stakeholder_category,"PP",Response_Q177_7,1,Response_Q173_1,"&lt;&gt;0")</f>
        <v>0</v>
      </c>
      <c r="CD94" s="37">
        <f>COUNTIFS(S30_stakeholder_category,"PP",Response_Q177_7,2,Response_Q173_1,"&lt;&gt;0")</f>
        <v>1</v>
      </c>
      <c r="CE94" s="37">
        <f>COUNTIFS(S30_stakeholder_category,"PP",Response_Q177_7,3,Response_Q173_1,"&lt;&gt;0")</f>
        <v>1</v>
      </c>
      <c r="CF94" s="97">
        <f t="shared" si="42"/>
        <v>1.5</v>
      </c>
      <c r="CG94" s="14"/>
      <c r="CH94" s="140" t="s">
        <v>147</v>
      </c>
      <c r="CI94" s="27">
        <f t="shared" ref="CI94:CN94" si="51">COUNTIFS(S30_stakeholder_category,"PP",Response_Q177_7,"&lt;&gt;0",Response_Q177_8,CI$63,Response_Q173_1,"&lt;&gt;0")</f>
        <v>0</v>
      </c>
      <c r="CJ94" s="27">
        <f t="shared" si="51"/>
        <v>1</v>
      </c>
      <c r="CK94" s="27">
        <f t="shared" si="51"/>
        <v>1</v>
      </c>
      <c r="CL94" s="27">
        <f t="shared" si="51"/>
        <v>0</v>
      </c>
      <c r="CM94" s="27">
        <f t="shared" si="51"/>
        <v>0</v>
      </c>
      <c r="CN94" s="27">
        <f t="shared" si="51"/>
        <v>0</v>
      </c>
      <c r="CO94" s="141">
        <f t="shared" si="44"/>
        <v>2.5</v>
      </c>
      <c r="CP94" s="14"/>
      <c r="CQ94" s="47"/>
      <c r="CR94" s="14"/>
      <c r="CS94" s="106" t="s">
        <v>345</v>
      </c>
      <c r="CT94" s="27">
        <f>COUNTIFS(S30_stakeholder_category,"PP",Response_Q178_7,"&lt;&gt;0",Response_Q173_1,"&lt;&gt;0")</f>
        <v>0</v>
      </c>
      <c r="CU94" s="37">
        <f>COUNTIFS(S30_stakeholder_category,"PP",Response_Q178_7,1,Response_Q173_1,"&lt;&gt;0")</f>
        <v>0</v>
      </c>
      <c r="CV94" s="37">
        <f>COUNTIFS(S30_stakeholder_category,"PP",Response_Q178_7,2,Response_Q173_1,"&lt;&gt;0")</f>
        <v>0</v>
      </c>
      <c r="CW94" s="37">
        <f>COUNTIFS(S30_stakeholder_category,"PP",Response_Q178_7,3,Response_Q173_1,"&lt;&gt;0")</f>
        <v>0</v>
      </c>
      <c r="CX94" s="37">
        <f>IF(CT85=0,0,SUMPRODUCT(CU94:CW94,Rank_score)/CT$58)</f>
        <v>0</v>
      </c>
      <c r="CY94" s="14"/>
      <c r="CZ94" s="106" t="s">
        <v>345</v>
      </c>
      <c r="DA94" s="27">
        <f t="shared" ref="DA94:DF94" si="52">COUNTIFS(S30_stakeholder_category,"PP",Response_Q178_7,"&lt;&gt;0",Response_Q178_8,DA$63,Response_Q173_1,"&lt;&gt;0")</f>
        <v>0</v>
      </c>
      <c r="DB94" s="27">
        <f t="shared" si="52"/>
        <v>0</v>
      </c>
      <c r="DC94" s="27">
        <f t="shared" si="52"/>
        <v>0</v>
      </c>
      <c r="DD94" s="27">
        <f t="shared" si="52"/>
        <v>0</v>
      </c>
      <c r="DE94" s="27">
        <f t="shared" si="52"/>
        <v>0</v>
      </c>
      <c r="DF94" s="27">
        <f t="shared" si="52"/>
        <v>0</v>
      </c>
      <c r="DG94" s="141" t="str">
        <f t="shared" si="46"/>
        <v>Factor not ranked</v>
      </c>
      <c r="DH94" s="14"/>
      <c r="DI94" s="47"/>
      <c r="DJ94" s="14"/>
      <c r="DK94" s="14"/>
      <c r="DL94" s="19"/>
      <c r="DM94" s="59"/>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row>
    <row r="95" spans="1:142" x14ac:dyDescent="0.25">
      <c r="A95" s="14"/>
      <c r="B95" s="19"/>
      <c r="C95" s="19"/>
      <c r="D95" s="59"/>
      <c r="E95" s="14"/>
      <c r="F95" s="14"/>
      <c r="G95" s="14"/>
      <c r="H95" s="21"/>
      <c r="I95" s="21"/>
      <c r="J95" s="14"/>
      <c r="K95" s="14"/>
      <c r="L95" s="14"/>
      <c r="M95" s="14"/>
      <c r="N95" s="14"/>
      <c r="O95" s="14"/>
      <c r="P95" s="14"/>
      <c r="Q95" s="47"/>
      <c r="R95" s="19"/>
      <c r="S95" s="62"/>
      <c r="T95" s="19"/>
      <c r="U95" s="59"/>
      <c r="V95" s="14"/>
      <c r="W95" s="14"/>
      <c r="X95" s="14"/>
      <c r="Y95" s="14"/>
      <c r="Z95" s="14"/>
      <c r="AA95" s="14"/>
      <c r="AB95" s="14"/>
      <c r="AC95" s="14"/>
      <c r="AD95" s="65"/>
      <c r="AE95" s="63"/>
      <c r="AF95" s="352"/>
      <c r="AG95" s="19"/>
      <c r="AH95" s="62"/>
      <c r="AI95" s="19"/>
      <c r="AJ95" s="59"/>
      <c r="AK95" s="14"/>
      <c r="AL95" s="14"/>
      <c r="AM95" s="14"/>
      <c r="AN95" s="14"/>
      <c r="AO95" s="14"/>
      <c r="AP95" s="14"/>
      <c r="AQ95" s="14"/>
      <c r="AR95" s="14"/>
      <c r="AS95" s="65"/>
      <c r="AT95" s="63"/>
      <c r="AU95" s="352"/>
      <c r="AV95" s="14"/>
      <c r="AW95" s="62"/>
      <c r="AX95" s="19"/>
      <c r="AY95" s="59"/>
      <c r="AZ95" s="14"/>
      <c r="BA95" s="14"/>
      <c r="BB95" s="14"/>
      <c r="BC95" s="14"/>
      <c r="BD95" s="14"/>
      <c r="BE95" s="14"/>
      <c r="BF95" s="14"/>
      <c r="BG95" s="14"/>
      <c r="BH95" s="65"/>
      <c r="BI95" s="63"/>
      <c r="BJ95" s="352"/>
      <c r="BK95" s="19"/>
      <c r="BL95" s="62"/>
      <c r="BM95" s="19"/>
      <c r="BN95" s="59"/>
      <c r="BO95" s="14"/>
      <c r="BP95" s="14"/>
      <c r="BQ95" s="14"/>
      <c r="BR95" s="14"/>
      <c r="BS95" s="14"/>
      <c r="BT95" s="14"/>
      <c r="BU95" s="14"/>
      <c r="BV95" s="14"/>
      <c r="BW95" s="65"/>
      <c r="BX95" s="63"/>
      <c r="BY95" s="352"/>
      <c r="BZ95" s="14"/>
      <c r="CA95" s="140" t="s">
        <v>341</v>
      </c>
      <c r="CB95" s="27">
        <f>COUNTIFS(S30_stakeholder_category,"PP",Response_Q177_9,"&lt;&gt;0",Response_Q173_1,"&lt;&gt;0")</f>
        <v>1</v>
      </c>
      <c r="CC95" s="37">
        <f>COUNTIFS(S30_stakeholder_category,"PP",Response_Q177_9,1,Response_Q173_1,"&lt;&gt;0")</f>
        <v>1</v>
      </c>
      <c r="CD95" s="37">
        <f>COUNTIFS(S30_stakeholder_category,"PP",Response_Q177_9,2,Response_Q173_1,"&lt;&gt;0")</f>
        <v>0</v>
      </c>
      <c r="CE95" s="37">
        <f>COUNTIFS(S30_stakeholder_category,"PP",Response_Q177_9,3,Response_Q173_1,"&lt;&gt;0")</f>
        <v>0</v>
      </c>
      <c r="CF95" s="97">
        <f t="shared" si="42"/>
        <v>1.5</v>
      </c>
      <c r="CG95" s="14"/>
      <c r="CH95" s="140" t="s">
        <v>341</v>
      </c>
      <c r="CI95" s="27">
        <f t="shared" ref="CI95:CN95" si="53">COUNTIFS(S30_stakeholder_category,"PP",Response_Q177_9,"&lt;&gt;0",Response_Q177_10,CI$63,Response_Q173_1,"&lt;&gt;0")</f>
        <v>0</v>
      </c>
      <c r="CJ95" s="27">
        <f t="shared" si="53"/>
        <v>0</v>
      </c>
      <c r="CK95" s="27">
        <f t="shared" si="53"/>
        <v>0</v>
      </c>
      <c r="CL95" s="27">
        <f t="shared" si="53"/>
        <v>0</v>
      </c>
      <c r="CM95" s="27">
        <f t="shared" si="53"/>
        <v>1</v>
      </c>
      <c r="CN95" s="27">
        <f t="shared" si="53"/>
        <v>0</v>
      </c>
      <c r="CO95" s="141">
        <f t="shared" si="44"/>
        <v>5</v>
      </c>
      <c r="CP95" s="14"/>
      <c r="CQ95" s="47"/>
      <c r="CR95" s="14"/>
      <c r="CS95" s="106" t="s">
        <v>561</v>
      </c>
      <c r="CT95" s="27">
        <f>COUNTIFS(S30_stakeholder_category,"PP",Response_Q178_9,"&lt;&gt;0",Response_Q173_1,"&lt;&gt;0")</f>
        <v>1</v>
      </c>
      <c r="CU95" s="37">
        <f>COUNTIFS(S30_stakeholder_category,"PP",Response_Q178_9,1,Response_Q173_1,"&lt;&gt;0")</f>
        <v>1</v>
      </c>
      <c r="CV95" s="37">
        <f>COUNTIFS(S30_stakeholder_category,"PP",Response_Q178_9,2,Response_Q173_1,"&lt;&gt;0")</f>
        <v>0</v>
      </c>
      <c r="CW95" s="37">
        <f>COUNTIFS(S30_stakeholder_category,"PP",Response_Q178_9,3,Response_Q173_1,"&lt;&gt;0")</f>
        <v>0</v>
      </c>
      <c r="CX95" s="37">
        <f>IF(CT85=0,0,SUMPRODUCT(CU95:CW95,Rank_score)/CT$58)</f>
        <v>1.5</v>
      </c>
      <c r="CY95" s="14"/>
      <c r="CZ95" s="106" t="s">
        <v>561</v>
      </c>
      <c r="DA95" s="27">
        <f t="shared" ref="DA95:DF95" si="54">COUNTIFS(S30_stakeholder_category,"PP",Response_Q178_9,"&lt;&gt;0",Response_Q178_10,DA$63,Response_Q173_1,"&lt;&gt;0")</f>
        <v>0</v>
      </c>
      <c r="DB95" s="27">
        <f t="shared" si="54"/>
        <v>1</v>
      </c>
      <c r="DC95" s="27">
        <f t="shared" si="54"/>
        <v>0</v>
      </c>
      <c r="DD95" s="27">
        <f t="shared" si="54"/>
        <v>0</v>
      </c>
      <c r="DE95" s="27">
        <f t="shared" si="54"/>
        <v>0</v>
      </c>
      <c r="DF95" s="27">
        <f t="shared" si="54"/>
        <v>0</v>
      </c>
      <c r="DG95" s="141">
        <f t="shared" si="46"/>
        <v>2</v>
      </c>
      <c r="DH95" s="14"/>
      <c r="DI95" s="47"/>
      <c r="DJ95" s="14"/>
      <c r="DK95" s="14"/>
      <c r="DL95" s="19"/>
      <c r="DM95" s="59"/>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row>
    <row r="96" spans="1:142" x14ac:dyDescent="0.25">
      <c r="A96" s="14"/>
      <c r="B96" s="56"/>
      <c r="C96" s="29"/>
      <c r="D96" s="59"/>
      <c r="E96" s="14"/>
      <c r="F96" s="14"/>
      <c r="G96" s="14"/>
      <c r="H96" s="21"/>
      <c r="I96" s="21"/>
      <c r="J96" s="14"/>
      <c r="K96" s="14"/>
      <c r="L96" s="14"/>
      <c r="M96" s="14"/>
      <c r="N96" s="14"/>
      <c r="O96" s="14"/>
      <c r="P96" s="14"/>
      <c r="Q96" s="47"/>
      <c r="R96" s="19"/>
      <c r="S96" s="19"/>
      <c r="T96" s="19"/>
      <c r="U96" s="59"/>
      <c r="V96" s="14"/>
      <c r="W96" s="14"/>
      <c r="X96" s="14"/>
      <c r="Y96" s="14"/>
      <c r="Z96" s="14"/>
      <c r="AA96" s="14"/>
      <c r="AB96" s="14"/>
      <c r="AC96" s="14"/>
      <c r="AD96" s="65"/>
      <c r="AE96" s="63"/>
      <c r="AF96" s="352"/>
      <c r="AG96" s="19"/>
      <c r="AH96" s="19"/>
      <c r="AI96" s="19"/>
      <c r="AJ96" s="59"/>
      <c r="AK96" s="14"/>
      <c r="AL96" s="14"/>
      <c r="AM96" s="14"/>
      <c r="AN96" s="14"/>
      <c r="AO96" s="14"/>
      <c r="AP96" s="14"/>
      <c r="AQ96" s="14"/>
      <c r="AR96" s="14"/>
      <c r="AS96" s="65"/>
      <c r="AT96" s="63"/>
      <c r="AU96" s="352"/>
      <c r="AV96" s="14"/>
      <c r="AW96" s="19"/>
      <c r="AX96" s="19"/>
      <c r="AY96" s="59"/>
      <c r="AZ96" s="14"/>
      <c r="BA96" s="14"/>
      <c r="BB96" s="14"/>
      <c r="BC96" s="14"/>
      <c r="BD96" s="14"/>
      <c r="BE96" s="14"/>
      <c r="BF96" s="14"/>
      <c r="BG96" s="14"/>
      <c r="BH96" s="65"/>
      <c r="BI96" s="63"/>
      <c r="BJ96" s="352"/>
      <c r="BK96" s="19"/>
      <c r="BL96" s="19"/>
      <c r="BM96" s="19"/>
      <c r="BN96" s="59"/>
      <c r="BO96" s="14"/>
      <c r="BP96" s="14"/>
      <c r="BQ96" s="14"/>
      <c r="BR96" s="14"/>
      <c r="BS96" s="14"/>
      <c r="BT96" s="14"/>
      <c r="BU96" s="14"/>
      <c r="BV96" s="14"/>
      <c r="BW96" s="65"/>
      <c r="BX96" s="63"/>
      <c r="BY96" s="352"/>
      <c r="BZ96" s="14"/>
      <c r="CA96" s="106" t="s">
        <v>148</v>
      </c>
      <c r="CB96" s="27">
        <f>COUNTIFS(S30_stakeholder_category,"PP",Response_Q177_11,"&lt;&gt;0",Response_Q173_1,"&lt;&gt;0")</f>
        <v>0</v>
      </c>
      <c r="CC96" s="37">
        <f>COUNTIFS(S30_stakeholder_category,"PP",Response_Q177_11,1,Response_Q173_1,"&lt;&gt;0")</f>
        <v>0</v>
      </c>
      <c r="CD96" s="37">
        <f>COUNTIFS(S30_stakeholder_category,"PP",Response_Q177_11,2,Response_Q173_1,"&lt;&gt;0")</f>
        <v>0</v>
      </c>
      <c r="CE96" s="37">
        <f>COUNTIFS(S30_stakeholder_category,"PP",Response_Q177_11,3,Response_Q173_1,"&lt;&gt;0")</f>
        <v>0</v>
      </c>
      <c r="CF96" s="97">
        <f t="shared" si="42"/>
        <v>0</v>
      </c>
      <c r="CG96" s="43"/>
      <c r="CH96" s="106" t="s">
        <v>148</v>
      </c>
      <c r="CI96" s="27">
        <f t="shared" ref="CI96:CN96" si="55">COUNTIFS(S30_stakeholder_category,"PP",Response_Q177_11,"&lt;&gt;0",Response_Q177_12,CI$63,Response_Q173_1,"&lt;&gt;0")</f>
        <v>0</v>
      </c>
      <c r="CJ96" s="27">
        <f t="shared" si="55"/>
        <v>0</v>
      </c>
      <c r="CK96" s="27">
        <f t="shared" si="55"/>
        <v>0</v>
      </c>
      <c r="CL96" s="27">
        <f t="shared" si="55"/>
        <v>0</v>
      </c>
      <c r="CM96" s="27">
        <f t="shared" si="55"/>
        <v>0</v>
      </c>
      <c r="CN96" s="27">
        <f t="shared" si="55"/>
        <v>0</v>
      </c>
      <c r="CO96" s="141" t="str">
        <f t="shared" si="44"/>
        <v>Factor not ranked</v>
      </c>
      <c r="CP96" s="14"/>
      <c r="CQ96" s="47"/>
      <c r="CR96" s="14"/>
      <c r="CS96" s="106" t="s">
        <v>49</v>
      </c>
      <c r="CT96" s="27">
        <f>COUNTIFS(S30_stakeholder_category,"PP",Response_Q178_11,"&lt;&gt;0",Response_Q173_1,"&lt;&gt;0")</f>
        <v>1</v>
      </c>
      <c r="CU96" s="37">
        <f>COUNTIFS(S30_stakeholder_category,"PP",Response_Q178_11,1,Response_Q173_1,"&lt;&gt;0")</f>
        <v>0</v>
      </c>
      <c r="CV96" s="37">
        <f>COUNTIFS(S30_stakeholder_category,"PP",Response_Q178_11,2,Response_Q173_1,"&lt;&gt;0")</f>
        <v>0</v>
      </c>
      <c r="CW96" s="37">
        <f>COUNTIFS(S30_stakeholder_category,"PP",Response_Q178_11,3,Response_Q173_1,"&lt;&gt;0")</f>
        <v>1</v>
      </c>
      <c r="CX96" s="37">
        <f>IF(CT85=0,0,SUMPRODUCT(CU96:CW96,Rank_score)/CT$58)</f>
        <v>0.5</v>
      </c>
      <c r="CY96" s="43"/>
      <c r="CZ96" s="106" t="s">
        <v>49</v>
      </c>
      <c r="DA96" s="27">
        <f t="shared" ref="DA96:DF96" si="56">COUNTIFS(S30_stakeholder_category,"PP",Response_Q178_11,"&lt;&gt;0",Response_Q178_12,DA$63,Response_Q173_1,"&lt;&gt;0")</f>
        <v>0</v>
      </c>
      <c r="DB96" s="27">
        <f t="shared" si="56"/>
        <v>0</v>
      </c>
      <c r="DC96" s="27">
        <f t="shared" si="56"/>
        <v>0</v>
      </c>
      <c r="DD96" s="27">
        <f t="shared" si="56"/>
        <v>0</v>
      </c>
      <c r="DE96" s="27">
        <f t="shared" si="56"/>
        <v>0</v>
      </c>
      <c r="DF96" s="27">
        <f t="shared" si="56"/>
        <v>0</v>
      </c>
      <c r="DG96" s="141" t="str">
        <f t="shared" si="46"/>
        <v>Ranked, but likelihood not estimated</v>
      </c>
      <c r="DH96" s="14"/>
      <c r="DI96" s="47"/>
      <c r="DJ96" s="14"/>
      <c r="DK96" s="14"/>
      <c r="DL96" s="19"/>
      <c r="DM96" s="59"/>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row>
    <row r="97" spans="1:142" x14ac:dyDescent="0.25">
      <c r="A97" s="14"/>
      <c r="B97" s="56"/>
      <c r="C97" s="19"/>
      <c r="D97" s="59"/>
      <c r="E97" s="14"/>
      <c r="F97" s="14"/>
      <c r="G97" s="14"/>
      <c r="H97" s="21"/>
      <c r="I97" s="21"/>
      <c r="J97" s="14"/>
      <c r="K97" s="14"/>
      <c r="L97" s="14"/>
      <c r="M97" s="14"/>
      <c r="N97" s="14"/>
      <c r="O97" s="14"/>
      <c r="P97" s="14"/>
      <c r="Q97" s="47"/>
      <c r="R97" s="19"/>
      <c r="S97" s="19"/>
      <c r="T97" s="19"/>
      <c r="U97" s="59"/>
      <c r="V97" s="14"/>
      <c r="W97" s="14"/>
      <c r="X97" s="14"/>
      <c r="Y97" s="14"/>
      <c r="Z97" s="14"/>
      <c r="AA97" s="14"/>
      <c r="AB97" s="14"/>
      <c r="AC97" s="14"/>
      <c r="AD97" s="65"/>
      <c r="AE97" s="63"/>
      <c r="AF97" s="352"/>
      <c r="AG97" s="19"/>
      <c r="AH97" s="19"/>
      <c r="AI97" s="19"/>
      <c r="AJ97" s="59"/>
      <c r="AK97" s="14"/>
      <c r="AL97" s="14"/>
      <c r="AM97" s="14"/>
      <c r="AN97" s="14"/>
      <c r="AO97" s="14"/>
      <c r="AP97" s="14"/>
      <c r="AQ97" s="14"/>
      <c r="AR97" s="14"/>
      <c r="AS97" s="65"/>
      <c r="AT97" s="63"/>
      <c r="AU97" s="352"/>
      <c r="AV97" s="14"/>
      <c r="AW97" s="19"/>
      <c r="AX97" s="19"/>
      <c r="AY97" s="59"/>
      <c r="AZ97" s="14"/>
      <c r="BA97" s="14"/>
      <c r="BB97" s="14"/>
      <c r="BC97" s="14"/>
      <c r="BD97" s="14"/>
      <c r="BE97" s="14"/>
      <c r="BF97" s="14"/>
      <c r="BG97" s="14"/>
      <c r="BH97" s="65"/>
      <c r="BI97" s="63"/>
      <c r="BJ97" s="352"/>
      <c r="BK97" s="19"/>
      <c r="BL97" s="19"/>
      <c r="BM97" s="19"/>
      <c r="BN97" s="59"/>
      <c r="BO97" s="14"/>
      <c r="BP97" s="14"/>
      <c r="BQ97" s="14"/>
      <c r="BR97" s="14"/>
      <c r="BS97" s="14"/>
      <c r="BT97" s="14"/>
      <c r="BU97" s="14"/>
      <c r="BV97" s="14"/>
      <c r="BW97" s="65"/>
      <c r="BX97" s="63"/>
      <c r="BY97" s="352"/>
      <c r="BZ97" s="14"/>
      <c r="CA97" s="107" t="s">
        <v>49</v>
      </c>
      <c r="CB97" s="27">
        <f>COUNTIFS(S30_stakeholder_category,"PP",Response_Q177_13,"&lt;&gt;0",Response_Q173_1,"&lt;&gt;0")</f>
        <v>0</v>
      </c>
      <c r="CC97" s="37">
        <f>COUNTIFS(S30_stakeholder_category,"PP",Response_Q177_13,1,Response_Q173_1,"&lt;&gt;0")</f>
        <v>0</v>
      </c>
      <c r="CD97" s="37">
        <f>COUNTIFS(S30_stakeholder_category,"PP",Response_Q177_13,2,Response_Q173_1,"&lt;&gt;0")</f>
        <v>0</v>
      </c>
      <c r="CE97" s="37">
        <f>COUNTIFS(S30_stakeholder_category,"PP",Response_Q177_13,3,Response_Q173_1,"&lt;&gt;0")</f>
        <v>0</v>
      </c>
      <c r="CF97" s="97">
        <f t="shared" si="42"/>
        <v>0</v>
      </c>
      <c r="CG97" s="29"/>
      <c r="CH97" s="107" t="s">
        <v>49</v>
      </c>
      <c r="CI97" s="27">
        <f t="shared" ref="CI97:CN97" si="57">COUNTIFS(S30_stakeholder_category,"PP",Response_Q177_13,"&lt;&gt;0",Response_Q177_14,CI$63,Response_Q173_1,"&lt;&gt;0")</f>
        <v>0</v>
      </c>
      <c r="CJ97" s="27">
        <f t="shared" si="57"/>
        <v>0</v>
      </c>
      <c r="CK97" s="27">
        <f t="shared" si="57"/>
        <v>0</v>
      </c>
      <c r="CL97" s="27">
        <f t="shared" si="57"/>
        <v>0</v>
      </c>
      <c r="CM97" s="27">
        <f t="shared" si="57"/>
        <v>0</v>
      </c>
      <c r="CN97" s="27">
        <f t="shared" si="57"/>
        <v>0</v>
      </c>
      <c r="CO97" s="141" t="str">
        <f t="shared" si="44"/>
        <v>Factor not ranked</v>
      </c>
      <c r="CP97" s="14"/>
      <c r="CQ97" s="47"/>
      <c r="CR97" s="14"/>
      <c r="CS97" s="107"/>
      <c r="CT97" s="27"/>
      <c r="CU97" s="37"/>
      <c r="CV97" s="37"/>
      <c r="CW97" s="37"/>
      <c r="CX97" s="37"/>
      <c r="CY97" s="29"/>
      <c r="CZ97" s="106"/>
      <c r="DA97" s="27"/>
      <c r="DB97" s="27"/>
      <c r="DC97" s="27"/>
      <c r="DD97" s="27"/>
      <c r="DE97" s="27"/>
      <c r="DF97" s="27"/>
      <c r="DG97" s="141" t="str">
        <f t="shared" si="46"/>
        <v/>
      </c>
      <c r="DH97" s="14"/>
      <c r="DI97" s="47"/>
      <c r="DJ97" s="14"/>
      <c r="DK97" s="62"/>
      <c r="DL97" s="19"/>
      <c r="DM97" s="59"/>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row>
    <row r="98" spans="1:142" x14ac:dyDescent="0.25">
      <c r="A98" s="14"/>
      <c r="B98" s="19"/>
      <c r="C98" s="19"/>
      <c r="D98" s="59"/>
      <c r="E98" s="14"/>
      <c r="F98" s="14"/>
      <c r="G98" s="109" t="s">
        <v>14</v>
      </c>
      <c r="H98" s="110" t="s">
        <v>6</v>
      </c>
      <c r="I98" s="110" t="s">
        <v>7</v>
      </c>
      <c r="J98" s="14"/>
      <c r="K98" s="14"/>
      <c r="L98" s="14"/>
      <c r="M98" s="14"/>
      <c r="N98" s="14"/>
      <c r="O98" s="14"/>
      <c r="P98" s="14"/>
      <c r="Q98" s="47"/>
      <c r="R98" s="19"/>
      <c r="S98" s="56"/>
      <c r="T98" s="29"/>
      <c r="U98" s="59"/>
      <c r="V98" s="14"/>
      <c r="W98" s="14"/>
      <c r="X98" s="109" t="s">
        <v>14</v>
      </c>
      <c r="Y98" s="110" t="s">
        <v>6</v>
      </c>
      <c r="Z98" s="110" t="s">
        <v>7</v>
      </c>
      <c r="AA98" s="14"/>
      <c r="AB98" s="14"/>
      <c r="AC98" s="14"/>
      <c r="AD98" s="65"/>
      <c r="AE98" s="63"/>
      <c r="AF98" s="352"/>
      <c r="AG98" s="19"/>
      <c r="AH98" s="56"/>
      <c r="AI98" s="29"/>
      <c r="AJ98" s="59"/>
      <c r="AK98" s="14"/>
      <c r="AL98" s="14"/>
      <c r="AM98" s="109" t="s">
        <v>14</v>
      </c>
      <c r="AN98" s="110" t="s">
        <v>6</v>
      </c>
      <c r="AO98" s="110" t="s">
        <v>7</v>
      </c>
      <c r="AP98" s="14"/>
      <c r="AQ98" s="14"/>
      <c r="AR98" s="14"/>
      <c r="AS98" s="65"/>
      <c r="AT98" s="63"/>
      <c r="AU98" s="352"/>
      <c r="AV98" s="14"/>
      <c r="AW98" s="56"/>
      <c r="AX98" s="29"/>
      <c r="AY98" s="59"/>
      <c r="AZ98" s="14"/>
      <c r="BA98" s="14"/>
      <c r="BB98" s="109" t="s">
        <v>14</v>
      </c>
      <c r="BC98" s="110" t="s">
        <v>6</v>
      </c>
      <c r="BD98" s="110" t="s">
        <v>7</v>
      </c>
      <c r="BE98" s="14"/>
      <c r="BF98" s="14"/>
      <c r="BG98" s="14"/>
      <c r="BH98" s="65"/>
      <c r="BI98" s="63"/>
      <c r="BJ98" s="352"/>
      <c r="BK98" s="19"/>
      <c r="BL98" s="56"/>
      <c r="BM98" s="29"/>
      <c r="BN98" s="59"/>
      <c r="BO98" s="14"/>
      <c r="BP98" s="14"/>
      <c r="BQ98" s="109" t="s">
        <v>14</v>
      </c>
      <c r="BR98" s="110" t="s">
        <v>6</v>
      </c>
      <c r="BS98" s="110" t="s">
        <v>7</v>
      </c>
      <c r="BT98" s="14"/>
      <c r="BU98" s="14"/>
      <c r="BV98" s="14"/>
      <c r="BW98" s="65"/>
      <c r="BX98" s="63"/>
      <c r="BY98" s="352"/>
      <c r="BZ98" s="14"/>
      <c r="CA98" s="86"/>
      <c r="CB98" s="111"/>
      <c r="CC98" s="111"/>
      <c r="CD98" s="179"/>
      <c r="CE98" s="179"/>
      <c r="CF98" s="108"/>
      <c r="CG98" s="29"/>
      <c r="CH98" s="109"/>
      <c r="CI98" s="109"/>
      <c r="CJ98" s="109"/>
      <c r="CK98" s="109"/>
      <c r="CL98" s="109"/>
      <c r="CM98" s="109"/>
      <c r="CN98" s="109"/>
      <c r="CO98" s="329"/>
      <c r="CP98" s="14"/>
      <c r="CQ98" s="47"/>
      <c r="CR98" s="14"/>
      <c r="CS98" s="107"/>
      <c r="CT98" s="27"/>
      <c r="CU98" s="37"/>
      <c r="CV98" s="37"/>
      <c r="CW98" s="37"/>
      <c r="CX98" s="37"/>
      <c r="CY98" s="29"/>
      <c r="CZ98" s="106"/>
      <c r="DA98" s="27"/>
      <c r="DB98" s="27"/>
      <c r="DC98" s="27"/>
      <c r="DD98" s="27"/>
      <c r="DE98" s="27"/>
      <c r="DF98" s="27"/>
      <c r="DG98" s="141" t="str">
        <f t="shared" si="46"/>
        <v/>
      </c>
      <c r="DH98" s="14"/>
      <c r="DI98" s="47"/>
      <c r="DJ98" s="14"/>
      <c r="DK98" s="62"/>
      <c r="DL98" s="19"/>
      <c r="DM98" s="59"/>
      <c r="DN98" s="14"/>
      <c r="DO98" s="14"/>
      <c r="DP98" s="109" t="s">
        <v>14</v>
      </c>
      <c r="DQ98" s="110" t="s">
        <v>6</v>
      </c>
      <c r="DR98" s="110" t="s">
        <v>7</v>
      </c>
      <c r="DS98" s="14"/>
      <c r="DT98" s="14"/>
      <c r="DU98" s="14"/>
      <c r="DV98" s="14"/>
      <c r="DW98" s="14"/>
      <c r="DX98" s="14"/>
      <c r="DY98" s="14"/>
      <c r="DZ98" s="14"/>
      <c r="EA98" s="14"/>
      <c r="EB98" s="14"/>
      <c r="EC98" s="14"/>
      <c r="ED98" s="14"/>
      <c r="EE98" s="14"/>
      <c r="EF98" s="14"/>
      <c r="EG98" s="14"/>
      <c r="EH98" s="14"/>
      <c r="EI98" s="14"/>
      <c r="EJ98" s="14"/>
      <c r="EK98" s="14"/>
      <c r="EL98" s="14"/>
    </row>
    <row r="99" spans="1:142" x14ac:dyDescent="0.25">
      <c r="A99" s="14"/>
      <c r="B99" s="19"/>
      <c r="C99" s="19"/>
      <c r="D99" s="59"/>
      <c r="E99" s="14"/>
      <c r="F99" s="14"/>
      <c r="G99" s="107" t="s">
        <v>34</v>
      </c>
      <c r="H99" s="27">
        <f>COUNTIFS(S30_stakeholder_category,"PP",Response_Q173_1,G99)</f>
        <v>0</v>
      </c>
      <c r="I99" s="41">
        <f>IFERROR(H99/H$104,"")</f>
        <v>0</v>
      </c>
      <c r="J99" s="14"/>
      <c r="K99" s="14"/>
      <c r="L99" s="14"/>
      <c r="M99" s="14"/>
      <c r="N99" s="14"/>
      <c r="O99" s="14"/>
      <c r="P99" s="14"/>
      <c r="Q99" s="47"/>
      <c r="R99" s="19"/>
      <c r="S99" s="56"/>
      <c r="T99" s="19"/>
      <c r="U99" s="59"/>
      <c r="V99" s="14"/>
      <c r="W99" s="14"/>
      <c r="X99" s="107" t="s">
        <v>5</v>
      </c>
      <c r="Y99" s="27">
        <f t="shared" ref="Y99:Y105" si="58">COUNTIFS(S30_stakeholder_category,"PP",Response_Q176_1,X99)</f>
        <v>0</v>
      </c>
      <c r="Z99" s="41">
        <f t="shared" ref="Z99:Z106" si="59">IFERROR(Y99/Y$106,0)</f>
        <v>0</v>
      </c>
      <c r="AA99" s="14"/>
      <c r="AB99" s="14"/>
      <c r="AC99" s="14"/>
      <c r="AD99" s="65"/>
      <c r="AE99" s="63"/>
      <c r="AF99" s="352"/>
      <c r="AG99" s="19"/>
      <c r="AH99" s="56"/>
      <c r="AI99" s="19"/>
      <c r="AJ99" s="59"/>
      <c r="AK99" s="14"/>
      <c r="AL99" s="14"/>
      <c r="AM99" s="107" t="s">
        <v>5</v>
      </c>
      <c r="AN99" s="27">
        <f t="shared" ref="AN99:AN105" si="60">COUNTIFS(S30_stakeholder_category,"PP",Response_30a_CaseA,AM99)</f>
        <v>2</v>
      </c>
      <c r="AO99" s="41">
        <f>IFERROR(AN99/AN$106,0)</f>
        <v>0.66666666666666663</v>
      </c>
      <c r="AP99" s="14"/>
      <c r="AQ99" s="14"/>
      <c r="AR99" s="14"/>
      <c r="AS99" s="65"/>
      <c r="AT99" s="63"/>
      <c r="AU99" s="352"/>
      <c r="AV99" s="14"/>
      <c r="AW99" s="56"/>
      <c r="AX99" s="19"/>
      <c r="AY99" s="59"/>
      <c r="AZ99" s="14"/>
      <c r="BA99" s="14"/>
      <c r="BB99" s="107" t="s">
        <v>5</v>
      </c>
      <c r="BC99" s="27">
        <f t="shared" ref="BC99:BC105" si="61">COUNTIFS(S30_stakeholder_category,"PP",Response_30a_CaseB,BB99)</f>
        <v>2</v>
      </c>
      <c r="BD99" s="41">
        <f>IFERROR(BC99/BC$106,0)</f>
        <v>0.66666666666666663</v>
      </c>
      <c r="BE99" s="14"/>
      <c r="BF99" s="14"/>
      <c r="BG99" s="14"/>
      <c r="BH99" s="65"/>
      <c r="BI99" s="63"/>
      <c r="BJ99" s="352"/>
      <c r="BK99" s="19"/>
      <c r="BL99" s="56"/>
      <c r="BM99" s="19"/>
      <c r="BN99" s="59"/>
      <c r="BO99" s="14"/>
      <c r="BP99" s="14"/>
      <c r="BQ99" s="107" t="s">
        <v>5</v>
      </c>
      <c r="BR99" s="27">
        <f t="shared" ref="BR99:BR105" si="62">COUNTIFS(S30_stakeholder_category,"PP",Response_30a_CaseC,BQ99)</f>
        <v>2</v>
      </c>
      <c r="BS99" s="41">
        <f>IFERROR(BR99/BR$106,0)</f>
        <v>0.66666666666666663</v>
      </c>
      <c r="BT99" s="14"/>
      <c r="BU99" s="14"/>
      <c r="BV99" s="14"/>
      <c r="BW99" s="65"/>
      <c r="BX99" s="63"/>
      <c r="BY99" s="352"/>
      <c r="BZ99" s="14"/>
      <c r="CA99" s="14"/>
      <c r="CB99" s="21"/>
      <c r="CC99" s="21"/>
      <c r="CD99" s="180"/>
      <c r="CE99" s="181"/>
      <c r="CF99" s="31"/>
      <c r="CG99" s="52"/>
      <c r="CH99" s="52"/>
      <c r="CI99" s="99"/>
      <c r="CJ99" s="14"/>
      <c r="CK99" s="14"/>
      <c r="CL99" s="14"/>
      <c r="CM99" s="14"/>
      <c r="CN99" s="14"/>
      <c r="CO99" s="129"/>
      <c r="CP99" s="14"/>
      <c r="CQ99" s="47"/>
      <c r="CR99" s="14"/>
      <c r="CS99" s="86"/>
      <c r="CT99" s="111"/>
      <c r="CU99" s="86"/>
      <c r="CV99" s="179"/>
      <c r="CW99" s="188"/>
      <c r="CX99" s="179"/>
      <c r="CY99" s="29"/>
      <c r="CZ99" s="109"/>
      <c r="DA99" s="109"/>
      <c r="DB99" s="109"/>
      <c r="DC99" s="109"/>
      <c r="DD99" s="109"/>
      <c r="DE99" s="109"/>
      <c r="DF99" s="109"/>
      <c r="DG99" s="329"/>
      <c r="DH99" s="14"/>
      <c r="DI99" s="47"/>
      <c r="DJ99" s="14"/>
      <c r="DK99" s="62"/>
      <c r="DL99" s="19"/>
      <c r="DM99" s="59"/>
      <c r="DN99" s="14"/>
      <c r="DO99" s="14"/>
      <c r="DP99" s="107" t="s">
        <v>34</v>
      </c>
      <c r="DQ99" s="27">
        <f>COUNTIFS(S30_stakeholder_category,"PP",Response_Q172_1,DP99,Response_Q173_1,"&lt;&gt;0")</f>
        <v>0</v>
      </c>
      <c r="DR99" s="41">
        <f>IF(DQ104=0,"",DQ99/DQ104)</f>
        <v>0</v>
      </c>
      <c r="DS99" s="14"/>
      <c r="DT99" s="14"/>
      <c r="DU99" s="14"/>
      <c r="DV99" s="14"/>
      <c r="DW99" s="14"/>
      <c r="DX99" s="14"/>
      <c r="DY99" s="14"/>
      <c r="DZ99" s="14"/>
      <c r="EA99" s="14"/>
      <c r="EB99" s="14"/>
      <c r="EC99" s="14"/>
      <c r="ED99" s="14"/>
      <c r="EE99" s="14"/>
      <c r="EF99" s="14"/>
      <c r="EG99" s="14"/>
      <c r="EH99" s="14"/>
      <c r="EI99" s="14"/>
      <c r="EJ99" s="14"/>
      <c r="EK99" s="14"/>
      <c r="EL99" s="14"/>
    </row>
    <row r="100" spans="1:142" x14ac:dyDescent="0.25">
      <c r="A100" s="14"/>
      <c r="B100" s="14"/>
      <c r="C100" s="19"/>
      <c r="D100" s="59"/>
      <c r="E100" s="14"/>
      <c r="F100" s="14"/>
      <c r="G100" s="107" t="s">
        <v>35</v>
      </c>
      <c r="H100" s="27">
        <f>COUNTIFS(S30_stakeholder_category,"PP",Response_Q173_1,G100)</f>
        <v>2</v>
      </c>
      <c r="I100" s="41">
        <f t="shared" ref="I100:I104" si="63">IFERROR(H100/H$104,"")</f>
        <v>1</v>
      </c>
      <c r="J100" s="14"/>
      <c r="K100" s="14"/>
      <c r="L100" s="14"/>
      <c r="M100" s="14"/>
      <c r="N100" s="14"/>
      <c r="O100" s="14"/>
      <c r="P100" s="14"/>
      <c r="Q100" s="47"/>
      <c r="R100" s="19"/>
      <c r="S100" s="19"/>
      <c r="T100" s="19"/>
      <c r="U100" s="59"/>
      <c r="V100" s="14"/>
      <c r="W100" s="14"/>
      <c r="X100" s="107" t="s">
        <v>4</v>
      </c>
      <c r="Y100" s="27">
        <f t="shared" si="58"/>
        <v>0</v>
      </c>
      <c r="Z100" s="41">
        <f t="shared" si="59"/>
        <v>0</v>
      </c>
      <c r="AA100" s="14"/>
      <c r="AB100" s="14"/>
      <c r="AC100" s="14"/>
      <c r="AD100" s="65"/>
      <c r="AE100" s="63"/>
      <c r="AF100" s="352"/>
      <c r="AG100" s="19"/>
      <c r="AH100" s="19"/>
      <c r="AI100" s="19"/>
      <c r="AJ100" s="59"/>
      <c r="AK100" s="14"/>
      <c r="AL100" s="14"/>
      <c r="AM100" s="107" t="s">
        <v>4</v>
      </c>
      <c r="AN100" s="27">
        <f t="shared" si="60"/>
        <v>0</v>
      </c>
      <c r="AO100" s="41">
        <f t="shared" ref="AO100:AO105" si="64">IFERROR(AN100/AN$106,0)</f>
        <v>0</v>
      </c>
      <c r="AP100" s="14"/>
      <c r="AQ100" s="14"/>
      <c r="AR100" s="14"/>
      <c r="AS100" s="65"/>
      <c r="AT100" s="63"/>
      <c r="AU100" s="352"/>
      <c r="AV100" s="14"/>
      <c r="AW100" s="19"/>
      <c r="AX100" s="19"/>
      <c r="AY100" s="59"/>
      <c r="AZ100" s="14"/>
      <c r="BA100" s="14"/>
      <c r="BB100" s="107" t="s">
        <v>4</v>
      </c>
      <c r="BC100" s="27">
        <f t="shared" si="61"/>
        <v>0</v>
      </c>
      <c r="BD100" s="41">
        <f t="shared" ref="BD100:BD105" si="65">IFERROR(BC100/BC$106,0)</f>
        <v>0</v>
      </c>
      <c r="BE100" s="14"/>
      <c r="BF100" s="14"/>
      <c r="BG100" s="14"/>
      <c r="BH100" s="65"/>
      <c r="BI100" s="63"/>
      <c r="BJ100" s="352"/>
      <c r="BK100" s="19"/>
      <c r="BL100" s="19"/>
      <c r="BM100" s="19"/>
      <c r="BN100" s="59"/>
      <c r="BO100" s="14"/>
      <c r="BP100" s="14"/>
      <c r="BQ100" s="107" t="s">
        <v>4</v>
      </c>
      <c r="BR100" s="27">
        <f t="shared" si="62"/>
        <v>0</v>
      </c>
      <c r="BS100" s="41">
        <f t="shared" ref="BS100:BS105" si="66">IFERROR(BR100/BR$106,0)</f>
        <v>0</v>
      </c>
      <c r="BT100" s="14"/>
      <c r="BU100" s="14"/>
      <c r="BV100" s="14"/>
      <c r="BW100" s="65"/>
      <c r="BX100" s="63"/>
      <c r="BY100" s="352"/>
      <c r="BZ100" s="14"/>
      <c r="CA100" s="14"/>
      <c r="CB100" s="21"/>
      <c r="CC100" s="21"/>
      <c r="CD100" s="180"/>
      <c r="CE100" s="181"/>
      <c r="CF100" s="31"/>
      <c r="CG100" s="52"/>
      <c r="CH100" s="52"/>
      <c r="CI100" s="99"/>
      <c r="CJ100" s="14"/>
      <c r="CK100" s="14"/>
      <c r="CL100" s="14"/>
      <c r="CM100" s="14"/>
      <c r="CN100" s="14"/>
      <c r="CO100" s="129"/>
      <c r="CP100" s="14"/>
      <c r="CQ100" s="47"/>
      <c r="CR100" s="14"/>
      <c r="CS100" s="14"/>
      <c r="CT100" s="14"/>
      <c r="CU100" s="14"/>
      <c r="CV100" s="180"/>
      <c r="CW100" s="190"/>
      <c r="CX100" s="191"/>
      <c r="CY100" s="52"/>
      <c r="CZ100" s="52"/>
      <c r="DA100" s="54"/>
      <c r="DB100" s="14"/>
      <c r="DC100" s="14"/>
      <c r="DD100" s="14"/>
      <c r="DE100" s="14"/>
      <c r="DF100" s="14"/>
      <c r="DG100" s="129"/>
      <c r="DH100" s="14"/>
      <c r="DI100" s="47"/>
      <c r="DJ100" s="14"/>
      <c r="DK100" s="62"/>
      <c r="DL100" s="19"/>
      <c r="DM100" s="59"/>
      <c r="DN100" s="14"/>
      <c r="DO100" s="14"/>
      <c r="DP100" s="107" t="s">
        <v>35</v>
      </c>
      <c r="DQ100" s="27">
        <f>COUNTIFS(S30_stakeholder_category,"PP",Response_Q172_1,DP100,Response_Q173_1,"&lt;&gt;0")</f>
        <v>1</v>
      </c>
      <c r="DR100" s="41">
        <f>IF(DQ104=0,"",DQ100/DQ104)</f>
        <v>0.5</v>
      </c>
      <c r="DS100" s="14"/>
      <c r="DT100" s="14"/>
      <c r="DU100" s="14"/>
      <c r="DV100" s="14"/>
      <c r="DW100" s="14"/>
      <c r="DX100" s="14"/>
      <c r="DY100" s="14"/>
      <c r="DZ100" s="14"/>
      <c r="EA100" s="14"/>
      <c r="EB100" s="14"/>
      <c r="EC100" s="14"/>
      <c r="ED100" s="14"/>
      <c r="EE100" s="14"/>
      <c r="EF100" s="14"/>
      <c r="EG100" s="14"/>
      <c r="EH100" s="14"/>
      <c r="EI100" s="14"/>
      <c r="EJ100" s="14"/>
      <c r="EK100" s="14"/>
      <c r="EL100" s="14"/>
    </row>
    <row r="101" spans="1:142" x14ac:dyDescent="0.25">
      <c r="A101" s="14"/>
      <c r="B101" s="62"/>
      <c r="C101" s="19"/>
      <c r="D101" s="59"/>
      <c r="E101" s="14"/>
      <c r="F101" s="14"/>
      <c r="G101" s="107" t="s">
        <v>36</v>
      </c>
      <c r="H101" s="27">
        <f>COUNTIFS(S30_stakeholder_category,"PP",Response_Q173_1,G101)</f>
        <v>0</v>
      </c>
      <c r="I101" s="41">
        <f t="shared" si="63"/>
        <v>0</v>
      </c>
      <c r="J101" s="14"/>
      <c r="K101" s="14"/>
      <c r="L101" s="14"/>
      <c r="M101" s="14"/>
      <c r="N101" s="14"/>
      <c r="O101" s="14"/>
      <c r="P101" s="14"/>
      <c r="Q101" s="47"/>
      <c r="R101" s="19"/>
      <c r="S101" s="14"/>
      <c r="T101" s="19"/>
      <c r="U101" s="59"/>
      <c r="V101" s="14"/>
      <c r="W101" s="14"/>
      <c r="X101" s="107" t="s">
        <v>33</v>
      </c>
      <c r="Y101" s="27">
        <f t="shared" si="58"/>
        <v>0</v>
      </c>
      <c r="Z101" s="41">
        <f t="shared" si="59"/>
        <v>0</v>
      </c>
      <c r="AA101" s="14"/>
      <c r="AB101" s="14"/>
      <c r="AC101" s="14"/>
      <c r="AD101" s="65"/>
      <c r="AE101" s="63"/>
      <c r="AF101" s="352"/>
      <c r="AG101" s="19"/>
      <c r="AH101" s="14"/>
      <c r="AI101" s="19"/>
      <c r="AJ101" s="59"/>
      <c r="AK101" s="14"/>
      <c r="AL101" s="14"/>
      <c r="AM101" s="107" t="s">
        <v>33</v>
      </c>
      <c r="AN101" s="27">
        <f t="shared" si="60"/>
        <v>0</v>
      </c>
      <c r="AO101" s="41">
        <f t="shared" si="64"/>
        <v>0</v>
      </c>
      <c r="AP101" s="14"/>
      <c r="AQ101" s="14"/>
      <c r="AR101" s="14"/>
      <c r="AS101" s="65"/>
      <c r="AT101" s="63"/>
      <c r="AU101" s="352"/>
      <c r="AV101" s="14"/>
      <c r="AW101" s="14"/>
      <c r="AX101" s="19"/>
      <c r="AY101" s="59"/>
      <c r="AZ101" s="14"/>
      <c r="BA101" s="14"/>
      <c r="BB101" s="107" t="s">
        <v>33</v>
      </c>
      <c r="BC101" s="27">
        <f t="shared" si="61"/>
        <v>0</v>
      </c>
      <c r="BD101" s="41">
        <f t="shared" si="65"/>
        <v>0</v>
      </c>
      <c r="BE101" s="14"/>
      <c r="BF101" s="14"/>
      <c r="BG101" s="14"/>
      <c r="BH101" s="65"/>
      <c r="BI101" s="63"/>
      <c r="BJ101" s="352"/>
      <c r="BK101" s="19"/>
      <c r="BL101" s="14"/>
      <c r="BM101" s="19"/>
      <c r="BN101" s="59"/>
      <c r="BO101" s="14"/>
      <c r="BP101" s="14"/>
      <c r="BQ101" s="107" t="s">
        <v>33</v>
      </c>
      <c r="BR101" s="27">
        <f t="shared" si="62"/>
        <v>0</v>
      </c>
      <c r="BS101" s="41">
        <f t="shared" si="66"/>
        <v>0</v>
      </c>
      <c r="BT101" s="14"/>
      <c r="BU101" s="14"/>
      <c r="BV101" s="14"/>
      <c r="BW101" s="65"/>
      <c r="BX101" s="63"/>
      <c r="BY101" s="352"/>
      <c r="BZ101" s="14"/>
      <c r="CA101" s="14"/>
      <c r="CB101" s="21"/>
      <c r="CC101" s="21"/>
      <c r="CD101" s="180"/>
      <c r="CE101" s="181"/>
      <c r="CF101" s="31"/>
      <c r="CG101" s="52"/>
      <c r="CH101" s="52"/>
      <c r="CI101" s="99"/>
      <c r="CJ101" s="14"/>
      <c r="CK101" s="14"/>
      <c r="CL101" s="14"/>
      <c r="CM101" s="14"/>
      <c r="CN101" s="14"/>
      <c r="CO101" s="129"/>
      <c r="CP101" s="14"/>
      <c r="CQ101" s="47"/>
      <c r="CR101" s="14"/>
      <c r="CS101" s="14"/>
      <c r="CT101" s="14"/>
      <c r="CU101" s="14"/>
      <c r="CV101" s="180"/>
      <c r="CW101" s="190"/>
      <c r="CX101" s="191"/>
      <c r="CY101" s="52"/>
      <c r="CZ101" s="52"/>
      <c r="DA101" s="54"/>
      <c r="DB101" s="14"/>
      <c r="DC101" s="14"/>
      <c r="DD101" s="14"/>
      <c r="DE101" s="14"/>
      <c r="DF101" s="14"/>
      <c r="DG101" s="129"/>
      <c r="DH101" s="14"/>
      <c r="DI101" s="47"/>
      <c r="DJ101" s="14"/>
      <c r="DK101" s="62"/>
      <c r="DL101" s="19"/>
      <c r="DM101" s="59"/>
      <c r="DN101" s="14"/>
      <c r="DO101" s="14"/>
      <c r="DP101" s="107" t="s">
        <v>36</v>
      </c>
      <c r="DQ101" s="27">
        <f>COUNTIFS(S30_stakeholder_category,"PP",Response_Q172_1,DP101,Response_Q173_1,"&lt;&gt;0")</f>
        <v>1</v>
      </c>
      <c r="DR101" s="41">
        <f>IF(DQ104=0,"",DQ101/DQ104)</f>
        <v>0.5</v>
      </c>
      <c r="DS101" s="14"/>
      <c r="DT101" s="14"/>
      <c r="DU101" s="14"/>
      <c r="DV101" s="14"/>
      <c r="DW101" s="14"/>
      <c r="DX101" s="14"/>
      <c r="DY101" s="14"/>
      <c r="DZ101" s="14"/>
      <c r="EA101" s="14"/>
      <c r="EB101" s="14"/>
      <c r="EC101" s="14"/>
      <c r="ED101" s="14"/>
      <c r="EE101" s="14"/>
      <c r="EF101" s="14"/>
      <c r="EG101" s="14"/>
      <c r="EH101" s="14"/>
      <c r="EI101" s="14"/>
      <c r="EJ101" s="14"/>
      <c r="EK101" s="14"/>
      <c r="EL101" s="14"/>
    </row>
    <row r="102" spans="1:142" x14ac:dyDescent="0.25">
      <c r="A102" s="14"/>
      <c r="B102" s="62"/>
      <c r="C102" s="19"/>
      <c r="D102" s="59"/>
      <c r="E102" s="14"/>
      <c r="F102" s="14"/>
      <c r="G102" s="107" t="s">
        <v>38</v>
      </c>
      <c r="H102" s="27">
        <f>COUNTIFS(S30_stakeholder_category,"PP",Response_Q173_1,G102)</f>
        <v>0</v>
      </c>
      <c r="I102" s="41">
        <f t="shared" si="63"/>
        <v>0</v>
      </c>
      <c r="J102" s="14"/>
      <c r="K102" s="14"/>
      <c r="L102" s="14"/>
      <c r="M102" s="14"/>
      <c r="N102" s="14"/>
      <c r="O102" s="14"/>
      <c r="P102" s="14"/>
      <c r="Q102" s="47"/>
      <c r="R102" s="19"/>
      <c r="S102" s="14"/>
      <c r="T102" s="19"/>
      <c r="U102" s="59"/>
      <c r="V102" s="14"/>
      <c r="W102" s="14"/>
      <c r="X102" s="107" t="s">
        <v>29</v>
      </c>
      <c r="Y102" s="27">
        <f t="shared" si="58"/>
        <v>1</v>
      </c>
      <c r="Z102" s="41">
        <f t="shared" si="59"/>
        <v>0.5</v>
      </c>
      <c r="AA102" s="14"/>
      <c r="AB102" s="14"/>
      <c r="AC102" s="14"/>
      <c r="AD102" s="65"/>
      <c r="AE102" s="63"/>
      <c r="AF102" s="352"/>
      <c r="AG102" s="19"/>
      <c r="AH102" s="14"/>
      <c r="AI102" s="19"/>
      <c r="AJ102" s="59"/>
      <c r="AK102" s="14"/>
      <c r="AL102" s="14"/>
      <c r="AM102" s="107" t="s">
        <v>29</v>
      </c>
      <c r="AN102" s="27">
        <f t="shared" si="60"/>
        <v>0</v>
      </c>
      <c r="AO102" s="41">
        <f t="shared" si="64"/>
        <v>0</v>
      </c>
      <c r="AP102" s="14"/>
      <c r="AQ102" s="14"/>
      <c r="AR102" s="14"/>
      <c r="AS102" s="65"/>
      <c r="AT102" s="63"/>
      <c r="AU102" s="352"/>
      <c r="AV102" s="14"/>
      <c r="AW102" s="14"/>
      <c r="AX102" s="19"/>
      <c r="AY102" s="59"/>
      <c r="AZ102" s="14"/>
      <c r="BA102" s="14"/>
      <c r="BB102" s="107" t="s">
        <v>29</v>
      </c>
      <c r="BC102" s="27">
        <f t="shared" si="61"/>
        <v>0</v>
      </c>
      <c r="BD102" s="41">
        <f t="shared" si="65"/>
        <v>0</v>
      </c>
      <c r="BE102" s="14"/>
      <c r="BF102" s="14"/>
      <c r="BG102" s="14"/>
      <c r="BH102" s="65"/>
      <c r="BI102" s="63"/>
      <c r="BJ102" s="352"/>
      <c r="BK102" s="19"/>
      <c r="BL102" s="14"/>
      <c r="BM102" s="19"/>
      <c r="BN102" s="59"/>
      <c r="BO102" s="14"/>
      <c r="BP102" s="14"/>
      <c r="BQ102" s="107" t="s">
        <v>29</v>
      </c>
      <c r="BR102" s="27">
        <f t="shared" si="62"/>
        <v>0</v>
      </c>
      <c r="BS102" s="41">
        <f t="shared" si="66"/>
        <v>0</v>
      </c>
      <c r="BT102" s="14"/>
      <c r="BU102" s="14"/>
      <c r="BV102" s="14"/>
      <c r="BW102" s="65"/>
      <c r="BX102" s="63"/>
      <c r="BY102" s="352"/>
      <c r="BZ102" s="14"/>
      <c r="CA102" s="14"/>
      <c r="CB102" s="21"/>
      <c r="CC102" s="21"/>
      <c r="CD102" s="180"/>
      <c r="CE102" s="181"/>
      <c r="CF102" s="31"/>
      <c r="CG102" s="52"/>
      <c r="CH102" s="52"/>
      <c r="CI102" s="99"/>
      <c r="CJ102" s="14"/>
      <c r="CK102" s="14"/>
      <c r="CL102" s="14"/>
      <c r="CM102" s="14"/>
      <c r="CN102" s="14"/>
      <c r="CO102" s="129"/>
      <c r="CP102" s="14"/>
      <c r="CQ102" s="47"/>
      <c r="CR102" s="14"/>
      <c r="CS102" s="14"/>
      <c r="CT102" s="14"/>
      <c r="CU102" s="14"/>
      <c r="CV102" s="180"/>
      <c r="CW102" s="190"/>
      <c r="CX102" s="191"/>
      <c r="CY102" s="52"/>
      <c r="CZ102" s="52"/>
      <c r="DA102" s="54"/>
      <c r="DB102" s="14"/>
      <c r="DC102" s="14"/>
      <c r="DD102" s="14"/>
      <c r="DE102" s="14"/>
      <c r="DF102" s="14"/>
      <c r="DG102" s="129"/>
      <c r="DH102" s="14"/>
      <c r="DI102" s="47"/>
      <c r="DJ102" s="14"/>
      <c r="DK102" s="62"/>
      <c r="DL102" s="19"/>
      <c r="DM102" s="59"/>
      <c r="DN102" s="14"/>
      <c r="DO102" s="14"/>
      <c r="DP102" s="107" t="s">
        <v>38</v>
      </c>
      <c r="DQ102" s="27">
        <f>COUNTIFS(S30_stakeholder_category,"PP",Response_Q172_1,DP102,Response_Q173_1,"&lt;&gt;0")</f>
        <v>0</v>
      </c>
      <c r="DR102" s="41">
        <f>IF(DQ104=0,"",DQ102/DQ104)</f>
        <v>0</v>
      </c>
      <c r="DS102" s="14"/>
      <c r="DT102" s="14"/>
      <c r="DU102" s="14"/>
      <c r="DV102" s="14"/>
      <c r="DW102" s="14"/>
      <c r="DX102" s="14"/>
      <c r="DY102" s="14"/>
      <c r="DZ102" s="14"/>
      <c r="EA102" s="14"/>
      <c r="EB102" s="14"/>
      <c r="EC102" s="14"/>
      <c r="ED102" s="14"/>
      <c r="EE102" s="14"/>
      <c r="EF102" s="14"/>
      <c r="EG102" s="14"/>
      <c r="EH102" s="14"/>
      <c r="EI102" s="14"/>
      <c r="EJ102" s="14"/>
      <c r="EK102" s="14"/>
      <c r="EL102" s="14"/>
    </row>
    <row r="103" spans="1:142" x14ac:dyDescent="0.25">
      <c r="A103" s="14"/>
      <c r="B103" s="62"/>
      <c r="C103" s="19"/>
      <c r="D103" s="59"/>
      <c r="E103" s="14"/>
      <c r="F103" s="14"/>
      <c r="G103" s="107" t="s">
        <v>39</v>
      </c>
      <c r="H103" s="27">
        <f>COUNTIFS(S30_stakeholder_category,"PP",Response_Q173_1,G103)</f>
        <v>0</v>
      </c>
      <c r="I103" s="41">
        <f t="shared" si="63"/>
        <v>0</v>
      </c>
      <c r="J103" s="14"/>
      <c r="K103" s="14"/>
      <c r="L103" s="14"/>
      <c r="M103" s="14"/>
      <c r="N103" s="14"/>
      <c r="O103" s="14"/>
      <c r="P103" s="14"/>
      <c r="Q103" s="47"/>
      <c r="R103" s="19"/>
      <c r="S103" s="62"/>
      <c r="T103" s="19"/>
      <c r="U103" s="59"/>
      <c r="V103" s="14"/>
      <c r="W103" s="14"/>
      <c r="X103" s="107" t="s">
        <v>3</v>
      </c>
      <c r="Y103" s="27">
        <f t="shared" si="58"/>
        <v>1</v>
      </c>
      <c r="Z103" s="41">
        <f t="shared" si="59"/>
        <v>0.5</v>
      </c>
      <c r="AA103" s="14"/>
      <c r="AB103" s="14"/>
      <c r="AC103" s="14"/>
      <c r="AD103" s="65"/>
      <c r="AE103" s="63"/>
      <c r="AF103" s="352"/>
      <c r="AG103" s="19"/>
      <c r="AH103" s="62"/>
      <c r="AI103" s="19"/>
      <c r="AJ103" s="59"/>
      <c r="AK103" s="14"/>
      <c r="AL103" s="14"/>
      <c r="AM103" s="107" t="s">
        <v>3</v>
      </c>
      <c r="AN103" s="27">
        <f t="shared" si="60"/>
        <v>0</v>
      </c>
      <c r="AO103" s="41">
        <f t="shared" si="64"/>
        <v>0</v>
      </c>
      <c r="AP103" s="14"/>
      <c r="AQ103" s="14"/>
      <c r="AR103" s="14"/>
      <c r="AS103" s="65"/>
      <c r="AT103" s="63"/>
      <c r="AU103" s="352"/>
      <c r="AV103" s="14"/>
      <c r="AW103" s="62"/>
      <c r="AX103" s="19"/>
      <c r="AY103" s="59"/>
      <c r="AZ103" s="14"/>
      <c r="BA103" s="14"/>
      <c r="BB103" s="107" t="s">
        <v>3</v>
      </c>
      <c r="BC103" s="27">
        <f t="shared" si="61"/>
        <v>0</v>
      </c>
      <c r="BD103" s="41">
        <f t="shared" si="65"/>
        <v>0</v>
      </c>
      <c r="BE103" s="14"/>
      <c r="BF103" s="14"/>
      <c r="BG103" s="14"/>
      <c r="BH103" s="65"/>
      <c r="BI103" s="63"/>
      <c r="BJ103" s="352"/>
      <c r="BK103" s="19"/>
      <c r="BL103" s="62"/>
      <c r="BM103" s="19"/>
      <c r="BN103" s="59"/>
      <c r="BO103" s="14"/>
      <c r="BP103" s="14"/>
      <c r="BQ103" s="107" t="s">
        <v>3</v>
      </c>
      <c r="BR103" s="27">
        <f t="shared" si="62"/>
        <v>0</v>
      </c>
      <c r="BS103" s="41">
        <f t="shared" si="66"/>
        <v>0</v>
      </c>
      <c r="BT103" s="14"/>
      <c r="BU103" s="14"/>
      <c r="BV103" s="14"/>
      <c r="BW103" s="65"/>
      <c r="BX103" s="63"/>
      <c r="BY103" s="352"/>
      <c r="BZ103" s="14"/>
      <c r="CA103" s="14"/>
      <c r="CB103" s="21"/>
      <c r="CC103" s="21"/>
      <c r="CD103" s="180"/>
      <c r="CE103" s="181"/>
      <c r="CF103" s="31"/>
      <c r="CG103" s="52"/>
      <c r="CH103" s="52"/>
      <c r="CI103" s="99"/>
      <c r="CJ103" s="14"/>
      <c r="CK103" s="14"/>
      <c r="CL103" s="14"/>
      <c r="CM103" s="14"/>
      <c r="CN103" s="14"/>
      <c r="CO103" s="129"/>
      <c r="CP103" s="14"/>
      <c r="CQ103" s="47"/>
      <c r="CR103" s="14"/>
      <c r="CS103" s="14"/>
      <c r="CT103" s="14"/>
      <c r="CU103" s="14"/>
      <c r="CV103" s="180"/>
      <c r="CW103" s="190"/>
      <c r="CX103" s="191"/>
      <c r="CY103" s="52"/>
      <c r="CZ103" s="52"/>
      <c r="DA103" s="54"/>
      <c r="DB103" s="14"/>
      <c r="DC103" s="14"/>
      <c r="DD103" s="14"/>
      <c r="DE103" s="14"/>
      <c r="DF103" s="14"/>
      <c r="DG103" s="129"/>
      <c r="DH103" s="14"/>
      <c r="DI103" s="47"/>
      <c r="DJ103" s="14"/>
      <c r="DK103" s="62"/>
      <c r="DL103" s="19"/>
      <c r="DM103" s="59"/>
      <c r="DN103" s="14"/>
      <c r="DO103" s="14"/>
      <c r="DP103" s="107" t="s">
        <v>39</v>
      </c>
      <c r="DQ103" s="27">
        <f>COUNTIFS(S30_stakeholder_category,"PP",Response_Q172_1,DP103,Response_Q173_1,"&lt;&gt;0")</f>
        <v>0</v>
      </c>
      <c r="DR103" s="41">
        <f>IF(DQ104=0,"",DQ103/DQ104)</f>
        <v>0</v>
      </c>
      <c r="DS103" s="14"/>
      <c r="DT103" s="14"/>
      <c r="DU103" s="14"/>
      <c r="DV103" s="14"/>
      <c r="DW103" s="14"/>
      <c r="DX103" s="14"/>
      <c r="DY103" s="14"/>
      <c r="DZ103" s="14"/>
      <c r="EA103" s="14"/>
      <c r="EB103" s="14"/>
      <c r="EC103" s="14"/>
      <c r="ED103" s="14"/>
      <c r="EE103" s="14"/>
      <c r="EF103" s="14"/>
      <c r="EG103" s="14"/>
      <c r="EH103" s="14"/>
      <c r="EI103" s="14"/>
      <c r="EJ103" s="14"/>
      <c r="EK103" s="14"/>
      <c r="EL103" s="14"/>
    </row>
    <row r="104" spans="1:142" x14ac:dyDescent="0.25">
      <c r="A104" s="14"/>
      <c r="B104" s="62"/>
      <c r="C104" s="19"/>
      <c r="D104" s="59"/>
      <c r="E104" s="14"/>
      <c r="F104" s="14"/>
      <c r="G104" s="86" t="s">
        <v>145</v>
      </c>
      <c r="H104" s="111">
        <f>COUNTIFS(S30_stakeholder_category,"PP",Response_Q173_1,"&lt;&gt;0")</f>
        <v>2</v>
      </c>
      <c r="I104" s="119">
        <f t="shared" si="63"/>
        <v>1</v>
      </c>
      <c r="J104" s="14"/>
      <c r="K104" s="14"/>
      <c r="L104" s="14"/>
      <c r="M104" s="14"/>
      <c r="N104" s="14"/>
      <c r="O104" s="14"/>
      <c r="P104" s="14"/>
      <c r="Q104" s="47"/>
      <c r="R104" s="19"/>
      <c r="S104" s="62"/>
      <c r="T104" s="19"/>
      <c r="U104" s="59"/>
      <c r="V104" s="14"/>
      <c r="W104" s="14"/>
      <c r="X104" s="107" t="s">
        <v>54</v>
      </c>
      <c r="Y104" s="27">
        <f t="shared" si="58"/>
        <v>0</v>
      </c>
      <c r="Z104" s="41">
        <f t="shared" si="59"/>
        <v>0</v>
      </c>
      <c r="AA104" s="14"/>
      <c r="AB104" s="14"/>
      <c r="AC104" s="14"/>
      <c r="AD104" s="65"/>
      <c r="AE104" s="63"/>
      <c r="AF104" s="352"/>
      <c r="AG104" s="19"/>
      <c r="AH104" s="62"/>
      <c r="AI104" s="19"/>
      <c r="AJ104" s="59"/>
      <c r="AK104" s="14"/>
      <c r="AL104" s="14"/>
      <c r="AM104" s="107" t="s">
        <v>54</v>
      </c>
      <c r="AN104" s="27">
        <f t="shared" si="60"/>
        <v>1</v>
      </c>
      <c r="AO104" s="41">
        <f t="shared" si="64"/>
        <v>0.33333333333333331</v>
      </c>
      <c r="AP104" s="14"/>
      <c r="AQ104" s="14"/>
      <c r="AR104" s="14"/>
      <c r="AS104" s="65"/>
      <c r="AT104" s="63"/>
      <c r="AU104" s="352"/>
      <c r="AV104" s="14"/>
      <c r="AW104" s="62"/>
      <c r="AX104" s="19"/>
      <c r="AY104" s="59"/>
      <c r="AZ104" s="14"/>
      <c r="BA104" s="14"/>
      <c r="BB104" s="107" t="s">
        <v>54</v>
      </c>
      <c r="BC104" s="27">
        <f t="shared" si="61"/>
        <v>1</v>
      </c>
      <c r="BD104" s="41">
        <f t="shared" si="65"/>
        <v>0.33333333333333331</v>
      </c>
      <c r="BE104" s="14"/>
      <c r="BF104" s="14"/>
      <c r="BG104" s="14"/>
      <c r="BH104" s="65"/>
      <c r="BI104" s="63"/>
      <c r="BJ104" s="352"/>
      <c r="BK104" s="19"/>
      <c r="BL104" s="62"/>
      <c r="BM104" s="19"/>
      <c r="BN104" s="59"/>
      <c r="BO104" s="14"/>
      <c r="BP104" s="14"/>
      <c r="BQ104" s="107" t="s">
        <v>54</v>
      </c>
      <c r="BR104" s="27">
        <f t="shared" si="62"/>
        <v>1</v>
      </c>
      <c r="BS104" s="41">
        <f t="shared" si="66"/>
        <v>0.33333333333333331</v>
      </c>
      <c r="BT104" s="14"/>
      <c r="BU104" s="14"/>
      <c r="BV104" s="14"/>
      <c r="BW104" s="65"/>
      <c r="BX104" s="63"/>
      <c r="BY104" s="352"/>
      <c r="BZ104" s="14"/>
      <c r="CA104" s="14"/>
      <c r="CB104" s="21"/>
      <c r="CC104" s="21"/>
      <c r="CD104" s="180"/>
      <c r="CE104" s="181"/>
      <c r="CF104" s="31"/>
      <c r="CG104" s="52"/>
      <c r="CH104" s="52"/>
      <c r="CI104" s="99"/>
      <c r="CJ104" s="14"/>
      <c r="CK104" s="14"/>
      <c r="CL104" s="14"/>
      <c r="CM104" s="14"/>
      <c r="CN104" s="14"/>
      <c r="CO104" s="129"/>
      <c r="CP104" s="14"/>
      <c r="CQ104" s="47"/>
      <c r="CR104" s="14"/>
      <c r="CS104" s="14"/>
      <c r="CT104" s="14"/>
      <c r="CU104" s="14"/>
      <c r="CV104" s="180"/>
      <c r="CW104" s="190"/>
      <c r="CX104" s="191"/>
      <c r="CY104" s="52"/>
      <c r="CZ104" s="52"/>
      <c r="DA104" s="54"/>
      <c r="DB104" s="14"/>
      <c r="DC104" s="14"/>
      <c r="DD104" s="14"/>
      <c r="DE104" s="14"/>
      <c r="DF104" s="14"/>
      <c r="DG104" s="129"/>
      <c r="DH104" s="14"/>
      <c r="DI104" s="47"/>
      <c r="DJ104" s="14"/>
      <c r="DK104" s="62"/>
      <c r="DL104" s="19"/>
      <c r="DM104" s="59"/>
      <c r="DN104" s="14"/>
      <c r="DO104" s="14"/>
      <c r="DP104" s="86" t="s">
        <v>145</v>
      </c>
      <c r="DQ104" s="111">
        <f>COUNTIFS(S30_stakeholder_category,"PP",Response_Q172_1,"&lt;&gt;0",Response_Q173_1,"&lt;&gt;0")</f>
        <v>2</v>
      </c>
      <c r="DR104" s="119">
        <f>IF(DQ104=0,"",DQ104/DQ104)</f>
        <v>1</v>
      </c>
      <c r="DS104" s="14"/>
      <c r="DT104" s="14"/>
      <c r="DU104" s="14"/>
      <c r="DV104" s="14"/>
      <c r="DW104" s="14"/>
      <c r="DX104" s="14"/>
      <c r="DY104" s="14"/>
      <c r="DZ104" s="14"/>
      <c r="EA104" s="14"/>
      <c r="EB104" s="14"/>
      <c r="EC104" s="14"/>
      <c r="ED104" s="14"/>
      <c r="EE104" s="14"/>
      <c r="EF104" s="14"/>
      <c r="EG104" s="14"/>
      <c r="EH104" s="14"/>
      <c r="EI104" s="14"/>
      <c r="EJ104" s="14"/>
      <c r="EK104" s="14"/>
      <c r="EL104" s="14"/>
    </row>
    <row r="105" spans="1:142" x14ac:dyDescent="0.25">
      <c r="A105" s="14"/>
      <c r="B105" s="62"/>
      <c r="C105" s="19"/>
      <c r="D105" s="59"/>
      <c r="E105" s="14"/>
      <c r="F105" s="14"/>
      <c r="G105" s="14"/>
      <c r="H105" s="21"/>
      <c r="I105" s="21"/>
      <c r="J105" s="14"/>
      <c r="K105" s="14"/>
      <c r="L105" s="14"/>
      <c r="M105" s="14"/>
      <c r="N105" s="14"/>
      <c r="O105" s="14"/>
      <c r="P105" s="14"/>
      <c r="Q105" s="47"/>
      <c r="R105" s="19"/>
      <c r="S105" s="62"/>
      <c r="T105" s="19"/>
      <c r="U105" s="59"/>
      <c r="V105" s="14"/>
      <c r="W105" s="14"/>
      <c r="X105" s="107" t="s">
        <v>39</v>
      </c>
      <c r="Y105" s="27">
        <f t="shared" si="58"/>
        <v>0</v>
      </c>
      <c r="Z105" s="41">
        <f t="shared" si="59"/>
        <v>0</v>
      </c>
      <c r="AA105" s="14"/>
      <c r="AB105" s="14"/>
      <c r="AC105" s="14"/>
      <c r="AD105" s="65"/>
      <c r="AE105" s="63"/>
      <c r="AF105" s="352"/>
      <c r="AG105" s="19"/>
      <c r="AH105" s="62"/>
      <c r="AI105" s="19"/>
      <c r="AJ105" s="59"/>
      <c r="AK105" s="14"/>
      <c r="AL105" s="14"/>
      <c r="AM105" s="107" t="s">
        <v>39</v>
      </c>
      <c r="AN105" s="27">
        <f t="shared" si="60"/>
        <v>0</v>
      </c>
      <c r="AO105" s="41">
        <f t="shared" si="64"/>
        <v>0</v>
      </c>
      <c r="AP105" s="14"/>
      <c r="AQ105" s="14"/>
      <c r="AR105" s="14"/>
      <c r="AS105" s="65"/>
      <c r="AT105" s="63"/>
      <c r="AU105" s="352"/>
      <c r="AV105" s="14"/>
      <c r="AW105" s="62"/>
      <c r="AX105" s="19"/>
      <c r="AY105" s="59"/>
      <c r="AZ105" s="14"/>
      <c r="BA105" s="14"/>
      <c r="BB105" s="107" t="s">
        <v>39</v>
      </c>
      <c r="BC105" s="27">
        <f t="shared" si="61"/>
        <v>0</v>
      </c>
      <c r="BD105" s="41">
        <f t="shared" si="65"/>
        <v>0</v>
      </c>
      <c r="BE105" s="14"/>
      <c r="BF105" s="14"/>
      <c r="BG105" s="14"/>
      <c r="BH105" s="65"/>
      <c r="BI105" s="63"/>
      <c r="BJ105" s="352"/>
      <c r="BK105" s="19"/>
      <c r="BL105" s="62"/>
      <c r="BM105" s="19"/>
      <c r="BN105" s="59"/>
      <c r="BO105" s="14"/>
      <c r="BP105" s="14"/>
      <c r="BQ105" s="107" t="s">
        <v>39</v>
      </c>
      <c r="BR105" s="27">
        <f t="shared" si="62"/>
        <v>0</v>
      </c>
      <c r="BS105" s="41">
        <f t="shared" si="66"/>
        <v>0</v>
      </c>
      <c r="BT105" s="14"/>
      <c r="BU105" s="14"/>
      <c r="BV105" s="14"/>
      <c r="BW105" s="65"/>
      <c r="BX105" s="63"/>
      <c r="BY105" s="352"/>
      <c r="BZ105" s="14"/>
      <c r="CA105" s="14"/>
      <c r="CB105" s="21"/>
      <c r="CC105" s="21"/>
      <c r="CD105" s="180"/>
      <c r="CE105" s="181"/>
      <c r="CF105" s="31"/>
      <c r="CG105" s="52"/>
      <c r="CH105" s="52"/>
      <c r="CI105" s="99"/>
      <c r="CJ105" s="14"/>
      <c r="CK105" s="14"/>
      <c r="CL105" s="14"/>
      <c r="CM105" s="14"/>
      <c r="CN105" s="14"/>
      <c r="CO105" s="129"/>
      <c r="CP105" s="14"/>
      <c r="CQ105" s="47"/>
      <c r="CR105" s="14"/>
      <c r="CS105" s="14"/>
      <c r="CT105" s="14"/>
      <c r="CU105" s="14"/>
      <c r="CV105" s="180"/>
      <c r="CW105" s="190"/>
      <c r="CX105" s="191"/>
      <c r="CY105" s="52"/>
      <c r="CZ105" s="52"/>
      <c r="DA105" s="54"/>
      <c r="DB105" s="14"/>
      <c r="DC105" s="14"/>
      <c r="DD105" s="14"/>
      <c r="DE105" s="14"/>
      <c r="DF105" s="14"/>
      <c r="DG105" s="129"/>
      <c r="DH105" s="14"/>
      <c r="DI105" s="47"/>
      <c r="DJ105" s="14"/>
      <c r="DK105" s="62"/>
      <c r="DL105" s="19"/>
      <c r="DM105" s="59"/>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row>
    <row r="106" spans="1:142" x14ac:dyDescent="0.25">
      <c r="A106" s="14"/>
      <c r="B106" s="62"/>
      <c r="C106" s="19"/>
      <c r="D106" s="59"/>
      <c r="E106" s="14"/>
      <c r="F106" s="14"/>
      <c r="G106" s="14"/>
      <c r="H106" s="21"/>
      <c r="I106" s="21"/>
      <c r="J106" s="14"/>
      <c r="K106" s="14"/>
      <c r="L106" s="14"/>
      <c r="M106" s="14"/>
      <c r="N106" s="14"/>
      <c r="O106" s="14"/>
      <c r="P106" s="14"/>
      <c r="Q106" s="47"/>
      <c r="R106" s="19"/>
      <c r="S106" s="62"/>
      <c r="T106" s="19"/>
      <c r="U106" s="59"/>
      <c r="V106" s="14"/>
      <c r="W106" s="14"/>
      <c r="X106" s="86" t="s">
        <v>145</v>
      </c>
      <c r="Y106" s="111">
        <f>COUNTIFS(S30_stakeholder_category,"PP",Response_Q176_1,"&lt;&gt;0")</f>
        <v>2</v>
      </c>
      <c r="Z106" s="119">
        <f t="shared" si="59"/>
        <v>1</v>
      </c>
      <c r="AA106" s="14"/>
      <c r="AB106" s="14"/>
      <c r="AC106" s="14"/>
      <c r="AD106" s="65"/>
      <c r="AE106" s="63"/>
      <c r="AF106" s="352"/>
      <c r="AG106" s="19"/>
      <c r="AH106" s="62"/>
      <c r="AI106" s="19"/>
      <c r="AJ106" s="59"/>
      <c r="AK106" s="14"/>
      <c r="AL106" s="14"/>
      <c r="AM106" s="86" t="s">
        <v>145</v>
      </c>
      <c r="AN106" s="111">
        <f>COUNTIFS(S30_stakeholder_category,"PP",Response_30a_CaseA,"&lt;&gt;0")</f>
        <v>3</v>
      </c>
      <c r="AO106" s="119">
        <f>IFERROR(AN106/AN$106,0)</f>
        <v>1</v>
      </c>
      <c r="AP106" s="14"/>
      <c r="AQ106" s="14"/>
      <c r="AR106" s="14"/>
      <c r="AS106" s="65"/>
      <c r="AT106" s="63"/>
      <c r="AU106" s="352"/>
      <c r="AV106" s="14"/>
      <c r="AW106" s="62"/>
      <c r="AX106" s="19"/>
      <c r="AY106" s="59"/>
      <c r="AZ106" s="14"/>
      <c r="BA106" s="14"/>
      <c r="BB106" s="86" t="s">
        <v>145</v>
      </c>
      <c r="BC106" s="111">
        <f>COUNTIFS(S30_stakeholder_category,"PP",Response_30a_CaseB,"&lt;&gt;0")</f>
        <v>3</v>
      </c>
      <c r="BD106" s="119">
        <f>IFERROR(BC106/BC$106,0)</f>
        <v>1</v>
      </c>
      <c r="BE106" s="14"/>
      <c r="BF106" s="14"/>
      <c r="BG106" s="14"/>
      <c r="BH106" s="65"/>
      <c r="BI106" s="63"/>
      <c r="BJ106" s="352"/>
      <c r="BK106" s="19"/>
      <c r="BL106" s="62"/>
      <c r="BM106" s="19"/>
      <c r="BN106" s="59"/>
      <c r="BO106" s="14"/>
      <c r="BP106" s="14"/>
      <c r="BQ106" s="86" t="s">
        <v>145</v>
      </c>
      <c r="BR106" s="111">
        <f>COUNTIFS(S30_stakeholder_category,"PP",Response_30a_CaseC,"&lt;&gt;0")</f>
        <v>3</v>
      </c>
      <c r="BS106" s="119">
        <f>IFERROR(BR106/BR$106,0)</f>
        <v>1</v>
      </c>
      <c r="BT106" s="14"/>
      <c r="BU106" s="14"/>
      <c r="BV106" s="14"/>
      <c r="BW106" s="65"/>
      <c r="BX106" s="63"/>
      <c r="BY106" s="352"/>
      <c r="BZ106" s="14"/>
      <c r="CA106" s="14"/>
      <c r="CB106" s="21"/>
      <c r="CC106" s="21"/>
      <c r="CD106" s="180"/>
      <c r="CE106" s="181"/>
      <c r="CF106" s="31"/>
      <c r="CG106" s="52"/>
      <c r="CH106" s="52"/>
      <c r="CI106" s="99"/>
      <c r="CJ106" s="14"/>
      <c r="CK106" s="14"/>
      <c r="CL106" s="14"/>
      <c r="CM106" s="14"/>
      <c r="CN106" s="14"/>
      <c r="CO106" s="129"/>
      <c r="CP106" s="14"/>
      <c r="CQ106" s="47"/>
      <c r="CR106" s="14"/>
      <c r="CS106" s="14"/>
      <c r="CT106" s="14"/>
      <c r="CU106" s="14"/>
      <c r="CV106" s="180"/>
      <c r="CW106" s="190"/>
      <c r="CX106" s="191"/>
      <c r="CY106" s="52"/>
      <c r="CZ106" s="52"/>
      <c r="DA106" s="54"/>
      <c r="DB106" s="14"/>
      <c r="DC106" s="14"/>
      <c r="DD106" s="14"/>
      <c r="DE106" s="14"/>
      <c r="DF106" s="14"/>
      <c r="DG106" s="129"/>
      <c r="DH106" s="14"/>
      <c r="DI106" s="47"/>
      <c r="DJ106" s="14"/>
      <c r="DK106" s="62"/>
      <c r="DL106" s="19"/>
      <c r="DM106" s="59"/>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row>
    <row r="107" spans="1:142" s="135" customFormat="1" ht="16.5" customHeight="1" x14ac:dyDescent="0.25">
      <c r="A107" s="14"/>
      <c r="B107" s="13"/>
      <c r="C107" s="13"/>
      <c r="D107" s="21"/>
      <c r="E107" s="14"/>
      <c r="F107" s="14"/>
      <c r="G107" s="14"/>
      <c r="H107" s="21"/>
      <c r="I107" s="21"/>
      <c r="J107" s="14"/>
      <c r="K107" s="14"/>
      <c r="L107" s="14"/>
      <c r="M107" s="14"/>
      <c r="N107" s="14"/>
      <c r="O107" s="14"/>
      <c r="P107" s="14"/>
      <c r="Q107" s="47"/>
      <c r="R107" s="19"/>
      <c r="S107" s="13"/>
      <c r="T107" s="13"/>
      <c r="U107" s="21"/>
      <c r="V107" s="14"/>
      <c r="W107" s="14"/>
      <c r="X107" s="14"/>
      <c r="Y107" s="14"/>
      <c r="Z107" s="14"/>
      <c r="AA107" s="14"/>
      <c r="AB107" s="14"/>
      <c r="AC107" s="14"/>
      <c r="AD107" s="65"/>
      <c r="AE107" s="63"/>
      <c r="AF107" s="352"/>
      <c r="AG107" s="19"/>
      <c r="AH107" s="13"/>
      <c r="AI107" s="13"/>
      <c r="AJ107" s="21"/>
      <c r="AK107" s="14"/>
      <c r="AL107" s="14"/>
      <c r="AM107" s="14"/>
      <c r="AN107" s="14"/>
      <c r="AO107" s="14"/>
      <c r="AP107" s="14"/>
      <c r="AQ107" s="14"/>
      <c r="AR107" s="14"/>
      <c r="AS107" s="65"/>
      <c r="AT107" s="63"/>
      <c r="AU107" s="352"/>
      <c r="AV107" s="14"/>
      <c r="AW107" s="13"/>
      <c r="AX107" s="13"/>
      <c r="AY107" s="21"/>
      <c r="AZ107" s="14"/>
      <c r="BA107" s="14"/>
      <c r="BB107" s="14"/>
      <c r="BC107" s="14"/>
      <c r="BD107" s="14"/>
      <c r="BE107" s="14"/>
      <c r="BF107" s="14"/>
      <c r="BG107" s="14"/>
      <c r="BH107" s="65"/>
      <c r="BI107" s="63"/>
      <c r="BJ107" s="352"/>
      <c r="BK107" s="19"/>
      <c r="BL107" s="13"/>
      <c r="BM107" s="13"/>
      <c r="BN107" s="21"/>
      <c r="BO107" s="14"/>
      <c r="BP107" s="14"/>
      <c r="BQ107" s="14"/>
      <c r="BR107" s="14"/>
      <c r="BS107" s="14"/>
      <c r="BT107" s="14"/>
      <c r="BU107" s="14"/>
      <c r="BV107" s="14"/>
      <c r="BW107" s="65"/>
      <c r="BX107" s="63"/>
      <c r="BY107" s="352"/>
      <c r="BZ107" s="14"/>
      <c r="CA107" s="14"/>
      <c r="CB107" s="98"/>
      <c r="CC107" s="21"/>
      <c r="CD107" s="180"/>
      <c r="CE107" s="181"/>
      <c r="CF107" s="31"/>
      <c r="CG107" s="31"/>
      <c r="CH107" s="31"/>
      <c r="CI107" s="14"/>
      <c r="CJ107" s="14"/>
      <c r="CK107" s="14"/>
      <c r="CL107" s="14"/>
      <c r="CM107" s="14"/>
      <c r="CN107" s="14"/>
      <c r="CO107" s="129"/>
      <c r="CP107" s="14"/>
      <c r="CQ107" s="47"/>
      <c r="CR107" s="14"/>
      <c r="CS107" s="14"/>
      <c r="CT107" s="14"/>
      <c r="CU107" s="14"/>
      <c r="CV107" s="180"/>
      <c r="CW107" s="190"/>
      <c r="CX107" s="191"/>
      <c r="CY107" s="31"/>
      <c r="CZ107" s="31"/>
      <c r="DA107" s="14"/>
      <c r="DB107" s="14"/>
      <c r="DC107" s="14"/>
      <c r="DD107" s="14"/>
      <c r="DE107" s="14"/>
      <c r="DF107" s="14"/>
      <c r="DG107" s="129"/>
      <c r="DH107" s="14"/>
      <c r="DI107" s="47"/>
      <c r="DJ107" s="14"/>
      <c r="DK107" s="13"/>
      <c r="DL107" s="13"/>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row>
    <row r="108" spans="1:142" s="131" customFormat="1" x14ac:dyDescent="0.25">
      <c r="A108" s="78"/>
      <c r="B108" s="78" t="s">
        <v>22</v>
      </c>
      <c r="C108" s="78" t="s">
        <v>136</v>
      </c>
      <c r="D108" s="79"/>
      <c r="E108" s="78"/>
      <c r="F108" s="78"/>
      <c r="G108" s="78"/>
      <c r="H108" s="79"/>
      <c r="I108" s="79"/>
      <c r="J108" s="78"/>
      <c r="K108" s="78"/>
      <c r="L108" s="78"/>
      <c r="M108" s="78"/>
      <c r="N108" s="78"/>
      <c r="O108" s="78"/>
      <c r="P108" s="78"/>
      <c r="Q108" s="82"/>
      <c r="R108" s="83"/>
      <c r="S108" s="78" t="str">
        <f>$B108</f>
        <v>Pellet users</v>
      </c>
      <c r="T108" s="78"/>
      <c r="U108" s="78"/>
      <c r="V108" s="78"/>
      <c r="W108" s="78"/>
      <c r="X108" s="78"/>
      <c r="Y108" s="78"/>
      <c r="Z108" s="78"/>
      <c r="AA108" s="78"/>
      <c r="AB108" s="78"/>
      <c r="AC108" s="78"/>
      <c r="AD108" s="80"/>
      <c r="AE108" s="81"/>
      <c r="AF108" s="373"/>
      <c r="AG108" s="83"/>
      <c r="AH108" s="78" t="str">
        <f>$B108</f>
        <v>Pellet users</v>
      </c>
      <c r="AI108" s="78"/>
      <c r="AJ108" s="78"/>
      <c r="AK108" s="78"/>
      <c r="AL108" s="78"/>
      <c r="AM108" s="78"/>
      <c r="AN108" s="78"/>
      <c r="AO108" s="78"/>
      <c r="AP108" s="78"/>
      <c r="AQ108" s="78"/>
      <c r="AR108" s="78"/>
      <c r="AS108" s="80"/>
      <c r="AT108" s="81"/>
      <c r="AU108" s="373"/>
      <c r="AV108" s="78"/>
      <c r="AW108" s="78" t="str">
        <f>$B108</f>
        <v>Pellet users</v>
      </c>
      <c r="AX108" s="78"/>
      <c r="AY108" s="78"/>
      <c r="AZ108" s="78"/>
      <c r="BA108" s="78"/>
      <c r="BB108" s="78"/>
      <c r="BC108" s="78"/>
      <c r="BD108" s="78"/>
      <c r="BE108" s="78"/>
      <c r="BF108" s="78"/>
      <c r="BG108" s="78"/>
      <c r="BH108" s="80"/>
      <c r="BI108" s="81"/>
      <c r="BJ108" s="373"/>
      <c r="BK108" s="83"/>
      <c r="BL108" s="78" t="str">
        <f>$B108</f>
        <v>Pellet users</v>
      </c>
      <c r="BM108" s="78"/>
      <c r="BN108" s="78"/>
      <c r="BO108" s="78"/>
      <c r="BP108" s="78"/>
      <c r="BQ108" s="78"/>
      <c r="BR108" s="78"/>
      <c r="BS108" s="78"/>
      <c r="BT108" s="78"/>
      <c r="BU108" s="78"/>
      <c r="BV108" s="78"/>
      <c r="BW108" s="80"/>
      <c r="BX108" s="81"/>
      <c r="BY108" s="373"/>
      <c r="BZ108" s="78"/>
      <c r="CA108" s="78" t="str">
        <f>$B108</f>
        <v>Pellet users</v>
      </c>
      <c r="CB108" s="79"/>
      <c r="CC108" s="79"/>
      <c r="CD108" s="182"/>
      <c r="CE108" s="182"/>
      <c r="CF108" s="79"/>
      <c r="CG108" s="78"/>
      <c r="CH108" s="78"/>
      <c r="CI108" s="78"/>
      <c r="CJ108" s="78"/>
      <c r="CK108" s="78"/>
      <c r="CL108" s="78"/>
      <c r="CM108" s="78"/>
      <c r="CN108" s="78"/>
      <c r="CO108" s="78"/>
      <c r="CP108" s="78"/>
      <c r="CQ108" s="82"/>
      <c r="CR108" s="78"/>
      <c r="CS108" s="78" t="str">
        <f>$B108</f>
        <v>Pellet users</v>
      </c>
      <c r="CT108" s="78"/>
      <c r="CU108" s="78"/>
      <c r="CV108" s="182"/>
      <c r="CW108" s="192"/>
      <c r="CX108" s="192"/>
      <c r="CY108" s="78"/>
      <c r="CZ108" s="78"/>
      <c r="DA108" s="78"/>
      <c r="DB108" s="78"/>
      <c r="DC108" s="78"/>
      <c r="DD108" s="78"/>
      <c r="DE108" s="78"/>
      <c r="DF108" s="78"/>
      <c r="DG108" s="78"/>
      <c r="DH108" s="78"/>
      <c r="DI108" s="82"/>
      <c r="DJ108" s="78"/>
      <c r="DK108" s="78" t="str">
        <f>$B108</f>
        <v>Pellet users</v>
      </c>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row>
    <row r="109" spans="1:142" x14ac:dyDescent="0.25">
      <c r="A109" s="14"/>
      <c r="B109" s="84" t="s">
        <v>301</v>
      </c>
      <c r="C109" s="84"/>
      <c r="D109" s="85"/>
      <c r="E109" s="84"/>
      <c r="F109" s="14"/>
      <c r="G109" s="14"/>
      <c r="H109" s="21"/>
      <c r="I109" s="21"/>
      <c r="J109" s="14"/>
      <c r="K109" s="14"/>
      <c r="L109" s="14"/>
      <c r="M109" s="14"/>
      <c r="N109" s="14"/>
      <c r="O109" s="14"/>
      <c r="P109" s="14"/>
      <c r="Q109" s="47"/>
      <c r="R109" s="19"/>
      <c r="S109" s="84" t="s">
        <v>322</v>
      </c>
      <c r="T109" s="84"/>
      <c r="U109" s="85"/>
      <c r="V109" s="84"/>
      <c r="W109" s="14"/>
      <c r="X109" s="14"/>
      <c r="Y109" s="14"/>
      <c r="Z109" s="14"/>
      <c r="AA109" s="14"/>
      <c r="AB109" s="14"/>
      <c r="AC109" s="14"/>
      <c r="AD109" s="65"/>
      <c r="AE109" s="63"/>
      <c r="AF109" s="352"/>
      <c r="AG109" s="19"/>
      <c r="AH109" s="84" t="s">
        <v>328</v>
      </c>
      <c r="AI109" s="84"/>
      <c r="AJ109" s="85"/>
      <c r="AK109" s="84"/>
      <c r="AL109" s="84"/>
      <c r="AM109" s="14"/>
      <c r="AN109" s="14"/>
      <c r="AO109" s="14"/>
      <c r="AP109" s="14"/>
      <c r="AQ109" s="14"/>
      <c r="AR109" s="14"/>
      <c r="AS109" s="65"/>
      <c r="AT109" s="63"/>
      <c r="AU109" s="352"/>
      <c r="AV109" s="14"/>
      <c r="AW109" s="84" t="s">
        <v>347</v>
      </c>
      <c r="AX109" s="84"/>
      <c r="AY109" s="85"/>
      <c r="AZ109" s="84"/>
      <c r="BA109" s="84"/>
      <c r="BB109" s="14"/>
      <c r="BC109" s="14"/>
      <c r="BD109" s="14"/>
      <c r="BE109" s="14"/>
      <c r="BF109" s="14"/>
      <c r="BG109" s="14"/>
      <c r="BH109" s="65"/>
      <c r="BI109" s="63"/>
      <c r="BJ109" s="352"/>
      <c r="BK109" s="19"/>
      <c r="BL109" s="84" t="s">
        <v>348</v>
      </c>
      <c r="BM109" s="84"/>
      <c r="BN109" s="85"/>
      <c r="BO109" s="84"/>
      <c r="BP109" s="84"/>
      <c r="BQ109" s="14"/>
      <c r="BR109" s="14"/>
      <c r="BS109" s="14"/>
      <c r="BT109" s="14"/>
      <c r="BU109" s="14"/>
      <c r="BV109" s="14"/>
      <c r="BW109" s="65"/>
      <c r="BX109" s="63"/>
      <c r="BY109" s="352"/>
      <c r="BZ109" s="14"/>
      <c r="CA109" s="148" t="s">
        <v>303</v>
      </c>
      <c r="CB109" s="85"/>
      <c r="CC109" s="85"/>
      <c r="CD109" s="185"/>
      <c r="CE109" s="185"/>
      <c r="CF109" s="152"/>
      <c r="CG109" s="14"/>
      <c r="CH109" s="14"/>
      <c r="CI109" s="14"/>
      <c r="CJ109" s="14"/>
      <c r="CK109" s="14"/>
      <c r="CL109" s="14"/>
      <c r="CM109" s="14"/>
      <c r="CN109" s="14"/>
      <c r="CO109" s="129"/>
      <c r="CP109" s="14"/>
      <c r="CQ109" s="47"/>
      <c r="CR109" s="14"/>
      <c r="CS109" s="148" t="s">
        <v>304</v>
      </c>
      <c r="CT109" s="84"/>
      <c r="CU109" s="85"/>
      <c r="CV109" s="186"/>
      <c r="CW109" s="193"/>
      <c r="CX109" s="193"/>
      <c r="CY109" s="14"/>
      <c r="CZ109" s="14"/>
      <c r="DA109" s="14"/>
      <c r="DB109" s="14"/>
      <c r="DC109" s="14"/>
      <c r="DD109" s="14"/>
      <c r="DE109" s="14"/>
      <c r="DF109" s="14"/>
      <c r="DG109" s="129"/>
      <c r="DH109" s="14"/>
      <c r="DI109" s="47"/>
      <c r="DJ109" s="14"/>
      <c r="DK109" s="84" t="s">
        <v>305</v>
      </c>
      <c r="DL109" s="84"/>
      <c r="DM109" s="85"/>
      <c r="DN109" s="8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row>
    <row r="110" spans="1:142" x14ac:dyDescent="0.25">
      <c r="A110" s="14"/>
      <c r="B110" s="14"/>
      <c r="C110" s="14"/>
      <c r="D110" s="15"/>
      <c r="E110" s="14"/>
      <c r="F110" s="14"/>
      <c r="G110" s="14"/>
      <c r="H110" s="21"/>
      <c r="I110" s="21"/>
      <c r="J110" s="14"/>
      <c r="K110" s="14"/>
      <c r="L110" s="14"/>
      <c r="M110" s="14"/>
      <c r="N110" s="14"/>
      <c r="O110" s="14"/>
      <c r="P110" s="14"/>
      <c r="Q110" s="47"/>
      <c r="R110" s="19"/>
      <c r="S110" s="14"/>
      <c r="T110" s="14"/>
      <c r="U110" s="15"/>
      <c r="V110" s="14"/>
      <c r="W110" s="14"/>
      <c r="X110" s="14"/>
      <c r="Y110" s="14"/>
      <c r="Z110" s="14"/>
      <c r="AA110" s="14"/>
      <c r="AB110" s="14"/>
      <c r="AC110" s="14"/>
      <c r="AD110" s="65"/>
      <c r="AE110" s="63"/>
      <c r="AF110" s="352"/>
      <c r="AG110" s="19"/>
      <c r="AH110" s="14"/>
      <c r="AI110" s="14"/>
      <c r="AJ110" s="15"/>
      <c r="AK110" s="14"/>
      <c r="AL110" s="14"/>
      <c r="AM110" s="14"/>
      <c r="AN110" s="14"/>
      <c r="AO110" s="14"/>
      <c r="AP110" s="14"/>
      <c r="AQ110" s="14"/>
      <c r="AR110" s="14"/>
      <c r="AS110" s="65"/>
      <c r="AT110" s="63"/>
      <c r="AU110" s="352"/>
      <c r="AV110" s="14"/>
      <c r="AW110" s="14"/>
      <c r="AX110" s="14"/>
      <c r="AY110" s="15"/>
      <c r="AZ110" s="14"/>
      <c r="BA110" s="14"/>
      <c r="BB110" s="14"/>
      <c r="BC110" s="14"/>
      <c r="BD110" s="14"/>
      <c r="BE110" s="14"/>
      <c r="BF110" s="14"/>
      <c r="BG110" s="14"/>
      <c r="BH110" s="65"/>
      <c r="BI110" s="63"/>
      <c r="BJ110" s="352"/>
      <c r="BK110" s="19"/>
      <c r="BL110" s="14"/>
      <c r="BM110" s="14"/>
      <c r="BN110" s="15"/>
      <c r="BO110" s="14"/>
      <c r="BP110" s="14"/>
      <c r="BQ110" s="14"/>
      <c r="BR110" s="14"/>
      <c r="BS110" s="14"/>
      <c r="BT110" s="14"/>
      <c r="BU110" s="14"/>
      <c r="BV110" s="14"/>
      <c r="BW110" s="65"/>
      <c r="BX110" s="63"/>
      <c r="BY110" s="352"/>
      <c r="BZ110" s="14"/>
      <c r="CA110" s="14"/>
      <c r="CB110" s="21"/>
      <c r="CC110" s="21"/>
      <c r="CD110" s="180"/>
      <c r="CE110" s="180"/>
      <c r="CF110" s="21"/>
      <c r="CG110" s="14"/>
      <c r="CH110" s="14"/>
      <c r="CI110" s="14"/>
      <c r="CJ110" s="14"/>
      <c r="CK110" s="14"/>
      <c r="CL110" s="14"/>
      <c r="CM110" s="14"/>
      <c r="CN110" s="14"/>
      <c r="CO110" s="129"/>
      <c r="CP110" s="14"/>
      <c r="CQ110" s="47"/>
      <c r="CR110" s="14"/>
      <c r="CS110" s="14"/>
      <c r="CT110" s="14"/>
      <c r="CU110" s="14"/>
      <c r="CV110" s="180"/>
      <c r="CW110" s="189"/>
      <c r="CX110" s="189"/>
      <c r="CY110" s="14"/>
      <c r="CZ110" s="14"/>
      <c r="DA110" s="14"/>
      <c r="DB110" s="14"/>
      <c r="DC110" s="14"/>
      <c r="DD110" s="14"/>
      <c r="DE110" s="14"/>
      <c r="DF110" s="14"/>
      <c r="DG110" s="129"/>
      <c r="DH110" s="14"/>
      <c r="DI110" s="47"/>
      <c r="DJ110" s="14"/>
      <c r="DK110" s="14"/>
      <c r="DL110" s="14"/>
      <c r="DM110" s="15"/>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row>
    <row r="111" spans="1:142" ht="27.6" x14ac:dyDescent="0.25">
      <c r="A111" s="14"/>
      <c r="B111" s="112" t="s">
        <v>23</v>
      </c>
      <c r="C111" s="113" t="s">
        <v>24</v>
      </c>
      <c r="D111" s="113" t="s">
        <v>145</v>
      </c>
      <c r="E111" s="113" t="s">
        <v>300</v>
      </c>
      <c r="F111" s="14"/>
      <c r="G111" s="14"/>
      <c r="H111" s="21"/>
      <c r="I111" s="21"/>
      <c r="J111" s="14"/>
      <c r="K111" s="19"/>
      <c r="L111" s="51"/>
      <c r="M111" s="51"/>
      <c r="N111" s="51"/>
      <c r="O111" s="51"/>
      <c r="P111" s="51"/>
      <c r="Q111" s="47"/>
      <c r="R111" s="19"/>
      <c r="S111" s="112" t="s">
        <v>23</v>
      </c>
      <c r="T111" s="113" t="s">
        <v>24</v>
      </c>
      <c r="U111" s="113" t="s">
        <v>145</v>
      </c>
      <c r="V111" s="113" t="s">
        <v>300</v>
      </c>
      <c r="W111" s="14"/>
      <c r="X111" s="14"/>
      <c r="Y111" s="14"/>
      <c r="Z111" s="14"/>
      <c r="AA111" s="56"/>
      <c r="AB111" s="56"/>
      <c r="AC111" s="56"/>
      <c r="AD111" s="65"/>
      <c r="AE111" s="63"/>
      <c r="AF111" s="352"/>
      <c r="AG111" s="19"/>
      <c r="AH111" s="112" t="s">
        <v>23</v>
      </c>
      <c r="AI111" s="113" t="s">
        <v>24</v>
      </c>
      <c r="AJ111" s="113" t="s">
        <v>145</v>
      </c>
      <c r="AK111" s="113" t="s">
        <v>300</v>
      </c>
      <c r="AL111" s="14"/>
      <c r="AM111" s="14"/>
      <c r="AN111" s="14"/>
      <c r="AO111" s="14"/>
      <c r="AP111" s="56"/>
      <c r="AQ111" s="56"/>
      <c r="AR111" s="56"/>
      <c r="AS111" s="65"/>
      <c r="AT111" s="63"/>
      <c r="AU111" s="352"/>
      <c r="AV111" s="14"/>
      <c r="AW111" s="112" t="s">
        <v>23</v>
      </c>
      <c r="AX111" s="113" t="s">
        <v>24</v>
      </c>
      <c r="AY111" s="113" t="s">
        <v>145</v>
      </c>
      <c r="AZ111" s="113" t="s">
        <v>300</v>
      </c>
      <c r="BA111" s="14"/>
      <c r="BB111" s="14"/>
      <c r="BC111" s="14"/>
      <c r="BD111" s="14"/>
      <c r="BE111" s="56"/>
      <c r="BF111" s="56"/>
      <c r="BG111" s="56"/>
      <c r="BH111" s="65"/>
      <c r="BI111" s="63"/>
      <c r="BJ111" s="352"/>
      <c r="BK111" s="19"/>
      <c r="BL111" s="112" t="s">
        <v>23</v>
      </c>
      <c r="BM111" s="113" t="s">
        <v>24</v>
      </c>
      <c r="BN111" s="113" t="s">
        <v>145</v>
      </c>
      <c r="BO111" s="113" t="s">
        <v>300</v>
      </c>
      <c r="BP111" s="14"/>
      <c r="BQ111" s="14"/>
      <c r="BR111" s="14"/>
      <c r="BS111" s="14"/>
      <c r="BT111" s="56"/>
      <c r="BU111" s="56"/>
      <c r="BV111" s="56"/>
      <c r="BW111" s="65"/>
      <c r="BX111" s="63"/>
      <c r="BY111" s="352"/>
      <c r="BZ111" s="14"/>
      <c r="CA111" s="112" t="s">
        <v>23</v>
      </c>
      <c r="CB111" s="113" t="s">
        <v>145</v>
      </c>
      <c r="CC111" s="21"/>
      <c r="CD111" s="180"/>
      <c r="CE111" s="180"/>
      <c r="CF111" s="21"/>
      <c r="CG111" s="14"/>
      <c r="CH111" s="14"/>
      <c r="CI111" s="14"/>
      <c r="CJ111" s="14"/>
      <c r="CK111" s="14"/>
      <c r="CL111" s="14"/>
      <c r="CM111" s="14"/>
      <c r="CN111" s="14"/>
      <c r="CO111" s="129"/>
      <c r="CP111" s="17"/>
      <c r="CQ111" s="47"/>
      <c r="CR111" s="14"/>
      <c r="CS111" s="112" t="s">
        <v>23</v>
      </c>
      <c r="CT111" s="113" t="s">
        <v>145</v>
      </c>
      <c r="CU111" s="14"/>
      <c r="CV111" s="180"/>
      <c r="CW111" s="189"/>
      <c r="CX111" s="189"/>
      <c r="CY111" s="14"/>
      <c r="CZ111" s="14"/>
      <c r="DA111" s="14"/>
      <c r="DB111" s="14"/>
      <c r="DC111" s="14"/>
      <c r="DD111" s="14"/>
      <c r="DE111" s="14"/>
      <c r="DF111" s="14"/>
      <c r="DG111" s="129"/>
      <c r="DH111" s="17"/>
      <c r="DI111" s="47"/>
      <c r="DJ111" s="17"/>
      <c r="DK111" s="112" t="s">
        <v>23</v>
      </c>
      <c r="DL111" s="113" t="s">
        <v>24</v>
      </c>
      <c r="DM111" s="113" t="s">
        <v>145</v>
      </c>
      <c r="DN111" s="113" t="s">
        <v>300</v>
      </c>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row>
    <row r="112" spans="1:142" x14ac:dyDescent="0.25">
      <c r="A112" s="14"/>
      <c r="B112" s="57" t="s">
        <v>22</v>
      </c>
      <c r="C112" s="121" t="str">
        <f>IF(H131=0,"na",IF(COUNTIF(H126:H130,MAX(H126:H130))&gt;COUNTIF(G126:G130,"&lt;&gt;""")/2,"No clear choice of the most common response",INDEX(G126:G130,MATCH(MAX(H126:H130),H126:H130,0),1)))</f>
        <v>Sometimes</v>
      </c>
      <c r="D112" s="58">
        <f>COUNTIFS(S30_stakeholder_category,"PU",Response_Q173_1,"&lt;&gt;0")</f>
        <v>2</v>
      </c>
      <c r="E112" s="121">
        <f>COUNTIFS(S30_stakeholder_category,"PU",Response_Q173_1,"I don’t know")</f>
        <v>0</v>
      </c>
      <c r="F112" s="14"/>
      <c r="G112" s="14"/>
      <c r="H112" s="21"/>
      <c r="I112" s="21"/>
      <c r="J112" s="14"/>
      <c r="K112" s="19"/>
      <c r="L112" s="40"/>
      <c r="M112" s="40"/>
      <c r="N112" s="40"/>
      <c r="O112" s="40"/>
      <c r="P112" s="40"/>
      <c r="Q112" s="47"/>
      <c r="R112" s="19"/>
      <c r="S112" s="34" t="s">
        <v>22</v>
      </c>
      <c r="T112" s="37" t="str">
        <f>IF(Y133=0,"na",IF(COUNTIF(Y126:Y132,MAX(Y126:Y132))&gt;COUNTIF(X126:X132,"&lt;&gt;""")/2,"No clear choice of the most common response",INDEX(X126:X132,MATCH(MAX(Y126:Y132),Y126:Y132,0),1)))</f>
        <v>Likely</v>
      </c>
      <c r="U112" s="33">
        <f>COUNTIFS(S30_stakeholder_category,"PU",Response_Q176_1,"&lt;&gt;0")</f>
        <v>2</v>
      </c>
      <c r="V112" s="37">
        <f>COUNTIFS(S30_stakeholder_category,"PU",Response_Q176_1,"I don’t know")</f>
        <v>0</v>
      </c>
      <c r="W112" s="14"/>
      <c r="X112" s="14"/>
      <c r="Y112" s="14"/>
      <c r="Z112" s="14"/>
      <c r="AA112" s="19"/>
      <c r="AB112" s="19"/>
      <c r="AC112" s="19"/>
      <c r="AD112" s="65"/>
      <c r="AE112" s="63"/>
      <c r="AF112" s="352"/>
      <c r="AG112" s="19"/>
      <c r="AH112" s="57" t="s">
        <v>22</v>
      </c>
      <c r="AI112" s="121" t="str">
        <f>IF(AN133=0,"na",IF(COUNTIF(AN126:AN132,MAX(AN126:AN132))&gt;COUNTIF(AM126:AM132,"&lt;&gt;""")/2,"No clear choice of the most common response",INDEX(AM126:AM132,MATCH(MAX(AN126:AN132),AN126:AN132,0),1)))</f>
        <v>Very unlikely</v>
      </c>
      <c r="AJ112" s="58">
        <f>COUNTIFS(S30_stakeholder_category,"PU",Response_30a_CaseA,"&lt;&gt;0")</f>
        <v>2</v>
      </c>
      <c r="AK112" s="121">
        <f>COUNTIFS(S30_stakeholder_category,"PU",Response_30a_CaseA,"I don’t know")</f>
        <v>0</v>
      </c>
      <c r="AL112" s="14"/>
      <c r="AM112" s="14"/>
      <c r="AN112" s="14"/>
      <c r="AO112" s="14"/>
      <c r="AP112" s="19"/>
      <c r="AQ112" s="19"/>
      <c r="AR112" s="19"/>
      <c r="AS112" s="65"/>
      <c r="AT112" s="63"/>
      <c r="AU112" s="352"/>
      <c r="AV112" s="14"/>
      <c r="AW112" s="57" t="s">
        <v>22</v>
      </c>
      <c r="AX112" s="121" t="str">
        <f>IF(BC133=0,"na",IF(COUNTIF(BC126:BC132,MAX(BC126:BC132))&gt;COUNTIF(BB126:BB132,"&lt;&gt;""")/2,"No clear choice of the most common response",INDEX(BB126:BB132,MATCH(MAX(BC126:BC132),BC126:BC132,0),1)))</f>
        <v>Unlikely</v>
      </c>
      <c r="AY112" s="58">
        <f>COUNTIFS(S30_stakeholder_category,"PU",Response_30a_CaseB,"&lt;&gt;0")</f>
        <v>2</v>
      </c>
      <c r="AZ112" s="121">
        <f>COUNTIFS(S30_stakeholder_category,"PU",Response_30a_CaseB,"I don’t know")</f>
        <v>0</v>
      </c>
      <c r="BA112" s="14"/>
      <c r="BB112" s="14"/>
      <c r="BC112" s="14"/>
      <c r="BD112" s="14"/>
      <c r="BE112" s="19"/>
      <c r="BF112" s="19"/>
      <c r="BG112" s="19"/>
      <c r="BH112" s="65"/>
      <c r="BI112" s="63"/>
      <c r="BJ112" s="352"/>
      <c r="BK112" s="19"/>
      <c r="BL112" s="57" t="s">
        <v>22</v>
      </c>
      <c r="BM112" s="121" t="str">
        <f>IF(BR133=0,"na",IF(COUNTIF(BR126:BR132,MAX(BR126:BR132))&gt;COUNTIF(BQ126:BQ132,"&lt;&gt;""")/2,"No clear choice of the most common response",INDEX(BQ126:BQ132,MATCH(MAX(BR126:BR132),BR126:BR132,0),1)))</f>
        <v>Moderately unlikely</v>
      </c>
      <c r="BN112" s="58">
        <f>COUNTIFS(S30_stakeholder_category,"PU",Response_30a_CaseC,"&lt;&gt;0")</f>
        <v>2</v>
      </c>
      <c r="BO112" s="121">
        <f>COUNTIFS(S30_stakeholder_category,"PU",Response_30a_CaseC,"I don’t know")</f>
        <v>0</v>
      </c>
      <c r="BP112" s="14"/>
      <c r="BQ112" s="14"/>
      <c r="BR112" s="14"/>
      <c r="BS112" s="14"/>
      <c r="BT112" s="19"/>
      <c r="BU112" s="19"/>
      <c r="BV112" s="19"/>
      <c r="BW112" s="65"/>
      <c r="BX112" s="63"/>
      <c r="BY112" s="352"/>
      <c r="BZ112" s="14"/>
      <c r="CA112" s="34" t="s">
        <v>22</v>
      </c>
      <c r="CB112" s="37">
        <f>MAX(SUM(CC118:CC124),SUM(CD118:CD124),SUM(CE118:CE124))</f>
        <v>2</v>
      </c>
      <c r="CC112" s="21"/>
      <c r="CD112" s="180"/>
      <c r="CE112" s="180"/>
      <c r="CF112" s="21"/>
      <c r="CG112" s="14"/>
      <c r="CH112" s="14"/>
      <c r="CI112" s="14"/>
      <c r="CJ112" s="14"/>
      <c r="CK112" s="14"/>
      <c r="CL112" s="14"/>
      <c r="CM112" s="14"/>
      <c r="CN112" s="14"/>
      <c r="CO112" s="129"/>
      <c r="CP112" s="29"/>
      <c r="CQ112" s="47"/>
      <c r="CR112" s="14"/>
      <c r="CS112" s="34" t="s">
        <v>22</v>
      </c>
      <c r="CT112" s="37">
        <f>MAX(SUM(CU118:CU124),SUM(CV118:CV124),SUM(CW118:CW124))</f>
        <v>2</v>
      </c>
      <c r="CU112" s="14"/>
      <c r="CV112" s="180"/>
      <c r="CW112" s="189"/>
      <c r="CX112" s="189"/>
      <c r="CY112" s="14"/>
      <c r="CZ112" s="14"/>
      <c r="DA112" s="14"/>
      <c r="DB112" s="14"/>
      <c r="DC112" s="14"/>
      <c r="DD112" s="14"/>
      <c r="DE112" s="14"/>
      <c r="DF112" s="14"/>
      <c r="DG112" s="129"/>
      <c r="DH112" s="29"/>
      <c r="DI112" s="47"/>
      <c r="DJ112" s="29"/>
      <c r="DK112" s="34" t="s">
        <v>22</v>
      </c>
      <c r="DL112" s="37" t="str">
        <f>IF(DQ131=0,"na",IF(COUNTIF(DQ126:DQ130,MAX(DQ126:DQ130))&gt;COUNTIF(DP126:DP130,"&lt;&gt;""")/2,"No clear choice of the most common response",INDEX(DP126:DP130,MATCH(MAX(DQ126:DQ130),DQ126:DQ130,0),1)))</f>
        <v>Sometimes</v>
      </c>
      <c r="DM112" s="33">
        <f>COUNTIFS(S30_stakeholder_category,"PU",Response_Q172_1,"&lt;&gt;0",Response_Q173_1,"&lt;&gt;0")</f>
        <v>2</v>
      </c>
      <c r="DN112" s="37">
        <f>DQ130</f>
        <v>0</v>
      </c>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row>
    <row r="113" spans="1:142" x14ac:dyDescent="0.25">
      <c r="A113" s="14"/>
      <c r="B113" s="57"/>
      <c r="C113" s="121" t="str">
        <f ca="1">IF(H131=0,"",IF(COUNTIF(H126:H130,MAX(H126:H130))=1,"",IF(COUNTIF(H126:H130,MAX(H126:H130))&gt;COUNTIF(G126:G130,"&lt;&gt;""")/2,"",INDEX(OFFSET(G126,MATCH(C112,G126:G131,0),0):G130,MATCH(MAX(H126:H130),OFFSET(H126,MATCH(C112,G126:G131,0),0):H130,0),1))))</f>
        <v/>
      </c>
      <c r="D113" s="58"/>
      <c r="E113" s="121"/>
      <c r="F113" s="14"/>
      <c r="G113" s="14"/>
      <c r="H113" s="21"/>
      <c r="I113" s="21"/>
      <c r="J113" s="14"/>
      <c r="K113" s="19"/>
      <c r="L113" s="40"/>
      <c r="M113" s="40"/>
      <c r="N113" s="40"/>
      <c r="O113" s="40"/>
      <c r="P113" s="40"/>
      <c r="Q113" s="47"/>
      <c r="R113" s="19"/>
      <c r="S113" s="34"/>
      <c r="T113" s="37" t="str">
        <f ca="1">IF(Y133=0,"",IF(COUNTIF(Y126:Y132,MAX(Y126:Y132))=1,"",IF(COUNTIF(Y126:Y132,MAX(Y126:Y132))&gt;COUNTIF(X126:X132,"&lt;&gt;""")/2,"",INDEX(OFFSET(X126,MATCH(T112,X126:X132,0),0):X132,MATCH(MAX(Y126:Y132),OFFSET(Y126,MATCH(T112,X126:X132,0),0):Y132,0),1))))</f>
        <v/>
      </c>
      <c r="U113" s="33"/>
      <c r="V113" s="37"/>
      <c r="W113" s="14"/>
      <c r="X113" s="14"/>
      <c r="Y113" s="14"/>
      <c r="Z113" s="14"/>
      <c r="AA113" s="19"/>
      <c r="AB113" s="19"/>
      <c r="AC113" s="19"/>
      <c r="AD113" s="65"/>
      <c r="AE113" s="63"/>
      <c r="AF113" s="352"/>
      <c r="AG113" s="19"/>
      <c r="AH113" s="57"/>
      <c r="AI113" s="121" t="str">
        <f ca="1">IF(AN133=0,"",IF(COUNTIF(AN126:AN132,MAX(AN126:AN132))=1,"",IF(COUNTIF(AN126:AN132,MAX(AN126:AN132))&gt;COUNTIF(AM126:AM132,"&lt;&gt;""")/2,"",INDEX(OFFSET(AM126,MATCH(AI112,AM126:AM132,0),0):AM132,MATCH(MAX(AN126:AN132),OFFSET(AN126,MATCH(AI112,AM126:AM132,0),0):AN132,0),1))))</f>
        <v>Likely</v>
      </c>
      <c r="AJ113" s="58"/>
      <c r="AK113" s="121"/>
      <c r="AL113" s="14"/>
      <c r="AM113" s="14"/>
      <c r="AN113" s="14"/>
      <c r="AO113" s="14"/>
      <c r="AP113" s="19"/>
      <c r="AQ113" s="19"/>
      <c r="AR113" s="19"/>
      <c r="AS113" s="65"/>
      <c r="AT113" s="63"/>
      <c r="AU113" s="352"/>
      <c r="AV113" s="14"/>
      <c r="AW113" s="57"/>
      <c r="AX113" s="121" t="str">
        <f ca="1">IF(BC133=0,"",IF(COUNTIF(BC126:BC132,MAX(BC126:BC132))=1,"",IF(COUNTIF(BC126:BC132,MAX(BC126:BC132))&gt;COUNTIF(BB126:BB132,"&lt;&gt;""")/2,"",INDEX(OFFSET(BB126,MATCH(AX112,BB126:BB132,0),0):BB132,MATCH(MAX(BC126:BC132),OFFSET(BC126,MATCH(AX112,BB126:BB132,0),0):BC132,0),1))))</f>
        <v>Likely</v>
      </c>
      <c r="AY113" s="58"/>
      <c r="AZ113" s="121"/>
      <c r="BA113" s="14"/>
      <c r="BB113" s="14"/>
      <c r="BC113" s="14"/>
      <c r="BD113" s="14"/>
      <c r="BE113" s="19"/>
      <c r="BF113" s="19"/>
      <c r="BG113" s="19"/>
      <c r="BH113" s="65"/>
      <c r="BI113" s="63"/>
      <c r="BJ113" s="352"/>
      <c r="BK113" s="19"/>
      <c r="BL113" s="57"/>
      <c r="BM113" s="121" t="str">
        <f ca="1">IF(BR133=0,"",IF(COUNTIF(BR126:BR132,MAX(BR126:BR132))=1,"",IF(COUNTIF(BR126:BR132,MAX(BR126:BR132))&gt;COUNTIF(BQ126:BQ132,"&lt;&gt;""")/2,"",INDEX(OFFSET(BQ126,MATCH(BM112,BQ126:BQ132,0),0):BQ132,MATCH(MAX(BR126:BR132),OFFSET(BR126,MATCH(BM112,BQ126:BQ132,0),0):BR132,0),1))))</f>
        <v>Likely</v>
      </c>
      <c r="BN113" s="58"/>
      <c r="BO113" s="121"/>
      <c r="BP113" s="14"/>
      <c r="BQ113" s="14"/>
      <c r="BR113" s="14"/>
      <c r="BS113" s="14"/>
      <c r="BT113" s="19"/>
      <c r="BU113" s="19"/>
      <c r="BV113" s="19"/>
      <c r="BW113" s="65"/>
      <c r="BX113" s="63"/>
      <c r="BY113" s="352"/>
      <c r="BZ113" s="14"/>
      <c r="CA113" s="14"/>
      <c r="CB113" s="21"/>
      <c r="CC113" s="21"/>
      <c r="CD113" s="180"/>
      <c r="CE113" s="180"/>
      <c r="CF113" s="21"/>
      <c r="CG113" s="14"/>
      <c r="CH113" s="14"/>
      <c r="CI113" s="14"/>
      <c r="CJ113" s="14"/>
      <c r="CK113" s="14"/>
      <c r="CL113" s="14"/>
      <c r="CM113" s="14"/>
      <c r="CN113" s="14"/>
      <c r="CO113" s="129"/>
      <c r="CP113" s="29"/>
      <c r="CQ113" s="47"/>
      <c r="CR113" s="14"/>
      <c r="CS113" s="14"/>
      <c r="CT113" s="14"/>
      <c r="CU113" s="14"/>
      <c r="CV113" s="180"/>
      <c r="CW113" s="189"/>
      <c r="CX113" s="189"/>
      <c r="CY113" s="14"/>
      <c r="CZ113" s="14"/>
      <c r="DA113" s="14"/>
      <c r="DB113" s="14"/>
      <c r="DC113" s="14"/>
      <c r="DD113" s="14"/>
      <c r="DE113" s="14"/>
      <c r="DF113" s="14"/>
      <c r="DG113" s="129"/>
      <c r="DH113" s="29"/>
      <c r="DI113" s="47"/>
      <c r="DJ113" s="29"/>
      <c r="DK113" s="34"/>
      <c r="DL113" s="121" t="str">
        <f ca="1">IF(DQ131=0,"",IF(COUNTIF(DQ126:DQ130,MAX(DQ126:DQ130))=1,"",IF(COUNTIF(DQ126:DQ130,MAX(DQ126:DQ130))&gt;COUNTIF(DP126:DP130,"&lt;&gt;""")/2,"",INDEX(OFFSET(DP126,MATCH(DL112,DP126:DP131,0),0):DP130,MATCH(MAX(DQ126:DQ130),OFFSET(DQ126,MATCH(DL112,DP126:DP131,0),0):DQ130,0),1))))</f>
        <v>Most of the time</v>
      </c>
      <c r="DM113" s="33"/>
      <c r="DN113" s="37"/>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row>
    <row r="114" spans="1:142" x14ac:dyDescent="0.25">
      <c r="A114" s="14"/>
      <c r="B114" s="57"/>
      <c r="C114" s="121" t="str">
        <f ca="1" xml:space="preserve"> IF(H131=0,"", IF(COUNTIF(H126:H130,MAX(H126:H130))&lt;=2,"",IF(COUNTIF(H126:H130,MAX(H126:H130))&gt;COUNTIF(G126:G130,"&lt;&gt;""")/2,"", INDEX(OFFSET(G126,MATCH(C113,G126:G131,0),0):G130,         MATCH(MAX(H126:H130),        OFFSET(H126,MATCH(C113,G126:G131,0),0):H130,0),1))))</f>
        <v/>
      </c>
      <c r="D114" s="58"/>
      <c r="E114" s="121"/>
      <c r="F114" s="14"/>
      <c r="G114" s="14"/>
      <c r="H114" s="21"/>
      <c r="I114" s="21"/>
      <c r="J114" s="14"/>
      <c r="K114" s="19"/>
      <c r="L114" s="40"/>
      <c r="M114" s="40"/>
      <c r="N114" s="40"/>
      <c r="O114" s="40"/>
      <c r="P114" s="40"/>
      <c r="Q114" s="47"/>
      <c r="R114" s="19"/>
      <c r="S114" s="34"/>
      <c r="T114" s="121" t="str">
        <f ca="1" xml:space="preserve"> IF(Y133=0,"",IF(Y133=0,"", IF(COUNTIF(Y126:Y132,MAX(Y126:Y132))&lt;=2,"",IF(COUNTIF(Y126:Y132,MAX(Y126:Y132))&gt;COUNTIF(X126:X132,"&lt;&gt;""")/2,"", INDEX(OFFSET(X126,MATCH(T113,X126:X132,0),0):X132,         MATCH(MAX(Y126:Y132),        OFFSET(Y126,MATCH(T113,X126:X132,0),0):Y132,0),1)))))</f>
        <v/>
      </c>
      <c r="U114" s="33"/>
      <c r="V114" s="37"/>
      <c r="W114" s="14"/>
      <c r="X114" s="14"/>
      <c r="Y114" s="14"/>
      <c r="Z114" s="14"/>
      <c r="AA114" s="19"/>
      <c r="AB114" s="19"/>
      <c r="AC114" s="19"/>
      <c r="AD114" s="65"/>
      <c r="AE114" s="63"/>
      <c r="AF114" s="352"/>
      <c r="AG114" s="19"/>
      <c r="AH114" s="57"/>
      <c r="AI114" s="121" t="str">
        <f ca="1" xml:space="preserve"> IF(AN133=0,"",IF(AN133=0,"", IF(COUNTIF(AN126:AN132,MAX(AN126:AN132))&lt;=2,"",IF(COUNTIF(AN126:AN132,MAX(AN126:AN132))&gt;COUNTIF(AM126:AM132,"&lt;&gt;""")/2,"", INDEX(OFFSET(AM126,MATCH(AI113,AM126:AM132,0),0):AM132,         MATCH(MAX(AN126:AN132),        OFFSET(AN126,MATCH(AI113,AM126:AM132,0),0):AN132,0),1)))))</f>
        <v/>
      </c>
      <c r="AJ114" s="58"/>
      <c r="AK114" s="121"/>
      <c r="AL114" s="14"/>
      <c r="AM114" s="14"/>
      <c r="AN114" s="14"/>
      <c r="AO114" s="14"/>
      <c r="AP114" s="19"/>
      <c r="AQ114" s="19"/>
      <c r="AR114" s="19"/>
      <c r="AS114" s="65"/>
      <c r="AT114" s="63"/>
      <c r="AU114" s="352"/>
      <c r="AV114" s="14"/>
      <c r="AW114" s="57"/>
      <c r="AX114" s="121" t="str">
        <f ca="1" xml:space="preserve"> IF(BC133=0,"",IF(BC133=0,"", IF(COUNTIF(BC126:BC132,MAX(BC126:BC132))&lt;=2,"",IF(COUNTIF(BC126:BC132,MAX(BC126:BC132))&gt;COUNTIF(BB126:BB132,"&lt;&gt;""")/2,"", INDEX(OFFSET(BB126,MATCH(AX113,BB126:BB132,0),0):BB132,         MATCH(MAX(BC126:BC132),        OFFSET(BC126,MATCH(AX113,BB126:BB132,0),0):BC132,0),1)))))</f>
        <v/>
      </c>
      <c r="AY114" s="58"/>
      <c r="AZ114" s="121"/>
      <c r="BA114" s="14"/>
      <c r="BB114" s="14"/>
      <c r="BC114" s="14"/>
      <c r="BD114" s="14"/>
      <c r="BE114" s="19"/>
      <c r="BF114" s="19"/>
      <c r="BG114" s="19"/>
      <c r="BH114" s="65"/>
      <c r="BI114" s="63"/>
      <c r="BJ114" s="352"/>
      <c r="BK114" s="19"/>
      <c r="BL114" s="57"/>
      <c r="BM114" s="121" t="str">
        <f ca="1" xml:space="preserve"> IF(BR133=0,"",IF(BR133=0,"", IF(COUNTIF(BR126:BR132,MAX(BR126:BR132))&lt;=2,"",IF(COUNTIF(BR126:BR132,MAX(BR126:BR132))&gt;COUNTIF(BQ126:BQ132,"&lt;&gt;""")/2,"", INDEX(OFFSET(BQ126,MATCH(BM113,BQ126:BQ132,0),0):BQ132,         MATCH(MAX(BR126:BR132),        OFFSET(BR126,MATCH(BM113,BQ126:BQ132,0),0):BR132,0),1)))))</f>
        <v/>
      </c>
      <c r="BN114" s="58"/>
      <c r="BO114" s="121"/>
      <c r="BP114" s="14"/>
      <c r="BQ114" s="14"/>
      <c r="BR114" s="14"/>
      <c r="BS114" s="14"/>
      <c r="BT114" s="19"/>
      <c r="BU114" s="19"/>
      <c r="BV114" s="19"/>
      <c r="BW114" s="65"/>
      <c r="BX114" s="63"/>
      <c r="BY114" s="352"/>
      <c r="BZ114" s="14"/>
      <c r="CA114" s="14"/>
      <c r="CB114" s="21"/>
      <c r="CC114" s="21"/>
      <c r="CD114" s="180"/>
      <c r="CE114" s="180"/>
      <c r="CF114" s="21"/>
      <c r="CG114" s="14"/>
      <c r="CH114" s="14"/>
      <c r="CI114" s="14"/>
      <c r="CJ114" s="14"/>
      <c r="CK114" s="14"/>
      <c r="CL114" s="14"/>
      <c r="CM114" s="14"/>
      <c r="CN114" s="14"/>
      <c r="CO114" s="129"/>
      <c r="CP114" s="29"/>
      <c r="CQ114" s="47"/>
      <c r="CR114" s="14"/>
      <c r="CS114" s="14"/>
      <c r="CT114" s="14"/>
      <c r="CU114" s="14"/>
      <c r="CV114" s="180"/>
      <c r="CW114" s="189"/>
      <c r="CX114" s="189"/>
      <c r="CY114" s="14"/>
      <c r="CZ114" s="14"/>
      <c r="DA114" s="14"/>
      <c r="DB114" s="14"/>
      <c r="DC114" s="14"/>
      <c r="DD114" s="14"/>
      <c r="DE114" s="14"/>
      <c r="DF114" s="14"/>
      <c r="DG114" s="129"/>
      <c r="DH114" s="29"/>
      <c r="DI114" s="47"/>
      <c r="DJ114" s="29"/>
      <c r="DK114" s="34"/>
      <c r="DL114" s="121" t="str">
        <f ca="1" xml:space="preserve"> IF(DQ131=0,"",IF(DQ131=0,"", IF(COUNTIF(DQ126:DQ130,MAX(DQ126:DQ130))&lt;=2,"",IF(COUNTIF(DQ126:DQ130,MAX(DQ126:DQ130))&gt;COUNTIF(DP126:DP130,"&lt;&gt;""")/2,"", INDEX(OFFSET(DP126,MATCH(DL113,DP126:DP131,0),0):DP130,         MATCH(MAX(DQ126:DQ130),        OFFSET(DQ126,MATCH(DL113,DP126:DP131,0),0):DQ130,0),1)))))</f>
        <v/>
      </c>
      <c r="DM114" s="33"/>
      <c r="DN114" s="37"/>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row>
    <row r="115" spans="1:142" x14ac:dyDescent="0.25">
      <c r="A115" s="14"/>
      <c r="B115" s="14"/>
      <c r="C115" s="14"/>
      <c r="D115" s="27"/>
      <c r="E115" s="14"/>
      <c r="F115" s="14"/>
      <c r="G115" s="14"/>
      <c r="H115" s="21"/>
      <c r="I115" s="21"/>
      <c r="J115" s="14"/>
      <c r="K115" s="19"/>
      <c r="L115" s="40"/>
      <c r="M115" s="40"/>
      <c r="N115" s="40"/>
      <c r="O115" s="40"/>
      <c r="P115" s="40"/>
      <c r="Q115" s="47"/>
      <c r="R115" s="19"/>
      <c r="S115" s="19"/>
      <c r="T115" s="19"/>
      <c r="U115" s="14"/>
      <c r="V115" s="14"/>
      <c r="W115" s="14"/>
      <c r="X115" s="14"/>
      <c r="Y115" s="14"/>
      <c r="Z115" s="14"/>
      <c r="AA115" s="19"/>
      <c r="AB115" s="19"/>
      <c r="AC115" s="19"/>
      <c r="AD115" s="65"/>
      <c r="AE115" s="63"/>
      <c r="AF115" s="352"/>
      <c r="AG115" s="19"/>
      <c r="AH115" s="19"/>
      <c r="AI115" s="19"/>
      <c r="AJ115" s="14"/>
      <c r="AK115" s="14"/>
      <c r="AL115" s="14"/>
      <c r="AM115" s="14"/>
      <c r="AN115" s="14"/>
      <c r="AO115" s="14"/>
      <c r="AP115" s="19"/>
      <c r="AQ115" s="19"/>
      <c r="AR115" s="19"/>
      <c r="AS115" s="65"/>
      <c r="AT115" s="63"/>
      <c r="AU115" s="352"/>
      <c r="AV115" s="14"/>
      <c r="AW115" s="19"/>
      <c r="AX115" s="19"/>
      <c r="AY115" s="14"/>
      <c r="AZ115" s="14"/>
      <c r="BA115" s="14"/>
      <c r="BB115" s="14"/>
      <c r="BC115" s="14"/>
      <c r="BD115" s="14"/>
      <c r="BE115" s="19"/>
      <c r="BF115" s="19"/>
      <c r="BG115" s="19"/>
      <c r="BH115" s="65"/>
      <c r="BI115" s="63"/>
      <c r="BJ115" s="352"/>
      <c r="BK115" s="19"/>
      <c r="BL115" s="19"/>
      <c r="BM115" s="19"/>
      <c r="BN115" s="14"/>
      <c r="BO115" s="14"/>
      <c r="BP115" s="14"/>
      <c r="BQ115" s="14"/>
      <c r="BR115" s="14"/>
      <c r="BS115" s="14"/>
      <c r="BT115" s="19"/>
      <c r="BU115" s="19"/>
      <c r="BV115" s="19"/>
      <c r="BW115" s="65"/>
      <c r="BX115" s="63"/>
      <c r="BY115" s="352"/>
      <c r="BZ115" s="14"/>
      <c r="CA115" s="14"/>
      <c r="CB115" s="21"/>
      <c r="CC115" s="21"/>
      <c r="CD115" s="180"/>
      <c r="CE115" s="180"/>
      <c r="CF115" s="21"/>
      <c r="CG115" s="14"/>
      <c r="CH115" s="14"/>
      <c r="CI115" s="14"/>
      <c r="CJ115" s="14"/>
      <c r="CK115" s="14"/>
      <c r="CL115" s="14"/>
      <c r="CM115" s="14"/>
      <c r="CN115" s="14"/>
      <c r="CO115" s="129"/>
      <c r="CP115" s="29"/>
      <c r="CQ115" s="47"/>
      <c r="CR115" s="14"/>
      <c r="CS115" s="14"/>
      <c r="CT115" s="14"/>
      <c r="CU115" s="14"/>
      <c r="CV115" s="180"/>
      <c r="CW115" s="189"/>
      <c r="CX115" s="189"/>
      <c r="CY115" s="14"/>
      <c r="CZ115" s="14"/>
      <c r="DA115" s="14"/>
      <c r="DB115" s="14"/>
      <c r="DC115" s="14"/>
      <c r="DD115" s="14"/>
      <c r="DE115" s="14"/>
      <c r="DF115" s="14"/>
      <c r="DG115" s="129"/>
      <c r="DH115" s="29"/>
      <c r="DI115" s="47"/>
      <c r="DJ115" s="29"/>
      <c r="DK115" s="14"/>
      <c r="DL115" s="14"/>
      <c r="DM115" s="27"/>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row>
    <row r="116" spans="1:142" x14ac:dyDescent="0.25">
      <c r="A116" s="14"/>
      <c r="B116" s="14"/>
      <c r="C116" s="14"/>
      <c r="D116" s="27"/>
      <c r="E116" s="14"/>
      <c r="F116" s="14"/>
      <c r="G116" s="14"/>
      <c r="H116" s="21"/>
      <c r="I116" s="21"/>
      <c r="J116" s="14"/>
      <c r="K116" s="19"/>
      <c r="L116" s="40"/>
      <c r="M116" s="40"/>
      <c r="N116" s="40"/>
      <c r="O116" s="40"/>
      <c r="P116" s="40"/>
      <c r="Q116" s="47"/>
      <c r="R116" s="19"/>
      <c r="S116" s="19"/>
      <c r="T116" s="19"/>
      <c r="U116" s="14"/>
      <c r="V116" s="14"/>
      <c r="W116" s="14"/>
      <c r="X116" s="14"/>
      <c r="Y116" s="14"/>
      <c r="Z116" s="14"/>
      <c r="AA116" s="19"/>
      <c r="AB116" s="19"/>
      <c r="AC116" s="19"/>
      <c r="AD116" s="65"/>
      <c r="AE116" s="63"/>
      <c r="AF116" s="352"/>
      <c r="AG116" s="19"/>
      <c r="AH116" s="19"/>
      <c r="AI116" s="19"/>
      <c r="AJ116" s="14"/>
      <c r="AK116" s="14"/>
      <c r="AL116" s="14"/>
      <c r="AM116" s="14"/>
      <c r="AN116" s="14"/>
      <c r="AO116" s="14"/>
      <c r="AP116" s="19"/>
      <c r="AQ116" s="19"/>
      <c r="AR116" s="19"/>
      <c r="AS116" s="65"/>
      <c r="AT116" s="63"/>
      <c r="AU116" s="352"/>
      <c r="AV116" s="14"/>
      <c r="AW116" s="19"/>
      <c r="AX116" s="19"/>
      <c r="AY116" s="14"/>
      <c r="AZ116" s="14"/>
      <c r="BA116" s="14"/>
      <c r="BB116" s="14"/>
      <c r="BC116" s="14"/>
      <c r="BD116" s="14"/>
      <c r="BE116" s="19"/>
      <c r="BF116" s="19"/>
      <c r="BG116" s="19"/>
      <c r="BH116" s="65"/>
      <c r="BI116" s="63"/>
      <c r="BJ116" s="352"/>
      <c r="BK116" s="19"/>
      <c r="BL116" s="19"/>
      <c r="BM116" s="19"/>
      <c r="BN116" s="14"/>
      <c r="BO116" s="14"/>
      <c r="BP116" s="14"/>
      <c r="BQ116" s="14"/>
      <c r="BR116" s="14"/>
      <c r="BS116" s="14"/>
      <c r="BT116" s="19"/>
      <c r="BU116" s="19"/>
      <c r="BV116" s="19"/>
      <c r="BW116" s="65"/>
      <c r="BX116" s="63"/>
      <c r="BY116" s="352"/>
      <c r="BZ116" s="14"/>
      <c r="CA116" s="14"/>
      <c r="CB116" s="21"/>
      <c r="CC116" s="21"/>
      <c r="CD116" s="180"/>
      <c r="CE116" s="180"/>
      <c r="CF116" s="21"/>
      <c r="CG116" s="14"/>
      <c r="CH116" s="14"/>
      <c r="CI116" s="14"/>
      <c r="CJ116" s="14"/>
      <c r="CK116" s="14"/>
      <c r="CL116" s="14"/>
      <c r="CM116" s="14"/>
      <c r="CN116" s="14"/>
      <c r="CO116" s="129"/>
      <c r="CP116" s="29"/>
      <c r="CQ116" s="47"/>
      <c r="CR116" s="14"/>
      <c r="CS116" s="14"/>
      <c r="CT116" s="14"/>
      <c r="CU116" s="14"/>
      <c r="CV116" s="180"/>
      <c r="CW116" s="189"/>
      <c r="CX116" s="189"/>
      <c r="CY116" s="14"/>
      <c r="CZ116" s="14"/>
      <c r="DA116" s="14"/>
      <c r="DB116" s="14"/>
      <c r="DC116" s="14"/>
      <c r="DD116" s="14"/>
      <c r="DE116" s="14"/>
      <c r="DF116" s="14"/>
      <c r="DG116" s="129"/>
      <c r="DH116" s="29"/>
      <c r="DI116" s="47"/>
      <c r="DJ116" s="29"/>
      <c r="DK116" s="14"/>
      <c r="DL116" s="14"/>
      <c r="DM116" s="27"/>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row>
    <row r="117" spans="1:142" ht="27.6" x14ac:dyDescent="0.25">
      <c r="A117" s="14"/>
      <c r="B117" s="14"/>
      <c r="C117" s="14"/>
      <c r="D117" s="27"/>
      <c r="E117" s="14"/>
      <c r="F117" s="14"/>
      <c r="G117" s="14"/>
      <c r="H117" s="21"/>
      <c r="I117" s="21"/>
      <c r="J117" s="14"/>
      <c r="K117" s="19"/>
      <c r="L117" s="40"/>
      <c r="M117" s="40"/>
      <c r="N117" s="40"/>
      <c r="O117" s="40"/>
      <c r="P117" s="40"/>
      <c r="Q117" s="47"/>
      <c r="R117" s="19"/>
      <c r="S117" s="19"/>
      <c r="T117" s="19"/>
      <c r="U117" s="14"/>
      <c r="V117" s="14"/>
      <c r="W117" s="14"/>
      <c r="X117" s="14"/>
      <c r="Y117" s="14"/>
      <c r="Z117" s="14"/>
      <c r="AA117" s="19"/>
      <c r="AB117" s="19"/>
      <c r="AC117" s="19"/>
      <c r="AD117" s="65"/>
      <c r="AE117" s="63"/>
      <c r="AF117" s="352"/>
      <c r="AG117" s="19"/>
      <c r="AH117" s="19"/>
      <c r="AI117" s="19"/>
      <c r="AJ117" s="14"/>
      <c r="AK117" s="14"/>
      <c r="AL117" s="14"/>
      <c r="AM117" s="14"/>
      <c r="AN117" s="14"/>
      <c r="AO117" s="14"/>
      <c r="AP117" s="19"/>
      <c r="AQ117" s="19"/>
      <c r="AR117" s="19"/>
      <c r="AS117" s="65"/>
      <c r="AT117" s="63"/>
      <c r="AU117" s="352"/>
      <c r="AV117" s="14"/>
      <c r="AW117" s="19"/>
      <c r="AX117" s="19"/>
      <c r="AY117" s="14"/>
      <c r="AZ117" s="14"/>
      <c r="BA117" s="14"/>
      <c r="BB117" s="14"/>
      <c r="BC117" s="14"/>
      <c r="BD117" s="14"/>
      <c r="BE117" s="19"/>
      <c r="BF117" s="19"/>
      <c r="BG117" s="19"/>
      <c r="BH117" s="65"/>
      <c r="BI117" s="63"/>
      <c r="BJ117" s="352"/>
      <c r="BK117" s="19"/>
      <c r="BL117" s="19"/>
      <c r="BM117" s="19"/>
      <c r="BN117" s="14"/>
      <c r="BO117" s="14"/>
      <c r="BP117" s="14"/>
      <c r="BQ117" s="14"/>
      <c r="BR117" s="14"/>
      <c r="BS117" s="14"/>
      <c r="BT117" s="19"/>
      <c r="BU117" s="19"/>
      <c r="BV117" s="19"/>
      <c r="BW117" s="65"/>
      <c r="BX117" s="63"/>
      <c r="BY117" s="352"/>
      <c r="BZ117" s="14"/>
      <c r="CA117" s="109" t="s">
        <v>14</v>
      </c>
      <c r="CB117" s="110" t="s">
        <v>164</v>
      </c>
      <c r="CC117" s="110" t="s">
        <v>149</v>
      </c>
      <c r="CD117" s="184" t="s">
        <v>150</v>
      </c>
      <c r="CE117" s="184" t="s">
        <v>151</v>
      </c>
      <c r="CF117" s="110" t="s">
        <v>152</v>
      </c>
      <c r="CG117" s="14"/>
      <c r="CH117" s="109"/>
      <c r="CI117" s="110" t="s">
        <v>5</v>
      </c>
      <c r="CJ117" s="110" t="s">
        <v>4</v>
      </c>
      <c r="CK117" s="110" t="s">
        <v>33</v>
      </c>
      <c r="CL117" s="110" t="s">
        <v>29</v>
      </c>
      <c r="CM117" s="110" t="s">
        <v>3</v>
      </c>
      <c r="CN117" s="110" t="s">
        <v>54</v>
      </c>
      <c r="CO117" s="328" t="s">
        <v>160</v>
      </c>
      <c r="CP117" s="29"/>
      <c r="CQ117" s="47"/>
      <c r="CR117" s="14"/>
      <c r="CS117" s="109" t="s">
        <v>14</v>
      </c>
      <c r="CT117" s="110" t="s">
        <v>164</v>
      </c>
      <c r="CU117" s="110" t="s">
        <v>149</v>
      </c>
      <c r="CV117" s="184" t="s">
        <v>150</v>
      </c>
      <c r="CW117" s="184" t="s">
        <v>151</v>
      </c>
      <c r="CX117" s="194" t="s">
        <v>152</v>
      </c>
      <c r="CY117" s="14"/>
      <c r="CZ117" s="109" t="s">
        <v>14</v>
      </c>
      <c r="DA117" s="110" t="s">
        <v>5</v>
      </c>
      <c r="DB117" s="110" t="s">
        <v>4</v>
      </c>
      <c r="DC117" s="110" t="s">
        <v>33</v>
      </c>
      <c r="DD117" s="110" t="s">
        <v>29</v>
      </c>
      <c r="DE117" s="110" t="s">
        <v>3</v>
      </c>
      <c r="DF117" s="110" t="s">
        <v>54</v>
      </c>
      <c r="DG117" s="328" t="s">
        <v>160</v>
      </c>
      <c r="DH117" s="29"/>
      <c r="DI117" s="47"/>
      <c r="DJ117" s="29"/>
      <c r="DK117" s="19"/>
      <c r="DL117" s="19"/>
      <c r="DM117" s="27"/>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row>
    <row r="118" spans="1:142" x14ac:dyDescent="0.25">
      <c r="A118" s="14"/>
      <c r="B118" s="14"/>
      <c r="C118" s="14"/>
      <c r="D118" s="21"/>
      <c r="E118" s="14"/>
      <c r="F118" s="14"/>
      <c r="G118" s="14"/>
      <c r="H118" s="21"/>
      <c r="I118" s="15"/>
      <c r="J118" s="13"/>
      <c r="K118" s="14"/>
      <c r="L118" s="14"/>
      <c r="M118" s="14"/>
      <c r="N118" s="14"/>
      <c r="O118" s="14"/>
      <c r="P118" s="14"/>
      <c r="Q118" s="47"/>
      <c r="R118" s="19"/>
      <c r="S118" s="19"/>
      <c r="T118" s="19"/>
      <c r="U118" s="14"/>
      <c r="V118" s="14"/>
      <c r="W118" s="14"/>
      <c r="X118" s="14"/>
      <c r="Y118" s="14"/>
      <c r="Z118" s="14"/>
      <c r="AA118" s="19"/>
      <c r="AB118" s="19"/>
      <c r="AC118" s="19"/>
      <c r="AD118" s="65"/>
      <c r="AE118" s="63"/>
      <c r="AF118" s="352"/>
      <c r="AG118" s="19"/>
      <c r="AH118" s="19"/>
      <c r="AI118" s="19"/>
      <c r="AJ118" s="14"/>
      <c r="AK118" s="14"/>
      <c r="AL118" s="14"/>
      <c r="AM118" s="14"/>
      <c r="AN118" s="14"/>
      <c r="AO118" s="14"/>
      <c r="AP118" s="19"/>
      <c r="AQ118" s="19"/>
      <c r="AR118" s="19"/>
      <c r="AS118" s="65"/>
      <c r="AT118" s="63"/>
      <c r="AU118" s="352"/>
      <c r="AV118" s="14"/>
      <c r="AW118" s="19"/>
      <c r="AX118" s="19"/>
      <c r="AY118" s="14"/>
      <c r="AZ118" s="14"/>
      <c r="BA118" s="14"/>
      <c r="BB118" s="14"/>
      <c r="BC118" s="14"/>
      <c r="BD118" s="14"/>
      <c r="BE118" s="19"/>
      <c r="BF118" s="19"/>
      <c r="BG118" s="19"/>
      <c r="BH118" s="65"/>
      <c r="BI118" s="63"/>
      <c r="BJ118" s="352"/>
      <c r="BK118" s="19"/>
      <c r="BL118" s="19"/>
      <c r="BM118" s="19"/>
      <c r="BN118" s="14"/>
      <c r="BO118" s="14"/>
      <c r="BP118" s="14"/>
      <c r="BQ118" s="14"/>
      <c r="BR118" s="14"/>
      <c r="BS118" s="14"/>
      <c r="BT118" s="19"/>
      <c r="BU118" s="19"/>
      <c r="BV118" s="19"/>
      <c r="BW118" s="65"/>
      <c r="BX118" s="63"/>
      <c r="BY118" s="352"/>
      <c r="BZ118" s="14"/>
      <c r="CA118" s="140" t="s">
        <v>701</v>
      </c>
      <c r="CB118" s="27">
        <f>COUNTIFS(S30_stakeholder_category,"PU",Response_Q177_1,"&lt;&gt;0",Response_Q173_1,"&lt;&gt;0")</f>
        <v>1</v>
      </c>
      <c r="CC118" s="37">
        <f>COUNTIFS(S30_stakeholder_category,"PU",Response_Q177_1,1,Response_Q173_1,"&lt;&gt;""0")</f>
        <v>1</v>
      </c>
      <c r="CD118" s="37">
        <f>COUNTIFS(S30_stakeholder_category,"PU",Response_Q177_1,2,Response_Q173_1,"&lt;&gt;""0")</f>
        <v>1</v>
      </c>
      <c r="CE118" s="37">
        <f>COUNTIFS(S30_stakeholder_category,"PU",Response_Q177_1,3,Response_Q173_1,"&lt;&gt;""0")</f>
        <v>0</v>
      </c>
      <c r="CF118" s="97">
        <f>IF(CB112=0,0,SUMPRODUCT(CC118:CE118,Rank_score)/$CB112)</f>
        <v>2.5</v>
      </c>
      <c r="CG118" s="14"/>
      <c r="CH118" s="140" t="s">
        <v>701</v>
      </c>
      <c r="CI118" s="27">
        <f t="shared" ref="CI118:CN118" si="67">COUNTIFS(S30_stakeholder_category,"PU",Response_Q177_1,"&lt;&gt;0",Response_Q177_2,CI$63,Response_Q173_1,"&lt;&gt;0")</f>
        <v>0</v>
      </c>
      <c r="CJ118" s="27">
        <f t="shared" si="67"/>
        <v>0</v>
      </c>
      <c r="CK118" s="27">
        <f t="shared" si="67"/>
        <v>0</v>
      </c>
      <c r="CL118" s="27">
        <f t="shared" si="67"/>
        <v>0</v>
      </c>
      <c r="CM118" s="27">
        <f t="shared" si="67"/>
        <v>1</v>
      </c>
      <c r="CN118" s="27">
        <f t="shared" si="67"/>
        <v>0</v>
      </c>
      <c r="CO118" s="141">
        <f t="shared" ref="CO118:CO124" si="68">IF(ISBLANK(CH118),"",IF(CF118=0,not_ranked,IF(SUM(CI118:CN118)=0,not_estimated,IFERROR(SUMPRODUCT(CI118:CN118,Likekihood_score)/SUM(CI118:CN118),0))))</f>
        <v>5</v>
      </c>
      <c r="CP118" s="29"/>
      <c r="CQ118" s="47"/>
      <c r="CR118" s="14"/>
      <c r="CS118" s="140" t="s">
        <v>373</v>
      </c>
      <c r="CT118" s="27">
        <f>COUNTIFS(S30_stakeholder_category,"PU",Response_Q178_1,"&lt;&gt;0",Response_Q173_1,"&lt;&gt;0")</f>
        <v>0</v>
      </c>
      <c r="CU118" s="37">
        <f>COUNTIFS(S30_stakeholder_category,"PU",Response_Q178_1,1,Response_Q173_1,"&lt;&gt;0")</f>
        <v>0</v>
      </c>
      <c r="CV118" s="37">
        <f>COUNTIFS(S30_stakeholder_category,"PU",Response_Q178_1,2,Response_Q173_1,"&lt;&gt;0")</f>
        <v>0</v>
      </c>
      <c r="CW118" s="37">
        <f>COUNTIFS(S30_stakeholder_category,"PU",Response_Q178_1,3,Response_Q173_1,"&lt;&gt;0")</f>
        <v>0</v>
      </c>
      <c r="CX118" s="37">
        <f>IF(CT112=0,0,SUMPRODUCT(CU118:CW118,Rank_score)/CT$58)</f>
        <v>0</v>
      </c>
      <c r="CY118" s="14"/>
      <c r="CZ118" s="140" t="s">
        <v>373</v>
      </c>
      <c r="DA118" s="27">
        <f t="shared" ref="DA118:DF118" si="69">COUNTIFS(S30_stakeholder_category,"PU",Response_Q178_1,"&lt;&gt;0",Response_Q178_2,DA$63,Response_Q173_1,"&lt;&gt;0")</f>
        <v>0</v>
      </c>
      <c r="DB118" s="27">
        <f t="shared" si="69"/>
        <v>0</v>
      </c>
      <c r="DC118" s="27">
        <f t="shared" si="69"/>
        <v>0</v>
      </c>
      <c r="DD118" s="27">
        <f t="shared" si="69"/>
        <v>0</v>
      </c>
      <c r="DE118" s="27">
        <f t="shared" si="69"/>
        <v>0</v>
      </c>
      <c r="DF118" s="27">
        <f t="shared" si="69"/>
        <v>0</v>
      </c>
      <c r="DG118" s="141" t="str">
        <f t="shared" ref="DG118:DG125" si="70">IF(ISBLANK(CZ118),"",IF(CX118=0,not_ranked,IF(SUM(DA118:DF118)=0,not_estimated,IFERROR(SUMPRODUCT(DA118:DF118,Likekihood_score)/SUM(DA118:DF118),0))))</f>
        <v>Factor not ranked</v>
      </c>
      <c r="DH118" s="29"/>
      <c r="DI118" s="47"/>
      <c r="DJ118" s="29"/>
      <c r="DK118" s="19"/>
      <c r="DL118" s="19"/>
      <c r="DM118" s="14"/>
      <c r="DN118" s="14"/>
      <c r="DO118" s="14"/>
      <c r="DP118" s="14"/>
      <c r="DQ118" s="14"/>
      <c r="DR118" s="13"/>
      <c r="DS118" s="13"/>
      <c r="DT118" s="14"/>
      <c r="DU118" s="14"/>
      <c r="DV118" s="14"/>
      <c r="DW118" s="14"/>
      <c r="DX118" s="14"/>
      <c r="DY118" s="14"/>
      <c r="DZ118" s="14"/>
      <c r="EA118" s="14"/>
      <c r="EB118" s="14"/>
      <c r="EC118" s="14"/>
      <c r="ED118" s="14"/>
      <c r="EE118" s="14"/>
      <c r="EF118" s="14"/>
      <c r="EG118" s="14"/>
      <c r="EH118" s="14"/>
      <c r="EI118" s="14"/>
      <c r="EJ118" s="14"/>
      <c r="EK118" s="14"/>
      <c r="EL118" s="14"/>
    </row>
    <row r="119" spans="1:142" ht="14.4" x14ac:dyDescent="0.25">
      <c r="A119" s="14"/>
      <c r="B119" s="60"/>
      <c r="C119" s="19"/>
      <c r="D119" s="59"/>
      <c r="E119" s="14"/>
      <c r="F119" s="14"/>
      <c r="G119" s="14"/>
      <c r="H119" s="21"/>
      <c r="I119" s="21"/>
      <c r="J119" s="14"/>
      <c r="K119" s="14"/>
      <c r="L119" s="14"/>
      <c r="M119" s="14"/>
      <c r="N119" s="14"/>
      <c r="O119" s="14"/>
      <c r="P119" s="14"/>
      <c r="Q119" s="47"/>
      <c r="R119" s="19"/>
      <c r="S119" s="19"/>
      <c r="T119" s="19"/>
      <c r="U119" s="14"/>
      <c r="V119" s="14"/>
      <c r="W119" s="14"/>
      <c r="X119" s="14"/>
      <c r="Y119" s="14"/>
      <c r="Z119" s="14"/>
      <c r="AA119" s="19"/>
      <c r="AB119" s="19"/>
      <c r="AC119" s="19"/>
      <c r="AD119" s="65"/>
      <c r="AE119" s="63"/>
      <c r="AF119" s="352"/>
      <c r="AG119" s="19"/>
      <c r="AH119" s="19"/>
      <c r="AI119" s="19"/>
      <c r="AJ119" s="14"/>
      <c r="AK119" s="14"/>
      <c r="AL119" s="14"/>
      <c r="AM119" s="14"/>
      <c r="AN119" s="14"/>
      <c r="AO119" s="14"/>
      <c r="AP119" s="19"/>
      <c r="AQ119" s="19"/>
      <c r="AR119" s="19"/>
      <c r="AS119" s="65"/>
      <c r="AT119" s="63"/>
      <c r="AU119" s="352"/>
      <c r="AV119" s="14"/>
      <c r="AW119" s="19"/>
      <c r="AX119" s="19"/>
      <c r="AY119" s="14"/>
      <c r="AZ119" s="14"/>
      <c r="BA119" s="14"/>
      <c r="BB119" s="14"/>
      <c r="BC119" s="14"/>
      <c r="BD119" s="14"/>
      <c r="BE119" s="19"/>
      <c r="BF119" s="19"/>
      <c r="BG119" s="19"/>
      <c r="BH119" s="65"/>
      <c r="BI119" s="63"/>
      <c r="BJ119" s="352"/>
      <c r="BK119" s="19"/>
      <c r="BL119" s="19"/>
      <c r="BM119" s="19"/>
      <c r="BN119" s="14"/>
      <c r="BO119" s="14"/>
      <c r="BP119" s="14"/>
      <c r="BQ119" s="14"/>
      <c r="BR119" s="14"/>
      <c r="BS119" s="14"/>
      <c r="BT119" s="19"/>
      <c r="BU119" s="19"/>
      <c r="BV119" s="19"/>
      <c r="BW119" s="65"/>
      <c r="BX119" s="63"/>
      <c r="BY119" s="352"/>
      <c r="BZ119" s="14"/>
      <c r="CA119" s="140" t="s">
        <v>344</v>
      </c>
      <c r="CB119" s="27">
        <f>COUNTIFS(S30_stakeholder_category,"PU",Response_Q177_3,"&lt;&gt;0",Response_Q173_1,"&lt;&gt;0")</f>
        <v>0</v>
      </c>
      <c r="CC119" s="37">
        <f>COUNTIFS(S30_stakeholder_category,"PU",Response_Q177_3,1,Response_Q173_1,"&lt;&gt;0")</f>
        <v>0</v>
      </c>
      <c r="CD119" s="37">
        <f>COUNTIFS(S30_stakeholder_category,"PU",Response_Q177_3,2,Response_Q173_1,"&lt;&gt;0")</f>
        <v>0</v>
      </c>
      <c r="CE119" s="37">
        <f>COUNTIFS(S30_stakeholder_category,"PU",Response_Q177_3,3,Response_Q173_1,"&lt;&gt;0")</f>
        <v>0</v>
      </c>
      <c r="CF119" s="97">
        <f>IF(CB112=0,0,SUMPRODUCT(CC119:CE119,Rank_score)/$CB112)</f>
        <v>0</v>
      </c>
      <c r="CG119" s="14"/>
      <c r="CH119" s="140" t="s">
        <v>344</v>
      </c>
      <c r="CI119" s="27">
        <f t="shared" ref="CI119:CN119" si="71">COUNTIFS(S30_stakeholder_category,"PU",Response_Q177_3,"&lt;&gt;0",Response_Q177_4,CI$63,Response_Q173_1,"&lt;&gt;0")</f>
        <v>0</v>
      </c>
      <c r="CJ119" s="27">
        <f t="shared" si="71"/>
        <v>0</v>
      </c>
      <c r="CK119" s="27">
        <f t="shared" si="71"/>
        <v>0</v>
      </c>
      <c r="CL119" s="27">
        <f t="shared" si="71"/>
        <v>0</v>
      </c>
      <c r="CM119" s="27">
        <f t="shared" si="71"/>
        <v>0</v>
      </c>
      <c r="CN119" s="27">
        <f t="shared" si="71"/>
        <v>0</v>
      </c>
      <c r="CO119" s="141" t="str">
        <f t="shared" si="68"/>
        <v>Factor not ranked</v>
      </c>
      <c r="CP119" s="14"/>
      <c r="CQ119" s="47"/>
      <c r="CR119" s="14"/>
      <c r="CS119" s="140" t="s">
        <v>338</v>
      </c>
      <c r="CT119" s="27">
        <f>COUNTIFS(S30_stakeholder_category,"PU",Response_Q178_3,"&lt;&gt;0",Response_Q173_1,"&lt;&gt;0")</f>
        <v>0</v>
      </c>
      <c r="CU119" s="37">
        <f>COUNTIFS(S30_stakeholder_category,"PU",Response_Q178_3,1,Response_Q173_1,"&lt;&gt;0")</f>
        <v>0</v>
      </c>
      <c r="CV119" s="37">
        <f>COUNTIFS(S30_stakeholder_category,"PU",Response_Q178_3,2,Response_Q173_1,"&lt;&gt;0")</f>
        <v>0</v>
      </c>
      <c r="CW119" s="37">
        <f>COUNTIFS(S30_stakeholder_category,"PU",Response_Q178_3,3,Response_Q173_1,"&lt;&gt;0")</f>
        <v>0</v>
      </c>
      <c r="CX119" s="37">
        <f>IF(CT112=0,0,SUMPRODUCT(CU119:CW119,Rank_score)/CT$58)</f>
        <v>0</v>
      </c>
      <c r="CY119" s="14"/>
      <c r="CZ119" s="140" t="s">
        <v>338</v>
      </c>
      <c r="DA119" s="27">
        <f t="shared" ref="DA119:DF119" si="72">COUNTIFS(S30_stakeholder_category,"PU",Response_Q178_3,"&lt;&gt;0",Response_Q178_4,DA$63,Response_Q173_1,"&lt;&gt;0")</f>
        <v>0</v>
      </c>
      <c r="DB119" s="27">
        <f t="shared" si="72"/>
        <v>0</v>
      </c>
      <c r="DC119" s="27">
        <f t="shared" si="72"/>
        <v>0</v>
      </c>
      <c r="DD119" s="27">
        <f t="shared" si="72"/>
        <v>0</v>
      </c>
      <c r="DE119" s="27">
        <f t="shared" si="72"/>
        <v>0</v>
      </c>
      <c r="DF119" s="27">
        <f t="shared" si="72"/>
        <v>0</v>
      </c>
      <c r="DG119" s="141" t="str">
        <f t="shared" si="70"/>
        <v>Factor not ranked</v>
      </c>
      <c r="DH119" s="14"/>
      <c r="DI119" s="47"/>
      <c r="DJ119" s="14"/>
      <c r="DK119" s="56"/>
      <c r="DL119" s="29"/>
      <c r="DM119" s="59"/>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row>
    <row r="120" spans="1:142" x14ac:dyDescent="0.25">
      <c r="A120" s="14"/>
      <c r="B120" s="62"/>
      <c r="C120" s="19"/>
      <c r="D120" s="59"/>
      <c r="E120" s="14"/>
      <c r="F120" s="14"/>
      <c r="G120" s="14"/>
      <c r="H120" s="21"/>
      <c r="I120" s="21"/>
      <c r="J120" s="14"/>
      <c r="K120" s="14"/>
      <c r="L120" s="14"/>
      <c r="M120" s="14"/>
      <c r="N120" s="14"/>
      <c r="O120" s="14"/>
      <c r="P120" s="14"/>
      <c r="Q120" s="47"/>
      <c r="R120" s="19"/>
      <c r="S120" s="19"/>
      <c r="T120" s="19"/>
      <c r="U120" s="14"/>
      <c r="V120" s="14"/>
      <c r="W120" s="14"/>
      <c r="X120" s="14"/>
      <c r="Y120" s="14"/>
      <c r="Z120" s="13"/>
      <c r="AA120" s="13"/>
      <c r="AB120" s="13"/>
      <c r="AC120" s="13"/>
      <c r="AD120" s="65"/>
      <c r="AE120" s="63"/>
      <c r="AF120" s="352"/>
      <c r="AG120" s="19"/>
      <c r="AH120" s="19"/>
      <c r="AI120" s="19"/>
      <c r="AJ120" s="14"/>
      <c r="AK120" s="14"/>
      <c r="AL120" s="14"/>
      <c r="AM120" s="14"/>
      <c r="AN120" s="14"/>
      <c r="AO120" s="13"/>
      <c r="AP120" s="13"/>
      <c r="AQ120" s="13"/>
      <c r="AR120" s="13"/>
      <c r="AS120" s="65"/>
      <c r="AT120" s="63"/>
      <c r="AU120" s="352"/>
      <c r="AV120" s="14"/>
      <c r="AW120" s="19"/>
      <c r="AX120" s="19"/>
      <c r="AY120" s="14"/>
      <c r="AZ120" s="14"/>
      <c r="BA120" s="14"/>
      <c r="BB120" s="14"/>
      <c r="BC120" s="14"/>
      <c r="BD120" s="13"/>
      <c r="BE120" s="13"/>
      <c r="BF120" s="13"/>
      <c r="BG120" s="13"/>
      <c r="BH120" s="65"/>
      <c r="BI120" s="63"/>
      <c r="BJ120" s="352"/>
      <c r="BK120" s="19"/>
      <c r="BL120" s="19"/>
      <c r="BM120" s="19"/>
      <c r="BN120" s="14"/>
      <c r="BO120" s="14"/>
      <c r="BP120" s="14"/>
      <c r="BQ120" s="14"/>
      <c r="BR120" s="14"/>
      <c r="BS120" s="13"/>
      <c r="BT120" s="13"/>
      <c r="BU120" s="13"/>
      <c r="BV120" s="13"/>
      <c r="BW120" s="65"/>
      <c r="BX120" s="63"/>
      <c r="BY120" s="352"/>
      <c r="BZ120" s="14"/>
      <c r="CA120" s="140" t="s">
        <v>146</v>
      </c>
      <c r="CB120" s="27">
        <f>COUNTIFS(S30_stakeholder_category,"PU",Response_Q177_5,"&lt;&gt;0",Response_Q173_1,"&lt;&gt;0")</f>
        <v>0</v>
      </c>
      <c r="CC120" s="37">
        <f>COUNTIFS(S30_stakeholder_category,"PU",Response_Q177_5,1,Response_Q173_1,"&lt;&gt;0")</f>
        <v>0</v>
      </c>
      <c r="CD120" s="37">
        <f>COUNTIFS(S30_stakeholder_category,"PU",Response_Q177_5,2,Response_Q173_1,"&lt;&gt;0")</f>
        <v>0</v>
      </c>
      <c r="CE120" s="37">
        <f>COUNTIFS(S30_stakeholder_category,"PU",Response_Q177_5,3,Response_Q173_1,"&lt;&gt;0")</f>
        <v>0</v>
      </c>
      <c r="CF120" s="97">
        <f>IF(CB112=0,0,SUMPRODUCT(CC120:CE120,Rank_score)/$CB112)</f>
        <v>0</v>
      </c>
      <c r="CG120" s="14"/>
      <c r="CH120" s="140" t="s">
        <v>146</v>
      </c>
      <c r="CI120" s="27">
        <f t="shared" ref="CI120:CN120" si="73">COUNTIFS(S30_stakeholder_category,"PU",Response_Q177_5,"&lt;&gt;0",Response_Q177_6,CI$63,Response_Q173_1,"&lt;&gt;0")</f>
        <v>0</v>
      </c>
      <c r="CJ120" s="27">
        <f t="shared" si="73"/>
        <v>0</v>
      </c>
      <c r="CK120" s="27">
        <f t="shared" si="73"/>
        <v>0</v>
      </c>
      <c r="CL120" s="27">
        <f t="shared" si="73"/>
        <v>0</v>
      </c>
      <c r="CM120" s="27">
        <f t="shared" si="73"/>
        <v>0</v>
      </c>
      <c r="CN120" s="27">
        <f t="shared" si="73"/>
        <v>0</v>
      </c>
      <c r="CO120" s="141" t="str">
        <f t="shared" si="68"/>
        <v>Factor not ranked</v>
      </c>
      <c r="CP120" s="14"/>
      <c r="CQ120" s="47"/>
      <c r="CR120" s="14"/>
      <c r="CS120" s="106" t="s">
        <v>339</v>
      </c>
      <c r="CT120" s="27">
        <f>COUNTIFS(S30_stakeholder_category,"PU",Response_Q178_5,"&lt;&gt;0",Response_Q173_1,"&lt;&gt;0")</f>
        <v>0</v>
      </c>
      <c r="CU120" s="37">
        <f>COUNTIFS(S30_stakeholder_category,"PU",Response_Q178_5,1,Response_Q173_1,"&lt;&gt;0")</f>
        <v>0</v>
      </c>
      <c r="CV120" s="37">
        <f>COUNTIFS(S30_stakeholder_category,"PU",Response_Q178_5,2,Response_Q173_1,"&lt;&gt;0")</f>
        <v>0</v>
      </c>
      <c r="CW120" s="37">
        <f>COUNTIFS(S30_stakeholder_category,"PU",Response_Q178_5,3,Response_Q173_1,"&lt;&gt;0")</f>
        <v>0</v>
      </c>
      <c r="CX120" s="37">
        <f>IF(CT112=0,0,SUMPRODUCT(CU120:CW120,Rank_score)/CT$58)</f>
        <v>0</v>
      </c>
      <c r="CY120" s="14"/>
      <c r="CZ120" s="106" t="s">
        <v>339</v>
      </c>
      <c r="DA120" s="27">
        <f t="shared" ref="DA120:DF120" si="74">COUNTIFS(S30_stakeholder_category,"PU",Response_Q178_5,"&lt;&gt;0",Response_Q178_6,DA$63,Response_Q173_1,"&lt;&gt;0")</f>
        <v>0</v>
      </c>
      <c r="DB120" s="27">
        <f t="shared" si="74"/>
        <v>0</v>
      </c>
      <c r="DC120" s="27">
        <f t="shared" si="74"/>
        <v>0</v>
      </c>
      <c r="DD120" s="27">
        <f t="shared" si="74"/>
        <v>0</v>
      </c>
      <c r="DE120" s="27">
        <f t="shared" si="74"/>
        <v>0</v>
      </c>
      <c r="DF120" s="27">
        <f t="shared" si="74"/>
        <v>0</v>
      </c>
      <c r="DG120" s="141" t="str">
        <f t="shared" si="70"/>
        <v>Factor not ranked</v>
      </c>
      <c r="DH120" s="14"/>
      <c r="DI120" s="47"/>
      <c r="DJ120" s="14"/>
      <c r="DK120" s="56"/>
      <c r="DL120" s="19"/>
      <c r="DM120" s="59"/>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row>
    <row r="121" spans="1:142" x14ac:dyDescent="0.25">
      <c r="A121" s="14"/>
      <c r="B121" s="62"/>
      <c r="C121" s="19"/>
      <c r="D121" s="59"/>
      <c r="E121" s="14"/>
      <c r="F121" s="14"/>
      <c r="G121" s="14"/>
      <c r="H121" s="21"/>
      <c r="I121" s="21"/>
      <c r="J121" s="14"/>
      <c r="K121" s="14"/>
      <c r="L121" s="14"/>
      <c r="M121" s="14"/>
      <c r="N121" s="14"/>
      <c r="O121" s="14"/>
      <c r="P121" s="14"/>
      <c r="Q121" s="47"/>
      <c r="R121" s="19"/>
      <c r="S121" s="19"/>
      <c r="T121" s="19"/>
      <c r="U121" s="19"/>
      <c r="V121" s="19"/>
      <c r="W121" s="14"/>
      <c r="X121" s="14"/>
      <c r="Y121" s="14"/>
      <c r="Z121" s="14"/>
      <c r="AA121" s="14"/>
      <c r="AB121" s="14"/>
      <c r="AC121" s="14"/>
      <c r="AD121" s="65"/>
      <c r="AE121" s="63"/>
      <c r="AF121" s="352"/>
      <c r="AG121" s="19"/>
      <c r="AH121" s="19"/>
      <c r="AI121" s="19"/>
      <c r="AJ121" s="19"/>
      <c r="AK121" s="19"/>
      <c r="AL121" s="14"/>
      <c r="AM121" s="14"/>
      <c r="AN121" s="14"/>
      <c r="AO121" s="14"/>
      <c r="AP121" s="14"/>
      <c r="AQ121" s="14"/>
      <c r="AR121" s="14"/>
      <c r="AS121" s="65"/>
      <c r="AT121" s="63"/>
      <c r="AU121" s="352"/>
      <c r="AV121" s="14"/>
      <c r="AW121" s="19"/>
      <c r="AX121" s="19"/>
      <c r="AY121" s="19"/>
      <c r="AZ121" s="19"/>
      <c r="BA121" s="14"/>
      <c r="BB121" s="14"/>
      <c r="BC121" s="14"/>
      <c r="BD121" s="14"/>
      <c r="BE121" s="14"/>
      <c r="BF121" s="14"/>
      <c r="BG121" s="14"/>
      <c r="BH121" s="65"/>
      <c r="BI121" s="63"/>
      <c r="BJ121" s="352"/>
      <c r="BK121" s="19"/>
      <c r="BL121" s="19"/>
      <c r="BM121" s="19"/>
      <c r="BN121" s="19"/>
      <c r="BO121" s="19"/>
      <c r="BP121" s="14"/>
      <c r="BQ121" s="14"/>
      <c r="BR121" s="14"/>
      <c r="BS121" s="14"/>
      <c r="BT121" s="14"/>
      <c r="BU121" s="14"/>
      <c r="BV121" s="14"/>
      <c r="BW121" s="65"/>
      <c r="BX121" s="63"/>
      <c r="BY121" s="352"/>
      <c r="BZ121" s="14"/>
      <c r="CA121" s="140" t="s">
        <v>147</v>
      </c>
      <c r="CB121" s="27">
        <f>COUNTIFS(S30_stakeholder_category,"PU",Response_Q177_7,"&lt;&gt;0",Response_Q173_1,"&lt;&gt;0")</f>
        <v>1</v>
      </c>
      <c r="CC121" s="37">
        <f>COUNTIFS(S30_stakeholder_category,"PU",Response_Q177_7,1,Response_Q173_1,"&lt;&gt;0")</f>
        <v>0</v>
      </c>
      <c r="CD121" s="37">
        <f>COUNTIFS(S30_stakeholder_category,"PU",Response_Q177_7,2,Response_Q173_1,"&lt;&gt;0")</f>
        <v>0</v>
      </c>
      <c r="CE121" s="37">
        <f>COUNTIFS(S30_stakeholder_category,"PU",Response_Q177_7,3,Response_Q173_1,"&lt;&gt;0")</f>
        <v>1</v>
      </c>
      <c r="CF121" s="97">
        <f>IF(CB112=0,0,SUMPRODUCT(CC121:CE121,Rank_score)/$CB112)</f>
        <v>0.5</v>
      </c>
      <c r="CG121" s="14"/>
      <c r="CH121" s="140" t="s">
        <v>147</v>
      </c>
      <c r="CI121" s="27">
        <f t="shared" ref="CI121:CN121" si="75">COUNTIFS(S30_stakeholder_category,"PU",Response_Q177_7,"&lt;&gt;0",Response_Q177_8,CI$63,Response_Q173_1,"&lt;&gt;0")</f>
        <v>0</v>
      </c>
      <c r="CJ121" s="27">
        <f t="shared" si="75"/>
        <v>1</v>
      </c>
      <c r="CK121" s="27">
        <f t="shared" si="75"/>
        <v>0</v>
      </c>
      <c r="CL121" s="27">
        <f t="shared" si="75"/>
        <v>0</v>
      </c>
      <c r="CM121" s="27">
        <f t="shared" si="75"/>
        <v>0</v>
      </c>
      <c r="CN121" s="27">
        <f t="shared" si="75"/>
        <v>0</v>
      </c>
      <c r="CO121" s="141">
        <f t="shared" si="68"/>
        <v>2</v>
      </c>
      <c r="CP121" s="14"/>
      <c r="CQ121" s="47"/>
      <c r="CR121" s="14"/>
      <c r="CS121" s="106" t="s">
        <v>345</v>
      </c>
      <c r="CT121" s="27">
        <f>COUNTIFS(S30_stakeholder_category,"PU",Response_Q178_7,"&lt;&gt;0",Response_Q173_1,"&lt;&gt;0")</f>
        <v>0</v>
      </c>
      <c r="CU121" s="37">
        <f>COUNTIFS(S30_stakeholder_category,"PU",Response_Q178_7,1,Response_Q173_1,"&lt;&gt;0")</f>
        <v>0</v>
      </c>
      <c r="CV121" s="37">
        <f>COUNTIFS(S30_stakeholder_category,"PU",Response_Q178_7,2,Response_Q173_1,"&lt;&gt;0")</f>
        <v>0</v>
      </c>
      <c r="CW121" s="37">
        <f>COUNTIFS(S30_stakeholder_category,"PU",Response_Q178_7,3,Response_Q173_1,"&lt;&gt;0")</f>
        <v>0</v>
      </c>
      <c r="CX121" s="37">
        <f>IF(CT112=0,0,SUMPRODUCT(CU121:CW121,Rank_score)/CT$58)</f>
        <v>0</v>
      </c>
      <c r="CY121" s="14"/>
      <c r="CZ121" s="106" t="s">
        <v>345</v>
      </c>
      <c r="DA121" s="27">
        <f t="shared" ref="DA121:DF121" si="76">COUNTIFS(S30_stakeholder_category,"PU",Response_Q178_7,"&lt;&gt;0",Response_Q178_8,DA$63,Response_Q173_1,"&lt;&gt;0")</f>
        <v>0</v>
      </c>
      <c r="DB121" s="27">
        <f t="shared" si="76"/>
        <v>0</v>
      </c>
      <c r="DC121" s="27">
        <f t="shared" si="76"/>
        <v>0</v>
      </c>
      <c r="DD121" s="27">
        <f t="shared" si="76"/>
        <v>0</v>
      </c>
      <c r="DE121" s="27">
        <f t="shared" si="76"/>
        <v>0</v>
      </c>
      <c r="DF121" s="27">
        <f t="shared" si="76"/>
        <v>0</v>
      </c>
      <c r="DG121" s="141" t="str">
        <f t="shared" si="70"/>
        <v>Factor not ranked</v>
      </c>
      <c r="DH121" s="14"/>
      <c r="DI121" s="47"/>
      <c r="DJ121" s="14"/>
      <c r="DK121" s="14"/>
      <c r="DL121" s="19"/>
      <c r="DM121" s="59"/>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row>
    <row r="122" spans="1:142" x14ac:dyDescent="0.25">
      <c r="A122" s="14"/>
      <c r="B122" s="62"/>
      <c r="C122" s="19"/>
      <c r="D122" s="59"/>
      <c r="E122" s="14"/>
      <c r="F122" s="14"/>
      <c r="G122" s="14"/>
      <c r="H122" s="21"/>
      <c r="I122" s="21"/>
      <c r="J122" s="14"/>
      <c r="K122" s="14"/>
      <c r="L122" s="14"/>
      <c r="M122" s="14"/>
      <c r="N122" s="14"/>
      <c r="O122" s="14"/>
      <c r="P122" s="14"/>
      <c r="Q122" s="47"/>
      <c r="R122" s="19"/>
      <c r="S122" s="19"/>
      <c r="T122" s="19"/>
      <c r="U122" s="59"/>
      <c r="V122" s="19"/>
      <c r="W122" s="14"/>
      <c r="X122" s="14"/>
      <c r="Y122" s="14"/>
      <c r="Z122" s="14"/>
      <c r="AA122" s="14"/>
      <c r="AB122" s="14"/>
      <c r="AC122" s="14"/>
      <c r="AD122" s="65"/>
      <c r="AE122" s="63"/>
      <c r="AF122" s="352"/>
      <c r="AG122" s="19"/>
      <c r="AH122" s="19"/>
      <c r="AI122" s="19"/>
      <c r="AJ122" s="59"/>
      <c r="AK122" s="19"/>
      <c r="AL122" s="14"/>
      <c r="AM122" s="14"/>
      <c r="AN122" s="14"/>
      <c r="AO122" s="14"/>
      <c r="AP122" s="14"/>
      <c r="AQ122" s="14"/>
      <c r="AR122" s="14"/>
      <c r="AS122" s="65"/>
      <c r="AT122" s="63"/>
      <c r="AU122" s="352"/>
      <c r="AV122" s="14"/>
      <c r="AW122" s="19"/>
      <c r="AX122" s="19"/>
      <c r="AY122" s="59"/>
      <c r="AZ122" s="19"/>
      <c r="BA122" s="14"/>
      <c r="BB122" s="14"/>
      <c r="BC122" s="14"/>
      <c r="BD122" s="14"/>
      <c r="BE122" s="14"/>
      <c r="BF122" s="14"/>
      <c r="BG122" s="14"/>
      <c r="BH122" s="65"/>
      <c r="BI122" s="63"/>
      <c r="BJ122" s="352"/>
      <c r="BK122" s="19"/>
      <c r="BL122" s="19"/>
      <c r="BM122" s="19"/>
      <c r="BN122" s="59"/>
      <c r="BO122" s="19"/>
      <c r="BP122" s="14"/>
      <c r="BQ122" s="14"/>
      <c r="BR122" s="14"/>
      <c r="BS122" s="14"/>
      <c r="BT122" s="14"/>
      <c r="BU122" s="14"/>
      <c r="BV122" s="14"/>
      <c r="BW122" s="65"/>
      <c r="BX122" s="63"/>
      <c r="BY122" s="352"/>
      <c r="BZ122" s="14"/>
      <c r="CA122" s="140" t="s">
        <v>341</v>
      </c>
      <c r="CB122" s="27">
        <f>COUNTIFS(S30_stakeholder_category,"PU",Response_Q177_9,"&lt;&gt;0",Response_Q173_1,"&lt;&gt;0")</f>
        <v>1</v>
      </c>
      <c r="CC122" s="37">
        <f>COUNTIFS(S30_stakeholder_category,"PU",Response_Q177_9,1,Response_Q173_1,"&lt;&gt;0")</f>
        <v>0</v>
      </c>
      <c r="CD122" s="37">
        <f>COUNTIFS(S30_stakeholder_category,"PU",Response_Q177_9,2,Response_Q173_1,"&lt;&gt;0")</f>
        <v>1</v>
      </c>
      <c r="CE122" s="37">
        <f>COUNTIFS(S30_stakeholder_category,"PU",Response_Q177_9,3,Response_Q173_1,"&lt;&gt;0")</f>
        <v>0</v>
      </c>
      <c r="CF122" s="97">
        <f>IF(CB112=0,0,SUMPRODUCT(CC122:CE122,Rank_score)/$CB112)</f>
        <v>1</v>
      </c>
      <c r="CG122" s="14"/>
      <c r="CH122" s="140" t="s">
        <v>341</v>
      </c>
      <c r="CI122" s="27">
        <f t="shared" ref="CI122:CN122" si="77">COUNTIFS(S30_stakeholder_category,"PU",Response_Q177_9,"&lt;&gt;0",Response_Q177_10,CI$63,Response_Q173_1,"&lt;&gt;0")</f>
        <v>0</v>
      </c>
      <c r="CJ122" s="27">
        <f t="shared" si="77"/>
        <v>0</v>
      </c>
      <c r="CK122" s="27">
        <f t="shared" si="77"/>
        <v>0</v>
      </c>
      <c r="CL122" s="27">
        <f t="shared" si="77"/>
        <v>0</v>
      </c>
      <c r="CM122" s="27">
        <f t="shared" si="77"/>
        <v>1</v>
      </c>
      <c r="CN122" s="27">
        <f t="shared" si="77"/>
        <v>0</v>
      </c>
      <c r="CO122" s="141">
        <f t="shared" si="68"/>
        <v>5</v>
      </c>
      <c r="CP122" s="14"/>
      <c r="CQ122" s="47"/>
      <c r="CR122" s="14"/>
      <c r="CS122" s="106" t="s">
        <v>561</v>
      </c>
      <c r="CT122" s="27">
        <f>COUNTIFS(S30_stakeholder_category,"PU",Response_Q178_9,"&lt;&gt;0",Response_Q173_1,"&lt;&gt;0")</f>
        <v>1</v>
      </c>
      <c r="CU122" s="37">
        <f>COUNTIFS(S30_stakeholder_category,"PU",Response_Q178_9,1,Response_Q173_1,"&lt;&gt;0")</f>
        <v>1</v>
      </c>
      <c r="CV122" s="37">
        <f>COUNTIFS(S30_stakeholder_category,"PU",Response_Q178_9,2,Response_Q173_1,"&lt;&gt;0")</f>
        <v>0</v>
      </c>
      <c r="CW122" s="37">
        <f>COUNTIFS(S30_stakeholder_category,"PU",Response_Q178_9,3,Response_Q173_1,"&lt;&gt;0")</f>
        <v>0</v>
      </c>
      <c r="CX122" s="37">
        <f>IF(CT112=0,0,SUMPRODUCT(CU122:CW122,Rank_score)/CT$58)</f>
        <v>1.5</v>
      </c>
      <c r="CY122" s="14"/>
      <c r="CZ122" s="106" t="s">
        <v>561</v>
      </c>
      <c r="DA122" s="27">
        <f t="shared" ref="DA122:DF122" si="78">COUNTIFS(S30_stakeholder_category,"PU",Response_Q178_9,"&lt;&gt;0",Response_Q178_10,DA$63,Response_Q173_1,"&lt;&gt;0")</f>
        <v>0</v>
      </c>
      <c r="DB122" s="27">
        <f t="shared" si="78"/>
        <v>0</v>
      </c>
      <c r="DC122" s="27">
        <f t="shared" si="78"/>
        <v>0</v>
      </c>
      <c r="DD122" s="27">
        <f t="shared" si="78"/>
        <v>0</v>
      </c>
      <c r="DE122" s="27">
        <f t="shared" si="78"/>
        <v>1</v>
      </c>
      <c r="DF122" s="27">
        <f t="shared" si="78"/>
        <v>0</v>
      </c>
      <c r="DG122" s="141">
        <f t="shared" si="70"/>
        <v>5</v>
      </c>
      <c r="DH122" s="14"/>
      <c r="DI122" s="47"/>
      <c r="DJ122" s="14"/>
      <c r="DK122" s="14"/>
      <c r="DL122" s="19"/>
      <c r="DM122" s="59"/>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row>
    <row r="123" spans="1:142" x14ac:dyDescent="0.25">
      <c r="A123" s="14"/>
      <c r="B123" s="62"/>
      <c r="C123" s="19"/>
      <c r="D123" s="59"/>
      <c r="E123" s="14"/>
      <c r="F123" s="14"/>
      <c r="G123" s="14"/>
      <c r="H123" s="21"/>
      <c r="I123" s="21"/>
      <c r="J123" s="14"/>
      <c r="K123" s="14"/>
      <c r="L123" s="14"/>
      <c r="M123" s="14"/>
      <c r="N123" s="14"/>
      <c r="O123" s="14"/>
      <c r="P123" s="14"/>
      <c r="Q123" s="47"/>
      <c r="R123" s="19"/>
      <c r="S123" s="19"/>
      <c r="T123" s="19"/>
      <c r="U123" s="59"/>
      <c r="V123" s="19"/>
      <c r="W123" s="14"/>
      <c r="X123" s="14"/>
      <c r="Y123" s="14"/>
      <c r="Z123" s="14"/>
      <c r="AA123" s="14"/>
      <c r="AB123" s="14"/>
      <c r="AC123" s="14"/>
      <c r="AD123" s="65"/>
      <c r="AE123" s="63"/>
      <c r="AF123" s="352"/>
      <c r="AG123" s="19"/>
      <c r="AH123" s="19"/>
      <c r="AI123" s="19"/>
      <c r="AJ123" s="59"/>
      <c r="AK123" s="19"/>
      <c r="AL123" s="14"/>
      <c r="AM123" s="14"/>
      <c r="AN123" s="14"/>
      <c r="AO123" s="14"/>
      <c r="AP123" s="14"/>
      <c r="AQ123" s="14"/>
      <c r="AR123" s="14"/>
      <c r="AS123" s="65"/>
      <c r="AT123" s="63"/>
      <c r="AU123" s="352"/>
      <c r="AV123" s="14"/>
      <c r="AW123" s="19"/>
      <c r="AX123" s="19"/>
      <c r="AY123" s="59"/>
      <c r="AZ123" s="19"/>
      <c r="BA123" s="14"/>
      <c r="BB123" s="14"/>
      <c r="BC123" s="14"/>
      <c r="BD123" s="14"/>
      <c r="BE123" s="14"/>
      <c r="BF123" s="14"/>
      <c r="BG123" s="14"/>
      <c r="BH123" s="65"/>
      <c r="BI123" s="63"/>
      <c r="BJ123" s="352"/>
      <c r="BK123" s="19"/>
      <c r="BL123" s="19"/>
      <c r="BM123" s="19"/>
      <c r="BN123" s="59"/>
      <c r="BO123" s="19"/>
      <c r="BP123" s="14"/>
      <c r="BQ123" s="14"/>
      <c r="BR123" s="14"/>
      <c r="BS123" s="14"/>
      <c r="BT123" s="14"/>
      <c r="BU123" s="14"/>
      <c r="BV123" s="14"/>
      <c r="BW123" s="65"/>
      <c r="BX123" s="63"/>
      <c r="BY123" s="352"/>
      <c r="BZ123" s="14"/>
      <c r="CA123" s="106" t="s">
        <v>148</v>
      </c>
      <c r="CB123" s="27">
        <f>COUNTIFS(S30_stakeholder_category,"PU",Response_Q177_11,"&lt;&gt;0",Response_Q173_1,"&lt;&gt;0")</f>
        <v>0</v>
      </c>
      <c r="CC123" s="37">
        <f>COUNTIFS(S30_stakeholder_category,"PU",Response_Q177_11,1,Response_Q173_1,"&lt;&gt;0")</f>
        <v>0</v>
      </c>
      <c r="CD123" s="37">
        <f>COUNTIFS(S30_stakeholder_category,"PU",Response_Q177_11,2,Response_Q173_1,"&lt;&gt;0")</f>
        <v>0</v>
      </c>
      <c r="CE123" s="37">
        <f>COUNTIFS(S30_stakeholder_category,"PU",Response_Q177_11,3,Response_Q173_1,"&lt;&gt;0")</f>
        <v>0</v>
      </c>
      <c r="CF123" s="97">
        <f>IF(CB112=0,0,SUMPRODUCT(CC123:CE123,Rank_score)/$CB112)</f>
        <v>0</v>
      </c>
      <c r="CG123" s="43"/>
      <c r="CH123" s="106" t="s">
        <v>148</v>
      </c>
      <c r="CI123" s="27">
        <f t="shared" ref="CI123:CN123" si="79">COUNTIFS(S30_stakeholder_category,"PU",Response_Q177_11,"&lt;&gt;0",Response_Q177_12,CI$63,Response_Q173_1,"&lt;&gt;0")</f>
        <v>0</v>
      </c>
      <c r="CJ123" s="27">
        <f t="shared" si="79"/>
        <v>0</v>
      </c>
      <c r="CK123" s="27">
        <f t="shared" si="79"/>
        <v>0</v>
      </c>
      <c r="CL123" s="27">
        <f t="shared" si="79"/>
        <v>0</v>
      </c>
      <c r="CM123" s="27">
        <f t="shared" si="79"/>
        <v>0</v>
      </c>
      <c r="CN123" s="27">
        <f t="shared" si="79"/>
        <v>0</v>
      </c>
      <c r="CO123" s="141" t="str">
        <f t="shared" si="68"/>
        <v>Factor not ranked</v>
      </c>
      <c r="CP123" s="14"/>
      <c r="CQ123" s="47"/>
      <c r="CR123" s="14"/>
      <c r="CS123" s="106" t="s">
        <v>49</v>
      </c>
      <c r="CT123" s="27">
        <f>COUNTIFS(S30_stakeholder_category,"PU",Response_Q178_11,"&lt;&gt;0",Response_Q173_1,"&lt;&gt;0")</f>
        <v>1</v>
      </c>
      <c r="CU123" s="37">
        <f>COUNTIFS(S30_stakeholder_category,"PU",Response_Q178_11,1,Response_Q173_1,"&lt;&gt;0")</f>
        <v>1</v>
      </c>
      <c r="CV123" s="37">
        <f>COUNTIFS(S30_stakeholder_category,"PU",Response_Q178_11,2,Response_Q173_1,"&lt;&gt;0")</f>
        <v>0</v>
      </c>
      <c r="CW123" s="37">
        <f>COUNTIFS(S30_stakeholder_category,"PU",Response_Q178_11,3,Response_Q173_1,"&lt;&gt;0")</f>
        <v>0</v>
      </c>
      <c r="CX123" s="37">
        <f>IF(CT112=0,0,SUMPRODUCT(CU123:CW123,Rank_score)/CT$58)</f>
        <v>1.5</v>
      </c>
      <c r="CY123" s="43"/>
      <c r="CZ123" s="106" t="s">
        <v>49</v>
      </c>
      <c r="DA123" s="27">
        <f t="shared" ref="DA123:DF123" si="80">COUNTIFS(S30_stakeholder_category,"PU",Response_Q178_11,"&lt;&gt;0",Response_Q178_12,DA$63,Response_Q173_1,"&lt;&gt;0")</f>
        <v>0</v>
      </c>
      <c r="DB123" s="27">
        <f t="shared" si="80"/>
        <v>0</v>
      </c>
      <c r="DC123" s="27">
        <f t="shared" si="80"/>
        <v>0</v>
      </c>
      <c r="DD123" s="27">
        <f t="shared" si="80"/>
        <v>0</v>
      </c>
      <c r="DE123" s="27">
        <f t="shared" si="80"/>
        <v>0</v>
      </c>
      <c r="DF123" s="27">
        <f t="shared" si="80"/>
        <v>0</v>
      </c>
      <c r="DG123" s="141" t="str">
        <f t="shared" si="70"/>
        <v>Ranked, but likelihood not estimated</v>
      </c>
      <c r="DH123" s="14"/>
      <c r="DI123" s="47"/>
      <c r="DJ123" s="14"/>
      <c r="DK123" s="14"/>
      <c r="DL123" s="19"/>
      <c r="DM123" s="59"/>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row>
    <row r="124" spans="1:142" x14ac:dyDescent="0.25">
      <c r="A124" s="14"/>
      <c r="B124" s="62"/>
      <c r="C124" s="19"/>
      <c r="D124" s="59"/>
      <c r="E124" s="14"/>
      <c r="F124" s="14"/>
      <c r="G124" s="14"/>
      <c r="H124" s="21"/>
      <c r="I124" s="21"/>
      <c r="J124" s="14"/>
      <c r="K124" s="14"/>
      <c r="L124" s="14"/>
      <c r="M124" s="14"/>
      <c r="N124" s="14"/>
      <c r="O124" s="14"/>
      <c r="P124" s="14"/>
      <c r="Q124" s="47"/>
      <c r="R124" s="19"/>
      <c r="S124" s="56"/>
      <c r="T124" s="29"/>
      <c r="U124" s="27"/>
      <c r="V124" s="19"/>
      <c r="W124" s="14"/>
      <c r="X124" s="14"/>
      <c r="Y124" s="14"/>
      <c r="Z124" s="14"/>
      <c r="AA124" s="14"/>
      <c r="AB124" s="14"/>
      <c r="AC124" s="14"/>
      <c r="AD124" s="65"/>
      <c r="AE124" s="63"/>
      <c r="AF124" s="352"/>
      <c r="AG124" s="19"/>
      <c r="AH124" s="56"/>
      <c r="AI124" s="29"/>
      <c r="AJ124" s="27"/>
      <c r="AK124" s="19"/>
      <c r="AL124" s="14"/>
      <c r="AM124" s="14"/>
      <c r="AN124" s="14"/>
      <c r="AO124" s="14"/>
      <c r="AP124" s="14"/>
      <c r="AQ124" s="14"/>
      <c r="AR124" s="14"/>
      <c r="AS124" s="65"/>
      <c r="AT124" s="63"/>
      <c r="AU124" s="352"/>
      <c r="AV124" s="14"/>
      <c r="AW124" s="56"/>
      <c r="AX124" s="29"/>
      <c r="AY124" s="27"/>
      <c r="AZ124" s="19"/>
      <c r="BA124" s="14"/>
      <c r="BB124" s="14"/>
      <c r="BC124" s="14"/>
      <c r="BD124" s="14"/>
      <c r="BE124" s="14"/>
      <c r="BF124" s="14"/>
      <c r="BG124" s="14"/>
      <c r="BH124" s="65"/>
      <c r="BI124" s="63"/>
      <c r="BJ124" s="352"/>
      <c r="BK124" s="19"/>
      <c r="BL124" s="56"/>
      <c r="BM124" s="29"/>
      <c r="BN124" s="27"/>
      <c r="BO124" s="19"/>
      <c r="BP124" s="14"/>
      <c r="BQ124" s="14"/>
      <c r="BR124" s="14"/>
      <c r="BS124" s="14"/>
      <c r="BT124" s="14"/>
      <c r="BU124" s="14"/>
      <c r="BV124" s="14"/>
      <c r="BW124" s="65"/>
      <c r="BX124" s="63"/>
      <c r="BY124" s="352"/>
      <c r="BZ124" s="14"/>
      <c r="CA124" s="107" t="s">
        <v>49</v>
      </c>
      <c r="CB124" s="27">
        <f>COUNTIFS(S30_stakeholder_category,"PU",Response_Q177_13,"&lt;&gt;0",Response_Q173_1,"&lt;&gt;0")</f>
        <v>0</v>
      </c>
      <c r="CC124" s="37">
        <f>COUNTIFS(S30_stakeholder_category,"PU",Response_Q177_13,1,Response_Q173_1,"&lt;&gt;0")</f>
        <v>0</v>
      </c>
      <c r="CD124" s="37">
        <f>COUNTIFS(S30_stakeholder_category,"PU",Response_Q177_13,2,Response_Q173_1,"&lt;&gt;0")</f>
        <v>0</v>
      </c>
      <c r="CE124" s="37">
        <f>COUNTIFS(S30_stakeholder_category,"PU",Response_Q177_13,3,Response_Q173_1,"&lt;&gt;0")</f>
        <v>0</v>
      </c>
      <c r="CF124" s="97">
        <f>IF(CB112=0,0,SUMPRODUCT(CC124:CE124,Rank_score)/$CB112)</f>
        <v>0</v>
      </c>
      <c r="CG124" s="29"/>
      <c r="CH124" s="107" t="s">
        <v>49</v>
      </c>
      <c r="CI124" s="27">
        <f t="shared" ref="CI124:CN124" si="81">COUNTIFS(S30_stakeholder_category,"PU",Response_Q177_13,"&lt;&gt;0",Response_Q177_14,CI$63,Response_Q173_1,"&lt;&gt;0")</f>
        <v>0</v>
      </c>
      <c r="CJ124" s="27">
        <f t="shared" si="81"/>
        <v>0</v>
      </c>
      <c r="CK124" s="27">
        <f t="shared" si="81"/>
        <v>0</v>
      </c>
      <c r="CL124" s="27">
        <f t="shared" si="81"/>
        <v>0</v>
      </c>
      <c r="CM124" s="27">
        <f t="shared" si="81"/>
        <v>0</v>
      </c>
      <c r="CN124" s="27">
        <f t="shared" si="81"/>
        <v>0</v>
      </c>
      <c r="CO124" s="141" t="str">
        <f t="shared" si="68"/>
        <v>Factor not ranked</v>
      </c>
      <c r="CP124" s="14"/>
      <c r="CQ124" s="47"/>
      <c r="CR124" s="14"/>
      <c r="CS124" s="107"/>
      <c r="CT124" s="27"/>
      <c r="CU124" s="37"/>
      <c r="CV124" s="37"/>
      <c r="CW124" s="37"/>
      <c r="CX124" s="37"/>
      <c r="CY124" s="29"/>
      <c r="CZ124" s="106"/>
      <c r="DA124" s="27"/>
      <c r="DB124" s="27"/>
      <c r="DC124" s="27"/>
      <c r="DD124" s="27"/>
      <c r="DE124" s="27"/>
      <c r="DF124" s="27"/>
      <c r="DG124" s="141" t="str">
        <f t="shared" si="70"/>
        <v/>
      </c>
      <c r="DH124" s="14"/>
      <c r="DI124" s="47"/>
      <c r="DJ124" s="14"/>
      <c r="DK124" s="62"/>
      <c r="DL124" s="19"/>
      <c r="DM124" s="59"/>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row>
    <row r="125" spans="1:142" x14ac:dyDescent="0.25">
      <c r="A125" s="14"/>
      <c r="B125" s="62"/>
      <c r="C125" s="19"/>
      <c r="D125" s="59"/>
      <c r="E125" s="14"/>
      <c r="F125" s="14"/>
      <c r="G125" s="109" t="s">
        <v>14</v>
      </c>
      <c r="H125" s="110" t="s">
        <v>6</v>
      </c>
      <c r="I125" s="110" t="s">
        <v>7</v>
      </c>
      <c r="J125" s="14"/>
      <c r="K125" s="14"/>
      <c r="L125" s="14"/>
      <c r="M125" s="14"/>
      <c r="N125" s="14"/>
      <c r="O125" s="14"/>
      <c r="P125" s="14"/>
      <c r="Q125" s="47"/>
      <c r="R125" s="19"/>
      <c r="S125" s="56"/>
      <c r="T125" s="19"/>
      <c r="U125" s="27"/>
      <c r="V125" s="19"/>
      <c r="W125" s="14"/>
      <c r="X125" s="109" t="s">
        <v>14</v>
      </c>
      <c r="Y125" s="110" t="s">
        <v>6</v>
      </c>
      <c r="Z125" s="110" t="s">
        <v>7</v>
      </c>
      <c r="AA125" s="14"/>
      <c r="AB125" s="14"/>
      <c r="AC125" s="14"/>
      <c r="AD125" s="65"/>
      <c r="AE125" s="63"/>
      <c r="AF125" s="352"/>
      <c r="AG125" s="19"/>
      <c r="AH125" s="56"/>
      <c r="AI125" s="19"/>
      <c r="AJ125" s="27"/>
      <c r="AK125" s="19"/>
      <c r="AL125" s="14"/>
      <c r="AM125" s="109" t="s">
        <v>14</v>
      </c>
      <c r="AN125" s="110" t="s">
        <v>6</v>
      </c>
      <c r="AO125" s="110" t="s">
        <v>7</v>
      </c>
      <c r="AP125" s="14"/>
      <c r="AQ125" s="14"/>
      <c r="AR125" s="14"/>
      <c r="AS125" s="65"/>
      <c r="AT125" s="63"/>
      <c r="AU125" s="352"/>
      <c r="AV125" s="14"/>
      <c r="AW125" s="56"/>
      <c r="AX125" s="19"/>
      <c r="AY125" s="27"/>
      <c r="AZ125" s="19"/>
      <c r="BA125" s="14"/>
      <c r="BB125" s="109" t="s">
        <v>14</v>
      </c>
      <c r="BC125" s="110" t="s">
        <v>6</v>
      </c>
      <c r="BD125" s="110" t="s">
        <v>7</v>
      </c>
      <c r="BE125" s="14"/>
      <c r="BF125" s="14"/>
      <c r="BG125" s="14"/>
      <c r="BH125" s="65"/>
      <c r="BI125" s="63"/>
      <c r="BJ125" s="352"/>
      <c r="BK125" s="19"/>
      <c r="BL125" s="56"/>
      <c r="BM125" s="19"/>
      <c r="BN125" s="27"/>
      <c r="BO125" s="19"/>
      <c r="BP125" s="14"/>
      <c r="BQ125" s="109" t="s">
        <v>14</v>
      </c>
      <c r="BR125" s="110" t="s">
        <v>6</v>
      </c>
      <c r="BS125" s="110" t="s">
        <v>7</v>
      </c>
      <c r="BT125" s="14"/>
      <c r="BU125" s="14"/>
      <c r="BV125" s="14"/>
      <c r="BW125" s="65"/>
      <c r="BX125" s="63"/>
      <c r="BY125" s="352"/>
      <c r="BZ125" s="14"/>
      <c r="CA125" s="86"/>
      <c r="CB125" s="111"/>
      <c r="CC125" s="111"/>
      <c r="CD125" s="179"/>
      <c r="CE125" s="179"/>
      <c r="CF125" s="108"/>
      <c r="CG125" s="29"/>
      <c r="CH125" s="109"/>
      <c r="CI125" s="109"/>
      <c r="CJ125" s="109"/>
      <c r="CK125" s="109"/>
      <c r="CL125" s="109"/>
      <c r="CM125" s="109"/>
      <c r="CN125" s="109"/>
      <c r="CO125" s="329"/>
      <c r="CP125" s="14"/>
      <c r="CQ125" s="47"/>
      <c r="CR125" s="14"/>
      <c r="CS125" s="107"/>
      <c r="CT125" s="27"/>
      <c r="CU125" s="37"/>
      <c r="CV125" s="37"/>
      <c r="CW125" s="37"/>
      <c r="CX125" s="37"/>
      <c r="CY125" s="29"/>
      <c r="CZ125" s="106"/>
      <c r="DA125" s="27"/>
      <c r="DB125" s="27"/>
      <c r="DC125" s="27"/>
      <c r="DD125" s="27"/>
      <c r="DE125" s="27"/>
      <c r="DF125" s="27"/>
      <c r="DG125" s="141" t="str">
        <f t="shared" si="70"/>
        <v/>
      </c>
      <c r="DH125" s="14"/>
      <c r="DI125" s="47"/>
      <c r="DJ125" s="14"/>
      <c r="DK125" s="62"/>
      <c r="DL125" s="19"/>
      <c r="DM125" s="59"/>
      <c r="DN125" s="14"/>
      <c r="DO125" s="14"/>
      <c r="DP125" s="109" t="s">
        <v>14</v>
      </c>
      <c r="DQ125" s="110" t="s">
        <v>6</v>
      </c>
      <c r="DR125" s="110" t="s">
        <v>7</v>
      </c>
      <c r="DS125" s="14"/>
      <c r="DT125" s="14"/>
      <c r="DU125" s="14"/>
      <c r="DV125" s="14"/>
      <c r="DW125" s="14"/>
      <c r="DX125" s="14"/>
      <c r="DY125" s="14"/>
      <c r="DZ125" s="14"/>
      <c r="EA125" s="14"/>
      <c r="EB125" s="14"/>
      <c r="EC125" s="14"/>
      <c r="ED125" s="14"/>
      <c r="EE125" s="14"/>
      <c r="EF125" s="14"/>
      <c r="EG125" s="14"/>
      <c r="EH125" s="14"/>
      <c r="EI125" s="14"/>
      <c r="EJ125" s="14"/>
      <c r="EK125" s="14"/>
      <c r="EL125" s="14"/>
    </row>
    <row r="126" spans="1:142" x14ac:dyDescent="0.25">
      <c r="A126" s="14"/>
      <c r="B126" s="19"/>
      <c r="C126" s="19"/>
      <c r="D126" s="59"/>
      <c r="E126" s="14"/>
      <c r="F126" s="14"/>
      <c r="G126" s="107" t="s">
        <v>34</v>
      </c>
      <c r="H126" s="27">
        <f>COUNTIFS(S30_stakeholder_category,"PU",Response_Q173_1,G126)</f>
        <v>0</v>
      </c>
      <c r="I126" s="41">
        <f>IFERROR(H126/H$131,"")</f>
        <v>0</v>
      </c>
      <c r="J126" s="14"/>
      <c r="K126" s="14"/>
      <c r="L126" s="14"/>
      <c r="M126" s="14"/>
      <c r="N126" s="14"/>
      <c r="O126" s="14"/>
      <c r="P126" s="14"/>
      <c r="Q126" s="47"/>
      <c r="R126" s="19"/>
      <c r="S126" s="19"/>
      <c r="T126" s="19"/>
      <c r="U126" s="27"/>
      <c r="V126" s="19"/>
      <c r="W126" s="14"/>
      <c r="X126" s="107" t="s">
        <v>5</v>
      </c>
      <c r="Y126" s="27">
        <f t="shared" ref="Y126:Y132" si="82">COUNTIFS(S30_stakeholder_category,"PU",Response_Q176_1,X126)</f>
        <v>0</v>
      </c>
      <c r="Z126" s="41">
        <f t="shared" ref="Z126:Z133" si="83">IFERROR(Y126/Y$133,0)</f>
        <v>0</v>
      </c>
      <c r="AA126" s="14"/>
      <c r="AB126" s="14"/>
      <c r="AC126" s="14"/>
      <c r="AD126" s="65"/>
      <c r="AE126" s="63"/>
      <c r="AF126" s="352"/>
      <c r="AG126" s="19"/>
      <c r="AH126" s="19"/>
      <c r="AI126" s="19"/>
      <c r="AJ126" s="27"/>
      <c r="AK126" s="19"/>
      <c r="AL126" s="14"/>
      <c r="AM126" s="107" t="s">
        <v>5</v>
      </c>
      <c r="AN126" s="27">
        <f t="shared" ref="AN126:AN132" si="84">COUNTIFS(S30_stakeholder_category,"PU",Response_30a_CaseA,AM126)</f>
        <v>1</v>
      </c>
      <c r="AO126" s="41">
        <f>IFERROR(AN126/AN$133,0)</f>
        <v>0.5</v>
      </c>
      <c r="AP126" s="14"/>
      <c r="AQ126" s="14"/>
      <c r="AR126" s="14"/>
      <c r="AS126" s="65"/>
      <c r="AT126" s="63"/>
      <c r="AU126" s="352"/>
      <c r="AV126" s="14"/>
      <c r="AW126" s="19"/>
      <c r="AX126" s="19"/>
      <c r="AY126" s="27"/>
      <c r="AZ126" s="19"/>
      <c r="BA126" s="14"/>
      <c r="BB126" s="107" t="s">
        <v>5</v>
      </c>
      <c r="BC126" s="27">
        <f t="shared" ref="BC126:BC132" si="85">COUNTIFS(S30_stakeholder_category,"PU",Response_30a_CaseB,BB126)</f>
        <v>0</v>
      </c>
      <c r="BD126" s="41">
        <f>IFERROR(BC126/BC$133,0)</f>
        <v>0</v>
      </c>
      <c r="BE126" s="14"/>
      <c r="BF126" s="14"/>
      <c r="BG126" s="14"/>
      <c r="BH126" s="65"/>
      <c r="BI126" s="63"/>
      <c r="BJ126" s="352"/>
      <c r="BK126" s="19"/>
      <c r="BL126" s="19"/>
      <c r="BM126" s="19"/>
      <c r="BN126" s="27"/>
      <c r="BO126" s="19"/>
      <c r="BP126" s="14"/>
      <c r="BQ126" s="107" t="s">
        <v>5</v>
      </c>
      <c r="BR126" s="27">
        <f t="shared" ref="BR126:BR132" si="86">COUNTIFS(S30_stakeholder_category,"PU",Response_30a_CaseC,BQ126)</f>
        <v>0</v>
      </c>
      <c r="BS126" s="41">
        <f>IFERROR(BR126/BR$133,0)</f>
        <v>0</v>
      </c>
      <c r="BT126" s="14"/>
      <c r="BU126" s="14"/>
      <c r="BV126" s="14"/>
      <c r="BW126" s="65"/>
      <c r="BX126" s="63"/>
      <c r="BY126" s="352"/>
      <c r="BZ126" s="14"/>
      <c r="CA126" s="19"/>
      <c r="CB126" s="27"/>
      <c r="CC126" s="27"/>
      <c r="CD126" s="37"/>
      <c r="CE126" s="181"/>
      <c r="CF126" s="31"/>
      <c r="CG126" s="52"/>
      <c r="CH126" s="52"/>
      <c r="CI126" s="99"/>
      <c r="CJ126" s="14"/>
      <c r="CK126" s="14"/>
      <c r="CL126" s="14"/>
      <c r="CM126" s="14"/>
      <c r="CN126" s="14"/>
      <c r="CO126" s="129"/>
      <c r="CP126" s="14"/>
      <c r="CQ126" s="47"/>
      <c r="CR126" s="14"/>
      <c r="CS126" s="86"/>
      <c r="CT126" s="111"/>
      <c r="CU126" s="86"/>
      <c r="CV126" s="179"/>
      <c r="CW126" s="188"/>
      <c r="CX126" s="179"/>
      <c r="CY126" s="29"/>
      <c r="CZ126" s="109"/>
      <c r="DA126" s="109"/>
      <c r="DB126" s="109"/>
      <c r="DC126" s="109"/>
      <c r="DD126" s="109"/>
      <c r="DE126" s="109"/>
      <c r="DF126" s="109"/>
      <c r="DG126" s="329"/>
      <c r="DH126" s="14"/>
      <c r="DI126" s="47"/>
      <c r="DJ126" s="14"/>
      <c r="DK126" s="62"/>
      <c r="DL126" s="19"/>
      <c r="DM126" s="59"/>
      <c r="DN126" s="14"/>
      <c r="DO126" s="14"/>
      <c r="DP126" s="107" t="s">
        <v>34</v>
      </c>
      <c r="DQ126" s="27">
        <f>COUNTIFS(S30_stakeholder_category,"PU",Response_Q172_1,DP126,Response_Q173_1,"&lt;&gt;0")</f>
        <v>0</v>
      </c>
      <c r="DR126" s="41">
        <f>IF(DQ131=0,"",DQ126/DQ131)</f>
        <v>0</v>
      </c>
      <c r="DS126" s="14"/>
      <c r="DT126" s="14"/>
      <c r="DU126" s="14"/>
      <c r="DV126" s="14"/>
      <c r="DW126" s="14"/>
      <c r="DX126" s="14"/>
      <c r="DY126" s="14"/>
      <c r="DZ126" s="14"/>
      <c r="EA126" s="14"/>
      <c r="EB126" s="14"/>
      <c r="EC126" s="14"/>
      <c r="ED126" s="14"/>
      <c r="EE126" s="14"/>
      <c r="EF126" s="14"/>
      <c r="EG126" s="14"/>
      <c r="EH126" s="14"/>
      <c r="EI126" s="14"/>
      <c r="EJ126" s="14"/>
      <c r="EK126" s="14"/>
      <c r="EL126" s="14"/>
    </row>
    <row r="127" spans="1:142" x14ac:dyDescent="0.25">
      <c r="A127" s="14"/>
      <c r="B127" s="19"/>
      <c r="C127" s="19"/>
      <c r="D127" s="59"/>
      <c r="E127" s="14"/>
      <c r="F127" s="14"/>
      <c r="G127" s="107" t="s">
        <v>35</v>
      </c>
      <c r="H127" s="27">
        <f>COUNTIFS(S30_stakeholder_category,"PU",Response_Q173_1,G127)</f>
        <v>2</v>
      </c>
      <c r="I127" s="41">
        <f t="shared" ref="I127:I131" si="87">IFERROR(H127/H$131,"")</f>
        <v>1</v>
      </c>
      <c r="J127" s="14"/>
      <c r="K127" s="14"/>
      <c r="L127" s="14"/>
      <c r="M127" s="14"/>
      <c r="N127" s="14"/>
      <c r="O127" s="14"/>
      <c r="P127" s="14"/>
      <c r="Q127" s="47"/>
      <c r="R127" s="19"/>
      <c r="S127" s="19"/>
      <c r="T127" s="19"/>
      <c r="U127" s="27"/>
      <c r="V127" s="19"/>
      <c r="W127" s="14"/>
      <c r="X127" s="107" t="s">
        <v>4</v>
      </c>
      <c r="Y127" s="27">
        <f t="shared" si="82"/>
        <v>0</v>
      </c>
      <c r="Z127" s="41">
        <f t="shared" si="83"/>
        <v>0</v>
      </c>
      <c r="AA127" s="14"/>
      <c r="AB127" s="14"/>
      <c r="AC127" s="14"/>
      <c r="AD127" s="65"/>
      <c r="AE127" s="63"/>
      <c r="AF127" s="352"/>
      <c r="AG127" s="19"/>
      <c r="AH127" s="19"/>
      <c r="AI127" s="19"/>
      <c r="AJ127" s="27"/>
      <c r="AK127" s="19"/>
      <c r="AL127" s="14"/>
      <c r="AM127" s="107" t="s">
        <v>4</v>
      </c>
      <c r="AN127" s="27">
        <f t="shared" si="84"/>
        <v>0</v>
      </c>
      <c r="AO127" s="41">
        <f t="shared" ref="AO127:AO133" si="88">IFERROR(AN127/AN$133,0)</f>
        <v>0</v>
      </c>
      <c r="AP127" s="14"/>
      <c r="AQ127" s="14"/>
      <c r="AR127" s="14"/>
      <c r="AS127" s="65"/>
      <c r="AT127" s="63"/>
      <c r="AU127" s="352"/>
      <c r="AV127" s="14"/>
      <c r="AW127" s="19"/>
      <c r="AX127" s="19"/>
      <c r="AY127" s="27"/>
      <c r="AZ127" s="19"/>
      <c r="BA127" s="14"/>
      <c r="BB127" s="107" t="s">
        <v>4</v>
      </c>
      <c r="BC127" s="27">
        <f t="shared" si="85"/>
        <v>1</v>
      </c>
      <c r="BD127" s="41">
        <f t="shared" ref="BD127:BD133" si="89">IFERROR(BC127/BC$133,0)</f>
        <v>0.5</v>
      </c>
      <c r="BE127" s="14"/>
      <c r="BF127" s="14"/>
      <c r="BG127" s="14"/>
      <c r="BH127" s="65"/>
      <c r="BI127" s="63"/>
      <c r="BJ127" s="352"/>
      <c r="BK127" s="19"/>
      <c r="BL127" s="19"/>
      <c r="BM127" s="19"/>
      <c r="BN127" s="27"/>
      <c r="BO127" s="19"/>
      <c r="BP127" s="14"/>
      <c r="BQ127" s="107" t="s">
        <v>4</v>
      </c>
      <c r="BR127" s="27">
        <f t="shared" si="86"/>
        <v>0</v>
      </c>
      <c r="BS127" s="41">
        <f t="shared" ref="BS127:BS133" si="90">IFERROR(BR127/BR$133,0)</f>
        <v>0</v>
      </c>
      <c r="BT127" s="14"/>
      <c r="BU127" s="14"/>
      <c r="BV127" s="14"/>
      <c r="BW127" s="65"/>
      <c r="BX127" s="63"/>
      <c r="BY127" s="352"/>
      <c r="BZ127" s="14"/>
      <c r="CA127" s="19"/>
      <c r="CB127" s="27"/>
      <c r="CC127" s="27"/>
      <c r="CD127" s="37"/>
      <c r="CE127" s="181"/>
      <c r="CF127" s="31"/>
      <c r="CG127" s="52"/>
      <c r="CH127" s="52"/>
      <c r="CI127" s="99"/>
      <c r="CJ127" s="14"/>
      <c r="CK127" s="14"/>
      <c r="CL127" s="14"/>
      <c r="CM127" s="14"/>
      <c r="CN127" s="14"/>
      <c r="CO127" s="129"/>
      <c r="CP127" s="14"/>
      <c r="CQ127" s="47"/>
      <c r="CR127" s="14"/>
      <c r="CS127" s="14"/>
      <c r="CT127" s="14"/>
      <c r="CU127" s="14"/>
      <c r="CV127" s="180"/>
      <c r="CW127" s="190"/>
      <c r="CX127" s="191"/>
      <c r="CY127" s="52"/>
      <c r="CZ127" s="52"/>
      <c r="DA127" s="54"/>
      <c r="DB127" s="14"/>
      <c r="DC127" s="14"/>
      <c r="DD127" s="14"/>
      <c r="DE127" s="14"/>
      <c r="DF127" s="14"/>
      <c r="DG127" s="129"/>
      <c r="DH127" s="14"/>
      <c r="DI127" s="47"/>
      <c r="DJ127" s="14"/>
      <c r="DK127" s="62"/>
      <c r="DL127" s="19"/>
      <c r="DM127" s="59"/>
      <c r="DN127" s="14"/>
      <c r="DO127" s="14"/>
      <c r="DP127" s="107" t="s">
        <v>35</v>
      </c>
      <c r="DQ127" s="27">
        <f>COUNTIFS(S30_stakeholder_category,"PU",Response_Q172_1,DP127,Response_Q173_1,"&lt;&gt;0")</f>
        <v>1</v>
      </c>
      <c r="DR127" s="41">
        <f>IF(DQ131=0,"",DQ127/DQ131)</f>
        <v>0.5</v>
      </c>
      <c r="DS127" s="14"/>
      <c r="DT127" s="14"/>
      <c r="DU127" s="14"/>
      <c r="DV127" s="14"/>
      <c r="DW127" s="14"/>
      <c r="DX127" s="14"/>
      <c r="DY127" s="14"/>
      <c r="DZ127" s="14"/>
      <c r="EA127" s="14"/>
      <c r="EB127" s="14"/>
      <c r="EC127" s="14"/>
      <c r="ED127" s="14"/>
      <c r="EE127" s="14"/>
      <c r="EF127" s="14"/>
      <c r="EG127" s="14"/>
      <c r="EH127" s="14"/>
      <c r="EI127" s="14"/>
      <c r="EJ127" s="14"/>
      <c r="EK127" s="14"/>
      <c r="EL127" s="14"/>
    </row>
    <row r="128" spans="1:142" x14ac:dyDescent="0.25">
      <c r="A128" s="14"/>
      <c r="B128" s="56"/>
      <c r="C128" s="29"/>
      <c r="D128" s="59"/>
      <c r="E128" s="14"/>
      <c r="F128" s="14"/>
      <c r="G128" s="107" t="s">
        <v>36</v>
      </c>
      <c r="H128" s="27">
        <f>COUNTIFS(S30_stakeholder_category,"PU",Response_Q173_1,G128)</f>
        <v>0</v>
      </c>
      <c r="I128" s="41">
        <f t="shared" si="87"/>
        <v>0</v>
      </c>
      <c r="J128" s="14"/>
      <c r="K128" s="14"/>
      <c r="L128" s="14"/>
      <c r="M128" s="14"/>
      <c r="N128" s="14"/>
      <c r="O128" s="14"/>
      <c r="P128" s="14"/>
      <c r="Q128" s="47"/>
      <c r="R128" s="19"/>
      <c r="S128" s="19"/>
      <c r="T128" s="19"/>
      <c r="U128" s="27"/>
      <c r="V128" s="19"/>
      <c r="W128" s="14"/>
      <c r="X128" s="107" t="s">
        <v>33</v>
      </c>
      <c r="Y128" s="27">
        <f t="shared" si="82"/>
        <v>0</v>
      </c>
      <c r="Z128" s="41">
        <f t="shared" si="83"/>
        <v>0</v>
      </c>
      <c r="AA128" s="14"/>
      <c r="AB128" s="14"/>
      <c r="AC128" s="14"/>
      <c r="AD128" s="65"/>
      <c r="AE128" s="63"/>
      <c r="AF128" s="352"/>
      <c r="AG128" s="19"/>
      <c r="AH128" s="19"/>
      <c r="AI128" s="19"/>
      <c r="AJ128" s="27"/>
      <c r="AK128" s="19"/>
      <c r="AL128" s="14"/>
      <c r="AM128" s="107" t="s">
        <v>33</v>
      </c>
      <c r="AN128" s="27">
        <f t="shared" si="84"/>
        <v>0</v>
      </c>
      <c r="AO128" s="41">
        <f t="shared" si="88"/>
        <v>0</v>
      </c>
      <c r="AP128" s="14"/>
      <c r="AQ128" s="14"/>
      <c r="AR128" s="14"/>
      <c r="AS128" s="65"/>
      <c r="AT128" s="63"/>
      <c r="AU128" s="352"/>
      <c r="AV128" s="14"/>
      <c r="AW128" s="19"/>
      <c r="AX128" s="19"/>
      <c r="AY128" s="27"/>
      <c r="AZ128" s="19"/>
      <c r="BA128" s="14"/>
      <c r="BB128" s="107" t="s">
        <v>33</v>
      </c>
      <c r="BC128" s="27">
        <f t="shared" si="85"/>
        <v>0</v>
      </c>
      <c r="BD128" s="41">
        <f t="shared" si="89"/>
        <v>0</v>
      </c>
      <c r="BE128" s="14"/>
      <c r="BF128" s="14"/>
      <c r="BG128" s="14"/>
      <c r="BH128" s="65"/>
      <c r="BI128" s="63"/>
      <c r="BJ128" s="352"/>
      <c r="BK128" s="19"/>
      <c r="BL128" s="19"/>
      <c r="BM128" s="19"/>
      <c r="BN128" s="27"/>
      <c r="BO128" s="19"/>
      <c r="BP128" s="14"/>
      <c r="BQ128" s="107" t="s">
        <v>33</v>
      </c>
      <c r="BR128" s="27">
        <f t="shared" si="86"/>
        <v>1</v>
      </c>
      <c r="BS128" s="41">
        <f t="shared" si="90"/>
        <v>0.5</v>
      </c>
      <c r="BT128" s="14"/>
      <c r="BU128" s="14"/>
      <c r="BV128" s="14"/>
      <c r="BW128" s="65"/>
      <c r="BX128" s="63"/>
      <c r="BY128" s="352"/>
      <c r="BZ128" s="14"/>
      <c r="CA128" s="19"/>
      <c r="CB128" s="27"/>
      <c r="CC128" s="27"/>
      <c r="CD128" s="37"/>
      <c r="CE128" s="181"/>
      <c r="CF128" s="31"/>
      <c r="CG128" s="52"/>
      <c r="CH128" s="52"/>
      <c r="CI128" s="99"/>
      <c r="CJ128" s="14"/>
      <c r="CK128" s="14"/>
      <c r="CL128" s="14"/>
      <c r="CM128" s="14"/>
      <c r="CN128" s="14"/>
      <c r="CO128" s="129"/>
      <c r="CP128" s="14"/>
      <c r="CQ128" s="47"/>
      <c r="CR128" s="14"/>
      <c r="CS128" s="14"/>
      <c r="CT128" s="14"/>
      <c r="CU128" s="14"/>
      <c r="CV128" s="180"/>
      <c r="CW128" s="190"/>
      <c r="CX128" s="191"/>
      <c r="CY128" s="52"/>
      <c r="CZ128" s="52"/>
      <c r="DA128" s="54"/>
      <c r="DB128" s="14"/>
      <c r="DC128" s="14"/>
      <c r="DD128" s="14"/>
      <c r="DE128" s="14"/>
      <c r="DF128" s="14"/>
      <c r="DG128" s="129"/>
      <c r="DH128" s="14"/>
      <c r="DI128" s="47"/>
      <c r="DJ128" s="14"/>
      <c r="DK128" s="62"/>
      <c r="DL128" s="19"/>
      <c r="DM128" s="59"/>
      <c r="DN128" s="14"/>
      <c r="DO128" s="14"/>
      <c r="DP128" s="107" t="s">
        <v>36</v>
      </c>
      <c r="DQ128" s="27">
        <f>COUNTIFS(S30_stakeholder_category,"PU",Response_Q172_1,DP128,Response_Q173_1,"&lt;&gt;0")</f>
        <v>1</v>
      </c>
      <c r="DR128" s="41">
        <f>IF(DQ131=0,"",DQ128/DQ131)</f>
        <v>0.5</v>
      </c>
      <c r="DS128" s="14"/>
      <c r="DT128" s="14"/>
      <c r="DU128" s="14"/>
      <c r="DV128" s="14"/>
      <c r="DW128" s="14"/>
      <c r="DX128" s="14"/>
      <c r="DY128" s="14"/>
      <c r="DZ128" s="14"/>
      <c r="EA128" s="14"/>
      <c r="EB128" s="14"/>
      <c r="EC128" s="14"/>
      <c r="ED128" s="14"/>
      <c r="EE128" s="14"/>
      <c r="EF128" s="14"/>
      <c r="EG128" s="14"/>
      <c r="EH128" s="14"/>
      <c r="EI128" s="14"/>
      <c r="EJ128" s="14"/>
      <c r="EK128" s="14"/>
      <c r="EL128" s="14"/>
    </row>
    <row r="129" spans="1:142" x14ac:dyDescent="0.25">
      <c r="A129" s="14"/>
      <c r="B129" s="56"/>
      <c r="C129" s="19"/>
      <c r="D129" s="59"/>
      <c r="E129" s="14"/>
      <c r="F129" s="14"/>
      <c r="G129" s="107" t="s">
        <v>38</v>
      </c>
      <c r="H129" s="27">
        <f>COUNTIFS(S30_stakeholder_category,"PU",Response_Q173_1,G129)</f>
        <v>0</v>
      </c>
      <c r="I129" s="41">
        <f t="shared" si="87"/>
        <v>0</v>
      </c>
      <c r="J129" s="14"/>
      <c r="K129" s="14"/>
      <c r="L129" s="14"/>
      <c r="M129" s="14"/>
      <c r="N129" s="14"/>
      <c r="O129" s="14"/>
      <c r="P129" s="14"/>
      <c r="Q129" s="47"/>
      <c r="R129" s="19"/>
      <c r="S129" s="19"/>
      <c r="T129" s="19"/>
      <c r="U129" s="27"/>
      <c r="V129" s="19"/>
      <c r="W129" s="14"/>
      <c r="X129" s="107" t="s">
        <v>29</v>
      </c>
      <c r="Y129" s="27">
        <f t="shared" si="82"/>
        <v>0</v>
      </c>
      <c r="Z129" s="41">
        <f t="shared" si="83"/>
        <v>0</v>
      </c>
      <c r="AA129" s="14"/>
      <c r="AB129" s="14"/>
      <c r="AC129" s="14"/>
      <c r="AD129" s="65"/>
      <c r="AE129" s="63"/>
      <c r="AF129" s="352"/>
      <c r="AG129" s="19"/>
      <c r="AH129" s="19"/>
      <c r="AI129" s="19"/>
      <c r="AJ129" s="27"/>
      <c r="AK129" s="19"/>
      <c r="AL129" s="14"/>
      <c r="AM129" s="107" t="s">
        <v>29</v>
      </c>
      <c r="AN129" s="27">
        <f t="shared" si="84"/>
        <v>0</v>
      </c>
      <c r="AO129" s="41">
        <f t="shared" si="88"/>
        <v>0</v>
      </c>
      <c r="AP129" s="14"/>
      <c r="AQ129" s="14"/>
      <c r="AR129" s="14"/>
      <c r="AS129" s="65"/>
      <c r="AT129" s="63"/>
      <c r="AU129" s="352"/>
      <c r="AV129" s="14"/>
      <c r="AW129" s="19"/>
      <c r="AX129" s="19"/>
      <c r="AY129" s="27"/>
      <c r="AZ129" s="19"/>
      <c r="BA129" s="14"/>
      <c r="BB129" s="107" t="s">
        <v>29</v>
      </c>
      <c r="BC129" s="27">
        <f t="shared" si="85"/>
        <v>0</v>
      </c>
      <c r="BD129" s="41">
        <f t="shared" si="89"/>
        <v>0</v>
      </c>
      <c r="BE129" s="14"/>
      <c r="BF129" s="14"/>
      <c r="BG129" s="14"/>
      <c r="BH129" s="65"/>
      <c r="BI129" s="63"/>
      <c r="BJ129" s="352"/>
      <c r="BK129" s="19"/>
      <c r="BL129" s="19"/>
      <c r="BM129" s="19"/>
      <c r="BN129" s="27"/>
      <c r="BO129" s="19"/>
      <c r="BP129" s="14"/>
      <c r="BQ129" s="107" t="s">
        <v>29</v>
      </c>
      <c r="BR129" s="27">
        <f t="shared" si="86"/>
        <v>0</v>
      </c>
      <c r="BS129" s="41">
        <f t="shared" si="90"/>
        <v>0</v>
      </c>
      <c r="BT129" s="14"/>
      <c r="BU129" s="14"/>
      <c r="BV129" s="14"/>
      <c r="BW129" s="65"/>
      <c r="BX129" s="63"/>
      <c r="BY129" s="352"/>
      <c r="BZ129" s="14"/>
      <c r="CA129" s="19"/>
      <c r="CB129" s="27"/>
      <c r="CC129" s="27"/>
      <c r="CD129" s="37"/>
      <c r="CE129" s="181"/>
      <c r="CF129" s="31"/>
      <c r="CG129" s="52"/>
      <c r="CH129" s="52"/>
      <c r="CI129" s="99"/>
      <c r="CJ129" s="14"/>
      <c r="CK129" s="14"/>
      <c r="CL129" s="14"/>
      <c r="CM129" s="14"/>
      <c r="CN129" s="14"/>
      <c r="CO129" s="129"/>
      <c r="CP129" s="14"/>
      <c r="CQ129" s="47"/>
      <c r="CR129" s="14"/>
      <c r="CS129" s="14"/>
      <c r="CT129" s="14"/>
      <c r="CU129" s="14"/>
      <c r="CV129" s="180"/>
      <c r="CW129" s="190"/>
      <c r="CX129" s="191"/>
      <c r="CY129" s="52"/>
      <c r="CZ129" s="52"/>
      <c r="DA129" s="54"/>
      <c r="DB129" s="14"/>
      <c r="DC129" s="14"/>
      <c r="DD129" s="14"/>
      <c r="DE129" s="14"/>
      <c r="DF129" s="14"/>
      <c r="DG129" s="129"/>
      <c r="DH129" s="14"/>
      <c r="DI129" s="47"/>
      <c r="DJ129" s="14"/>
      <c r="DK129" s="62"/>
      <c r="DL129" s="19"/>
      <c r="DM129" s="59"/>
      <c r="DN129" s="14"/>
      <c r="DO129" s="14"/>
      <c r="DP129" s="107" t="s">
        <v>38</v>
      </c>
      <c r="DQ129" s="27">
        <f>COUNTIFS(S30_stakeholder_category,"PU",Response_Q172_1,DP129,Response_Q173_1,"&lt;&gt;0")</f>
        <v>0</v>
      </c>
      <c r="DR129" s="41">
        <f>IF(DQ131=0,"",DQ129/DQ131)</f>
        <v>0</v>
      </c>
      <c r="DS129" s="14"/>
      <c r="DT129" s="14"/>
      <c r="DU129" s="14"/>
      <c r="DV129" s="14"/>
      <c r="DW129" s="14"/>
      <c r="DX129" s="14"/>
      <c r="DY129" s="14"/>
      <c r="DZ129" s="14"/>
      <c r="EA129" s="14"/>
      <c r="EB129" s="14"/>
      <c r="EC129" s="14"/>
      <c r="ED129" s="14"/>
      <c r="EE129" s="14"/>
      <c r="EF129" s="14"/>
      <c r="EG129" s="14"/>
      <c r="EH129" s="14"/>
      <c r="EI129" s="14"/>
      <c r="EJ129" s="14"/>
      <c r="EK129" s="14"/>
      <c r="EL129" s="14"/>
    </row>
    <row r="130" spans="1:142" ht="14.4" x14ac:dyDescent="0.25">
      <c r="A130" s="14"/>
      <c r="B130" s="14"/>
      <c r="C130" s="19"/>
      <c r="D130" s="15"/>
      <c r="E130" s="14"/>
      <c r="F130" s="14"/>
      <c r="G130" s="107" t="s">
        <v>39</v>
      </c>
      <c r="H130" s="27">
        <f>COUNTIFS(S30_stakeholder_category,"PU",Response_Q173_1,G130)</f>
        <v>0</v>
      </c>
      <c r="I130" s="41">
        <f t="shared" si="87"/>
        <v>0</v>
      </c>
      <c r="J130" s="14"/>
      <c r="K130" s="14"/>
      <c r="L130" s="14"/>
      <c r="M130" s="14"/>
      <c r="N130" s="14"/>
      <c r="O130" s="14"/>
      <c r="P130" s="14"/>
      <c r="Q130" s="47"/>
      <c r="R130" s="19"/>
      <c r="S130" s="60"/>
      <c r="T130" s="19"/>
      <c r="U130" s="59"/>
      <c r="V130" s="19"/>
      <c r="W130" s="14"/>
      <c r="X130" s="107" t="s">
        <v>3</v>
      </c>
      <c r="Y130" s="27">
        <f t="shared" si="82"/>
        <v>2</v>
      </c>
      <c r="Z130" s="41">
        <f t="shared" si="83"/>
        <v>1</v>
      </c>
      <c r="AA130" s="14"/>
      <c r="AB130" s="14"/>
      <c r="AC130" s="14"/>
      <c r="AD130" s="65"/>
      <c r="AE130" s="63"/>
      <c r="AF130" s="352"/>
      <c r="AG130" s="19"/>
      <c r="AH130" s="60"/>
      <c r="AI130" s="19"/>
      <c r="AJ130" s="59"/>
      <c r="AK130" s="19"/>
      <c r="AL130" s="14"/>
      <c r="AM130" s="107" t="s">
        <v>3</v>
      </c>
      <c r="AN130" s="27">
        <f t="shared" si="84"/>
        <v>1</v>
      </c>
      <c r="AO130" s="41">
        <f t="shared" si="88"/>
        <v>0.5</v>
      </c>
      <c r="AP130" s="14"/>
      <c r="AQ130" s="14"/>
      <c r="AR130" s="14"/>
      <c r="AS130" s="65"/>
      <c r="AT130" s="63"/>
      <c r="AU130" s="352"/>
      <c r="AV130" s="14"/>
      <c r="AW130" s="60"/>
      <c r="AX130" s="19"/>
      <c r="AY130" s="59"/>
      <c r="AZ130" s="19"/>
      <c r="BA130" s="14"/>
      <c r="BB130" s="107" t="s">
        <v>3</v>
      </c>
      <c r="BC130" s="27">
        <f t="shared" si="85"/>
        <v>1</v>
      </c>
      <c r="BD130" s="41">
        <f t="shared" si="89"/>
        <v>0.5</v>
      </c>
      <c r="BE130" s="14"/>
      <c r="BF130" s="14"/>
      <c r="BG130" s="14"/>
      <c r="BH130" s="65"/>
      <c r="BI130" s="63"/>
      <c r="BJ130" s="352"/>
      <c r="BK130" s="19"/>
      <c r="BL130" s="60"/>
      <c r="BM130" s="19"/>
      <c r="BN130" s="59"/>
      <c r="BO130" s="19"/>
      <c r="BP130" s="14"/>
      <c r="BQ130" s="107" t="s">
        <v>3</v>
      </c>
      <c r="BR130" s="27">
        <f t="shared" si="86"/>
        <v>1</v>
      </c>
      <c r="BS130" s="41">
        <f t="shared" si="90"/>
        <v>0.5</v>
      </c>
      <c r="BT130" s="14"/>
      <c r="BU130" s="14"/>
      <c r="BV130" s="14"/>
      <c r="BW130" s="65"/>
      <c r="BX130" s="63"/>
      <c r="BY130" s="352"/>
      <c r="BZ130" s="14"/>
      <c r="CA130" s="19"/>
      <c r="CB130" s="27"/>
      <c r="CC130" s="27"/>
      <c r="CD130" s="37"/>
      <c r="CE130" s="181"/>
      <c r="CF130" s="31"/>
      <c r="CG130" s="52"/>
      <c r="CH130" s="52"/>
      <c r="CI130" s="99"/>
      <c r="CJ130" s="14"/>
      <c r="CK130" s="14"/>
      <c r="CL130" s="14"/>
      <c r="CM130" s="14"/>
      <c r="CN130" s="14"/>
      <c r="CO130" s="129"/>
      <c r="CP130" s="14"/>
      <c r="CQ130" s="47"/>
      <c r="CR130" s="14"/>
      <c r="CS130" s="14"/>
      <c r="CT130" s="14"/>
      <c r="CU130" s="14"/>
      <c r="CV130" s="180"/>
      <c r="CW130" s="190"/>
      <c r="CX130" s="191"/>
      <c r="CY130" s="52"/>
      <c r="CZ130" s="52"/>
      <c r="DA130" s="54"/>
      <c r="DB130" s="14"/>
      <c r="DC130" s="14"/>
      <c r="DD130" s="14"/>
      <c r="DE130" s="14"/>
      <c r="DF130" s="14"/>
      <c r="DG130" s="129"/>
      <c r="DH130" s="14"/>
      <c r="DI130" s="47"/>
      <c r="DJ130" s="14"/>
      <c r="DK130" s="62"/>
      <c r="DL130" s="19"/>
      <c r="DM130" s="59"/>
      <c r="DN130" s="14"/>
      <c r="DO130" s="14"/>
      <c r="DP130" s="107" t="s">
        <v>39</v>
      </c>
      <c r="DQ130" s="27">
        <f>COUNTIFS(S30_stakeholder_category,"PU",Response_Q172_1,DP130,Response_Q173_1,"&lt;&gt;0")</f>
        <v>0</v>
      </c>
      <c r="DR130" s="41">
        <f>IF(DQ131=0,"",DQ130/DQ131)</f>
        <v>0</v>
      </c>
      <c r="DS130" s="14"/>
      <c r="DT130" s="14"/>
      <c r="DU130" s="14"/>
      <c r="DV130" s="14"/>
      <c r="DW130" s="14"/>
      <c r="DX130" s="14"/>
      <c r="DY130" s="14"/>
      <c r="DZ130" s="14"/>
      <c r="EA130" s="14"/>
      <c r="EB130" s="14"/>
      <c r="EC130" s="14"/>
      <c r="ED130" s="14"/>
      <c r="EE130" s="14"/>
      <c r="EF130" s="14"/>
      <c r="EG130" s="14"/>
      <c r="EH130" s="14"/>
      <c r="EI130" s="14"/>
      <c r="EJ130" s="14"/>
      <c r="EK130" s="14"/>
      <c r="EL130" s="14"/>
    </row>
    <row r="131" spans="1:142" ht="14.4" x14ac:dyDescent="0.25">
      <c r="A131" s="14"/>
      <c r="B131" s="14"/>
      <c r="C131" s="19"/>
      <c r="D131" s="15"/>
      <c r="E131" s="14"/>
      <c r="F131" s="14"/>
      <c r="G131" s="86" t="s">
        <v>145</v>
      </c>
      <c r="H131" s="111">
        <f>COUNTIFS(S30_stakeholder_category,"PU",Response_Q173_1,"&lt;&gt;0")</f>
        <v>2</v>
      </c>
      <c r="I131" s="119">
        <f t="shared" si="87"/>
        <v>1</v>
      </c>
      <c r="J131" s="14"/>
      <c r="K131" s="14"/>
      <c r="L131" s="14"/>
      <c r="M131" s="14"/>
      <c r="N131" s="14"/>
      <c r="O131" s="14"/>
      <c r="P131" s="14"/>
      <c r="Q131" s="47"/>
      <c r="R131" s="19"/>
      <c r="S131" s="61"/>
      <c r="T131" s="19"/>
      <c r="U131" s="59"/>
      <c r="V131" s="19"/>
      <c r="W131" s="14"/>
      <c r="X131" s="107" t="s">
        <v>54</v>
      </c>
      <c r="Y131" s="27">
        <f t="shared" si="82"/>
        <v>0</v>
      </c>
      <c r="Z131" s="41">
        <f t="shared" si="83"/>
        <v>0</v>
      </c>
      <c r="AA131" s="14"/>
      <c r="AB131" s="14"/>
      <c r="AC131" s="14"/>
      <c r="AD131" s="65"/>
      <c r="AE131" s="63"/>
      <c r="AF131" s="352"/>
      <c r="AG131" s="19"/>
      <c r="AH131" s="61"/>
      <c r="AI131" s="19"/>
      <c r="AJ131" s="59"/>
      <c r="AK131" s="19"/>
      <c r="AL131" s="14"/>
      <c r="AM131" s="107" t="s">
        <v>54</v>
      </c>
      <c r="AN131" s="27">
        <f t="shared" si="84"/>
        <v>0</v>
      </c>
      <c r="AO131" s="41">
        <f t="shared" si="88"/>
        <v>0</v>
      </c>
      <c r="AP131" s="14"/>
      <c r="AQ131" s="14"/>
      <c r="AR131" s="14"/>
      <c r="AS131" s="65"/>
      <c r="AT131" s="63"/>
      <c r="AU131" s="352"/>
      <c r="AV131" s="14"/>
      <c r="AW131" s="61"/>
      <c r="AX131" s="19"/>
      <c r="AY131" s="59"/>
      <c r="AZ131" s="19"/>
      <c r="BA131" s="14"/>
      <c r="BB131" s="107" t="s">
        <v>54</v>
      </c>
      <c r="BC131" s="27">
        <f t="shared" si="85"/>
        <v>0</v>
      </c>
      <c r="BD131" s="41">
        <f t="shared" si="89"/>
        <v>0</v>
      </c>
      <c r="BE131" s="14"/>
      <c r="BF131" s="14"/>
      <c r="BG131" s="14"/>
      <c r="BH131" s="65"/>
      <c r="BI131" s="63"/>
      <c r="BJ131" s="352"/>
      <c r="BK131" s="19"/>
      <c r="BL131" s="61"/>
      <c r="BM131" s="19"/>
      <c r="BN131" s="59"/>
      <c r="BO131" s="19"/>
      <c r="BP131" s="14"/>
      <c r="BQ131" s="107" t="s">
        <v>54</v>
      </c>
      <c r="BR131" s="27">
        <f t="shared" si="86"/>
        <v>0</v>
      </c>
      <c r="BS131" s="41">
        <f t="shared" si="90"/>
        <v>0</v>
      </c>
      <c r="BT131" s="14"/>
      <c r="BU131" s="14"/>
      <c r="BV131" s="14"/>
      <c r="BW131" s="65"/>
      <c r="BX131" s="63"/>
      <c r="BY131" s="352"/>
      <c r="BZ131" s="14"/>
      <c r="CA131" s="19"/>
      <c r="CB131" s="27"/>
      <c r="CC131" s="27"/>
      <c r="CD131" s="37"/>
      <c r="CE131" s="181"/>
      <c r="CF131" s="31"/>
      <c r="CG131" s="52"/>
      <c r="CH131" s="52"/>
      <c r="CI131" s="99"/>
      <c r="CJ131" s="14"/>
      <c r="CK131" s="14"/>
      <c r="CL131" s="14"/>
      <c r="CM131" s="14"/>
      <c r="CN131" s="14"/>
      <c r="CO131" s="129"/>
      <c r="CP131" s="14"/>
      <c r="CQ131" s="47"/>
      <c r="CR131" s="14"/>
      <c r="CS131" s="14"/>
      <c r="CT131" s="14"/>
      <c r="CU131" s="14"/>
      <c r="CV131" s="180"/>
      <c r="CW131" s="190"/>
      <c r="CX131" s="191"/>
      <c r="CY131" s="52"/>
      <c r="CZ131" s="52"/>
      <c r="DA131" s="54"/>
      <c r="DB131" s="14"/>
      <c r="DC131" s="14"/>
      <c r="DD131" s="14"/>
      <c r="DE131" s="14"/>
      <c r="DF131" s="14"/>
      <c r="DG131" s="129"/>
      <c r="DH131" s="14"/>
      <c r="DI131" s="47"/>
      <c r="DJ131" s="14"/>
      <c r="DK131" s="62"/>
      <c r="DL131" s="19"/>
      <c r="DM131" s="59"/>
      <c r="DN131" s="14"/>
      <c r="DO131" s="14"/>
      <c r="DP131" s="86" t="s">
        <v>145</v>
      </c>
      <c r="DQ131" s="111">
        <f>COUNTIFS(S30_stakeholder_category,"PU",Response_Q172_1,"&lt;&gt;0",Response_Q173_1,"&lt;&gt;0")</f>
        <v>2</v>
      </c>
      <c r="DR131" s="119">
        <f>IF(DQ131=0,"",DQ131/DQ131)</f>
        <v>1</v>
      </c>
      <c r="DS131" s="14"/>
      <c r="DT131" s="14"/>
      <c r="DU131" s="14"/>
      <c r="DV131" s="14"/>
      <c r="DW131" s="14"/>
      <c r="DX131" s="14"/>
      <c r="DY131" s="14"/>
      <c r="DZ131" s="14"/>
      <c r="EA131" s="14"/>
      <c r="EB131" s="14"/>
      <c r="EC131" s="14"/>
      <c r="ED131" s="14"/>
      <c r="EE131" s="14"/>
      <c r="EF131" s="14"/>
      <c r="EG131" s="14"/>
      <c r="EH131" s="14"/>
      <c r="EI131" s="14"/>
      <c r="EJ131" s="14"/>
      <c r="EK131" s="14"/>
      <c r="EL131" s="14"/>
    </row>
    <row r="132" spans="1:142" x14ac:dyDescent="0.25">
      <c r="A132" s="14"/>
      <c r="B132" s="14"/>
      <c r="C132" s="19"/>
      <c r="D132" s="15"/>
      <c r="E132" s="14"/>
      <c r="F132" s="14"/>
      <c r="G132" s="14"/>
      <c r="H132" s="21"/>
      <c r="I132" s="21"/>
      <c r="J132" s="14"/>
      <c r="K132" s="14"/>
      <c r="L132" s="14"/>
      <c r="M132" s="14"/>
      <c r="N132" s="14"/>
      <c r="O132" s="14"/>
      <c r="P132" s="14"/>
      <c r="Q132" s="47"/>
      <c r="R132" s="19"/>
      <c r="S132" s="62"/>
      <c r="T132" s="19"/>
      <c r="U132" s="59"/>
      <c r="V132" s="19"/>
      <c r="W132" s="14"/>
      <c r="X132" s="107" t="s">
        <v>39</v>
      </c>
      <c r="Y132" s="27">
        <f t="shared" si="82"/>
        <v>0</v>
      </c>
      <c r="Z132" s="41">
        <f t="shared" si="83"/>
        <v>0</v>
      </c>
      <c r="AA132" s="14"/>
      <c r="AB132" s="14"/>
      <c r="AC132" s="14"/>
      <c r="AD132" s="65"/>
      <c r="AE132" s="63"/>
      <c r="AF132" s="352"/>
      <c r="AG132" s="19"/>
      <c r="AH132" s="62"/>
      <c r="AI132" s="19"/>
      <c r="AJ132" s="59"/>
      <c r="AK132" s="19"/>
      <c r="AL132" s="14"/>
      <c r="AM132" s="107" t="s">
        <v>39</v>
      </c>
      <c r="AN132" s="27">
        <f t="shared" si="84"/>
        <v>0</v>
      </c>
      <c r="AO132" s="41">
        <f t="shared" si="88"/>
        <v>0</v>
      </c>
      <c r="AP132" s="14"/>
      <c r="AQ132" s="14"/>
      <c r="AR132" s="14"/>
      <c r="AS132" s="65"/>
      <c r="AT132" s="63"/>
      <c r="AU132" s="352"/>
      <c r="AV132" s="14"/>
      <c r="AW132" s="62"/>
      <c r="AX132" s="19"/>
      <c r="AY132" s="59"/>
      <c r="AZ132" s="19"/>
      <c r="BA132" s="14"/>
      <c r="BB132" s="107" t="s">
        <v>39</v>
      </c>
      <c r="BC132" s="27">
        <f t="shared" si="85"/>
        <v>0</v>
      </c>
      <c r="BD132" s="41">
        <f t="shared" si="89"/>
        <v>0</v>
      </c>
      <c r="BE132" s="14"/>
      <c r="BF132" s="14"/>
      <c r="BG132" s="14"/>
      <c r="BH132" s="65"/>
      <c r="BI132" s="63"/>
      <c r="BJ132" s="352"/>
      <c r="BK132" s="19"/>
      <c r="BL132" s="62"/>
      <c r="BM132" s="19"/>
      <c r="BN132" s="59"/>
      <c r="BO132" s="19"/>
      <c r="BP132" s="14"/>
      <c r="BQ132" s="107" t="s">
        <v>39</v>
      </c>
      <c r="BR132" s="27">
        <f t="shared" si="86"/>
        <v>0</v>
      </c>
      <c r="BS132" s="41">
        <f t="shared" si="90"/>
        <v>0</v>
      </c>
      <c r="BT132" s="14"/>
      <c r="BU132" s="14"/>
      <c r="BV132" s="14"/>
      <c r="BW132" s="65"/>
      <c r="BX132" s="63"/>
      <c r="BY132" s="352"/>
      <c r="BZ132" s="14"/>
      <c r="CA132" s="19"/>
      <c r="CB132" s="27"/>
      <c r="CC132" s="27"/>
      <c r="CD132" s="37"/>
      <c r="CE132" s="181"/>
      <c r="CF132" s="31"/>
      <c r="CG132" s="52"/>
      <c r="CH132" s="52"/>
      <c r="CI132" s="99"/>
      <c r="CJ132" s="14"/>
      <c r="CK132" s="14"/>
      <c r="CL132" s="14"/>
      <c r="CM132" s="14"/>
      <c r="CN132" s="14"/>
      <c r="CO132" s="129"/>
      <c r="CP132" s="14"/>
      <c r="CQ132" s="47"/>
      <c r="CR132" s="14"/>
      <c r="CS132" s="14"/>
      <c r="CT132" s="14"/>
      <c r="CU132" s="14"/>
      <c r="CV132" s="180"/>
      <c r="CW132" s="190"/>
      <c r="CX132" s="191"/>
      <c r="CY132" s="52"/>
      <c r="CZ132" s="52"/>
      <c r="DA132" s="54"/>
      <c r="DB132" s="14"/>
      <c r="DC132" s="14"/>
      <c r="DD132" s="14"/>
      <c r="DE132" s="14"/>
      <c r="DF132" s="14"/>
      <c r="DG132" s="129"/>
      <c r="DH132" s="14"/>
      <c r="DI132" s="47"/>
      <c r="DJ132" s="14"/>
      <c r="DK132" s="62"/>
      <c r="DL132" s="19"/>
      <c r="DM132" s="59"/>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row>
    <row r="133" spans="1:142" x14ac:dyDescent="0.25">
      <c r="A133" s="14"/>
      <c r="B133" s="69"/>
      <c r="C133" s="70"/>
      <c r="D133" s="15"/>
      <c r="E133" s="14"/>
      <c r="F133" s="14"/>
      <c r="G133" s="14"/>
      <c r="H133" s="21"/>
      <c r="I133" s="21"/>
      <c r="J133" s="14"/>
      <c r="K133" s="14"/>
      <c r="L133" s="14"/>
      <c r="M133" s="14"/>
      <c r="N133" s="14"/>
      <c r="O133" s="14"/>
      <c r="P133" s="14"/>
      <c r="Q133" s="47"/>
      <c r="R133" s="19"/>
      <c r="S133" s="62"/>
      <c r="T133" s="19"/>
      <c r="U133" s="59"/>
      <c r="V133" s="19"/>
      <c r="W133" s="14"/>
      <c r="X133" s="86" t="s">
        <v>145</v>
      </c>
      <c r="Y133" s="111">
        <f>COUNTIFS(S30_stakeholder_category,"PU",Response_Q176_1,"&lt;&gt;0")</f>
        <v>2</v>
      </c>
      <c r="Z133" s="119">
        <f t="shared" si="83"/>
        <v>1</v>
      </c>
      <c r="AA133" s="14"/>
      <c r="AB133" s="14"/>
      <c r="AC133" s="14"/>
      <c r="AD133" s="65"/>
      <c r="AE133" s="63"/>
      <c r="AF133" s="352"/>
      <c r="AG133" s="19"/>
      <c r="AH133" s="62"/>
      <c r="AI133" s="19"/>
      <c r="AJ133" s="59"/>
      <c r="AK133" s="19"/>
      <c r="AL133" s="14"/>
      <c r="AM133" s="86" t="s">
        <v>145</v>
      </c>
      <c r="AN133" s="111">
        <f>COUNTIFS(S30_stakeholder_category,"PU",Response_30a_CaseA,"&lt;&gt;0")</f>
        <v>2</v>
      </c>
      <c r="AO133" s="119">
        <f t="shared" si="88"/>
        <v>1</v>
      </c>
      <c r="AP133" s="14"/>
      <c r="AQ133" s="14"/>
      <c r="AR133" s="14"/>
      <c r="AS133" s="65"/>
      <c r="AT133" s="63"/>
      <c r="AU133" s="352"/>
      <c r="AV133" s="14"/>
      <c r="AW133" s="62"/>
      <c r="AX133" s="19"/>
      <c r="AY133" s="59"/>
      <c r="AZ133" s="19"/>
      <c r="BA133" s="14"/>
      <c r="BB133" s="86" t="s">
        <v>145</v>
      </c>
      <c r="BC133" s="111">
        <f>COUNTIFS(S30_stakeholder_category,"PU",Response_30a_CaseB,"&lt;&gt;0")</f>
        <v>2</v>
      </c>
      <c r="BD133" s="119">
        <f t="shared" si="89"/>
        <v>1</v>
      </c>
      <c r="BE133" s="14"/>
      <c r="BF133" s="14"/>
      <c r="BG133" s="14"/>
      <c r="BH133" s="65"/>
      <c r="BI133" s="63"/>
      <c r="BJ133" s="352"/>
      <c r="BK133" s="19"/>
      <c r="BL133" s="62"/>
      <c r="BM133" s="19"/>
      <c r="BN133" s="59"/>
      <c r="BO133" s="19"/>
      <c r="BP133" s="14"/>
      <c r="BQ133" s="86" t="s">
        <v>145</v>
      </c>
      <c r="BR133" s="111">
        <f>COUNTIFS(S30_stakeholder_category,"PU",Response_30a_CaseC,"&lt;&gt;0")</f>
        <v>2</v>
      </c>
      <c r="BS133" s="119">
        <f t="shared" si="90"/>
        <v>1</v>
      </c>
      <c r="BT133" s="14"/>
      <c r="BU133" s="14"/>
      <c r="BV133" s="14"/>
      <c r="BW133" s="65"/>
      <c r="BX133" s="63"/>
      <c r="BY133" s="352"/>
      <c r="BZ133" s="14"/>
      <c r="CA133" s="19"/>
      <c r="CB133" s="27"/>
      <c r="CC133" s="27"/>
      <c r="CD133" s="37"/>
      <c r="CE133" s="181"/>
      <c r="CF133" s="31"/>
      <c r="CG133" s="52"/>
      <c r="CH133" s="52"/>
      <c r="CI133" s="99"/>
      <c r="CJ133" s="14"/>
      <c r="CK133" s="14"/>
      <c r="CL133" s="14"/>
      <c r="CM133" s="14"/>
      <c r="CN133" s="14"/>
      <c r="CO133" s="129"/>
      <c r="CP133" s="14"/>
      <c r="CQ133" s="47"/>
      <c r="CR133" s="14"/>
      <c r="CS133" s="14"/>
      <c r="CT133" s="14"/>
      <c r="CU133" s="14"/>
      <c r="CV133" s="180"/>
      <c r="CW133" s="190"/>
      <c r="CX133" s="191"/>
      <c r="CY133" s="52"/>
      <c r="CZ133" s="52"/>
      <c r="DA133" s="54"/>
      <c r="DB133" s="14"/>
      <c r="DC133" s="14"/>
      <c r="DD133" s="14"/>
      <c r="DE133" s="14"/>
      <c r="DF133" s="14"/>
      <c r="DG133" s="129"/>
      <c r="DH133" s="14"/>
      <c r="DI133" s="47"/>
      <c r="DJ133" s="14"/>
      <c r="DK133" s="62"/>
      <c r="DL133" s="19"/>
      <c r="DM133" s="59"/>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row>
    <row r="134" spans="1:142" s="135" customFormat="1" ht="15.75" customHeight="1" x14ac:dyDescent="0.25">
      <c r="A134" s="14"/>
      <c r="B134" s="13"/>
      <c r="C134" s="13"/>
      <c r="D134" s="21"/>
      <c r="E134" s="14"/>
      <c r="F134" s="14"/>
      <c r="G134" s="14"/>
      <c r="H134" s="21"/>
      <c r="I134" s="21"/>
      <c r="J134" s="14"/>
      <c r="K134" s="14"/>
      <c r="L134" s="14"/>
      <c r="M134" s="14"/>
      <c r="N134" s="14"/>
      <c r="O134" s="14"/>
      <c r="P134" s="14"/>
      <c r="Q134" s="47"/>
      <c r="R134" s="19"/>
      <c r="S134" s="13"/>
      <c r="T134" s="13"/>
      <c r="U134" s="21"/>
      <c r="V134" s="14"/>
      <c r="W134" s="14"/>
      <c r="X134" s="14"/>
      <c r="Y134" s="14"/>
      <c r="Z134" s="14"/>
      <c r="AA134" s="14"/>
      <c r="AB134" s="14"/>
      <c r="AC134" s="14"/>
      <c r="AD134" s="65"/>
      <c r="AE134" s="63"/>
      <c r="AF134" s="352"/>
      <c r="AG134" s="19"/>
      <c r="AH134" s="13"/>
      <c r="AI134" s="13"/>
      <c r="AJ134" s="21"/>
      <c r="AK134" s="14"/>
      <c r="AL134" s="14"/>
      <c r="AM134" s="14"/>
      <c r="AN134" s="14"/>
      <c r="AO134" s="14"/>
      <c r="AP134" s="14"/>
      <c r="AQ134" s="14"/>
      <c r="AR134" s="14"/>
      <c r="AS134" s="65"/>
      <c r="AT134" s="63"/>
      <c r="AU134" s="352"/>
      <c r="AV134" s="14"/>
      <c r="AW134" s="13"/>
      <c r="AX134" s="13"/>
      <c r="AY134" s="21"/>
      <c r="AZ134" s="14"/>
      <c r="BA134" s="14"/>
      <c r="BB134" s="14"/>
      <c r="BC134" s="14"/>
      <c r="BD134" s="14"/>
      <c r="BE134" s="14"/>
      <c r="BF134" s="14"/>
      <c r="BG134" s="14"/>
      <c r="BH134" s="65"/>
      <c r="BI134" s="63"/>
      <c r="BJ134" s="352"/>
      <c r="BK134" s="19"/>
      <c r="BL134" s="13"/>
      <c r="BM134" s="13"/>
      <c r="BN134" s="21"/>
      <c r="BO134" s="14"/>
      <c r="BP134" s="14"/>
      <c r="BQ134" s="14"/>
      <c r="BR134" s="14"/>
      <c r="BS134" s="14"/>
      <c r="BT134" s="14"/>
      <c r="BU134" s="14"/>
      <c r="BV134" s="14"/>
      <c r="BW134" s="65"/>
      <c r="BX134" s="63"/>
      <c r="BY134" s="352"/>
      <c r="BZ134" s="14"/>
      <c r="CA134" s="19"/>
      <c r="CB134" s="27"/>
      <c r="CC134" s="27"/>
      <c r="CD134" s="37"/>
      <c r="CE134" s="181"/>
      <c r="CF134" s="31"/>
      <c r="CG134" s="31"/>
      <c r="CH134" s="31"/>
      <c r="CI134" s="14"/>
      <c r="CJ134" s="14"/>
      <c r="CK134" s="14"/>
      <c r="CL134" s="14"/>
      <c r="CM134" s="14"/>
      <c r="CN134" s="14"/>
      <c r="CO134" s="129"/>
      <c r="CP134" s="14"/>
      <c r="CQ134" s="47"/>
      <c r="CR134" s="14"/>
      <c r="CS134" s="14"/>
      <c r="CT134" s="14"/>
      <c r="CU134" s="14"/>
      <c r="CV134" s="180"/>
      <c r="CW134" s="190"/>
      <c r="CX134" s="191"/>
      <c r="CY134" s="31"/>
      <c r="CZ134" s="31"/>
      <c r="DA134" s="14"/>
      <c r="DB134" s="14"/>
      <c r="DC134" s="14"/>
      <c r="DD134" s="14"/>
      <c r="DE134" s="14"/>
      <c r="DF134" s="14"/>
      <c r="DG134" s="129"/>
      <c r="DH134" s="14"/>
      <c r="DI134" s="47"/>
      <c r="DJ134" s="14"/>
      <c r="DK134" s="13"/>
      <c r="DL134" s="13"/>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row>
    <row r="135" spans="1:142" s="131" customFormat="1" x14ac:dyDescent="0.25">
      <c r="A135" s="78"/>
      <c r="B135" s="78" t="s">
        <v>32</v>
      </c>
      <c r="C135" s="78" t="s">
        <v>138</v>
      </c>
      <c r="D135" s="79"/>
      <c r="E135" s="78"/>
      <c r="F135" s="78"/>
      <c r="G135" s="78"/>
      <c r="H135" s="79"/>
      <c r="I135" s="79"/>
      <c r="J135" s="78"/>
      <c r="K135" s="78"/>
      <c r="L135" s="78"/>
      <c r="M135" s="78"/>
      <c r="N135" s="78"/>
      <c r="O135" s="78"/>
      <c r="P135" s="78"/>
      <c r="Q135" s="82"/>
      <c r="R135" s="83"/>
      <c r="S135" s="78" t="str">
        <f>$B135</f>
        <v>Non-bioenergy wood users</v>
      </c>
      <c r="T135" s="78"/>
      <c r="U135" s="78"/>
      <c r="V135" s="78"/>
      <c r="W135" s="78"/>
      <c r="X135" s="78"/>
      <c r="Y135" s="78"/>
      <c r="Z135" s="78"/>
      <c r="AA135" s="78"/>
      <c r="AB135" s="78"/>
      <c r="AC135" s="78"/>
      <c r="AD135" s="80"/>
      <c r="AE135" s="81"/>
      <c r="AF135" s="373"/>
      <c r="AG135" s="83"/>
      <c r="AH135" s="78" t="str">
        <f>$B135</f>
        <v>Non-bioenergy wood users</v>
      </c>
      <c r="AI135" s="78"/>
      <c r="AJ135" s="78"/>
      <c r="AK135" s="78"/>
      <c r="AL135" s="78"/>
      <c r="AM135" s="78"/>
      <c r="AN135" s="78"/>
      <c r="AO135" s="78"/>
      <c r="AP135" s="78"/>
      <c r="AQ135" s="78"/>
      <c r="AR135" s="78"/>
      <c r="AS135" s="80"/>
      <c r="AT135" s="81"/>
      <c r="AU135" s="373"/>
      <c r="AV135" s="78"/>
      <c r="AW135" s="78" t="str">
        <f>$B135</f>
        <v>Non-bioenergy wood users</v>
      </c>
      <c r="AX135" s="78"/>
      <c r="AY135" s="78"/>
      <c r="AZ135" s="78"/>
      <c r="BA135" s="78"/>
      <c r="BB135" s="78"/>
      <c r="BC135" s="78"/>
      <c r="BD135" s="78"/>
      <c r="BE135" s="78"/>
      <c r="BF135" s="78"/>
      <c r="BG135" s="78"/>
      <c r="BH135" s="80"/>
      <c r="BI135" s="81"/>
      <c r="BJ135" s="373"/>
      <c r="BK135" s="83"/>
      <c r="BL135" s="78" t="str">
        <f>$B135</f>
        <v>Non-bioenergy wood users</v>
      </c>
      <c r="BM135" s="78"/>
      <c r="BN135" s="78"/>
      <c r="BO135" s="78"/>
      <c r="BP135" s="78"/>
      <c r="BQ135" s="78"/>
      <c r="BR135" s="78"/>
      <c r="BS135" s="78"/>
      <c r="BT135" s="78"/>
      <c r="BU135" s="78"/>
      <c r="BV135" s="78"/>
      <c r="BW135" s="80"/>
      <c r="BX135" s="81"/>
      <c r="BY135" s="373"/>
      <c r="BZ135" s="78"/>
      <c r="CA135" s="78" t="str">
        <f>$B135</f>
        <v>Non-bioenergy wood users</v>
      </c>
      <c r="CB135" s="79"/>
      <c r="CC135" s="79"/>
      <c r="CD135" s="182"/>
      <c r="CE135" s="182"/>
      <c r="CF135" s="79"/>
      <c r="CG135" s="78"/>
      <c r="CH135" s="78"/>
      <c r="CI135" s="78"/>
      <c r="CJ135" s="78"/>
      <c r="CK135" s="78"/>
      <c r="CL135" s="78"/>
      <c r="CM135" s="78"/>
      <c r="CN135" s="78"/>
      <c r="CO135" s="78"/>
      <c r="CP135" s="78"/>
      <c r="CQ135" s="82"/>
      <c r="CR135" s="78"/>
      <c r="CS135" s="78" t="str">
        <f>$B135</f>
        <v>Non-bioenergy wood users</v>
      </c>
      <c r="CT135" s="78"/>
      <c r="CU135" s="78"/>
      <c r="CV135" s="182"/>
      <c r="CW135" s="192"/>
      <c r="CX135" s="192"/>
      <c r="CY135" s="78"/>
      <c r="CZ135" s="78"/>
      <c r="DA135" s="78"/>
      <c r="DB135" s="78"/>
      <c r="DC135" s="78"/>
      <c r="DD135" s="78"/>
      <c r="DE135" s="78"/>
      <c r="DF135" s="78"/>
      <c r="DG135" s="78"/>
      <c r="DH135" s="78"/>
      <c r="DI135" s="82"/>
      <c r="DJ135" s="78"/>
      <c r="DK135" s="78" t="str">
        <f>$B135</f>
        <v>Non-bioenergy wood users</v>
      </c>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row>
    <row r="136" spans="1:142" ht="15" customHeight="1" x14ac:dyDescent="0.25">
      <c r="A136" s="14"/>
      <c r="B136" s="84" t="s">
        <v>301</v>
      </c>
      <c r="C136" s="84"/>
      <c r="D136" s="85"/>
      <c r="E136" s="84"/>
      <c r="F136" s="14"/>
      <c r="G136" s="14"/>
      <c r="H136" s="21"/>
      <c r="I136" s="21"/>
      <c r="J136" s="14"/>
      <c r="K136" s="14"/>
      <c r="L136" s="14"/>
      <c r="M136" s="14"/>
      <c r="N136" s="14"/>
      <c r="O136" s="14"/>
      <c r="P136" s="14"/>
      <c r="Q136" s="47"/>
      <c r="R136" s="19"/>
      <c r="S136" s="84" t="s">
        <v>322</v>
      </c>
      <c r="T136" s="84"/>
      <c r="U136" s="85"/>
      <c r="V136" s="84"/>
      <c r="W136" s="14"/>
      <c r="X136" s="14"/>
      <c r="Y136" s="14"/>
      <c r="Z136" s="14"/>
      <c r="AA136" s="14"/>
      <c r="AB136" s="14"/>
      <c r="AC136" s="14"/>
      <c r="AD136" s="65"/>
      <c r="AE136" s="63"/>
      <c r="AF136" s="352"/>
      <c r="AG136" s="19"/>
      <c r="AH136" s="84" t="s">
        <v>328</v>
      </c>
      <c r="AI136" s="84"/>
      <c r="AJ136" s="85"/>
      <c r="AK136" s="84"/>
      <c r="AL136" s="84"/>
      <c r="AM136" s="14"/>
      <c r="AN136" s="14"/>
      <c r="AO136" s="14"/>
      <c r="AP136" s="14"/>
      <c r="AQ136" s="14"/>
      <c r="AR136" s="14"/>
      <c r="AS136" s="65"/>
      <c r="AT136" s="63"/>
      <c r="AU136" s="352"/>
      <c r="AV136" s="14"/>
      <c r="AW136" s="84" t="s">
        <v>347</v>
      </c>
      <c r="AX136" s="84"/>
      <c r="AY136" s="85"/>
      <c r="AZ136" s="84"/>
      <c r="BA136" s="84"/>
      <c r="BB136" s="14"/>
      <c r="BC136" s="14"/>
      <c r="BD136" s="14"/>
      <c r="BE136" s="14"/>
      <c r="BF136" s="14"/>
      <c r="BG136" s="14"/>
      <c r="BH136" s="65"/>
      <c r="BI136" s="63"/>
      <c r="BJ136" s="352"/>
      <c r="BK136" s="19"/>
      <c r="BL136" s="84" t="s">
        <v>348</v>
      </c>
      <c r="BM136" s="84"/>
      <c r="BN136" s="85"/>
      <c r="BO136" s="84"/>
      <c r="BP136" s="84"/>
      <c r="BQ136" s="14"/>
      <c r="BR136" s="14"/>
      <c r="BS136" s="14"/>
      <c r="BT136" s="14"/>
      <c r="BU136" s="14"/>
      <c r="BV136" s="14"/>
      <c r="BW136" s="65"/>
      <c r="BX136" s="63"/>
      <c r="BY136" s="352"/>
      <c r="BZ136" s="14"/>
      <c r="CA136" s="148" t="s">
        <v>303</v>
      </c>
      <c r="CB136" s="85"/>
      <c r="CC136" s="85"/>
      <c r="CD136" s="185"/>
      <c r="CE136" s="185"/>
      <c r="CF136" s="147"/>
      <c r="CG136" s="17"/>
      <c r="CH136" s="14"/>
      <c r="CI136" s="14"/>
      <c r="CJ136" s="14"/>
      <c r="CK136" s="14"/>
      <c r="CL136" s="14"/>
      <c r="CM136" s="14"/>
      <c r="CN136" s="14"/>
      <c r="CO136" s="129"/>
      <c r="CP136" s="14"/>
      <c r="CQ136" s="47"/>
      <c r="CR136" s="14"/>
      <c r="CS136" s="148" t="s">
        <v>304</v>
      </c>
      <c r="CT136" s="84"/>
      <c r="CU136" s="85"/>
      <c r="CV136" s="186"/>
      <c r="CW136" s="193"/>
      <c r="CX136" s="193"/>
      <c r="CY136" s="14"/>
      <c r="CZ136" s="14"/>
      <c r="DA136" s="14"/>
      <c r="DB136" s="14"/>
      <c r="DC136" s="14"/>
      <c r="DD136" s="14"/>
      <c r="DE136" s="14"/>
      <c r="DF136" s="14"/>
      <c r="DG136" s="129"/>
      <c r="DH136" s="14"/>
      <c r="DI136" s="47"/>
      <c r="DJ136" s="14"/>
      <c r="DK136" s="84" t="s">
        <v>305</v>
      </c>
      <c r="DL136" s="84"/>
      <c r="DM136" s="85"/>
      <c r="DN136" s="8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row>
    <row r="137" spans="1:142" x14ac:dyDescent="0.25">
      <c r="A137" s="14"/>
      <c r="B137" s="14"/>
      <c r="C137" s="14"/>
      <c r="D137" s="15"/>
      <c r="E137" s="14"/>
      <c r="F137" s="14"/>
      <c r="G137" s="14"/>
      <c r="H137" s="21"/>
      <c r="I137" s="21"/>
      <c r="J137" s="14"/>
      <c r="K137" s="14"/>
      <c r="L137" s="14"/>
      <c r="M137" s="14"/>
      <c r="N137" s="14"/>
      <c r="O137" s="14"/>
      <c r="P137" s="14"/>
      <c r="Q137" s="47"/>
      <c r="R137" s="19"/>
      <c r="S137" s="14"/>
      <c r="T137" s="14"/>
      <c r="U137" s="15"/>
      <c r="V137" s="14"/>
      <c r="W137" s="14"/>
      <c r="X137" s="14"/>
      <c r="Y137" s="14"/>
      <c r="Z137" s="14"/>
      <c r="AA137" s="14"/>
      <c r="AB137" s="14"/>
      <c r="AC137" s="14"/>
      <c r="AD137" s="65"/>
      <c r="AE137" s="63"/>
      <c r="AF137" s="352"/>
      <c r="AG137" s="19"/>
      <c r="AH137" s="14"/>
      <c r="AI137" s="14"/>
      <c r="AJ137" s="15"/>
      <c r="AK137" s="14"/>
      <c r="AL137" s="14"/>
      <c r="AM137" s="14"/>
      <c r="AN137" s="14"/>
      <c r="AO137" s="14"/>
      <c r="AP137" s="14"/>
      <c r="AQ137" s="14"/>
      <c r="AR137" s="14"/>
      <c r="AS137" s="65"/>
      <c r="AT137" s="63"/>
      <c r="AU137" s="352"/>
      <c r="AV137" s="14"/>
      <c r="AW137" s="14"/>
      <c r="AX137" s="14"/>
      <c r="AY137" s="15"/>
      <c r="AZ137" s="14"/>
      <c r="BA137" s="14"/>
      <c r="BB137" s="14"/>
      <c r="BC137" s="14"/>
      <c r="BD137" s="14"/>
      <c r="BE137" s="14"/>
      <c r="BF137" s="14"/>
      <c r="BG137" s="14"/>
      <c r="BH137" s="65"/>
      <c r="BI137" s="63"/>
      <c r="BJ137" s="352"/>
      <c r="BK137" s="19"/>
      <c r="BL137" s="14"/>
      <c r="BM137" s="14"/>
      <c r="BN137" s="15"/>
      <c r="BO137" s="14"/>
      <c r="BP137" s="14"/>
      <c r="BQ137" s="14"/>
      <c r="BR137" s="14"/>
      <c r="BS137" s="14"/>
      <c r="BT137" s="14"/>
      <c r="BU137" s="14"/>
      <c r="BV137" s="14"/>
      <c r="BW137" s="65"/>
      <c r="BX137" s="63"/>
      <c r="BY137" s="352"/>
      <c r="BZ137" s="14"/>
      <c r="CA137" s="14"/>
      <c r="CB137" s="21"/>
      <c r="CC137" s="21"/>
      <c r="CD137" s="180"/>
      <c r="CE137" s="180"/>
      <c r="CF137" s="21"/>
      <c r="CG137" s="14"/>
      <c r="CH137" s="14"/>
      <c r="CI137" s="14"/>
      <c r="CJ137" s="14"/>
      <c r="CK137" s="14"/>
      <c r="CL137" s="14"/>
      <c r="CM137" s="14"/>
      <c r="CN137" s="14"/>
      <c r="CO137" s="129"/>
      <c r="CP137" s="14"/>
      <c r="CQ137" s="47"/>
      <c r="CR137" s="14"/>
      <c r="CS137" s="14"/>
      <c r="CT137" s="14"/>
      <c r="CU137" s="14"/>
      <c r="CV137" s="180"/>
      <c r="CW137" s="189"/>
      <c r="CX137" s="189"/>
      <c r="CY137" s="14"/>
      <c r="CZ137" s="14"/>
      <c r="DA137" s="14"/>
      <c r="DB137" s="14"/>
      <c r="DC137" s="14"/>
      <c r="DD137" s="14"/>
      <c r="DE137" s="14"/>
      <c r="DF137" s="14"/>
      <c r="DG137" s="129"/>
      <c r="DH137" s="14"/>
      <c r="DI137" s="47"/>
      <c r="DJ137" s="14"/>
      <c r="DK137" s="14"/>
      <c r="DL137" s="14"/>
      <c r="DM137" s="15"/>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row>
    <row r="138" spans="1:142" ht="27.6" x14ac:dyDescent="0.25">
      <c r="A138" s="14"/>
      <c r="B138" s="112" t="s">
        <v>23</v>
      </c>
      <c r="C138" s="113" t="s">
        <v>24</v>
      </c>
      <c r="D138" s="113" t="s">
        <v>145</v>
      </c>
      <c r="E138" s="113" t="s">
        <v>300</v>
      </c>
      <c r="F138" s="14"/>
      <c r="G138" s="14"/>
      <c r="H138" s="21"/>
      <c r="I138" s="21"/>
      <c r="J138" s="14"/>
      <c r="K138" s="19"/>
      <c r="L138" s="51"/>
      <c r="M138" s="51"/>
      <c r="N138" s="51"/>
      <c r="O138" s="51"/>
      <c r="P138" s="51"/>
      <c r="Q138" s="47"/>
      <c r="R138" s="19"/>
      <c r="S138" s="112" t="s">
        <v>23</v>
      </c>
      <c r="T138" s="113" t="s">
        <v>24</v>
      </c>
      <c r="U138" s="113" t="s">
        <v>145</v>
      </c>
      <c r="V138" s="113" t="s">
        <v>300</v>
      </c>
      <c r="W138" s="14"/>
      <c r="X138" s="14"/>
      <c r="Y138" s="14"/>
      <c r="Z138" s="14"/>
      <c r="AA138" s="56"/>
      <c r="AB138" s="56"/>
      <c r="AC138" s="56"/>
      <c r="AD138" s="65"/>
      <c r="AE138" s="63"/>
      <c r="AF138" s="352"/>
      <c r="AG138" s="19"/>
      <c r="AH138" s="112" t="s">
        <v>23</v>
      </c>
      <c r="AI138" s="113" t="s">
        <v>24</v>
      </c>
      <c r="AJ138" s="113" t="s">
        <v>145</v>
      </c>
      <c r="AK138" s="113" t="s">
        <v>300</v>
      </c>
      <c r="AL138" s="14"/>
      <c r="AM138" s="14"/>
      <c r="AN138" s="14"/>
      <c r="AO138" s="14"/>
      <c r="AP138" s="56"/>
      <c r="AQ138" s="56"/>
      <c r="AR138" s="56"/>
      <c r="AS138" s="65"/>
      <c r="AT138" s="63"/>
      <c r="AU138" s="352"/>
      <c r="AV138" s="14"/>
      <c r="AW138" s="112" t="s">
        <v>23</v>
      </c>
      <c r="AX138" s="113" t="s">
        <v>24</v>
      </c>
      <c r="AY138" s="113" t="s">
        <v>145</v>
      </c>
      <c r="AZ138" s="113" t="s">
        <v>300</v>
      </c>
      <c r="BA138" s="14"/>
      <c r="BB138" s="14"/>
      <c r="BC138" s="14"/>
      <c r="BD138" s="14"/>
      <c r="BE138" s="56"/>
      <c r="BF138" s="56"/>
      <c r="BG138" s="56"/>
      <c r="BH138" s="65"/>
      <c r="BI138" s="63"/>
      <c r="BJ138" s="352"/>
      <c r="BK138" s="19"/>
      <c r="BL138" s="112" t="s">
        <v>23</v>
      </c>
      <c r="BM138" s="113" t="s">
        <v>24</v>
      </c>
      <c r="BN138" s="113" t="s">
        <v>145</v>
      </c>
      <c r="BO138" s="113" t="s">
        <v>300</v>
      </c>
      <c r="BP138" s="14"/>
      <c r="BQ138" s="14"/>
      <c r="BR138" s="14"/>
      <c r="BS138" s="14"/>
      <c r="BT138" s="56"/>
      <c r="BU138" s="56"/>
      <c r="BV138" s="56"/>
      <c r="BW138" s="65"/>
      <c r="BX138" s="63"/>
      <c r="BY138" s="352"/>
      <c r="BZ138" s="14"/>
      <c r="CA138" s="112" t="s">
        <v>23</v>
      </c>
      <c r="CB138" s="113" t="s">
        <v>145</v>
      </c>
      <c r="CC138" s="21"/>
      <c r="CD138" s="180"/>
      <c r="CE138" s="180"/>
      <c r="CF138" s="21"/>
      <c r="CG138" s="14"/>
      <c r="CH138" s="14"/>
      <c r="CI138" s="14"/>
      <c r="CJ138" s="14"/>
      <c r="CK138" s="14"/>
      <c r="CL138" s="14"/>
      <c r="CM138" s="14"/>
      <c r="CN138" s="14"/>
      <c r="CO138" s="129"/>
      <c r="CP138" s="17"/>
      <c r="CQ138" s="47"/>
      <c r="CR138" s="14"/>
      <c r="CS138" s="112" t="s">
        <v>23</v>
      </c>
      <c r="CT138" s="113" t="s">
        <v>145</v>
      </c>
      <c r="CU138" s="14"/>
      <c r="CV138" s="180"/>
      <c r="CW138" s="189"/>
      <c r="CX138" s="189"/>
      <c r="CY138" s="14"/>
      <c r="CZ138" s="14"/>
      <c r="DA138" s="14"/>
      <c r="DB138" s="14"/>
      <c r="DC138" s="14"/>
      <c r="DD138" s="14"/>
      <c r="DE138" s="14"/>
      <c r="DF138" s="14"/>
      <c r="DG138" s="129"/>
      <c r="DH138" s="17"/>
      <c r="DI138" s="47"/>
      <c r="DJ138" s="17"/>
      <c r="DK138" s="112" t="s">
        <v>23</v>
      </c>
      <c r="DL138" s="113" t="s">
        <v>24</v>
      </c>
      <c r="DM138" s="113" t="s">
        <v>145</v>
      </c>
      <c r="DN138" s="113" t="s">
        <v>300</v>
      </c>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row>
    <row r="139" spans="1:142" x14ac:dyDescent="0.25">
      <c r="A139" s="14"/>
      <c r="B139" s="57" t="s">
        <v>32</v>
      </c>
      <c r="C139" s="121" t="str">
        <f>IF(H158=0,"na",IF(COUNTIF(H153:H157,MAX(H153:H157))&gt;COUNTIF(G153:G157,"&lt;&gt;""")/2,"No clear choice of the most common response",INDEX(G153:G157,MATCH(MAX(H153:H157),H153:H157,0),1)))</f>
        <v>Sometimes</v>
      </c>
      <c r="D139" s="58">
        <f>COUNTIFS(S30_stakeholder_category,"NB",Response_Q173_1,"&lt;&gt;0")</f>
        <v>2</v>
      </c>
      <c r="E139" s="121">
        <f>COUNTIFS(S30_stakeholder_category,"NB",Response_Q173_1,"I don’t know")</f>
        <v>0</v>
      </c>
      <c r="F139" s="14"/>
      <c r="G139" s="14"/>
      <c r="H139" s="21"/>
      <c r="I139" s="21"/>
      <c r="J139" s="14"/>
      <c r="K139" s="19"/>
      <c r="L139" s="40"/>
      <c r="M139" s="40"/>
      <c r="N139" s="40"/>
      <c r="O139" s="40"/>
      <c r="P139" s="40"/>
      <c r="Q139" s="47"/>
      <c r="R139" s="19"/>
      <c r="S139" s="34" t="s">
        <v>32</v>
      </c>
      <c r="T139" s="37" t="str">
        <f>IF(Y160=0,"na",IF(COUNTIF(Y153:Y159,MAX(Y153:Y159))&gt;COUNTIF(X153:X159,"&lt;&gt;""")/2,"No clear choice of the most common response",INDEX(X153:X159,MATCH(MAX(Y153:Y159),Y153:Y159,0),1)))</f>
        <v>Moderately likely</v>
      </c>
      <c r="U139" s="33">
        <f>COUNTIFS(S30_stakeholder_category,"NB",Response_Q176_1,"&lt;&gt;0")</f>
        <v>2</v>
      </c>
      <c r="V139" s="37">
        <f>COUNTIFS(S30_stakeholder_category,"NB",Response_Q176_1,"I don’t know")</f>
        <v>0</v>
      </c>
      <c r="W139" s="14"/>
      <c r="X139" s="14"/>
      <c r="Y139" s="14"/>
      <c r="Z139" s="14"/>
      <c r="AA139" s="19"/>
      <c r="AB139" s="19"/>
      <c r="AC139" s="19"/>
      <c r="AD139" s="65"/>
      <c r="AE139" s="63"/>
      <c r="AF139" s="352"/>
      <c r="AG139" s="19"/>
      <c r="AH139" s="57" t="s">
        <v>32</v>
      </c>
      <c r="AI139" s="121" t="str">
        <f>IF(AN160=0,"na",IF(COUNTIF(AN153:AN159,MAX(AN153:AN159))&gt;COUNTIF(AM153:AM159,"&lt;&gt;""")/2,"No clear choice of the most common response",INDEX(AM153:AM159,MATCH(MAX(AN153:AN159),AN153:AN159,0),1)))</f>
        <v>Unlikely</v>
      </c>
      <c r="AJ139" s="58">
        <f>COUNTIFS(S30_stakeholder_category,"NB",Response_30a_CaseA,"&lt;&gt;0")</f>
        <v>2</v>
      </c>
      <c r="AK139" s="121">
        <f>COUNTIFS(S30_stakeholder_category,"NB",Response_30a_CaseA,"I don’t know")</f>
        <v>0</v>
      </c>
      <c r="AL139" s="14"/>
      <c r="AM139" s="14"/>
      <c r="AN139" s="14"/>
      <c r="AO139" s="14"/>
      <c r="AP139" s="19"/>
      <c r="AQ139" s="19"/>
      <c r="AR139" s="19"/>
      <c r="AS139" s="65"/>
      <c r="AT139" s="63"/>
      <c r="AU139" s="352"/>
      <c r="AV139" s="14"/>
      <c r="AW139" s="57" t="s">
        <v>32</v>
      </c>
      <c r="AX139" s="121" t="str">
        <f>IF(BC160=0,"na",IF(COUNTIF(BC153:BC159,MAX(BC153:BC159))&gt;COUNTIF(BB153:BB159,"&lt;&gt;""")/2,"No clear choice of the most common response",INDEX(BB153:BB159,MATCH(MAX(BC153:BC159),BC153:BC159,0),1)))</f>
        <v>Moderately unlikely</v>
      </c>
      <c r="AY139" s="58">
        <f>COUNTIFS(S30_stakeholder_category,"NB",Response_30a_CaseB,"&lt;&gt;0")</f>
        <v>2</v>
      </c>
      <c r="AZ139" s="121">
        <f>COUNTIFS(S30_stakeholder_category,"NB",Response_30a_CaseB,"I don’t know")</f>
        <v>0</v>
      </c>
      <c r="BA139" s="14"/>
      <c r="BB139" s="14"/>
      <c r="BC139" s="14"/>
      <c r="BD139" s="14"/>
      <c r="BE139" s="19"/>
      <c r="BF139" s="19"/>
      <c r="BG139" s="19"/>
      <c r="BH139" s="65"/>
      <c r="BI139" s="63"/>
      <c r="BJ139" s="352"/>
      <c r="BK139" s="19"/>
      <c r="BL139" s="57" t="s">
        <v>32</v>
      </c>
      <c r="BM139" s="121" t="str">
        <f>IF(BR160=0,"na",IF(COUNTIF(BR153:BR159,MAX(BR153:BR159))&gt;COUNTIF(BQ153:BQ159,"&lt;&gt;""")/2,"No clear choice of the most common response",INDEX(BQ153:BQ159,MATCH(MAX(BR153:BR159),BR153:BR159,0),1)))</f>
        <v>Moderately likely</v>
      </c>
      <c r="BN139" s="58">
        <f>COUNTIFS(S30_stakeholder_category,"NB",Response_30a_CaseC,"&lt;&gt;0")</f>
        <v>2</v>
      </c>
      <c r="BO139" s="121">
        <f>COUNTIFS(S30_stakeholder_category,"NB",Response_30a_CaseC,"I don’t know")</f>
        <v>0</v>
      </c>
      <c r="BP139" s="14"/>
      <c r="BQ139" s="14"/>
      <c r="BR139" s="14"/>
      <c r="BS139" s="14"/>
      <c r="BT139" s="19"/>
      <c r="BU139" s="19"/>
      <c r="BV139" s="19"/>
      <c r="BW139" s="65"/>
      <c r="BX139" s="63"/>
      <c r="BY139" s="352"/>
      <c r="BZ139" s="14"/>
      <c r="CA139" s="34" t="s">
        <v>32</v>
      </c>
      <c r="CB139" s="37">
        <f>MAX(SUM(CC145:CC151),SUM(CD145:CD151),SUM(CE145:CE151))</f>
        <v>2</v>
      </c>
      <c r="CC139" s="21"/>
      <c r="CD139" s="180"/>
      <c r="CE139" s="180"/>
      <c r="CF139" s="21"/>
      <c r="CG139" s="14"/>
      <c r="CH139" s="14"/>
      <c r="CI139" s="14"/>
      <c r="CJ139" s="14"/>
      <c r="CK139" s="14"/>
      <c r="CL139" s="14"/>
      <c r="CM139" s="14"/>
      <c r="CN139" s="14"/>
      <c r="CO139" s="129"/>
      <c r="CP139" s="29"/>
      <c r="CQ139" s="47"/>
      <c r="CR139" s="14"/>
      <c r="CS139" s="34" t="s">
        <v>32</v>
      </c>
      <c r="CT139" s="37">
        <f>MAX(SUM(CU145:CU151),SUM(CV145:CV151),SUM(CW145:CW151))</f>
        <v>2</v>
      </c>
      <c r="CU139" s="14"/>
      <c r="CV139" s="180"/>
      <c r="CW139" s="189"/>
      <c r="CX139" s="189"/>
      <c r="CY139" s="14"/>
      <c r="CZ139" s="14"/>
      <c r="DA139" s="14"/>
      <c r="DB139" s="14"/>
      <c r="DC139" s="14"/>
      <c r="DD139" s="14"/>
      <c r="DE139" s="14"/>
      <c r="DF139" s="14"/>
      <c r="DG139" s="129"/>
      <c r="DH139" s="29"/>
      <c r="DI139" s="47"/>
      <c r="DJ139" s="29"/>
      <c r="DK139" s="34" t="s">
        <v>32</v>
      </c>
      <c r="DL139" s="37" t="str">
        <f>IF(DQ158=0,"na",IF(COUNTIF(DQ153:DQ157,MAX(DQ153:DQ157))&gt;COUNTIF(DP153:DP157,"&lt;&gt;""")/2,"No clear choice of the most common response",INDEX(DP153:DP157,MATCH(MAX(DQ153:DQ157),DQ153:DQ157,0),1)))</f>
        <v>Most of the time</v>
      </c>
      <c r="DM139" s="33">
        <f>COUNTIFS(S30_stakeholder_category,"NB",Response_Q172_1,"&lt;&gt;0",Response_Q173_1,"&lt;&gt;0")</f>
        <v>2</v>
      </c>
      <c r="DN139" s="37">
        <f>DQ157</f>
        <v>0</v>
      </c>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row>
    <row r="140" spans="1:142" x14ac:dyDescent="0.25">
      <c r="A140" s="14"/>
      <c r="B140" s="57"/>
      <c r="C140" s="121" t="str">
        <f ca="1">IF(H158=0,"",IF(COUNTIF(H153:H157,MAX(H153:H157))=1,"",IF(COUNTIF(H153:H157,MAX(H153:H157))&gt;COUNTIF(G153:G157,"&lt;&gt;""")/2,"",INDEX(OFFSET(G153,MATCH(C139,G153:G158,0),0):G157,MATCH(MAX(H153:H157),OFFSET(H153,MATCH(C139,G153:G158,0),0):H157,0),1))))</f>
        <v/>
      </c>
      <c r="D140" s="58"/>
      <c r="E140" s="121"/>
      <c r="F140" s="14"/>
      <c r="G140" s="14"/>
      <c r="H140" s="21"/>
      <c r="I140" s="21"/>
      <c r="J140" s="14"/>
      <c r="K140" s="19"/>
      <c r="L140" s="40"/>
      <c r="M140" s="40"/>
      <c r="N140" s="40"/>
      <c r="O140" s="40"/>
      <c r="P140" s="40"/>
      <c r="Q140" s="47"/>
      <c r="R140" s="19"/>
      <c r="S140" s="34"/>
      <c r="T140" s="37" t="str">
        <f ca="1">IF(Y160=0,"",IF(COUNTIF(Y153:Y159,MAX(Y153:Y159))=1,"",IF(COUNTIF(Y153:Y159,MAX(Y153:Y159))&gt;COUNTIF(X153:X159,"&lt;&gt;""")/2,"",INDEX(OFFSET(X153,MATCH(T139,X153:X159,0),0):X159,MATCH(MAX(Y153:Y159),OFFSET(Y153,MATCH(T139,X153:X159,0),0):Y159,0),1))))</f>
        <v/>
      </c>
      <c r="U140" s="33"/>
      <c r="V140" s="37"/>
      <c r="W140" s="14"/>
      <c r="X140" s="14"/>
      <c r="Y140" s="14"/>
      <c r="Z140" s="14"/>
      <c r="AA140" s="19"/>
      <c r="AB140" s="19"/>
      <c r="AC140" s="19"/>
      <c r="AD140" s="65"/>
      <c r="AE140" s="63"/>
      <c r="AF140" s="352"/>
      <c r="AG140" s="19"/>
      <c r="AH140" s="57"/>
      <c r="AI140" s="121" t="str">
        <f ca="1">IF(AN160=0,"",IF(COUNTIF(AN153:AN159,MAX(AN153:AN159))=1,"",IF(COUNTIF(AN153:AN159,MAX(AN153:AN159))&gt;COUNTIF(AM153:AM159,"&lt;&gt;""")/2,"",INDEX(OFFSET(AM153,MATCH(AI139,AM153:AM159,0),0):AM159,MATCH(MAX(AN153:AN159),OFFSET(AN153,MATCH(AI139,AM153:AM159,0),0):AN159,0),1))))</f>
        <v>Likely</v>
      </c>
      <c r="AJ140" s="58"/>
      <c r="AK140" s="121"/>
      <c r="AL140" s="14"/>
      <c r="AM140" s="14"/>
      <c r="AN140" s="14"/>
      <c r="AO140" s="14"/>
      <c r="AP140" s="19"/>
      <c r="AQ140" s="19"/>
      <c r="AR140" s="19"/>
      <c r="AS140" s="65"/>
      <c r="AT140" s="63"/>
      <c r="AU140" s="352"/>
      <c r="AV140" s="14"/>
      <c r="AW140" s="57"/>
      <c r="AX140" s="121" t="str">
        <f ca="1">IF(BC160=0,"",IF(COUNTIF(BC153:BC159,MAX(BC153:BC159))=1,"",IF(COUNTIF(BC153:BC159,MAX(BC153:BC159))&gt;COUNTIF(BB153:BB159,"&lt;&gt;""")/2,"",INDEX(OFFSET(BB153,MATCH(AX139,BB153:BB159,0),0):BB159,MATCH(MAX(BC153:BC159),OFFSET(BC153,MATCH(AX139,BB153:BB159,0),0):BC159,0),1))))</f>
        <v>Very likely</v>
      </c>
      <c r="AY140" s="58"/>
      <c r="AZ140" s="121"/>
      <c r="BA140" s="14"/>
      <c r="BB140" s="14"/>
      <c r="BC140" s="14"/>
      <c r="BD140" s="14"/>
      <c r="BE140" s="19"/>
      <c r="BF140" s="19"/>
      <c r="BG140" s="19"/>
      <c r="BH140" s="65"/>
      <c r="BI140" s="63"/>
      <c r="BJ140" s="352"/>
      <c r="BK140" s="19"/>
      <c r="BL140" s="57"/>
      <c r="BM140" s="121" t="str">
        <f ca="1">IF(BR160=0,"",IF(COUNTIF(BR153:BR159,MAX(BR153:BR159))=1,"",IF(COUNTIF(BR153:BR159,MAX(BR153:BR159))&gt;COUNTIF(BQ153:BQ159,"&lt;&gt;""")/2,"",INDEX(OFFSET(BQ153,MATCH(BM139,BQ153:BQ159,0),0):BQ159,MATCH(MAX(BR153:BR159),OFFSET(BR153,MATCH(BM139,BQ153:BQ159,0),0):BR159,0),1))))</f>
        <v>Very likely</v>
      </c>
      <c r="BN140" s="58"/>
      <c r="BO140" s="121"/>
      <c r="BP140" s="14"/>
      <c r="BQ140" s="14"/>
      <c r="BR140" s="14"/>
      <c r="BS140" s="14"/>
      <c r="BT140" s="19"/>
      <c r="BU140" s="19"/>
      <c r="BV140" s="19"/>
      <c r="BW140" s="65"/>
      <c r="BX140" s="63"/>
      <c r="BY140" s="352"/>
      <c r="BZ140" s="14"/>
      <c r="CA140" s="14"/>
      <c r="CB140" s="21"/>
      <c r="CC140" s="21"/>
      <c r="CD140" s="180"/>
      <c r="CE140" s="180"/>
      <c r="CF140" s="21"/>
      <c r="CG140" s="14"/>
      <c r="CH140" s="14"/>
      <c r="CI140" s="14"/>
      <c r="CJ140" s="14"/>
      <c r="CK140" s="14"/>
      <c r="CL140" s="14"/>
      <c r="CM140" s="14"/>
      <c r="CN140" s="14"/>
      <c r="CO140" s="129"/>
      <c r="CP140" s="29"/>
      <c r="CQ140" s="47"/>
      <c r="CR140" s="14"/>
      <c r="CS140" s="14"/>
      <c r="CT140" s="14"/>
      <c r="CU140" s="14"/>
      <c r="CV140" s="180"/>
      <c r="CW140" s="189"/>
      <c r="CX140" s="189"/>
      <c r="CY140" s="14"/>
      <c r="CZ140" s="14"/>
      <c r="DA140" s="14"/>
      <c r="DB140" s="14"/>
      <c r="DC140" s="14"/>
      <c r="DD140" s="14"/>
      <c r="DE140" s="14"/>
      <c r="DF140" s="14"/>
      <c r="DG140" s="129"/>
      <c r="DH140" s="29"/>
      <c r="DI140" s="47"/>
      <c r="DJ140" s="29"/>
      <c r="DK140" s="34"/>
      <c r="DL140" s="37" t="str">
        <f ca="1">IF(DQ158=0,"",IF(COUNTIF(DQ153:DQ157,MAX(DQ153:DQ157))=1,"",IF(COUNTIF(DQ153:DQ157,MAX(DQ153:DQ157))&gt;COUNTIF(DP153:DP157,"&lt;&gt;""")/2,"",INDEX(OFFSET(DP153,MATCH(DL139,DP153:DP158,0),0):DP157,MATCH(MAX(DQ153:DQ157),OFFSET(DQ153,MATCH(DL139,DP153:DP158,0),0):DQ157,0),1))))</f>
        <v>Yes, always</v>
      </c>
      <c r="DM140" s="33"/>
      <c r="DN140" s="37"/>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row>
    <row r="141" spans="1:142" x14ac:dyDescent="0.25">
      <c r="A141" s="14"/>
      <c r="B141" s="57"/>
      <c r="C141" s="121" t="str">
        <f ca="1" xml:space="preserve"> IF(H158=0,"", IF(COUNTIF(H153:H157,MAX(H153:H157))&lt;=2,"",IF(COUNTIF(H153:H157,MAX(H153:H157))&gt;COUNTIF(G153:G157,"&lt;&gt;""")/2,"", INDEX(OFFSET(G153,MATCH(C140,G153:G158,0),0):G157,         MATCH(MAX(H153:H157),        OFFSET(H153,MATCH(C140,G153:G158,0),0):H157,0),1))))</f>
        <v/>
      </c>
      <c r="D141" s="58"/>
      <c r="E141" s="121"/>
      <c r="F141" s="14"/>
      <c r="G141" s="14"/>
      <c r="H141" s="21"/>
      <c r="I141" s="21"/>
      <c r="J141" s="14"/>
      <c r="K141" s="19"/>
      <c r="L141" s="40"/>
      <c r="M141" s="40"/>
      <c r="N141" s="40"/>
      <c r="O141" s="40"/>
      <c r="P141" s="40"/>
      <c r="Q141" s="47"/>
      <c r="R141" s="19"/>
      <c r="S141" s="34"/>
      <c r="T141" s="121" t="str">
        <f ca="1" xml:space="preserve"> IF(Y160=0,"",IF(Y160=0,"", IF(COUNTIF(Y153:Y159,MAX(Y153:Y159))&lt;=2,"",IF(COUNTIF(Y153:Y159,MAX(Y153:Y159))&gt;COUNTIF(X153:X159,"&lt;&gt;""")/2,"", INDEX(OFFSET(X153,MATCH(T140,X153:X159,0),0):X159,         MATCH(MAX(Y153:Y159),        OFFSET(Y153,MATCH(T140,X153:X159,0),0):Y159,0),1)))))</f>
        <v/>
      </c>
      <c r="U141" s="33"/>
      <c r="V141" s="37"/>
      <c r="W141" s="14"/>
      <c r="X141" s="14"/>
      <c r="Y141" s="14"/>
      <c r="Z141" s="14"/>
      <c r="AA141" s="19"/>
      <c r="AB141" s="19"/>
      <c r="AC141" s="19"/>
      <c r="AD141" s="65"/>
      <c r="AE141" s="63"/>
      <c r="AF141" s="352"/>
      <c r="AG141" s="19"/>
      <c r="AH141" s="57"/>
      <c r="AI141" s="121" t="str">
        <f ca="1" xml:space="preserve"> IF(AN160=0,"",IF(AN160=0,"", IF(COUNTIF(AN153:AN159,MAX(AN153:AN159))&lt;=2,"",IF(COUNTIF(AN153:AN159,MAX(AN153:AN159))&gt;COUNTIF(AM153:AM159,"&lt;&gt;""")/2,"", INDEX(OFFSET(AM153,MATCH(AI140,AM153:AM159,0),0):AM159,         MATCH(MAX(AN153:AN159),        OFFSET(AN153,MATCH(AI140,AM153:AM159,0),0):AN159,0),1)))))</f>
        <v/>
      </c>
      <c r="AJ141" s="58"/>
      <c r="AK141" s="121"/>
      <c r="AL141" s="14"/>
      <c r="AM141" s="14"/>
      <c r="AN141" s="14"/>
      <c r="AO141" s="14"/>
      <c r="AP141" s="19"/>
      <c r="AQ141" s="19"/>
      <c r="AR141" s="19"/>
      <c r="AS141" s="65"/>
      <c r="AT141" s="63"/>
      <c r="AU141" s="352"/>
      <c r="AV141" s="14"/>
      <c r="AW141" s="57"/>
      <c r="AX141" s="121" t="str">
        <f ca="1" xml:space="preserve"> IF(BC160=0,"",IF(BC160=0,"", IF(COUNTIF(BC153:BC159,MAX(BC153:BC159))&lt;=2,"",IF(COUNTIF(BC153:BC159,MAX(BC153:BC159))&gt;COUNTIF(BB153:BB159,"&lt;&gt;""")/2,"", INDEX(OFFSET(BB153,MATCH(AX140,BB153:BB159,0),0):BB159,         MATCH(MAX(BC153:BC159),        OFFSET(BC153,MATCH(AX140,BB153:BB159,0),0):BC159,0),1)))))</f>
        <v/>
      </c>
      <c r="AY141" s="58"/>
      <c r="AZ141" s="121"/>
      <c r="BA141" s="14"/>
      <c r="BB141" s="14"/>
      <c r="BC141" s="14"/>
      <c r="BD141" s="14"/>
      <c r="BE141" s="19"/>
      <c r="BF141" s="19"/>
      <c r="BG141" s="19"/>
      <c r="BH141" s="65"/>
      <c r="BI141" s="63"/>
      <c r="BJ141" s="352"/>
      <c r="BK141" s="19"/>
      <c r="BL141" s="57"/>
      <c r="BM141" s="121" t="str">
        <f ca="1" xml:space="preserve"> IF(BR160=0,"",IF(BR160=0,"", IF(COUNTIF(BR153:BR159,MAX(BR153:BR159))&lt;=2,"",IF(COUNTIF(BR153:BR159,MAX(BR153:BR159))&gt;COUNTIF(BQ153:BQ159,"&lt;&gt;""")/2,"", INDEX(OFFSET(BQ153,MATCH(BM140,BQ153:BQ159,0),0):BQ159,         MATCH(MAX(BR153:BR159),        OFFSET(BR153,MATCH(BM140,BQ153:BQ159,0),0):BR159,0),1)))))</f>
        <v/>
      </c>
      <c r="BN141" s="58"/>
      <c r="BO141" s="121"/>
      <c r="BP141" s="14"/>
      <c r="BQ141" s="14"/>
      <c r="BR141" s="14"/>
      <c r="BS141" s="14"/>
      <c r="BT141" s="19"/>
      <c r="BU141" s="19"/>
      <c r="BV141" s="19"/>
      <c r="BW141" s="65"/>
      <c r="BX141" s="63"/>
      <c r="BY141" s="352"/>
      <c r="BZ141" s="14"/>
      <c r="CA141" s="14"/>
      <c r="CB141" s="21"/>
      <c r="CC141" s="21"/>
      <c r="CD141" s="180"/>
      <c r="CE141" s="180"/>
      <c r="CF141" s="21"/>
      <c r="CG141" s="14"/>
      <c r="CH141" s="14"/>
      <c r="CI141" s="14"/>
      <c r="CJ141" s="14"/>
      <c r="CK141" s="14"/>
      <c r="CL141" s="14"/>
      <c r="CM141" s="14"/>
      <c r="CN141" s="14"/>
      <c r="CO141" s="129"/>
      <c r="CP141" s="29"/>
      <c r="CQ141" s="47"/>
      <c r="CR141" s="14"/>
      <c r="CS141" s="14"/>
      <c r="CT141" s="14"/>
      <c r="CU141" s="14"/>
      <c r="CV141" s="180"/>
      <c r="CW141" s="189"/>
      <c r="CX141" s="189"/>
      <c r="CY141" s="14"/>
      <c r="CZ141" s="14"/>
      <c r="DA141" s="14"/>
      <c r="DB141" s="14"/>
      <c r="DC141" s="14"/>
      <c r="DD141" s="14"/>
      <c r="DE141" s="14"/>
      <c r="DF141" s="14"/>
      <c r="DG141" s="129"/>
      <c r="DH141" s="29"/>
      <c r="DI141" s="47"/>
      <c r="DJ141" s="29"/>
      <c r="DK141" s="34"/>
      <c r="DL141" s="37" t="str">
        <f ca="1">IF(DQ158=0,"",IF(COUNTIF(DQ153:DQ157,MAX(DQ153:DQ157))&lt;=2,"",IF(COUNTIF(DQ153:DQ157,MAX(DQ153:DQ157))&gt;COUNTIF(DP153:DP157,"&lt;&gt;""")/2,"",INDEX(OFFSET(DP153,MATCH(DL140,DP153:DP158,0),0):DP157,MATCH(MAX(DQ153:DQ157),OFFSET(DQ153,MATCH(DL140,DP153:DP158,0),0):DQ157,0),1))))</f>
        <v/>
      </c>
      <c r="DM141" s="33"/>
      <c r="DN141" s="37"/>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row>
    <row r="142" spans="1:142" x14ac:dyDescent="0.25">
      <c r="A142" s="14"/>
      <c r="B142" s="14"/>
      <c r="C142" s="14"/>
      <c r="D142" s="27"/>
      <c r="E142" s="14"/>
      <c r="F142" s="14"/>
      <c r="G142" s="14"/>
      <c r="H142" s="21"/>
      <c r="I142" s="21"/>
      <c r="J142" s="14"/>
      <c r="K142" s="19"/>
      <c r="L142" s="40"/>
      <c r="M142" s="40"/>
      <c r="N142" s="40"/>
      <c r="O142" s="40"/>
      <c r="P142" s="40"/>
      <c r="Q142" s="47"/>
      <c r="R142" s="19"/>
      <c r="S142" s="19"/>
      <c r="T142" s="19"/>
      <c r="U142" s="19"/>
      <c r="V142" s="19"/>
      <c r="W142" s="14"/>
      <c r="X142" s="14"/>
      <c r="Y142" s="14"/>
      <c r="Z142" s="14"/>
      <c r="AA142" s="19"/>
      <c r="AB142" s="19"/>
      <c r="AC142" s="19"/>
      <c r="AD142" s="65"/>
      <c r="AE142" s="63"/>
      <c r="AF142" s="352"/>
      <c r="AG142" s="19"/>
      <c r="AH142" s="19"/>
      <c r="AI142" s="19"/>
      <c r="AJ142" s="19"/>
      <c r="AK142" s="19"/>
      <c r="AL142" s="14"/>
      <c r="AM142" s="14"/>
      <c r="AN142" s="14"/>
      <c r="AO142" s="14"/>
      <c r="AP142" s="19"/>
      <c r="AQ142" s="19"/>
      <c r="AR142" s="19"/>
      <c r="AS142" s="65"/>
      <c r="AT142" s="63"/>
      <c r="AU142" s="352"/>
      <c r="AV142" s="14"/>
      <c r="AW142" s="19"/>
      <c r="AX142" s="19"/>
      <c r="AY142" s="19"/>
      <c r="AZ142" s="19"/>
      <c r="BA142" s="14"/>
      <c r="BB142" s="14"/>
      <c r="BC142" s="14"/>
      <c r="BD142" s="14"/>
      <c r="BE142" s="19"/>
      <c r="BF142" s="19"/>
      <c r="BG142" s="19"/>
      <c r="BH142" s="65"/>
      <c r="BI142" s="63"/>
      <c r="BJ142" s="352"/>
      <c r="BK142" s="19"/>
      <c r="BL142" s="19"/>
      <c r="BM142" s="19"/>
      <c r="BN142" s="19"/>
      <c r="BO142" s="19"/>
      <c r="BP142" s="14"/>
      <c r="BQ142" s="14"/>
      <c r="BR142" s="14"/>
      <c r="BS142" s="14"/>
      <c r="BT142" s="19"/>
      <c r="BU142" s="19"/>
      <c r="BV142" s="19"/>
      <c r="BW142" s="65"/>
      <c r="BX142" s="63"/>
      <c r="BY142" s="352"/>
      <c r="BZ142" s="14"/>
      <c r="CA142" s="14"/>
      <c r="CB142" s="21"/>
      <c r="CC142" s="21"/>
      <c r="CD142" s="180"/>
      <c r="CE142" s="180"/>
      <c r="CF142" s="21"/>
      <c r="CG142" s="14"/>
      <c r="CH142" s="14"/>
      <c r="CI142" s="14"/>
      <c r="CJ142" s="14"/>
      <c r="CK142" s="14"/>
      <c r="CL142" s="14"/>
      <c r="CM142" s="14"/>
      <c r="CN142" s="14"/>
      <c r="CO142" s="129"/>
      <c r="CP142" s="29"/>
      <c r="CQ142" s="47"/>
      <c r="CR142" s="14"/>
      <c r="CS142" s="14"/>
      <c r="CT142" s="14"/>
      <c r="CU142" s="14"/>
      <c r="CV142" s="180"/>
      <c r="CW142" s="189"/>
      <c r="CX142" s="189"/>
      <c r="CY142" s="14"/>
      <c r="CZ142" s="14"/>
      <c r="DA142" s="14"/>
      <c r="DB142" s="14"/>
      <c r="DC142" s="14"/>
      <c r="DD142" s="14"/>
      <c r="DE142" s="14"/>
      <c r="DF142" s="14"/>
      <c r="DG142" s="129"/>
      <c r="DH142" s="29"/>
      <c r="DI142" s="47"/>
      <c r="DJ142" s="29"/>
      <c r="DK142" s="14"/>
      <c r="DL142" s="14"/>
      <c r="DM142" s="27"/>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row>
    <row r="143" spans="1:142" x14ac:dyDescent="0.25">
      <c r="A143" s="14"/>
      <c r="B143" s="14"/>
      <c r="C143" s="14"/>
      <c r="D143" s="27"/>
      <c r="E143" s="14"/>
      <c r="F143" s="14"/>
      <c r="G143" s="14"/>
      <c r="H143" s="21"/>
      <c r="I143" s="21"/>
      <c r="J143" s="14"/>
      <c r="K143" s="19"/>
      <c r="L143" s="40"/>
      <c r="M143" s="40"/>
      <c r="N143" s="40"/>
      <c r="O143" s="40"/>
      <c r="P143" s="40"/>
      <c r="Q143" s="47"/>
      <c r="R143" s="19"/>
      <c r="S143" s="19"/>
      <c r="T143" s="19"/>
      <c r="U143" s="19"/>
      <c r="V143" s="19"/>
      <c r="W143" s="14"/>
      <c r="X143" s="14"/>
      <c r="Y143" s="14"/>
      <c r="Z143" s="14"/>
      <c r="AA143" s="19"/>
      <c r="AB143" s="19"/>
      <c r="AC143" s="19"/>
      <c r="AD143" s="65"/>
      <c r="AE143" s="63"/>
      <c r="AF143" s="352"/>
      <c r="AG143" s="19"/>
      <c r="AH143" s="19"/>
      <c r="AI143" s="19"/>
      <c r="AJ143" s="19"/>
      <c r="AK143" s="19"/>
      <c r="AL143" s="14"/>
      <c r="AM143" s="14"/>
      <c r="AN143" s="14"/>
      <c r="AO143" s="14"/>
      <c r="AP143" s="19"/>
      <c r="AQ143" s="19"/>
      <c r="AR143" s="19"/>
      <c r="AS143" s="65"/>
      <c r="AT143" s="63"/>
      <c r="AU143" s="352"/>
      <c r="AV143" s="14"/>
      <c r="AW143" s="19"/>
      <c r="AX143" s="19"/>
      <c r="AY143" s="19"/>
      <c r="AZ143" s="19"/>
      <c r="BA143" s="14"/>
      <c r="BB143" s="14"/>
      <c r="BC143" s="14"/>
      <c r="BD143" s="14"/>
      <c r="BE143" s="19"/>
      <c r="BF143" s="19"/>
      <c r="BG143" s="19"/>
      <c r="BH143" s="65"/>
      <c r="BI143" s="63"/>
      <c r="BJ143" s="352"/>
      <c r="BK143" s="19"/>
      <c r="BL143" s="19"/>
      <c r="BM143" s="19"/>
      <c r="BN143" s="19"/>
      <c r="BO143" s="19"/>
      <c r="BP143" s="14"/>
      <c r="BQ143" s="14"/>
      <c r="BR143" s="14"/>
      <c r="BS143" s="14"/>
      <c r="BT143" s="19"/>
      <c r="BU143" s="19"/>
      <c r="BV143" s="19"/>
      <c r="BW143" s="65"/>
      <c r="BX143" s="63"/>
      <c r="BY143" s="352"/>
      <c r="BZ143" s="14"/>
      <c r="CA143" s="14"/>
      <c r="CB143" s="21"/>
      <c r="CC143" s="21"/>
      <c r="CD143" s="180"/>
      <c r="CE143" s="180"/>
      <c r="CF143" s="21"/>
      <c r="CG143" s="14"/>
      <c r="CH143" s="14"/>
      <c r="CI143" s="14"/>
      <c r="CJ143" s="14"/>
      <c r="CK143" s="14"/>
      <c r="CL143" s="14"/>
      <c r="CM143" s="14"/>
      <c r="CN143" s="14"/>
      <c r="CO143" s="129"/>
      <c r="CP143" s="29"/>
      <c r="CQ143" s="47"/>
      <c r="CR143" s="14"/>
      <c r="CS143" s="14"/>
      <c r="CT143" s="14"/>
      <c r="CU143" s="14"/>
      <c r="CV143" s="180"/>
      <c r="CW143" s="189"/>
      <c r="CX143" s="189"/>
      <c r="CY143" s="14"/>
      <c r="CZ143" s="14"/>
      <c r="DA143" s="14"/>
      <c r="DB143" s="14"/>
      <c r="DC143" s="14"/>
      <c r="DD143" s="14"/>
      <c r="DE143" s="14"/>
      <c r="DF143" s="14"/>
      <c r="DG143" s="129"/>
      <c r="DH143" s="29"/>
      <c r="DI143" s="47"/>
      <c r="DJ143" s="29"/>
      <c r="DK143" s="14"/>
      <c r="DL143" s="14"/>
      <c r="DM143" s="27"/>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row>
    <row r="144" spans="1:142" ht="27.6" x14ac:dyDescent="0.25">
      <c r="A144" s="14"/>
      <c r="B144" s="14"/>
      <c r="C144" s="14"/>
      <c r="D144" s="27"/>
      <c r="E144" s="14"/>
      <c r="F144" s="14"/>
      <c r="G144" s="14"/>
      <c r="H144" s="21"/>
      <c r="I144" s="21"/>
      <c r="J144" s="14"/>
      <c r="K144" s="19"/>
      <c r="L144" s="40"/>
      <c r="M144" s="40"/>
      <c r="N144" s="40"/>
      <c r="O144" s="40"/>
      <c r="P144" s="40"/>
      <c r="Q144" s="47"/>
      <c r="R144" s="19"/>
      <c r="S144" s="19"/>
      <c r="T144" s="19"/>
      <c r="U144" s="19"/>
      <c r="V144" s="19"/>
      <c r="W144" s="14"/>
      <c r="X144" s="14"/>
      <c r="Y144" s="14"/>
      <c r="Z144" s="14"/>
      <c r="AA144" s="19"/>
      <c r="AB144" s="19"/>
      <c r="AC144" s="19"/>
      <c r="AD144" s="65"/>
      <c r="AE144" s="63"/>
      <c r="AF144" s="352"/>
      <c r="AG144" s="19"/>
      <c r="AH144" s="19"/>
      <c r="AI144" s="19"/>
      <c r="AJ144" s="19"/>
      <c r="AK144" s="19"/>
      <c r="AL144" s="14"/>
      <c r="AM144" s="14"/>
      <c r="AN144" s="14"/>
      <c r="AO144" s="14"/>
      <c r="AP144" s="19"/>
      <c r="AQ144" s="19"/>
      <c r="AR144" s="19"/>
      <c r="AS144" s="65"/>
      <c r="AT144" s="63"/>
      <c r="AU144" s="352"/>
      <c r="AV144" s="14"/>
      <c r="AW144" s="19"/>
      <c r="AX144" s="19"/>
      <c r="AY144" s="19"/>
      <c r="AZ144" s="19"/>
      <c r="BA144" s="14"/>
      <c r="BB144" s="14"/>
      <c r="BC144" s="14"/>
      <c r="BD144" s="14"/>
      <c r="BE144" s="19"/>
      <c r="BF144" s="19"/>
      <c r="BG144" s="19"/>
      <c r="BH144" s="65"/>
      <c r="BI144" s="63"/>
      <c r="BJ144" s="352"/>
      <c r="BK144" s="19"/>
      <c r="BL144" s="19"/>
      <c r="BM144" s="19"/>
      <c r="BN144" s="19"/>
      <c r="BO144" s="19"/>
      <c r="BP144" s="14"/>
      <c r="BQ144" s="14"/>
      <c r="BR144" s="14"/>
      <c r="BS144" s="14"/>
      <c r="BT144" s="19"/>
      <c r="BU144" s="19"/>
      <c r="BV144" s="19"/>
      <c r="BW144" s="65"/>
      <c r="BX144" s="63"/>
      <c r="BY144" s="352"/>
      <c r="BZ144" s="14"/>
      <c r="CA144" s="109" t="s">
        <v>14</v>
      </c>
      <c r="CB144" s="110" t="s">
        <v>164</v>
      </c>
      <c r="CC144" s="110" t="s">
        <v>149</v>
      </c>
      <c r="CD144" s="184" t="s">
        <v>150</v>
      </c>
      <c r="CE144" s="184" t="s">
        <v>151</v>
      </c>
      <c r="CF144" s="110" t="s">
        <v>152</v>
      </c>
      <c r="CG144" s="14"/>
      <c r="CH144" s="109"/>
      <c r="CI144" s="110" t="s">
        <v>5</v>
      </c>
      <c r="CJ144" s="110" t="s">
        <v>4</v>
      </c>
      <c r="CK144" s="110" t="s">
        <v>33</v>
      </c>
      <c r="CL144" s="110" t="s">
        <v>29</v>
      </c>
      <c r="CM144" s="110" t="s">
        <v>3</v>
      </c>
      <c r="CN144" s="110" t="s">
        <v>54</v>
      </c>
      <c r="CO144" s="328" t="s">
        <v>160</v>
      </c>
      <c r="CP144" s="29"/>
      <c r="CQ144" s="47"/>
      <c r="CR144" s="14"/>
      <c r="CS144" s="109" t="s">
        <v>14</v>
      </c>
      <c r="CT144" s="110" t="s">
        <v>164</v>
      </c>
      <c r="CU144" s="110" t="s">
        <v>149</v>
      </c>
      <c r="CV144" s="184" t="s">
        <v>150</v>
      </c>
      <c r="CW144" s="184" t="s">
        <v>151</v>
      </c>
      <c r="CX144" s="194" t="s">
        <v>152</v>
      </c>
      <c r="CY144" s="14"/>
      <c r="CZ144" s="109" t="s">
        <v>14</v>
      </c>
      <c r="DA144" s="110" t="s">
        <v>5</v>
      </c>
      <c r="DB144" s="110" t="s">
        <v>4</v>
      </c>
      <c r="DC144" s="110" t="s">
        <v>33</v>
      </c>
      <c r="DD144" s="110" t="s">
        <v>29</v>
      </c>
      <c r="DE144" s="110" t="s">
        <v>3</v>
      </c>
      <c r="DF144" s="110" t="s">
        <v>54</v>
      </c>
      <c r="DG144" s="328" t="s">
        <v>160</v>
      </c>
      <c r="DH144" s="29"/>
      <c r="DI144" s="47"/>
      <c r="DJ144" s="29"/>
      <c r="DK144" s="19"/>
      <c r="DL144" s="19"/>
      <c r="DM144" s="27"/>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row>
    <row r="145" spans="1:142" x14ac:dyDescent="0.25">
      <c r="A145" s="14"/>
      <c r="B145" s="14"/>
      <c r="C145" s="14"/>
      <c r="D145" s="21"/>
      <c r="E145" s="14"/>
      <c r="F145" s="14"/>
      <c r="G145" s="14"/>
      <c r="H145" s="21"/>
      <c r="I145" s="21"/>
      <c r="J145" s="14"/>
      <c r="K145" s="14"/>
      <c r="L145" s="14"/>
      <c r="M145" s="14"/>
      <c r="N145" s="14"/>
      <c r="O145" s="14"/>
      <c r="P145" s="14"/>
      <c r="Q145" s="47"/>
      <c r="R145" s="19"/>
      <c r="S145" s="19"/>
      <c r="T145" s="19"/>
      <c r="U145" s="19"/>
      <c r="V145" s="19"/>
      <c r="W145" s="14"/>
      <c r="X145" s="14"/>
      <c r="Y145" s="14"/>
      <c r="Z145" s="14"/>
      <c r="AA145" s="19"/>
      <c r="AB145" s="19"/>
      <c r="AC145" s="19"/>
      <c r="AD145" s="65"/>
      <c r="AE145" s="63"/>
      <c r="AF145" s="352"/>
      <c r="AG145" s="19"/>
      <c r="AH145" s="19"/>
      <c r="AI145" s="19"/>
      <c r="AJ145" s="19"/>
      <c r="AK145" s="19"/>
      <c r="AL145" s="14"/>
      <c r="AM145" s="14"/>
      <c r="AN145" s="14"/>
      <c r="AO145" s="14"/>
      <c r="AP145" s="19"/>
      <c r="AQ145" s="19"/>
      <c r="AR145" s="19"/>
      <c r="AS145" s="65"/>
      <c r="AT145" s="63"/>
      <c r="AU145" s="352"/>
      <c r="AV145" s="14"/>
      <c r="AW145" s="19"/>
      <c r="AX145" s="19"/>
      <c r="AY145" s="19"/>
      <c r="AZ145" s="19"/>
      <c r="BA145" s="14"/>
      <c r="BB145" s="14"/>
      <c r="BC145" s="14"/>
      <c r="BD145" s="14"/>
      <c r="BE145" s="19"/>
      <c r="BF145" s="19"/>
      <c r="BG145" s="19"/>
      <c r="BH145" s="65"/>
      <c r="BI145" s="63"/>
      <c r="BJ145" s="352"/>
      <c r="BK145" s="19"/>
      <c r="BL145" s="19"/>
      <c r="BM145" s="19"/>
      <c r="BN145" s="19"/>
      <c r="BO145" s="19"/>
      <c r="BP145" s="14"/>
      <c r="BQ145" s="14"/>
      <c r="BR145" s="14"/>
      <c r="BS145" s="14"/>
      <c r="BT145" s="19"/>
      <c r="BU145" s="19"/>
      <c r="BV145" s="19"/>
      <c r="BW145" s="65"/>
      <c r="BX145" s="63"/>
      <c r="BY145" s="352"/>
      <c r="BZ145" s="14"/>
      <c r="CA145" s="140" t="s">
        <v>701</v>
      </c>
      <c r="CB145" s="27">
        <f>COUNTIFS(S30_stakeholder_category,"NB",Response_Q177_1,"&lt;&gt;0",Response_Q173_1,"&lt;&gt;0")</f>
        <v>1</v>
      </c>
      <c r="CC145" s="37">
        <f>COUNTIFS(S30_stakeholder_category,"NB",Response_Q177_1,1,Response_Q173_1,"&lt;&gt;""0")</f>
        <v>1</v>
      </c>
      <c r="CD145" s="37">
        <f>COUNTIFS(S30_stakeholder_category,"NB",Response_Q177_1,2,Response_Q173_1,"&lt;&gt;""0")</f>
        <v>0</v>
      </c>
      <c r="CE145" s="37">
        <f>COUNTIFS(S30_stakeholder_category,"NB",Response_Q177_1,3,Response_Q173_1,"&lt;&gt;""0")</f>
        <v>0</v>
      </c>
      <c r="CF145" s="97">
        <f>IF(CB139=0,0,SUMPRODUCT(CC145:CE145,Rank_score)/$CB139)</f>
        <v>1.5</v>
      </c>
      <c r="CG145" s="14"/>
      <c r="CH145" s="140" t="s">
        <v>701</v>
      </c>
      <c r="CI145" s="27">
        <f t="shared" ref="CI145:CN145" si="91">COUNTIFS(S30_stakeholder_category,"NB",Response_Q177_1,"&lt;&gt;0",Response_Q177_2,CI$63,Response_Q173_1,"&lt;&gt;0")</f>
        <v>0</v>
      </c>
      <c r="CJ145" s="27">
        <f t="shared" si="91"/>
        <v>0</v>
      </c>
      <c r="CK145" s="27">
        <f t="shared" si="91"/>
        <v>0</v>
      </c>
      <c r="CL145" s="27">
        <f t="shared" si="91"/>
        <v>0</v>
      </c>
      <c r="CM145" s="27">
        <f t="shared" si="91"/>
        <v>0</v>
      </c>
      <c r="CN145" s="27">
        <f t="shared" si="91"/>
        <v>0</v>
      </c>
      <c r="CO145" s="141" t="str">
        <f t="shared" ref="CO145:CO151" si="92">IF(ISBLANK(CH145),"",IF(CF145=0,not_ranked,IF(SUM(CI145:CN145)=0,not_estimated,IFERROR(SUMPRODUCT(CI145:CN145,Likekihood_score)/SUM(CI145:CN145),0))))</f>
        <v>Ranked, but likelihood not estimated</v>
      </c>
      <c r="CP145" s="29"/>
      <c r="CQ145" s="47"/>
      <c r="CR145" s="14"/>
      <c r="CS145" s="140" t="s">
        <v>373</v>
      </c>
      <c r="CT145" s="27">
        <f>COUNTIFS(S30_stakeholder_category,"NB",Response_Q178_1,"&lt;&gt;0",Response_Q173_1,"&lt;&gt;0")</f>
        <v>1</v>
      </c>
      <c r="CU145" s="37">
        <f>COUNTIFS(S30_stakeholder_category,"NB",Response_Q178_1,1,Response_Q173_1,"&lt;&gt;0")</f>
        <v>1</v>
      </c>
      <c r="CV145" s="37">
        <f>COUNTIFS(S30_stakeholder_category,"NB",Response_Q178_1,2,Response_Q173_1,"&lt;&gt;0")</f>
        <v>0</v>
      </c>
      <c r="CW145" s="37">
        <f>COUNTIFS(S30_stakeholder_category,"NB",Response_Q178_1,3,Response_Q173_1,"&lt;&gt;0")</f>
        <v>0</v>
      </c>
      <c r="CX145" s="37">
        <f>IF(CT139=0,0,SUMPRODUCT(CU145:CW145,Rank_score)/CT$58)</f>
        <v>1.5</v>
      </c>
      <c r="CY145" s="14"/>
      <c r="CZ145" s="140" t="s">
        <v>373</v>
      </c>
      <c r="DA145" s="27">
        <f t="shared" ref="DA145:DF145" si="93">COUNTIFS(S30_stakeholder_category,"NB",Response_Q178_1,"&lt;&gt;0",Response_Q178_2,DA$63,Response_Q173_1,"&lt;&gt;0")</f>
        <v>0</v>
      </c>
      <c r="DB145" s="27">
        <f t="shared" si="93"/>
        <v>0</v>
      </c>
      <c r="DC145" s="27">
        <f t="shared" si="93"/>
        <v>0</v>
      </c>
      <c r="DD145" s="27">
        <f t="shared" si="93"/>
        <v>0</v>
      </c>
      <c r="DE145" s="27">
        <f t="shared" si="93"/>
        <v>0</v>
      </c>
      <c r="DF145" s="27">
        <f t="shared" si="93"/>
        <v>0</v>
      </c>
      <c r="DG145" s="141" t="str">
        <f t="shared" ref="DG145:DG152" si="94">IF(ISBLANK(CZ145),"",IF(CX145=0,not_ranked,IF(SUM(DA145:DF145)=0,not_estimated,IFERROR(SUMPRODUCT(DA145:DF145,Likekihood_score)/SUM(DA145:DF145),0))))</f>
        <v>Ranked, but likelihood not estimated</v>
      </c>
      <c r="DH145" s="29"/>
      <c r="DI145" s="47"/>
      <c r="DJ145" s="29"/>
      <c r="DK145" s="19"/>
      <c r="DL145" s="19"/>
      <c r="DM145" s="14"/>
      <c r="DN145" s="14"/>
      <c r="DO145" s="14"/>
      <c r="DP145" s="14"/>
      <c r="DQ145" s="14"/>
      <c r="DR145" s="13"/>
      <c r="DS145" s="13"/>
      <c r="DT145" s="14"/>
      <c r="DU145" s="14"/>
      <c r="DV145" s="14"/>
      <c r="DW145" s="14"/>
      <c r="DX145" s="14"/>
      <c r="DY145" s="14"/>
      <c r="DZ145" s="14"/>
      <c r="EA145" s="14"/>
      <c r="EB145" s="14"/>
      <c r="EC145" s="14"/>
      <c r="ED145" s="14"/>
      <c r="EE145" s="14"/>
      <c r="EF145" s="14"/>
      <c r="EG145" s="14"/>
      <c r="EH145" s="14"/>
      <c r="EI145" s="14"/>
      <c r="EJ145" s="14"/>
      <c r="EK145" s="14"/>
      <c r="EL145" s="14"/>
    </row>
    <row r="146" spans="1:142" ht="14.4" x14ac:dyDescent="0.25">
      <c r="A146" s="14"/>
      <c r="B146" s="60"/>
      <c r="C146" s="19"/>
      <c r="D146" s="59"/>
      <c r="E146" s="14"/>
      <c r="F146" s="14"/>
      <c r="G146" s="14"/>
      <c r="H146" s="21"/>
      <c r="I146" s="21"/>
      <c r="J146" s="14"/>
      <c r="K146" s="14"/>
      <c r="L146" s="14"/>
      <c r="M146" s="14"/>
      <c r="N146" s="14"/>
      <c r="O146" s="14"/>
      <c r="P146" s="14"/>
      <c r="Q146" s="47"/>
      <c r="R146" s="19"/>
      <c r="S146" s="19"/>
      <c r="T146" s="19"/>
      <c r="U146" s="19"/>
      <c r="V146" s="19"/>
      <c r="W146" s="14"/>
      <c r="X146" s="14"/>
      <c r="Y146" s="14"/>
      <c r="Z146" s="14"/>
      <c r="AA146" s="19"/>
      <c r="AB146" s="19"/>
      <c r="AC146" s="19"/>
      <c r="AD146" s="65"/>
      <c r="AE146" s="63"/>
      <c r="AF146" s="352"/>
      <c r="AG146" s="19"/>
      <c r="AH146" s="19"/>
      <c r="AI146" s="19"/>
      <c r="AJ146" s="19"/>
      <c r="AK146" s="19"/>
      <c r="AL146" s="14"/>
      <c r="AM146" s="14"/>
      <c r="AN146" s="14"/>
      <c r="AO146" s="14"/>
      <c r="AP146" s="19"/>
      <c r="AQ146" s="19"/>
      <c r="AR146" s="19"/>
      <c r="AS146" s="65"/>
      <c r="AT146" s="63"/>
      <c r="AU146" s="352"/>
      <c r="AV146" s="14"/>
      <c r="AW146" s="19"/>
      <c r="AX146" s="19"/>
      <c r="AY146" s="19"/>
      <c r="AZ146" s="19"/>
      <c r="BA146" s="14"/>
      <c r="BB146" s="14"/>
      <c r="BC146" s="14"/>
      <c r="BD146" s="14"/>
      <c r="BE146" s="19"/>
      <c r="BF146" s="19"/>
      <c r="BG146" s="19"/>
      <c r="BH146" s="65"/>
      <c r="BI146" s="63"/>
      <c r="BJ146" s="352"/>
      <c r="BK146" s="19"/>
      <c r="BL146" s="19"/>
      <c r="BM146" s="19"/>
      <c r="BN146" s="19"/>
      <c r="BO146" s="19"/>
      <c r="BP146" s="14"/>
      <c r="BQ146" s="14"/>
      <c r="BR146" s="14"/>
      <c r="BS146" s="14"/>
      <c r="BT146" s="19"/>
      <c r="BU146" s="19"/>
      <c r="BV146" s="19"/>
      <c r="BW146" s="65"/>
      <c r="BX146" s="63"/>
      <c r="BY146" s="352"/>
      <c r="BZ146" s="14"/>
      <c r="CA146" s="140" t="s">
        <v>344</v>
      </c>
      <c r="CB146" s="27">
        <f>COUNTIFS(S30_stakeholder_category,"NB",Response_Q177_3,"&lt;&gt;0",Response_Q173_1,"&lt;&gt;0")</f>
        <v>1</v>
      </c>
      <c r="CC146" s="37">
        <f>COUNTIFS(S30_stakeholder_category,"NB",Response_Q177_3,1,Response_Q173_1,"&lt;&gt;0")</f>
        <v>0</v>
      </c>
      <c r="CD146" s="37">
        <f>COUNTIFS(S30_stakeholder_category,"NB",Response_Q177_3,2,Response_Q173_1,"&lt;&gt;0")</f>
        <v>1</v>
      </c>
      <c r="CE146" s="37">
        <f>COUNTIFS(S30_stakeholder_category,"NB",Response_Q177_3,3,Response_Q173_1,"&lt;&gt;0")</f>
        <v>0</v>
      </c>
      <c r="CF146" s="97">
        <f>IF(CB139=0,0,SUMPRODUCT(CC146:CE146,Rank_score)/$CB139)</f>
        <v>1</v>
      </c>
      <c r="CG146" s="14"/>
      <c r="CH146" s="140" t="s">
        <v>344</v>
      </c>
      <c r="CI146" s="27">
        <f t="shared" ref="CI146:CN146" si="95">COUNTIFS(S30_stakeholder_category,"NB",Response_Q177_3,"&lt;&gt;0",Response_Q177_4,CI$63,Response_Q173_1,"&lt;&gt;0")</f>
        <v>0</v>
      </c>
      <c r="CJ146" s="27">
        <f t="shared" si="95"/>
        <v>0</v>
      </c>
      <c r="CK146" s="27">
        <f t="shared" si="95"/>
        <v>0</v>
      </c>
      <c r="CL146" s="27">
        <f t="shared" si="95"/>
        <v>0</v>
      </c>
      <c r="CM146" s="27">
        <f t="shared" si="95"/>
        <v>1</v>
      </c>
      <c r="CN146" s="27">
        <f t="shared" si="95"/>
        <v>0</v>
      </c>
      <c r="CO146" s="141">
        <f t="shared" si="92"/>
        <v>5</v>
      </c>
      <c r="CP146" s="14"/>
      <c r="CQ146" s="47"/>
      <c r="CR146" s="14"/>
      <c r="CS146" s="140" t="s">
        <v>338</v>
      </c>
      <c r="CT146" s="27">
        <f>COUNTIFS(S30_stakeholder_category,"NB",Response_Q178_3,"&lt;&gt;0",Response_Q173_1,"&lt;&gt;0")</f>
        <v>0</v>
      </c>
      <c r="CU146" s="37">
        <f>COUNTIFS(S30_stakeholder_category,"NB",Response_Q178_3,1,Response_Q173_1,"&lt;&gt;0")</f>
        <v>0</v>
      </c>
      <c r="CV146" s="37">
        <f>COUNTIFS(S30_stakeholder_category,"NB",Response_Q178_3,2,Response_Q173_1,"&lt;&gt;0")</f>
        <v>0</v>
      </c>
      <c r="CW146" s="37">
        <f>COUNTIFS(S30_stakeholder_category,"NB",Response_Q178_3,3,Response_Q173_1,"&lt;&gt;0")</f>
        <v>0</v>
      </c>
      <c r="CX146" s="37">
        <f>IF(CT139=0,0,SUMPRODUCT(CU146:CW146,Rank_score)/CT$58)</f>
        <v>0</v>
      </c>
      <c r="CY146" s="14"/>
      <c r="CZ146" s="140" t="s">
        <v>338</v>
      </c>
      <c r="DA146" s="27">
        <f t="shared" ref="DA146:DF146" si="96">COUNTIFS(S30_stakeholder_category,"NB",Response_Q178_3,"&lt;&gt;0",Response_Q178_4,DA$63,Response_Q173_1,"&lt;&gt;0")</f>
        <v>0</v>
      </c>
      <c r="DB146" s="27">
        <f t="shared" si="96"/>
        <v>0</v>
      </c>
      <c r="DC146" s="27">
        <f t="shared" si="96"/>
        <v>0</v>
      </c>
      <c r="DD146" s="27">
        <f t="shared" si="96"/>
        <v>0</v>
      </c>
      <c r="DE146" s="27">
        <f t="shared" si="96"/>
        <v>0</v>
      </c>
      <c r="DF146" s="27">
        <f t="shared" si="96"/>
        <v>0</v>
      </c>
      <c r="DG146" s="141" t="str">
        <f t="shared" si="94"/>
        <v>Factor not ranked</v>
      </c>
      <c r="DH146" s="14"/>
      <c r="DI146" s="47"/>
      <c r="DJ146" s="14"/>
      <c r="DK146" s="56"/>
      <c r="DL146" s="29"/>
      <c r="DM146" s="59"/>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row>
    <row r="147" spans="1:142" x14ac:dyDescent="0.25">
      <c r="A147" s="14"/>
      <c r="B147" s="62"/>
      <c r="C147" s="19"/>
      <c r="D147" s="59"/>
      <c r="E147" s="14"/>
      <c r="F147" s="14"/>
      <c r="G147" s="14"/>
      <c r="H147" s="21"/>
      <c r="I147" s="21"/>
      <c r="J147" s="14"/>
      <c r="K147" s="14"/>
      <c r="L147" s="14"/>
      <c r="M147" s="14"/>
      <c r="N147" s="14"/>
      <c r="O147" s="14"/>
      <c r="P147" s="14"/>
      <c r="Q147" s="47"/>
      <c r="R147" s="19"/>
      <c r="S147" s="19"/>
      <c r="T147" s="19"/>
      <c r="U147" s="19"/>
      <c r="V147" s="19"/>
      <c r="W147" s="14"/>
      <c r="X147" s="14"/>
      <c r="Y147" s="14"/>
      <c r="Z147" s="13"/>
      <c r="AA147" s="13"/>
      <c r="AB147" s="13"/>
      <c r="AC147" s="13"/>
      <c r="AD147" s="65"/>
      <c r="AE147" s="63"/>
      <c r="AF147" s="352"/>
      <c r="AG147" s="19"/>
      <c r="AH147" s="19"/>
      <c r="AI147" s="19"/>
      <c r="AJ147" s="19"/>
      <c r="AK147" s="19"/>
      <c r="AL147" s="14"/>
      <c r="AM147" s="14"/>
      <c r="AN147" s="14"/>
      <c r="AO147" s="13"/>
      <c r="AP147" s="13"/>
      <c r="AQ147" s="13"/>
      <c r="AR147" s="13"/>
      <c r="AS147" s="65"/>
      <c r="AT147" s="63"/>
      <c r="AU147" s="352"/>
      <c r="AV147" s="14"/>
      <c r="AW147" s="19"/>
      <c r="AX147" s="19"/>
      <c r="AY147" s="19"/>
      <c r="AZ147" s="19"/>
      <c r="BA147" s="14"/>
      <c r="BB147" s="14"/>
      <c r="BC147" s="14"/>
      <c r="BD147" s="13"/>
      <c r="BE147" s="13"/>
      <c r="BF147" s="13"/>
      <c r="BG147" s="13"/>
      <c r="BH147" s="65"/>
      <c r="BI147" s="63"/>
      <c r="BJ147" s="352"/>
      <c r="BK147" s="19"/>
      <c r="BL147" s="19"/>
      <c r="BM147" s="19"/>
      <c r="BN147" s="19"/>
      <c r="BO147" s="19"/>
      <c r="BP147" s="14"/>
      <c r="BQ147" s="14"/>
      <c r="BR147" s="14"/>
      <c r="BS147" s="13"/>
      <c r="BT147" s="13"/>
      <c r="BU147" s="13"/>
      <c r="BV147" s="13"/>
      <c r="BW147" s="65"/>
      <c r="BX147" s="63"/>
      <c r="BY147" s="352"/>
      <c r="BZ147" s="14"/>
      <c r="CA147" s="140" t="s">
        <v>146</v>
      </c>
      <c r="CB147" s="27">
        <f>COUNTIFS(S30_stakeholder_category,"NB",Response_Q177_5,"&lt;&gt;0",Response_Q173_1,"&lt;&gt;0")</f>
        <v>0</v>
      </c>
      <c r="CC147" s="37">
        <f>COUNTIFS(S30_stakeholder_category,"NB",Response_Q177_5,1,Response_Q173_1,"&lt;&gt;0")</f>
        <v>0</v>
      </c>
      <c r="CD147" s="37">
        <f>COUNTIFS(S30_stakeholder_category,"NB",Response_Q177_5,2,Response_Q173_1,"&lt;&gt;0")</f>
        <v>0</v>
      </c>
      <c r="CE147" s="37">
        <f>COUNTIFS(S30_stakeholder_category,"NB",Response_Q177_5,3,Response_Q173_1,"&lt;&gt;0")</f>
        <v>0</v>
      </c>
      <c r="CF147" s="97">
        <f>IF(CB139=0,0,SUMPRODUCT(CC147:CE147,Rank_score)/$CB139)</f>
        <v>0</v>
      </c>
      <c r="CG147" s="14"/>
      <c r="CH147" s="140" t="s">
        <v>146</v>
      </c>
      <c r="CI147" s="27">
        <f t="shared" ref="CI147:CN147" si="97">COUNTIFS(S30_stakeholder_category,"NB",Response_Q177_5,"&lt;&gt;0",Response_Q177_6,CI$63,Response_Q173_1,"&lt;&gt;0")</f>
        <v>0</v>
      </c>
      <c r="CJ147" s="27">
        <f t="shared" si="97"/>
        <v>0</v>
      </c>
      <c r="CK147" s="27">
        <f t="shared" si="97"/>
        <v>0</v>
      </c>
      <c r="CL147" s="27">
        <f t="shared" si="97"/>
        <v>0</v>
      </c>
      <c r="CM147" s="27">
        <f t="shared" si="97"/>
        <v>0</v>
      </c>
      <c r="CN147" s="27">
        <f t="shared" si="97"/>
        <v>0</v>
      </c>
      <c r="CO147" s="141" t="str">
        <f t="shared" si="92"/>
        <v>Factor not ranked</v>
      </c>
      <c r="CP147" s="14"/>
      <c r="CQ147" s="47"/>
      <c r="CR147" s="14"/>
      <c r="CS147" s="106" t="s">
        <v>339</v>
      </c>
      <c r="CT147" s="27">
        <f>COUNTIFS(S30_stakeholder_category,"NB",Response_Q178_5,"&lt;&gt;0",Response_Q173_1,"&lt;&gt;0")</f>
        <v>0</v>
      </c>
      <c r="CU147" s="37">
        <f>COUNTIFS(S30_stakeholder_category,"NB",Response_Q178_5,1,Response_Q173_1,"&lt;&gt;0")</f>
        <v>0</v>
      </c>
      <c r="CV147" s="37">
        <f>COUNTIFS(S30_stakeholder_category,"NB",Response_Q178_5,2,Response_Q173_1,"&lt;&gt;0")</f>
        <v>0</v>
      </c>
      <c r="CW147" s="37">
        <f>COUNTIFS(S30_stakeholder_category,"NB",Response_Q178_5,3,Response_Q173_1,"&lt;&gt;0")</f>
        <v>0</v>
      </c>
      <c r="CX147" s="37">
        <f>IF(CT139=0,0,SUMPRODUCT(CU147:CW147,Rank_score)/CT$58)</f>
        <v>0</v>
      </c>
      <c r="CY147" s="14"/>
      <c r="CZ147" s="106" t="s">
        <v>339</v>
      </c>
      <c r="DA147" s="27">
        <f t="shared" ref="DA147:DF147" si="98">COUNTIFS(S30_stakeholder_category,"NB",Response_Q178_5,"&lt;&gt;0",Response_Q178_6,DA$63,Response_Q173_1,"&lt;&gt;0")</f>
        <v>0</v>
      </c>
      <c r="DB147" s="27">
        <f t="shared" si="98"/>
        <v>0</v>
      </c>
      <c r="DC147" s="27">
        <f t="shared" si="98"/>
        <v>0</v>
      </c>
      <c r="DD147" s="27">
        <f t="shared" si="98"/>
        <v>0</v>
      </c>
      <c r="DE147" s="27">
        <f t="shared" si="98"/>
        <v>0</v>
      </c>
      <c r="DF147" s="27">
        <f t="shared" si="98"/>
        <v>0</v>
      </c>
      <c r="DG147" s="141" t="str">
        <f t="shared" si="94"/>
        <v>Factor not ranked</v>
      </c>
      <c r="DH147" s="14"/>
      <c r="DI147" s="47"/>
      <c r="DJ147" s="14"/>
      <c r="DK147" s="56"/>
      <c r="DL147" s="19"/>
      <c r="DM147" s="59"/>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row>
    <row r="148" spans="1:142" x14ac:dyDescent="0.25">
      <c r="A148" s="14"/>
      <c r="B148" s="62"/>
      <c r="C148" s="19"/>
      <c r="D148" s="59"/>
      <c r="E148" s="14"/>
      <c r="F148" s="14"/>
      <c r="G148" s="14"/>
      <c r="H148" s="21"/>
      <c r="I148" s="21"/>
      <c r="J148" s="14"/>
      <c r="K148" s="14"/>
      <c r="L148" s="14"/>
      <c r="M148" s="14"/>
      <c r="N148" s="14"/>
      <c r="O148" s="14"/>
      <c r="P148" s="14"/>
      <c r="Q148" s="47"/>
      <c r="R148" s="19"/>
      <c r="S148" s="19"/>
      <c r="T148" s="14"/>
      <c r="U148" s="14"/>
      <c r="V148" s="14"/>
      <c r="W148" s="14"/>
      <c r="X148" s="14"/>
      <c r="Y148" s="14"/>
      <c r="Z148" s="14"/>
      <c r="AA148" s="14"/>
      <c r="AB148" s="14"/>
      <c r="AC148" s="14"/>
      <c r="AD148" s="65"/>
      <c r="AE148" s="63"/>
      <c r="AF148" s="352"/>
      <c r="AG148" s="19"/>
      <c r="AH148" s="19"/>
      <c r="AI148" s="14"/>
      <c r="AJ148" s="14"/>
      <c r="AK148" s="14"/>
      <c r="AL148" s="14"/>
      <c r="AM148" s="14"/>
      <c r="AN148" s="14"/>
      <c r="AO148" s="14"/>
      <c r="AP148" s="14"/>
      <c r="AQ148" s="14"/>
      <c r="AR148" s="14"/>
      <c r="AS148" s="65"/>
      <c r="AT148" s="63"/>
      <c r="AU148" s="352"/>
      <c r="AV148" s="14"/>
      <c r="AW148" s="19"/>
      <c r="AX148" s="14"/>
      <c r="AY148" s="14"/>
      <c r="AZ148" s="14"/>
      <c r="BA148" s="14"/>
      <c r="BB148" s="14"/>
      <c r="BC148" s="14"/>
      <c r="BD148" s="14"/>
      <c r="BE148" s="14"/>
      <c r="BF148" s="14"/>
      <c r="BG148" s="14"/>
      <c r="BH148" s="65"/>
      <c r="BI148" s="63"/>
      <c r="BJ148" s="352"/>
      <c r="BK148" s="19"/>
      <c r="BL148" s="19"/>
      <c r="BM148" s="14"/>
      <c r="BN148" s="14"/>
      <c r="BO148" s="14"/>
      <c r="BP148" s="14"/>
      <c r="BQ148" s="14"/>
      <c r="BR148" s="14"/>
      <c r="BS148" s="14"/>
      <c r="BT148" s="14"/>
      <c r="BU148" s="14"/>
      <c r="BV148" s="14"/>
      <c r="BW148" s="65"/>
      <c r="BX148" s="63"/>
      <c r="BY148" s="352"/>
      <c r="BZ148" s="14"/>
      <c r="CA148" s="140" t="s">
        <v>147</v>
      </c>
      <c r="CB148" s="27">
        <f>COUNTIFS(S30_stakeholder_category,"NB",Response_Q177_7,"&lt;&gt;0",Response_Q173_1,"&lt;&gt;0")</f>
        <v>2</v>
      </c>
      <c r="CC148" s="37">
        <f>COUNTIFS(S30_stakeholder_category,"NB",Response_Q177_7,1,Response_Q173_1,"&lt;&gt;0")</f>
        <v>0</v>
      </c>
      <c r="CD148" s="37">
        <f>COUNTIFS(S30_stakeholder_category,"NB",Response_Q177_7,2,Response_Q173_1,"&lt;&gt;0")</f>
        <v>1</v>
      </c>
      <c r="CE148" s="37">
        <f>COUNTIFS(S30_stakeholder_category,"NB",Response_Q177_7,3,Response_Q173_1,"&lt;&gt;0")</f>
        <v>1</v>
      </c>
      <c r="CF148" s="97">
        <f>IF(CB139=0,0,SUMPRODUCT(CC148:CE148,Rank_score)/$CB139)</f>
        <v>1.5</v>
      </c>
      <c r="CG148" s="14"/>
      <c r="CH148" s="140" t="s">
        <v>147</v>
      </c>
      <c r="CI148" s="27">
        <f t="shared" ref="CI148:CN148" si="99">COUNTIFS(S30_stakeholder_category,"NB",Response_Q177_7,"&lt;&gt;0",Response_Q177_8,CI$63,Response_Q173_1,"&lt;&gt;0")</f>
        <v>0</v>
      </c>
      <c r="CJ148" s="27">
        <f t="shared" si="99"/>
        <v>0</v>
      </c>
      <c r="CK148" s="27">
        <f t="shared" si="99"/>
        <v>0</v>
      </c>
      <c r="CL148" s="27">
        <f t="shared" si="99"/>
        <v>1</v>
      </c>
      <c r="CM148" s="27">
        <f t="shared" si="99"/>
        <v>0</v>
      </c>
      <c r="CN148" s="27">
        <f t="shared" si="99"/>
        <v>0</v>
      </c>
      <c r="CO148" s="141">
        <f t="shared" si="92"/>
        <v>4</v>
      </c>
      <c r="CP148" s="14"/>
      <c r="CQ148" s="47"/>
      <c r="CR148" s="14"/>
      <c r="CS148" s="106" t="s">
        <v>345</v>
      </c>
      <c r="CT148" s="27">
        <f>COUNTIFS(S30_stakeholder_category,"NB",Response_Q178_7,"&lt;&gt;0",Response_Q173_1,"&lt;&gt;0")</f>
        <v>0</v>
      </c>
      <c r="CU148" s="37">
        <f>COUNTIFS(S30_stakeholder_category,"NB",Response_Q178_7,1,Response_Q173_1,"&lt;&gt;0")</f>
        <v>0</v>
      </c>
      <c r="CV148" s="37">
        <f>COUNTIFS(S30_stakeholder_category,"NB",Response_Q178_7,2,Response_Q173_1,"&lt;&gt;0")</f>
        <v>0</v>
      </c>
      <c r="CW148" s="37">
        <f>COUNTIFS(S30_stakeholder_category,"NB",Response_Q178_7,3,Response_Q173_1,"&lt;&gt;0")</f>
        <v>0</v>
      </c>
      <c r="CX148" s="37">
        <f>IF(CT139=0,0,SUMPRODUCT(CU148:CW148,Rank_score)/CT$58)</f>
        <v>0</v>
      </c>
      <c r="CY148" s="14"/>
      <c r="CZ148" s="106" t="s">
        <v>345</v>
      </c>
      <c r="DA148" s="27">
        <f t="shared" ref="DA148:DF148" si="100">COUNTIFS(S30_stakeholder_category,"NB",Response_Q178_7,"&lt;&gt;0",Response_Q178_8,DA$63,Response_Q173_1,"&lt;&gt;0")</f>
        <v>0</v>
      </c>
      <c r="DB148" s="27">
        <f t="shared" si="100"/>
        <v>0</v>
      </c>
      <c r="DC148" s="27">
        <f t="shared" si="100"/>
        <v>0</v>
      </c>
      <c r="DD148" s="27">
        <f t="shared" si="100"/>
        <v>0</v>
      </c>
      <c r="DE148" s="27">
        <f t="shared" si="100"/>
        <v>0</v>
      </c>
      <c r="DF148" s="27">
        <f t="shared" si="100"/>
        <v>0</v>
      </c>
      <c r="DG148" s="141" t="str">
        <f t="shared" si="94"/>
        <v>Factor not ranked</v>
      </c>
      <c r="DH148" s="14"/>
      <c r="DI148" s="47"/>
      <c r="DJ148" s="14"/>
      <c r="DK148" s="14"/>
      <c r="DL148" s="19"/>
      <c r="DM148" s="59"/>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row>
    <row r="149" spans="1:142" x14ac:dyDescent="0.25">
      <c r="A149" s="14"/>
      <c r="B149" s="19"/>
      <c r="C149" s="19"/>
      <c r="D149" s="59"/>
      <c r="E149" s="14"/>
      <c r="F149" s="14"/>
      <c r="G149" s="14"/>
      <c r="H149" s="21"/>
      <c r="I149" s="21"/>
      <c r="J149" s="14"/>
      <c r="K149" s="14"/>
      <c r="L149" s="14"/>
      <c r="M149" s="14"/>
      <c r="N149" s="14"/>
      <c r="O149" s="14"/>
      <c r="P149" s="14"/>
      <c r="Q149" s="47"/>
      <c r="R149" s="19"/>
      <c r="S149" s="19"/>
      <c r="T149" s="19"/>
      <c r="U149" s="15"/>
      <c r="V149" s="14"/>
      <c r="W149" s="14"/>
      <c r="X149" s="14"/>
      <c r="Y149" s="14"/>
      <c r="Z149" s="14"/>
      <c r="AA149" s="14"/>
      <c r="AB149" s="14"/>
      <c r="AC149" s="14"/>
      <c r="AD149" s="65"/>
      <c r="AE149" s="63"/>
      <c r="AF149" s="352"/>
      <c r="AG149" s="19"/>
      <c r="AH149" s="19"/>
      <c r="AI149" s="19"/>
      <c r="AJ149" s="15"/>
      <c r="AK149" s="14"/>
      <c r="AL149" s="14"/>
      <c r="AM149" s="14"/>
      <c r="AN149" s="14"/>
      <c r="AO149" s="14"/>
      <c r="AP149" s="14"/>
      <c r="AQ149" s="14"/>
      <c r="AR149" s="14"/>
      <c r="AS149" s="65"/>
      <c r="AT149" s="63"/>
      <c r="AU149" s="352"/>
      <c r="AV149" s="14"/>
      <c r="AW149" s="19"/>
      <c r="AX149" s="19"/>
      <c r="AY149" s="15"/>
      <c r="AZ149" s="14"/>
      <c r="BA149" s="14"/>
      <c r="BB149" s="14"/>
      <c r="BC149" s="14"/>
      <c r="BD149" s="14"/>
      <c r="BE149" s="14"/>
      <c r="BF149" s="14"/>
      <c r="BG149" s="14"/>
      <c r="BH149" s="65"/>
      <c r="BI149" s="63"/>
      <c r="BJ149" s="352"/>
      <c r="BK149" s="19"/>
      <c r="BL149" s="19"/>
      <c r="BM149" s="19"/>
      <c r="BN149" s="15"/>
      <c r="BO149" s="14"/>
      <c r="BP149" s="14"/>
      <c r="BQ149" s="14"/>
      <c r="BR149" s="14"/>
      <c r="BS149" s="14"/>
      <c r="BT149" s="14"/>
      <c r="BU149" s="14"/>
      <c r="BV149" s="14"/>
      <c r="BW149" s="65"/>
      <c r="BX149" s="63"/>
      <c r="BY149" s="352"/>
      <c r="BZ149" s="14"/>
      <c r="CA149" s="140" t="s">
        <v>341</v>
      </c>
      <c r="CB149" s="27">
        <f>COUNTIFS(S30_stakeholder_category,"NB",Response_Q177_9,"&lt;&gt;0",Response_Q173_1,"&lt;&gt;0")</f>
        <v>1</v>
      </c>
      <c r="CC149" s="37">
        <f>COUNTIFS(S30_stakeholder_category,"NB",Response_Q177_9,1,Response_Q173_1,"&lt;&gt;0")</f>
        <v>0</v>
      </c>
      <c r="CD149" s="37">
        <f>COUNTIFS(S30_stakeholder_category,"NB",Response_Q177_9,2,Response_Q173_1,"&lt;&gt;0")</f>
        <v>0</v>
      </c>
      <c r="CE149" s="37">
        <f>COUNTIFS(S30_stakeholder_category,"NB",Response_Q177_9,3,Response_Q173_1,"&lt;&gt;0")</f>
        <v>1</v>
      </c>
      <c r="CF149" s="97">
        <f>IF(CB139=0,0,SUMPRODUCT(CC149:CE149,Rank_score)/$CB139)</f>
        <v>0.5</v>
      </c>
      <c r="CG149" s="14"/>
      <c r="CH149" s="140" t="s">
        <v>341</v>
      </c>
      <c r="CI149" s="27">
        <f t="shared" ref="CI149:CN149" si="101">COUNTIFS(S30_stakeholder_category,"NB",Response_Q177_9,"&lt;&gt;0",Response_Q177_10,CI$63,Response_Q173_1,"&lt;&gt;0")</f>
        <v>0</v>
      </c>
      <c r="CJ149" s="27">
        <f t="shared" si="101"/>
        <v>0</v>
      </c>
      <c r="CK149" s="27">
        <f t="shared" si="101"/>
        <v>0</v>
      </c>
      <c r="CL149" s="27">
        <f t="shared" si="101"/>
        <v>0</v>
      </c>
      <c r="CM149" s="27">
        <f t="shared" si="101"/>
        <v>0</v>
      </c>
      <c r="CN149" s="27">
        <f t="shared" si="101"/>
        <v>0</v>
      </c>
      <c r="CO149" s="141" t="str">
        <f t="shared" si="92"/>
        <v>Ranked, but likelihood not estimated</v>
      </c>
      <c r="CP149" s="14"/>
      <c r="CQ149" s="47"/>
      <c r="CR149" s="14"/>
      <c r="CS149" s="106" t="s">
        <v>561</v>
      </c>
      <c r="CT149" s="27">
        <f>COUNTIFS(S30_stakeholder_category,"NB",Response_Q178_9,"&lt;&gt;0",Response_Q173_1,"&lt;&gt;0")</f>
        <v>2</v>
      </c>
      <c r="CU149" s="37">
        <f>COUNTIFS(S30_stakeholder_category,"NB",Response_Q178_9,1,Response_Q173_1,"&lt;&gt;0")</f>
        <v>1</v>
      </c>
      <c r="CV149" s="37">
        <f>COUNTIFS(S30_stakeholder_category,"NB",Response_Q178_9,2,Response_Q173_1,"&lt;&gt;0")</f>
        <v>1</v>
      </c>
      <c r="CW149" s="37">
        <f>COUNTIFS(S30_stakeholder_category,"NB",Response_Q178_9,3,Response_Q173_1,"&lt;&gt;0")</f>
        <v>0</v>
      </c>
      <c r="CX149" s="37">
        <f>IF(CT139=0,0,SUMPRODUCT(CU149:CW149,Rank_score)/CT$58)</f>
        <v>2.5</v>
      </c>
      <c r="CY149" s="14"/>
      <c r="CZ149" s="106" t="s">
        <v>561</v>
      </c>
      <c r="DA149" s="27">
        <f t="shared" ref="DA149:DF149" si="102">COUNTIFS(S30_stakeholder_category,"NB",Response_Q178_9,"&lt;&gt;0",Response_Q178_10,DA$63,Response_Q173_1,"&lt;&gt;0")</f>
        <v>0</v>
      </c>
      <c r="DB149" s="27">
        <f t="shared" si="102"/>
        <v>0</v>
      </c>
      <c r="DC149" s="27">
        <f t="shared" si="102"/>
        <v>0</v>
      </c>
      <c r="DD149" s="27">
        <f t="shared" si="102"/>
        <v>1</v>
      </c>
      <c r="DE149" s="27">
        <f t="shared" si="102"/>
        <v>0</v>
      </c>
      <c r="DF149" s="27">
        <f t="shared" si="102"/>
        <v>0</v>
      </c>
      <c r="DG149" s="141">
        <f t="shared" si="94"/>
        <v>4</v>
      </c>
      <c r="DH149" s="14"/>
      <c r="DI149" s="47"/>
      <c r="DJ149" s="14"/>
      <c r="DK149" s="14"/>
      <c r="DL149" s="19"/>
      <c r="DM149" s="59"/>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row>
    <row r="150" spans="1:142" x14ac:dyDescent="0.25">
      <c r="A150" s="14"/>
      <c r="B150" s="19"/>
      <c r="C150" s="19"/>
      <c r="D150" s="59"/>
      <c r="E150" s="14"/>
      <c r="F150" s="14"/>
      <c r="G150" s="14"/>
      <c r="H150" s="21"/>
      <c r="I150" s="21"/>
      <c r="J150" s="14"/>
      <c r="K150" s="14"/>
      <c r="L150" s="14"/>
      <c r="M150" s="14"/>
      <c r="N150" s="14"/>
      <c r="O150" s="14"/>
      <c r="P150" s="14"/>
      <c r="Q150" s="47"/>
      <c r="R150" s="19"/>
      <c r="S150" s="19"/>
      <c r="T150" s="19"/>
      <c r="U150" s="59"/>
      <c r="V150" s="14"/>
      <c r="W150" s="14"/>
      <c r="X150" s="14"/>
      <c r="Y150" s="14"/>
      <c r="Z150" s="14"/>
      <c r="AA150" s="14"/>
      <c r="AB150" s="14"/>
      <c r="AC150" s="14"/>
      <c r="AD150" s="65"/>
      <c r="AE150" s="63"/>
      <c r="AF150" s="352"/>
      <c r="AG150" s="19"/>
      <c r="AH150" s="19"/>
      <c r="AI150" s="19"/>
      <c r="AJ150" s="59"/>
      <c r="AK150" s="14"/>
      <c r="AL150" s="14"/>
      <c r="AM150" s="14"/>
      <c r="AN150" s="14"/>
      <c r="AO150" s="14"/>
      <c r="AP150" s="14"/>
      <c r="AQ150" s="14"/>
      <c r="AR150" s="14"/>
      <c r="AS150" s="65"/>
      <c r="AT150" s="63"/>
      <c r="AU150" s="352"/>
      <c r="AV150" s="14"/>
      <c r="AW150" s="19"/>
      <c r="AX150" s="19"/>
      <c r="AY150" s="59"/>
      <c r="AZ150" s="14"/>
      <c r="BA150" s="14"/>
      <c r="BB150" s="14"/>
      <c r="BC150" s="14"/>
      <c r="BD150" s="14"/>
      <c r="BE150" s="14"/>
      <c r="BF150" s="14"/>
      <c r="BG150" s="14"/>
      <c r="BH150" s="65"/>
      <c r="BI150" s="63"/>
      <c r="BJ150" s="352"/>
      <c r="BK150" s="19"/>
      <c r="BL150" s="19"/>
      <c r="BM150" s="19"/>
      <c r="BN150" s="59"/>
      <c r="BO150" s="14"/>
      <c r="BP150" s="14"/>
      <c r="BQ150" s="14"/>
      <c r="BR150" s="14"/>
      <c r="BS150" s="14"/>
      <c r="BT150" s="14"/>
      <c r="BU150" s="14"/>
      <c r="BV150" s="14"/>
      <c r="BW150" s="65"/>
      <c r="BX150" s="63"/>
      <c r="BY150" s="352"/>
      <c r="BZ150" s="14"/>
      <c r="CA150" s="106" t="s">
        <v>148</v>
      </c>
      <c r="CB150" s="27">
        <f>COUNTIFS(S30_stakeholder_category,"NB",Response_Q177_11,"&lt;&gt;0",Response_Q173_1,"&lt;&gt;0")</f>
        <v>0</v>
      </c>
      <c r="CC150" s="37">
        <f>COUNTIFS(S30_stakeholder_category,"NB",Response_Q177_11,1,Response_Q173_1,"&lt;&gt;0")</f>
        <v>0</v>
      </c>
      <c r="CD150" s="37">
        <f>COUNTIFS(S30_stakeholder_category,"NB",Response_Q177_11,2,Response_Q173_1,"&lt;&gt;0")</f>
        <v>0</v>
      </c>
      <c r="CE150" s="37">
        <f>COUNTIFS(S30_stakeholder_category,"NB",Response_Q177_11,3,Response_Q173_1,"&lt;&gt;0")</f>
        <v>0</v>
      </c>
      <c r="CF150" s="97">
        <f>IF(CB139=0,0,SUMPRODUCT(CC150:CE150,Rank_score)/$CB139)</f>
        <v>0</v>
      </c>
      <c r="CG150" s="43"/>
      <c r="CH150" s="106" t="s">
        <v>148</v>
      </c>
      <c r="CI150" s="27">
        <f t="shared" ref="CI150:CN150" si="103">COUNTIFS(S30_stakeholder_category,"NB",Response_Q177_11,"&lt;&gt;0",Response_Q177_12,CI$63,Response_Q173_1,"&lt;&gt;0")</f>
        <v>0</v>
      </c>
      <c r="CJ150" s="27">
        <f t="shared" si="103"/>
        <v>0</v>
      </c>
      <c r="CK150" s="27">
        <f t="shared" si="103"/>
        <v>0</v>
      </c>
      <c r="CL150" s="27">
        <f t="shared" si="103"/>
        <v>0</v>
      </c>
      <c r="CM150" s="27">
        <f t="shared" si="103"/>
        <v>0</v>
      </c>
      <c r="CN150" s="27">
        <f t="shared" si="103"/>
        <v>0</v>
      </c>
      <c r="CO150" s="141" t="str">
        <f t="shared" si="92"/>
        <v>Factor not ranked</v>
      </c>
      <c r="CP150" s="14"/>
      <c r="CQ150" s="47"/>
      <c r="CR150" s="14"/>
      <c r="CS150" s="106" t="s">
        <v>49</v>
      </c>
      <c r="CT150" s="27">
        <f>COUNTIFS(S30_stakeholder_category,"NB",Response_Q178_11,"&lt;&gt;0",Response_Q173_1,"&lt;&gt;0")</f>
        <v>0</v>
      </c>
      <c r="CU150" s="37">
        <f>COUNTIFS(S30_stakeholder_category,"NB",Response_Q178_11,1,Response_Q173_1,"&lt;&gt;0")</f>
        <v>0</v>
      </c>
      <c r="CV150" s="37">
        <f>COUNTIFS(S30_stakeholder_category,"NB",Response_Q178_11,2,Response_Q173_1,"&lt;&gt;0")</f>
        <v>0</v>
      </c>
      <c r="CW150" s="37">
        <f>COUNTIFS(S30_stakeholder_category,"NB",Response_Q178_11,3,Response_Q173_1,"&lt;&gt;0")</f>
        <v>0</v>
      </c>
      <c r="CX150" s="37">
        <f>IF(CT139=0,0,SUMPRODUCT(CU150:CW150,Rank_score)/CT$58)</f>
        <v>0</v>
      </c>
      <c r="CY150" s="43"/>
      <c r="CZ150" s="106" t="s">
        <v>49</v>
      </c>
      <c r="DA150" s="27">
        <f t="shared" ref="DA150:DF150" si="104">COUNTIFS(S30_stakeholder_category,"NB",Response_Q178_11,"&lt;&gt;0",Response_Q178_12,DA$63,Response_Q173_1,"&lt;&gt;0")</f>
        <v>0</v>
      </c>
      <c r="DB150" s="27">
        <f t="shared" si="104"/>
        <v>0</v>
      </c>
      <c r="DC150" s="27">
        <f t="shared" si="104"/>
        <v>0</v>
      </c>
      <c r="DD150" s="27">
        <f t="shared" si="104"/>
        <v>0</v>
      </c>
      <c r="DE150" s="27">
        <f t="shared" si="104"/>
        <v>0</v>
      </c>
      <c r="DF150" s="27">
        <f t="shared" si="104"/>
        <v>0</v>
      </c>
      <c r="DG150" s="141" t="str">
        <f t="shared" si="94"/>
        <v>Factor not ranked</v>
      </c>
      <c r="DH150" s="14"/>
      <c r="DI150" s="47"/>
      <c r="DJ150" s="14"/>
      <c r="DK150" s="14"/>
      <c r="DL150" s="19"/>
      <c r="DM150" s="59"/>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row>
    <row r="151" spans="1:142" x14ac:dyDescent="0.25">
      <c r="A151" s="14"/>
      <c r="B151" s="56"/>
      <c r="C151" s="29"/>
      <c r="D151" s="59"/>
      <c r="E151" s="14"/>
      <c r="F151" s="14"/>
      <c r="G151" s="14"/>
      <c r="H151" s="21"/>
      <c r="I151" s="21"/>
      <c r="J151" s="14"/>
      <c r="K151" s="14"/>
      <c r="L151" s="14"/>
      <c r="M151" s="14"/>
      <c r="N151" s="14"/>
      <c r="O151" s="14"/>
      <c r="P151" s="14"/>
      <c r="Q151" s="47"/>
      <c r="R151" s="19"/>
      <c r="S151" s="56"/>
      <c r="T151" s="29"/>
      <c r="U151" s="27"/>
      <c r="V151" s="14"/>
      <c r="W151" s="14"/>
      <c r="X151" s="14"/>
      <c r="Y151" s="14"/>
      <c r="Z151" s="14"/>
      <c r="AA151" s="14"/>
      <c r="AB151" s="14"/>
      <c r="AC151" s="14"/>
      <c r="AD151" s="65"/>
      <c r="AE151" s="63"/>
      <c r="AF151" s="352"/>
      <c r="AG151" s="19"/>
      <c r="AH151" s="56"/>
      <c r="AI151" s="29"/>
      <c r="AJ151" s="27"/>
      <c r="AK151" s="14"/>
      <c r="AL151" s="14"/>
      <c r="AM151" s="14"/>
      <c r="AN151" s="14"/>
      <c r="AO151" s="14"/>
      <c r="AP151" s="14"/>
      <c r="AQ151" s="14"/>
      <c r="AR151" s="14"/>
      <c r="AS151" s="65"/>
      <c r="AT151" s="63"/>
      <c r="AU151" s="352"/>
      <c r="AV151" s="14"/>
      <c r="AW151" s="56"/>
      <c r="AX151" s="29"/>
      <c r="AY151" s="27"/>
      <c r="AZ151" s="14"/>
      <c r="BA151" s="14"/>
      <c r="BB151" s="14"/>
      <c r="BC151" s="14"/>
      <c r="BD151" s="14"/>
      <c r="BE151" s="14"/>
      <c r="BF151" s="14"/>
      <c r="BG151" s="14"/>
      <c r="BH151" s="65"/>
      <c r="BI151" s="63"/>
      <c r="BJ151" s="352"/>
      <c r="BK151" s="19"/>
      <c r="BL151" s="56"/>
      <c r="BM151" s="29"/>
      <c r="BN151" s="27"/>
      <c r="BO151" s="14"/>
      <c r="BP151" s="14"/>
      <c r="BQ151" s="14"/>
      <c r="BR151" s="14"/>
      <c r="BS151" s="14"/>
      <c r="BT151" s="14"/>
      <c r="BU151" s="14"/>
      <c r="BV151" s="14"/>
      <c r="BW151" s="65"/>
      <c r="BX151" s="63"/>
      <c r="BY151" s="352"/>
      <c r="BZ151" s="14"/>
      <c r="CA151" s="107" t="s">
        <v>49</v>
      </c>
      <c r="CB151" s="27">
        <f>COUNTIFS(S30_stakeholder_category,"NB",Response_Q177_13,"&lt;&gt;0",Response_Q173_1,"&lt;&gt;0")</f>
        <v>1</v>
      </c>
      <c r="CC151" s="37">
        <f>COUNTIFS(S30_stakeholder_category,"NB",Response_Q177_13,1,Response_Q173_1,"&lt;&gt;0")</f>
        <v>1</v>
      </c>
      <c r="CD151" s="37">
        <f>COUNTIFS(S30_stakeholder_category,"NB",Response_Q177_13,2,Response_Q173_1,"&lt;&gt;0")</f>
        <v>0</v>
      </c>
      <c r="CE151" s="37">
        <f>COUNTIFS(S30_stakeholder_category,"NB",Response_Q177_13,3,Response_Q173_1,"&lt;&gt;0")</f>
        <v>0</v>
      </c>
      <c r="CF151" s="97">
        <f>IF(CB139=0,0,SUMPRODUCT(CC151:CE151,Rank_score)/$CB139)</f>
        <v>1.5</v>
      </c>
      <c r="CG151" s="29"/>
      <c r="CH151" s="107" t="s">
        <v>49</v>
      </c>
      <c r="CI151" s="27">
        <f t="shared" ref="CI151:CN151" si="105">COUNTIFS(S30_stakeholder_category,"NB",Response_Q177_13,"&lt;&gt;0",Response_Q177_14,CI$63,Response_Q173_1,"&lt;&gt;0")</f>
        <v>0</v>
      </c>
      <c r="CJ151" s="27">
        <f t="shared" si="105"/>
        <v>0</v>
      </c>
      <c r="CK151" s="27">
        <f t="shared" si="105"/>
        <v>0</v>
      </c>
      <c r="CL151" s="27">
        <f t="shared" si="105"/>
        <v>1</v>
      </c>
      <c r="CM151" s="27">
        <f t="shared" si="105"/>
        <v>0</v>
      </c>
      <c r="CN151" s="27">
        <f t="shared" si="105"/>
        <v>0</v>
      </c>
      <c r="CO151" s="141">
        <f t="shared" si="92"/>
        <v>4</v>
      </c>
      <c r="CP151" s="14"/>
      <c r="CQ151" s="47"/>
      <c r="CR151" s="14"/>
      <c r="CS151" s="107"/>
      <c r="CT151" s="27"/>
      <c r="CU151" s="37"/>
      <c r="CV151" s="37"/>
      <c r="CW151" s="37"/>
      <c r="CX151" s="37"/>
      <c r="CY151" s="29"/>
      <c r="CZ151" s="106"/>
      <c r="DA151" s="27"/>
      <c r="DB151" s="27"/>
      <c r="DC151" s="27"/>
      <c r="DD151" s="27"/>
      <c r="DE151" s="27"/>
      <c r="DF151" s="27"/>
      <c r="DG151" s="141" t="str">
        <f t="shared" si="94"/>
        <v/>
      </c>
      <c r="DH151" s="14"/>
      <c r="DI151" s="47"/>
      <c r="DJ151" s="14"/>
      <c r="DK151" s="62"/>
      <c r="DL151" s="19"/>
      <c r="DM151" s="59"/>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row>
    <row r="152" spans="1:142" x14ac:dyDescent="0.25">
      <c r="A152" s="14"/>
      <c r="B152" s="56"/>
      <c r="C152" s="19"/>
      <c r="D152" s="59"/>
      <c r="E152" s="14"/>
      <c r="F152" s="14"/>
      <c r="G152" s="109" t="s">
        <v>14</v>
      </c>
      <c r="H152" s="110" t="s">
        <v>6</v>
      </c>
      <c r="I152" s="110" t="s">
        <v>7</v>
      </c>
      <c r="J152" s="14"/>
      <c r="K152" s="14"/>
      <c r="L152" s="14"/>
      <c r="M152" s="14"/>
      <c r="N152" s="14"/>
      <c r="O152" s="14"/>
      <c r="P152" s="14"/>
      <c r="Q152" s="47"/>
      <c r="R152" s="19"/>
      <c r="S152" s="56"/>
      <c r="T152" s="19"/>
      <c r="U152" s="27"/>
      <c r="V152" s="14"/>
      <c r="W152" s="14"/>
      <c r="X152" s="109" t="s">
        <v>14</v>
      </c>
      <c r="Y152" s="110" t="s">
        <v>6</v>
      </c>
      <c r="Z152" s="110" t="s">
        <v>7</v>
      </c>
      <c r="AA152" s="14"/>
      <c r="AB152" s="14"/>
      <c r="AC152" s="14"/>
      <c r="AD152" s="65"/>
      <c r="AE152" s="63"/>
      <c r="AF152" s="352"/>
      <c r="AG152" s="19"/>
      <c r="AH152" s="56"/>
      <c r="AI152" s="19"/>
      <c r="AJ152" s="27"/>
      <c r="AK152" s="14"/>
      <c r="AL152" s="14"/>
      <c r="AM152" s="109" t="s">
        <v>14</v>
      </c>
      <c r="AN152" s="110" t="s">
        <v>6</v>
      </c>
      <c r="AO152" s="110" t="s">
        <v>7</v>
      </c>
      <c r="AP152" s="14"/>
      <c r="AQ152" s="14"/>
      <c r="AR152" s="14"/>
      <c r="AS152" s="65"/>
      <c r="AT152" s="63"/>
      <c r="AU152" s="352"/>
      <c r="AV152" s="14"/>
      <c r="AW152" s="56"/>
      <c r="AX152" s="19"/>
      <c r="AY152" s="27"/>
      <c r="AZ152" s="14"/>
      <c r="BA152" s="14"/>
      <c r="BB152" s="109" t="s">
        <v>14</v>
      </c>
      <c r="BC152" s="110" t="s">
        <v>6</v>
      </c>
      <c r="BD152" s="110" t="s">
        <v>7</v>
      </c>
      <c r="BE152" s="14"/>
      <c r="BF152" s="14"/>
      <c r="BG152" s="14"/>
      <c r="BH152" s="65"/>
      <c r="BI152" s="63"/>
      <c r="BJ152" s="352"/>
      <c r="BK152" s="19"/>
      <c r="BL152" s="56"/>
      <c r="BM152" s="19"/>
      <c r="BN152" s="27"/>
      <c r="BO152" s="14"/>
      <c r="BP152" s="14"/>
      <c r="BQ152" s="109" t="s">
        <v>14</v>
      </c>
      <c r="BR152" s="110" t="s">
        <v>6</v>
      </c>
      <c r="BS152" s="110" t="s">
        <v>7</v>
      </c>
      <c r="BT152" s="14"/>
      <c r="BU152" s="14"/>
      <c r="BV152" s="14"/>
      <c r="BW152" s="65"/>
      <c r="BX152" s="63"/>
      <c r="BY152" s="352"/>
      <c r="BZ152" s="14"/>
      <c r="CA152" s="86"/>
      <c r="CB152" s="111"/>
      <c r="CC152" s="111"/>
      <c r="CD152" s="179"/>
      <c r="CE152" s="179"/>
      <c r="CF152" s="108"/>
      <c r="CG152" s="29"/>
      <c r="CH152" s="109"/>
      <c r="CI152" s="109"/>
      <c r="CJ152" s="109"/>
      <c r="CK152" s="109"/>
      <c r="CL152" s="109"/>
      <c r="CM152" s="109"/>
      <c r="CN152" s="109"/>
      <c r="CO152" s="329"/>
      <c r="CP152" s="14"/>
      <c r="CQ152" s="47"/>
      <c r="CR152" s="14"/>
      <c r="CS152" s="107"/>
      <c r="CT152" s="27"/>
      <c r="CU152" s="37"/>
      <c r="CV152" s="37"/>
      <c r="CW152" s="37"/>
      <c r="CX152" s="37"/>
      <c r="CY152" s="29"/>
      <c r="CZ152" s="106"/>
      <c r="DA152" s="27"/>
      <c r="DB152" s="27"/>
      <c r="DC152" s="27"/>
      <c r="DD152" s="27"/>
      <c r="DE152" s="27"/>
      <c r="DF152" s="27"/>
      <c r="DG152" s="141" t="str">
        <f t="shared" si="94"/>
        <v/>
      </c>
      <c r="DH152" s="14"/>
      <c r="DI152" s="47"/>
      <c r="DJ152" s="14"/>
      <c r="DK152" s="62"/>
      <c r="DL152" s="19"/>
      <c r="DM152" s="59"/>
      <c r="DN152" s="14"/>
      <c r="DO152" s="14"/>
      <c r="DP152" s="109" t="s">
        <v>14</v>
      </c>
      <c r="DQ152" s="110" t="s">
        <v>6</v>
      </c>
      <c r="DR152" s="110" t="s">
        <v>7</v>
      </c>
      <c r="DS152" s="14"/>
      <c r="DT152" s="14"/>
      <c r="DU152" s="14"/>
      <c r="DV152" s="14"/>
      <c r="DW152" s="14"/>
      <c r="DX152" s="14"/>
      <c r="DY152" s="14"/>
      <c r="DZ152" s="14"/>
      <c r="EA152" s="14"/>
      <c r="EB152" s="14"/>
      <c r="EC152" s="14"/>
      <c r="ED152" s="14"/>
      <c r="EE152" s="14"/>
      <c r="EF152" s="14"/>
      <c r="EG152" s="14"/>
      <c r="EH152" s="14"/>
      <c r="EI152" s="14"/>
      <c r="EJ152" s="14"/>
      <c r="EK152" s="14"/>
      <c r="EL152" s="14"/>
    </row>
    <row r="153" spans="1:142" x14ac:dyDescent="0.25">
      <c r="A153" s="14"/>
      <c r="B153" s="14"/>
      <c r="C153" s="19"/>
      <c r="D153" s="59"/>
      <c r="E153" s="14"/>
      <c r="F153" s="14"/>
      <c r="G153" s="107" t="s">
        <v>34</v>
      </c>
      <c r="H153" s="27">
        <f>COUNTIFS(S30_stakeholder_category,"NB",Response_Q173_1,G153)</f>
        <v>0</v>
      </c>
      <c r="I153" s="41">
        <f>IFERROR(H153/H$158,"")</f>
        <v>0</v>
      </c>
      <c r="J153" s="14"/>
      <c r="K153" s="14"/>
      <c r="L153" s="14"/>
      <c r="M153" s="14"/>
      <c r="N153" s="14"/>
      <c r="O153" s="14"/>
      <c r="P153" s="14"/>
      <c r="Q153" s="47"/>
      <c r="R153" s="19"/>
      <c r="S153" s="19"/>
      <c r="T153" s="19"/>
      <c r="U153" s="27"/>
      <c r="V153" s="14"/>
      <c r="W153" s="14"/>
      <c r="X153" s="107" t="s">
        <v>5</v>
      </c>
      <c r="Y153" s="27">
        <f t="shared" ref="Y153:Y159" si="106">COUNTIFS(S30_stakeholder_category,"NB",Response_Q176_1,X153)</f>
        <v>0</v>
      </c>
      <c r="Z153" s="41">
        <f t="shared" ref="Z153:Z160" si="107">IFERROR(Y153/Y$160,0)</f>
        <v>0</v>
      </c>
      <c r="AA153" s="14"/>
      <c r="AB153" s="14"/>
      <c r="AC153" s="14"/>
      <c r="AD153" s="65"/>
      <c r="AE153" s="63"/>
      <c r="AF153" s="352"/>
      <c r="AG153" s="19"/>
      <c r="AH153" s="19"/>
      <c r="AI153" s="19"/>
      <c r="AJ153" s="27"/>
      <c r="AK153" s="14"/>
      <c r="AL153" s="14"/>
      <c r="AM153" s="107" t="s">
        <v>5</v>
      </c>
      <c r="AN153" s="27">
        <f t="shared" ref="AN153:AN159" si="108">COUNTIFS(S30_stakeholder_category,"NB",Response_30a_CaseA,AM153)</f>
        <v>0</v>
      </c>
      <c r="AO153" s="41">
        <f>IFERROR(AN153/AN$160,0)</f>
        <v>0</v>
      </c>
      <c r="AP153" s="14"/>
      <c r="AQ153" s="14"/>
      <c r="AR153" s="14"/>
      <c r="AS153" s="65"/>
      <c r="AT153" s="63"/>
      <c r="AU153" s="352"/>
      <c r="AV153" s="14"/>
      <c r="AW153" s="19"/>
      <c r="AX153" s="19"/>
      <c r="AY153" s="27"/>
      <c r="AZ153" s="14"/>
      <c r="BA153" s="14"/>
      <c r="BB153" s="107" t="s">
        <v>5</v>
      </c>
      <c r="BC153" s="27">
        <f t="shared" ref="BC153:BC159" si="109">COUNTIFS(S30_stakeholder_category,"NB",Response_30a_CaseB,BB153)</f>
        <v>0</v>
      </c>
      <c r="BD153" s="41">
        <f>IFERROR(BC153/BC$160,0)</f>
        <v>0</v>
      </c>
      <c r="BE153" s="14"/>
      <c r="BF153" s="14"/>
      <c r="BG153" s="14"/>
      <c r="BH153" s="65"/>
      <c r="BI153" s="63"/>
      <c r="BJ153" s="352"/>
      <c r="BK153" s="19"/>
      <c r="BL153" s="19"/>
      <c r="BM153" s="19"/>
      <c r="BN153" s="27"/>
      <c r="BO153" s="14"/>
      <c r="BP153" s="14"/>
      <c r="BQ153" s="107" t="s">
        <v>5</v>
      </c>
      <c r="BR153" s="27">
        <f t="shared" ref="BR153:BR159" si="110">COUNTIFS(S30_stakeholder_category,"NB",Response_30a_CaseC,BQ153)</f>
        <v>0</v>
      </c>
      <c r="BS153" s="41">
        <f>IFERROR(BR153/BR$160,0)</f>
        <v>0</v>
      </c>
      <c r="BT153" s="14"/>
      <c r="BU153" s="14"/>
      <c r="BV153" s="14"/>
      <c r="BW153" s="65"/>
      <c r="BX153" s="63"/>
      <c r="BY153" s="352"/>
      <c r="BZ153" s="14"/>
      <c r="CA153" s="14"/>
      <c r="CB153" s="21"/>
      <c r="CC153" s="21"/>
      <c r="CD153" s="180"/>
      <c r="CE153" s="181"/>
      <c r="CF153" s="31"/>
      <c r="CG153" s="52"/>
      <c r="CH153" s="52"/>
      <c r="CI153" s="99"/>
      <c r="CJ153" s="14"/>
      <c r="CK153" s="14"/>
      <c r="CL153" s="14"/>
      <c r="CM153" s="14"/>
      <c r="CN153" s="14"/>
      <c r="CO153" s="129"/>
      <c r="CP153" s="14"/>
      <c r="CQ153" s="47"/>
      <c r="CR153" s="14"/>
      <c r="CS153" s="86"/>
      <c r="CT153" s="111"/>
      <c r="CU153" s="86"/>
      <c r="CV153" s="179"/>
      <c r="CW153" s="188"/>
      <c r="CX153" s="179"/>
      <c r="CY153" s="29"/>
      <c r="CZ153" s="109"/>
      <c r="DA153" s="109"/>
      <c r="DB153" s="109"/>
      <c r="DC153" s="109"/>
      <c r="DD153" s="109"/>
      <c r="DE153" s="109"/>
      <c r="DF153" s="109"/>
      <c r="DG153" s="329"/>
      <c r="DH153" s="14"/>
      <c r="DI153" s="47"/>
      <c r="DJ153" s="14"/>
      <c r="DK153" s="62"/>
      <c r="DL153" s="19"/>
      <c r="DM153" s="59"/>
      <c r="DN153" s="14"/>
      <c r="DO153" s="14"/>
      <c r="DP153" s="107" t="s">
        <v>34</v>
      </c>
      <c r="DQ153" s="27">
        <f>COUNTIFS(S30_stakeholder_category,"NB",Response_Q172_1,DP153,Response_Q173_1,"&lt;&gt;0")</f>
        <v>0</v>
      </c>
      <c r="DR153" s="41">
        <f>IF(DQ158=0,"",DQ153/DQ158)</f>
        <v>0</v>
      </c>
      <c r="DS153" s="14"/>
      <c r="DT153" s="14"/>
      <c r="DU153" s="14"/>
      <c r="DV153" s="14"/>
      <c r="DW153" s="14"/>
      <c r="DX153" s="14"/>
      <c r="DY153" s="14"/>
      <c r="DZ153" s="14"/>
      <c r="EA153" s="14"/>
      <c r="EB153" s="14"/>
      <c r="EC153" s="14"/>
      <c r="ED153" s="14"/>
      <c r="EE153" s="14"/>
      <c r="EF153" s="14"/>
      <c r="EG153" s="14"/>
      <c r="EH153" s="14"/>
      <c r="EI153" s="14"/>
      <c r="EJ153" s="14"/>
      <c r="EK153" s="14"/>
      <c r="EL153" s="14"/>
    </row>
    <row r="154" spans="1:142" x14ac:dyDescent="0.25">
      <c r="A154" s="14"/>
      <c r="B154" s="14"/>
      <c r="C154" s="19"/>
      <c r="D154" s="59"/>
      <c r="E154" s="14"/>
      <c r="F154" s="14"/>
      <c r="G154" s="107" t="s">
        <v>35</v>
      </c>
      <c r="H154" s="27">
        <f>COUNTIFS(S30_stakeholder_category,"NB",Response_Q173_1,G154)</f>
        <v>2</v>
      </c>
      <c r="I154" s="41">
        <f t="shared" ref="I154:I158" si="111">IFERROR(H154/H$158,"")</f>
        <v>1</v>
      </c>
      <c r="J154" s="14"/>
      <c r="K154" s="14"/>
      <c r="L154" s="14"/>
      <c r="M154" s="14"/>
      <c r="N154" s="14"/>
      <c r="O154" s="14"/>
      <c r="P154" s="14"/>
      <c r="Q154" s="47"/>
      <c r="R154" s="19"/>
      <c r="S154" s="19"/>
      <c r="T154" s="19"/>
      <c r="U154" s="27"/>
      <c r="V154" s="14"/>
      <c r="W154" s="14"/>
      <c r="X154" s="107" t="s">
        <v>4</v>
      </c>
      <c r="Y154" s="27">
        <f t="shared" si="106"/>
        <v>0</v>
      </c>
      <c r="Z154" s="41">
        <f t="shared" si="107"/>
        <v>0</v>
      </c>
      <c r="AA154" s="14"/>
      <c r="AB154" s="14"/>
      <c r="AC154" s="14"/>
      <c r="AD154" s="65"/>
      <c r="AE154" s="63"/>
      <c r="AF154" s="352"/>
      <c r="AG154" s="19"/>
      <c r="AH154" s="19"/>
      <c r="AI154" s="19"/>
      <c r="AJ154" s="27"/>
      <c r="AK154" s="14"/>
      <c r="AL154" s="14"/>
      <c r="AM154" s="107" t="s">
        <v>4</v>
      </c>
      <c r="AN154" s="27">
        <f t="shared" si="108"/>
        <v>1</v>
      </c>
      <c r="AO154" s="41">
        <f t="shared" ref="AO154:AO160" si="112">IFERROR(AN154/AN$160,0)</f>
        <v>0.5</v>
      </c>
      <c r="AP154" s="14"/>
      <c r="AQ154" s="14"/>
      <c r="AR154" s="14"/>
      <c r="AS154" s="65"/>
      <c r="AT154" s="63"/>
      <c r="AU154" s="352"/>
      <c r="AV154" s="14"/>
      <c r="AW154" s="19"/>
      <c r="AX154" s="19"/>
      <c r="AY154" s="27"/>
      <c r="AZ154" s="14"/>
      <c r="BA154" s="14"/>
      <c r="BB154" s="107" t="s">
        <v>4</v>
      </c>
      <c r="BC154" s="27">
        <f t="shared" si="109"/>
        <v>0</v>
      </c>
      <c r="BD154" s="41">
        <f t="shared" ref="BD154:BD160" si="113">IFERROR(BC154/BC$160,0)</f>
        <v>0</v>
      </c>
      <c r="BE154" s="14"/>
      <c r="BF154" s="14"/>
      <c r="BG154" s="14"/>
      <c r="BH154" s="65"/>
      <c r="BI154" s="63"/>
      <c r="BJ154" s="352"/>
      <c r="BK154" s="19"/>
      <c r="BL154" s="19"/>
      <c r="BM154" s="19"/>
      <c r="BN154" s="27"/>
      <c r="BO154" s="14"/>
      <c r="BP154" s="14"/>
      <c r="BQ154" s="107" t="s">
        <v>4</v>
      </c>
      <c r="BR154" s="27">
        <f t="shared" si="110"/>
        <v>0</v>
      </c>
      <c r="BS154" s="41">
        <f t="shared" ref="BS154:BS160" si="114">IFERROR(BR154/BR$160,0)</f>
        <v>0</v>
      </c>
      <c r="BT154" s="14"/>
      <c r="BU154" s="14"/>
      <c r="BV154" s="14"/>
      <c r="BW154" s="65"/>
      <c r="BX154" s="63"/>
      <c r="BY154" s="352"/>
      <c r="BZ154" s="14"/>
      <c r="CA154" s="14"/>
      <c r="CB154" s="21"/>
      <c r="CC154" s="21"/>
      <c r="CD154" s="180"/>
      <c r="CE154" s="181"/>
      <c r="CF154" s="31"/>
      <c r="CG154" s="52"/>
      <c r="CH154" s="52"/>
      <c r="CI154" s="99"/>
      <c r="CJ154" s="14"/>
      <c r="CK154" s="14"/>
      <c r="CL154" s="14"/>
      <c r="CM154" s="14"/>
      <c r="CN154" s="14"/>
      <c r="CO154" s="129"/>
      <c r="CP154" s="14"/>
      <c r="CQ154" s="47"/>
      <c r="CR154" s="14"/>
      <c r="CS154" s="14"/>
      <c r="CT154" s="14"/>
      <c r="CU154" s="14"/>
      <c r="CV154" s="180"/>
      <c r="CW154" s="190"/>
      <c r="CX154" s="191"/>
      <c r="CY154" s="52"/>
      <c r="CZ154" s="52"/>
      <c r="DA154" s="54"/>
      <c r="DB154" s="14"/>
      <c r="DC154" s="14"/>
      <c r="DD154" s="14"/>
      <c r="DE154" s="14"/>
      <c r="DF154" s="14"/>
      <c r="DG154" s="129"/>
      <c r="DH154" s="14"/>
      <c r="DI154" s="47"/>
      <c r="DJ154" s="14"/>
      <c r="DK154" s="62"/>
      <c r="DL154" s="19"/>
      <c r="DM154" s="59"/>
      <c r="DN154" s="14"/>
      <c r="DO154" s="14"/>
      <c r="DP154" s="107" t="s">
        <v>35</v>
      </c>
      <c r="DQ154" s="27">
        <f>COUNTIFS(S30_stakeholder_category,"NB",Response_Q172_1,DP154,Response_Q173_1,"&lt;&gt;0")</f>
        <v>0</v>
      </c>
      <c r="DR154" s="41">
        <f>IF(DQ158=0,"",DQ154/DQ158)</f>
        <v>0</v>
      </c>
      <c r="DS154" s="14"/>
      <c r="DT154" s="14"/>
      <c r="DU154" s="14"/>
      <c r="DV154" s="14"/>
      <c r="DW154" s="14"/>
      <c r="DX154" s="14"/>
      <c r="DY154" s="14"/>
      <c r="DZ154" s="14"/>
      <c r="EA154" s="14"/>
      <c r="EB154" s="14"/>
      <c r="EC154" s="14"/>
      <c r="ED154" s="14"/>
      <c r="EE154" s="14"/>
      <c r="EF154" s="14"/>
      <c r="EG154" s="14"/>
      <c r="EH154" s="14"/>
      <c r="EI154" s="14"/>
      <c r="EJ154" s="14"/>
      <c r="EK154" s="14"/>
      <c r="EL154" s="14"/>
    </row>
    <row r="155" spans="1:142" x14ac:dyDescent="0.25">
      <c r="A155" s="14"/>
      <c r="B155" s="14"/>
      <c r="C155" s="19"/>
      <c r="D155" s="59"/>
      <c r="E155" s="14"/>
      <c r="F155" s="14"/>
      <c r="G155" s="107" t="s">
        <v>36</v>
      </c>
      <c r="H155" s="27">
        <f>COUNTIFS(S30_stakeholder_category,"NB",Response_Q173_1,G155)</f>
        <v>0</v>
      </c>
      <c r="I155" s="41">
        <f t="shared" si="111"/>
        <v>0</v>
      </c>
      <c r="J155" s="14"/>
      <c r="K155" s="14"/>
      <c r="L155" s="14"/>
      <c r="M155" s="14"/>
      <c r="N155" s="14"/>
      <c r="O155" s="14"/>
      <c r="P155" s="14"/>
      <c r="Q155" s="47"/>
      <c r="R155" s="19"/>
      <c r="S155" s="19"/>
      <c r="T155" s="19"/>
      <c r="U155" s="27"/>
      <c r="V155" s="14"/>
      <c r="W155" s="14"/>
      <c r="X155" s="107" t="s">
        <v>33</v>
      </c>
      <c r="Y155" s="27">
        <f t="shared" si="106"/>
        <v>0</v>
      </c>
      <c r="Z155" s="41">
        <f t="shared" si="107"/>
        <v>0</v>
      </c>
      <c r="AA155" s="14"/>
      <c r="AB155" s="14"/>
      <c r="AC155" s="14"/>
      <c r="AD155" s="65"/>
      <c r="AE155" s="63"/>
      <c r="AF155" s="352"/>
      <c r="AG155" s="19"/>
      <c r="AH155" s="19"/>
      <c r="AI155" s="19"/>
      <c r="AJ155" s="27"/>
      <c r="AK155" s="14"/>
      <c r="AL155" s="14"/>
      <c r="AM155" s="107" t="s">
        <v>33</v>
      </c>
      <c r="AN155" s="27">
        <f t="shared" si="108"/>
        <v>0</v>
      </c>
      <c r="AO155" s="41">
        <f t="shared" si="112"/>
        <v>0</v>
      </c>
      <c r="AP155" s="14"/>
      <c r="AQ155" s="14"/>
      <c r="AR155" s="14"/>
      <c r="AS155" s="65"/>
      <c r="AT155" s="63"/>
      <c r="AU155" s="352"/>
      <c r="AV155" s="14"/>
      <c r="AW155" s="19"/>
      <c r="AX155" s="19"/>
      <c r="AY155" s="27"/>
      <c r="AZ155" s="14"/>
      <c r="BA155" s="14"/>
      <c r="BB155" s="107" t="s">
        <v>33</v>
      </c>
      <c r="BC155" s="27">
        <f t="shared" si="109"/>
        <v>1</v>
      </c>
      <c r="BD155" s="41">
        <f t="shared" si="113"/>
        <v>0.5</v>
      </c>
      <c r="BE155" s="14"/>
      <c r="BF155" s="14"/>
      <c r="BG155" s="14"/>
      <c r="BH155" s="65"/>
      <c r="BI155" s="63"/>
      <c r="BJ155" s="352"/>
      <c r="BK155" s="19"/>
      <c r="BL155" s="19"/>
      <c r="BM155" s="19"/>
      <c r="BN155" s="27"/>
      <c r="BO155" s="14"/>
      <c r="BP155" s="14"/>
      <c r="BQ155" s="107" t="s">
        <v>33</v>
      </c>
      <c r="BR155" s="27">
        <f t="shared" si="110"/>
        <v>0</v>
      </c>
      <c r="BS155" s="41">
        <f t="shared" si="114"/>
        <v>0</v>
      </c>
      <c r="BT155" s="14"/>
      <c r="BU155" s="14"/>
      <c r="BV155" s="14"/>
      <c r="BW155" s="65"/>
      <c r="BX155" s="63"/>
      <c r="BY155" s="352"/>
      <c r="BZ155" s="14"/>
      <c r="CA155" s="14"/>
      <c r="CB155" s="21"/>
      <c r="CC155" s="21"/>
      <c r="CD155" s="180"/>
      <c r="CE155" s="181"/>
      <c r="CF155" s="31"/>
      <c r="CG155" s="52"/>
      <c r="CH155" s="52"/>
      <c r="CI155" s="99"/>
      <c r="CJ155" s="14"/>
      <c r="CK155" s="14"/>
      <c r="CL155" s="14"/>
      <c r="CM155" s="14"/>
      <c r="CN155" s="14"/>
      <c r="CO155" s="129"/>
      <c r="CP155" s="14"/>
      <c r="CQ155" s="47"/>
      <c r="CR155" s="14"/>
      <c r="CS155" s="14"/>
      <c r="CT155" s="14"/>
      <c r="CU155" s="14"/>
      <c r="CV155" s="180"/>
      <c r="CW155" s="190"/>
      <c r="CX155" s="191"/>
      <c r="CY155" s="52"/>
      <c r="CZ155" s="52"/>
      <c r="DA155" s="54"/>
      <c r="DB155" s="14"/>
      <c r="DC155" s="14"/>
      <c r="DD155" s="14"/>
      <c r="DE155" s="14"/>
      <c r="DF155" s="14"/>
      <c r="DG155" s="129"/>
      <c r="DH155" s="14"/>
      <c r="DI155" s="47"/>
      <c r="DJ155" s="14"/>
      <c r="DK155" s="62"/>
      <c r="DL155" s="19"/>
      <c r="DM155" s="59"/>
      <c r="DN155" s="14"/>
      <c r="DO155" s="14"/>
      <c r="DP155" s="107" t="s">
        <v>36</v>
      </c>
      <c r="DQ155" s="27">
        <f>COUNTIFS(S30_stakeholder_category,"NB",Response_Q172_1,DP155,Response_Q173_1,"&lt;&gt;0")</f>
        <v>1</v>
      </c>
      <c r="DR155" s="41">
        <f>IF(DQ158=0,"",DQ155/DQ158)</f>
        <v>0.5</v>
      </c>
      <c r="DS155" s="14"/>
      <c r="DT155" s="14"/>
      <c r="DU155" s="14"/>
      <c r="DV155" s="14"/>
      <c r="DW155" s="14"/>
      <c r="DX155" s="14"/>
      <c r="DY155" s="14"/>
      <c r="DZ155" s="14"/>
      <c r="EA155" s="14"/>
      <c r="EB155" s="14"/>
      <c r="EC155" s="14"/>
      <c r="ED155" s="14"/>
      <c r="EE155" s="14"/>
      <c r="EF155" s="14"/>
      <c r="EG155" s="14"/>
      <c r="EH155" s="14"/>
      <c r="EI155" s="14"/>
      <c r="EJ155" s="14"/>
      <c r="EK155" s="14"/>
      <c r="EL155" s="14"/>
    </row>
    <row r="156" spans="1:142" x14ac:dyDescent="0.25">
      <c r="A156" s="14"/>
      <c r="B156" s="62"/>
      <c r="C156" s="19"/>
      <c r="D156" s="59"/>
      <c r="E156" s="14"/>
      <c r="F156" s="14"/>
      <c r="G156" s="107" t="s">
        <v>38</v>
      </c>
      <c r="H156" s="27">
        <f>COUNTIFS(S30_stakeholder_category,"NB",Response_Q173_1,G156)</f>
        <v>0</v>
      </c>
      <c r="I156" s="41">
        <f t="shared" si="111"/>
        <v>0</v>
      </c>
      <c r="J156" s="14"/>
      <c r="K156" s="14"/>
      <c r="L156" s="14"/>
      <c r="M156" s="14"/>
      <c r="N156" s="14"/>
      <c r="O156" s="14"/>
      <c r="P156" s="14"/>
      <c r="Q156" s="47"/>
      <c r="R156" s="19"/>
      <c r="S156" s="19"/>
      <c r="T156" s="19"/>
      <c r="U156" s="27"/>
      <c r="V156" s="14"/>
      <c r="W156" s="14"/>
      <c r="X156" s="107" t="s">
        <v>29</v>
      </c>
      <c r="Y156" s="27">
        <f t="shared" si="106"/>
        <v>2</v>
      </c>
      <c r="Z156" s="41">
        <f t="shared" si="107"/>
        <v>1</v>
      </c>
      <c r="AA156" s="14"/>
      <c r="AB156" s="14"/>
      <c r="AC156" s="14"/>
      <c r="AD156" s="65"/>
      <c r="AE156" s="63"/>
      <c r="AF156" s="352"/>
      <c r="AG156" s="19"/>
      <c r="AH156" s="19"/>
      <c r="AI156" s="19"/>
      <c r="AJ156" s="27"/>
      <c r="AK156" s="14"/>
      <c r="AL156" s="14"/>
      <c r="AM156" s="107" t="s">
        <v>29</v>
      </c>
      <c r="AN156" s="27">
        <f t="shared" si="108"/>
        <v>0</v>
      </c>
      <c r="AO156" s="41">
        <f t="shared" si="112"/>
        <v>0</v>
      </c>
      <c r="AP156" s="14"/>
      <c r="AQ156" s="14"/>
      <c r="AR156" s="14"/>
      <c r="AS156" s="65"/>
      <c r="AT156" s="63"/>
      <c r="AU156" s="352"/>
      <c r="AV156" s="14"/>
      <c r="AW156" s="19"/>
      <c r="AX156" s="19"/>
      <c r="AY156" s="27"/>
      <c r="AZ156" s="14"/>
      <c r="BA156" s="14"/>
      <c r="BB156" s="107" t="s">
        <v>29</v>
      </c>
      <c r="BC156" s="27">
        <f t="shared" si="109"/>
        <v>0</v>
      </c>
      <c r="BD156" s="41">
        <f t="shared" si="113"/>
        <v>0</v>
      </c>
      <c r="BE156" s="14"/>
      <c r="BF156" s="14"/>
      <c r="BG156" s="14"/>
      <c r="BH156" s="65"/>
      <c r="BI156" s="63"/>
      <c r="BJ156" s="352"/>
      <c r="BK156" s="19"/>
      <c r="BL156" s="19"/>
      <c r="BM156" s="19"/>
      <c r="BN156" s="27"/>
      <c r="BO156" s="14"/>
      <c r="BP156" s="14"/>
      <c r="BQ156" s="107" t="s">
        <v>29</v>
      </c>
      <c r="BR156" s="27">
        <f t="shared" si="110"/>
        <v>1</v>
      </c>
      <c r="BS156" s="41">
        <f t="shared" si="114"/>
        <v>0.5</v>
      </c>
      <c r="BT156" s="14"/>
      <c r="BU156" s="14"/>
      <c r="BV156" s="14"/>
      <c r="BW156" s="65"/>
      <c r="BX156" s="63"/>
      <c r="BY156" s="352"/>
      <c r="BZ156" s="14"/>
      <c r="CA156" s="14"/>
      <c r="CB156" s="21"/>
      <c r="CC156" s="21"/>
      <c r="CD156" s="180"/>
      <c r="CE156" s="181"/>
      <c r="CF156" s="31"/>
      <c r="CG156" s="52"/>
      <c r="CH156" s="52"/>
      <c r="CI156" s="99"/>
      <c r="CJ156" s="14"/>
      <c r="CK156" s="14"/>
      <c r="CL156" s="14"/>
      <c r="CM156" s="14"/>
      <c r="CN156" s="14"/>
      <c r="CO156" s="129"/>
      <c r="CP156" s="14"/>
      <c r="CQ156" s="47"/>
      <c r="CR156" s="14"/>
      <c r="CS156" s="14"/>
      <c r="CT156" s="14"/>
      <c r="CU156" s="14"/>
      <c r="CV156" s="180"/>
      <c r="CW156" s="190"/>
      <c r="CX156" s="191"/>
      <c r="CY156" s="52"/>
      <c r="CZ156" s="52"/>
      <c r="DA156" s="54"/>
      <c r="DB156" s="14"/>
      <c r="DC156" s="14"/>
      <c r="DD156" s="14"/>
      <c r="DE156" s="14"/>
      <c r="DF156" s="14"/>
      <c r="DG156" s="129"/>
      <c r="DH156" s="14"/>
      <c r="DI156" s="47"/>
      <c r="DJ156" s="14"/>
      <c r="DK156" s="62"/>
      <c r="DL156" s="19"/>
      <c r="DM156" s="59"/>
      <c r="DN156" s="14"/>
      <c r="DO156" s="14"/>
      <c r="DP156" s="107" t="s">
        <v>38</v>
      </c>
      <c r="DQ156" s="27">
        <f>COUNTIFS(S30_stakeholder_category,"NB",Response_Q172_1,DP156,Response_Q173_1,"&lt;&gt;0")</f>
        <v>1</v>
      </c>
      <c r="DR156" s="41">
        <f>IF(DQ158=0,"",DQ156/DQ158)</f>
        <v>0.5</v>
      </c>
      <c r="DS156" s="14"/>
      <c r="DT156" s="14"/>
      <c r="DU156" s="14"/>
      <c r="DV156" s="14"/>
      <c r="DW156" s="14"/>
      <c r="DX156" s="14"/>
      <c r="DY156" s="14"/>
      <c r="DZ156" s="14"/>
      <c r="EA156" s="14"/>
      <c r="EB156" s="14"/>
      <c r="EC156" s="14"/>
      <c r="ED156" s="14"/>
      <c r="EE156" s="14"/>
      <c r="EF156" s="14"/>
      <c r="EG156" s="14"/>
      <c r="EH156" s="14"/>
      <c r="EI156" s="14"/>
      <c r="EJ156" s="14"/>
      <c r="EK156" s="14"/>
      <c r="EL156" s="14"/>
    </row>
    <row r="157" spans="1:142" ht="14.4" x14ac:dyDescent="0.25">
      <c r="A157" s="14"/>
      <c r="B157" s="62"/>
      <c r="C157" s="19"/>
      <c r="D157" s="59"/>
      <c r="E157" s="14"/>
      <c r="F157" s="14"/>
      <c r="G157" s="107" t="s">
        <v>39</v>
      </c>
      <c r="H157" s="27">
        <f>COUNTIFS(S30_stakeholder_category,"NB",Response_Q173_1,G157)</f>
        <v>0</v>
      </c>
      <c r="I157" s="41">
        <f t="shared" si="111"/>
        <v>0</v>
      </c>
      <c r="J157" s="14"/>
      <c r="K157" s="14"/>
      <c r="L157" s="14"/>
      <c r="M157" s="14"/>
      <c r="N157" s="14"/>
      <c r="O157" s="14"/>
      <c r="P157" s="14"/>
      <c r="Q157" s="47"/>
      <c r="R157" s="19"/>
      <c r="S157" s="60"/>
      <c r="T157" s="19"/>
      <c r="U157" s="59"/>
      <c r="V157" s="14"/>
      <c r="W157" s="14"/>
      <c r="X157" s="107" t="s">
        <v>3</v>
      </c>
      <c r="Y157" s="27">
        <f t="shared" si="106"/>
        <v>0</v>
      </c>
      <c r="Z157" s="41">
        <f t="shared" si="107"/>
        <v>0</v>
      </c>
      <c r="AA157" s="14"/>
      <c r="AB157" s="14"/>
      <c r="AC157" s="14"/>
      <c r="AD157" s="65"/>
      <c r="AE157" s="63"/>
      <c r="AF157" s="352"/>
      <c r="AG157" s="19"/>
      <c r="AH157" s="60"/>
      <c r="AI157" s="19"/>
      <c r="AJ157" s="59"/>
      <c r="AK157" s="14"/>
      <c r="AL157" s="14"/>
      <c r="AM157" s="107" t="s">
        <v>3</v>
      </c>
      <c r="AN157" s="27">
        <f t="shared" si="108"/>
        <v>1</v>
      </c>
      <c r="AO157" s="41">
        <f t="shared" si="112"/>
        <v>0.5</v>
      </c>
      <c r="AP157" s="14"/>
      <c r="AQ157" s="14"/>
      <c r="AR157" s="14"/>
      <c r="AS157" s="65"/>
      <c r="AT157" s="63"/>
      <c r="AU157" s="352"/>
      <c r="AV157" s="14"/>
      <c r="AW157" s="60"/>
      <c r="AX157" s="19"/>
      <c r="AY157" s="59"/>
      <c r="AZ157" s="14"/>
      <c r="BA157" s="14"/>
      <c r="BB157" s="107" t="s">
        <v>3</v>
      </c>
      <c r="BC157" s="27">
        <f t="shared" si="109"/>
        <v>0</v>
      </c>
      <c r="BD157" s="41">
        <f t="shared" si="113"/>
        <v>0</v>
      </c>
      <c r="BE157" s="14"/>
      <c r="BF157" s="14"/>
      <c r="BG157" s="14"/>
      <c r="BH157" s="65"/>
      <c r="BI157" s="63"/>
      <c r="BJ157" s="352"/>
      <c r="BK157" s="19"/>
      <c r="BL157" s="60"/>
      <c r="BM157" s="19"/>
      <c r="BN157" s="59"/>
      <c r="BO157" s="14"/>
      <c r="BP157" s="14"/>
      <c r="BQ157" s="107" t="s">
        <v>3</v>
      </c>
      <c r="BR157" s="27">
        <f t="shared" si="110"/>
        <v>0</v>
      </c>
      <c r="BS157" s="41">
        <f t="shared" si="114"/>
        <v>0</v>
      </c>
      <c r="BT157" s="14"/>
      <c r="BU157" s="14"/>
      <c r="BV157" s="14"/>
      <c r="BW157" s="65"/>
      <c r="BX157" s="63"/>
      <c r="BY157" s="352"/>
      <c r="BZ157" s="14"/>
      <c r="CA157" s="14"/>
      <c r="CB157" s="21"/>
      <c r="CC157" s="21"/>
      <c r="CD157" s="180"/>
      <c r="CE157" s="181"/>
      <c r="CF157" s="31"/>
      <c r="CG157" s="52"/>
      <c r="CH157" s="52"/>
      <c r="CI157" s="99"/>
      <c r="CJ157" s="14"/>
      <c r="CK157" s="14"/>
      <c r="CL157" s="14"/>
      <c r="CM157" s="14"/>
      <c r="CN157" s="14"/>
      <c r="CO157" s="129"/>
      <c r="CP157" s="14"/>
      <c r="CQ157" s="47"/>
      <c r="CR157" s="14"/>
      <c r="CS157" s="14"/>
      <c r="CT157" s="14"/>
      <c r="CU157" s="14"/>
      <c r="CV157" s="180"/>
      <c r="CW157" s="190"/>
      <c r="CX157" s="191"/>
      <c r="CY157" s="52"/>
      <c r="CZ157" s="52"/>
      <c r="DA157" s="54"/>
      <c r="DB157" s="14"/>
      <c r="DC157" s="14"/>
      <c r="DD157" s="14"/>
      <c r="DE157" s="14"/>
      <c r="DF157" s="14"/>
      <c r="DG157" s="129"/>
      <c r="DH157" s="14"/>
      <c r="DI157" s="47"/>
      <c r="DJ157" s="14"/>
      <c r="DK157" s="62"/>
      <c r="DL157" s="19"/>
      <c r="DM157" s="59"/>
      <c r="DN157" s="14"/>
      <c r="DO157" s="14"/>
      <c r="DP157" s="107" t="s">
        <v>39</v>
      </c>
      <c r="DQ157" s="27">
        <f>COUNTIFS(S30_stakeholder_category,"NB",Response_Q172_1,DP157,Response_Q173_1,"&lt;&gt;0")</f>
        <v>0</v>
      </c>
      <c r="DR157" s="41">
        <f>IF(DQ158=0,"",DQ157/DQ158)</f>
        <v>0</v>
      </c>
      <c r="DS157" s="14"/>
      <c r="DT157" s="14"/>
      <c r="DU157" s="14"/>
      <c r="DV157" s="14"/>
      <c r="DW157" s="14"/>
      <c r="DX157" s="14"/>
      <c r="DY157" s="14"/>
      <c r="DZ157" s="14"/>
      <c r="EA157" s="14"/>
      <c r="EB157" s="14"/>
      <c r="EC157" s="14"/>
      <c r="ED157" s="14"/>
      <c r="EE157" s="14"/>
      <c r="EF157" s="14"/>
      <c r="EG157" s="14"/>
      <c r="EH157" s="14"/>
      <c r="EI157" s="14"/>
      <c r="EJ157" s="14"/>
      <c r="EK157" s="14"/>
      <c r="EL157" s="14"/>
    </row>
    <row r="158" spans="1:142" ht="14.4" x14ac:dyDescent="0.25">
      <c r="A158" s="14"/>
      <c r="B158" s="62"/>
      <c r="C158" s="19"/>
      <c r="D158" s="59"/>
      <c r="E158" s="14"/>
      <c r="F158" s="14"/>
      <c r="G158" s="86" t="s">
        <v>145</v>
      </c>
      <c r="H158" s="111">
        <f>COUNTIFS(S30_stakeholder_category,"NB",Response_Q173_1,"&lt;&gt;0")</f>
        <v>2</v>
      </c>
      <c r="I158" s="119">
        <f t="shared" si="111"/>
        <v>1</v>
      </c>
      <c r="J158" s="14"/>
      <c r="K158" s="14"/>
      <c r="L158" s="14"/>
      <c r="M158" s="14"/>
      <c r="N158" s="14"/>
      <c r="O158" s="14"/>
      <c r="P158" s="14"/>
      <c r="Q158" s="47"/>
      <c r="R158" s="19"/>
      <c r="S158" s="61"/>
      <c r="T158" s="19"/>
      <c r="U158" s="59"/>
      <c r="V158" s="14"/>
      <c r="W158" s="14"/>
      <c r="X158" s="107" t="s">
        <v>54</v>
      </c>
      <c r="Y158" s="27">
        <f t="shared" si="106"/>
        <v>0</v>
      </c>
      <c r="Z158" s="41">
        <f t="shared" si="107"/>
        <v>0</v>
      </c>
      <c r="AA158" s="14"/>
      <c r="AB158" s="14"/>
      <c r="AC158" s="14"/>
      <c r="AD158" s="65"/>
      <c r="AE158" s="63"/>
      <c r="AF158" s="352"/>
      <c r="AG158" s="19"/>
      <c r="AH158" s="61"/>
      <c r="AI158" s="19"/>
      <c r="AJ158" s="59"/>
      <c r="AK158" s="14"/>
      <c r="AL158" s="14"/>
      <c r="AM158" s="107" t="s">
        <v>54</v>
      </c>
      <c r="AN158" s="27">
        <f t="shared" si="108"/>
        <v>0</v>
      </c>
      <c r="AO158" s="41">
        <f t="shared" si="112"/>
        <v>0</v>
      </c>
      <c r="AP158" s="14"/>
      <c r="AQ158" s="14"/>
      <c r="AR158" s="14"/>
      <c r="AS158" s="65"/>
      <c r="AT158" s="63"/>
      <c r="AU158" s="352"/>
      <c r="AV158" s="14"/>
      <c r="AW158" s="61"/>
      <c r="AX158" s="19"/>
      <c r="AY158" s="59"/>
      <c r="AZ158" s="14"/>
      <c r="BA158" s="14"/>
      <c r="BB158" s="107" t="s">
        <v>54</v>
      </c>
      <c r="BC158" s="27">
        <f t="shared" si="109"/>
        <v>1</v>
      </c>
      <c r="BD158" s="41">
        <f t="shared" si="113"/>
        <v>0.5</v>
      </c>
      <c r="BE158" s="14"/>
      <c r="BF158" s="14"/>
      <c r="BG158" s="14"/>
      <c r="BH158" s="65"/>
      <c r="BI158" s="63"/>
      <c r="BJ158" s="352"/>
      <c r="BK158" s="19"/>
      <c r="BL158" s="61"/>
      <c r="BM158" s="19"/>
      <c r="BN158" s="59"/>
      <c r="BO158" s="14"/>
      <c r="BP158" s="14"/>
      <c r="BQ158" s="107" t="s">
        <v>54</v>
      </c>
      <c r="BR158" s="27">
        <f t="shared" si="110"/>
        <v>1</v>
      </c>
      <c r="BS158" s="41">
        <f t="shared" si="114"/>
        <v>0.5</v>
      </c>
      <c r="BT158" s="14"/>
      <c r="BU158" s="14"/>
      <c r="BV158" s="14"/>
      <c r="BW158" s="65"/>
      <c r="BX158" s="63"/>
      <c r="BY158" s="352"/>
      <c r="BZ158" s="14"/>
      <c r="CA158" s="14"/>
      <c r="CB158" s="21"/>
      <c r="CC158" s="21"/>
      <c r="CD158" s="180"/>
      <c r="CE158" s="181"/>
      <c r="CF158" s="31"/>
      <c r="CG158" s="52"/>
      <c r="CH158" s="52"/>
      <c r="CI158" s="99"/>
      <c r="CJ158" s="14"/>
      <c r="CK158" s="14"/>
      <c r="CL158" s="14"/>
      <c r="CM158" s="14"/>
      <c r="CN158" s="14"/>
      <c r="CO158" s="129"/>
      <c r="CP158" s="14"/>
      <c r="CQ158" s="47"/>
      <c r="CR158" s="14"/>
      <c r="CS158" s="14"/>
      <c r="CT158" s="14"/>
      <c r="CU158" s="14"/>
      <c r="CV158" s="180"/>
      <c r="CW158" s="190"/>
      <c r="CX158" s="191"/>
      <c r="CY158" s="52"/>
      <c r="CZ158" s="52"/>
      <c r="DA158" s="54"/>
      <c r="DB158" s="14"/>
      <c r="DC158" s="14"/>
      <c r="DD158" s="14"/>
      <c r="DE158" s="14"/>
      <c r="DF158" s="14"/>
      <c r="DG158" s="129"/>
      <c r="DH158" s="14"/>
      <c r="DI158" s="47"/>
      <c r="DJ158" s="14"/>
      <c r="DK158" s="62"/>
      <c r="DL158" s="19"/>
      <c r="DM158" s="59"/>
      <c r="DN158" s="14"/>
      <c r="DO158" s="14"/>
      <c r="DP158" s="86" t="s">
        <v>145</v>
      </c>
      <c r="DQ158" s="111">
        <f>COUNTIFS(S30_stakeholder_category,"NB",Response_Q172_1,"&lt;&gt;0",Response_Q173_1,"&lt;&gt;0")</f>
        <v>2</v>
      </c>
      <c r="DR158" s="119">
        <f>IF(DQ158=0,"",DQ158/DQ158)</f>
        <v>1</v>
      </c>
      <c r="DS158" s="14"/>
      <c r="DT158" s="14"/>
      <c r="DU158" s="14"/>
      <c r="DV158" s="14"/>
      <c r="DW158" s="14"/>
      <c r="DX158" s="14"/>
      <c r="DY158" s="14"/>
      <c r="DZ158" s="14"/>
      <c r="EA158" s="14"/>
      <c r="EB158" s="14"/>
      <c r="EC158" s="14"/>
      <c r="ED158" s="14"/>
      <c r="EE158" s="14"/>
      <c r="EF158" s="14"/>
      <c r="EG158" s="14"/>
      <c r="EH158" s="14"/>
      <c r="EI158" s="14"/>
      <c r="EJ158" s="14"/>
      <c r="EK158" s="14"/>
      <c r="EL158" s="14"/>
    </row>
    <row r="159" spans="1:142" x14ac:dyDescent="0.25">
      <c r="A159" s="14"/>
      <c r="B159" s="62"/>
      <c r="C159" s="19"/>
      <c r="D159" s="59"/>
      <c r="E159" s="14"/>
      <c r="F159" s="14"/>
      <c r="G159" s="14"/>
      <c r="H159" s="21"/>
      <c r="I159" s="21"/>
      <c r="J159" s="14"/>
      <c r="K159" s="14"/>
      <c r="L159" s="14"/>
      <c r="M159" s="14"/>
      <c r="N159" s="14"/>
      <c r="O159" s="14"/>
      <c r="P159" s="14"/>
      <c r="Q159" s="47"/>
      <c r="R159" s="19"/>
      <c r="S159" s="62"/>
      <c r="T159" s="19"/>
      <c r="U159" s="59"/>
      <c r="V159" s="14"/>
      <c r="W159" s="14"/>
      <c r="X159" s="107" t="s">
        <v>39</v>
      </c>
      <c r="Y159" s="27">
        <f t="shared" si="106"/>
        <v>0</v>
      </c>
      <c r="Z159" s="41">
        <f t="shared" si="107"/>
        <v>0</v>
      </c>
      <c r="AA159" s="14"/>
      <c r="AB159" s="14"/>
      <c r="AC159" s="14"/>
      <c r="AD159" s="65"/>
      <c r="AE159" s="63"/>
      <c r="AF159" s="352"/>
      <c r="AG159" s="19"/>
      <c r="AH159" s="62"/>
      <c r="AI159" s="19"/>
      <c r="AJ159" s="59"/>
      <c r="AK159" s="14"/>
      <c r="AL159" s="14"/>
      <c r="AM159" s="107" t="s">
        <v>39</v>
      </c>
      <c r="AN159" s="27">
        <f t="shared" si="108"/>
        <v>0</v>
      </c>
      <c r="AO159" s="41">
        <f t="shared" si="112"/>
        <v>0</v>
      </c>
      <c r="AP159" s="14"/>
      <c r="AQ159" s="14"/>
      <c r="AR159" s="14"/>
      <c r="AS159" s="65"/>
      <c r="AT159" s="63"/>
      <c r="AU159" s="352"/>
      <c r="AV159" s="14"/>
      <c r="AW159" s="62"/>
      <c r="AX159" s="19"/>
      <c r="AY159" s="59"/>
      <c r="AZ159" s="14"/>
      <c r="BA159" s="14"/>
      <c r="BB159" s="107" t="s">
        <v>39</v>
      </c>
      <c r="BC159" s="27">
        <f t="shared" si="109"/>
        <v>0</v>
      </c>
      <c r="BD159" s="41">
        <f t="shared" si="113"/>
        <v>0</v>
      </c>
      <c r="BE159" s="14"/>
      <c r="BF159" s="14"/>
      <c r="BG159" s="14"/>
      <c r="BH159" s="65"/>
      <c r="BI159" s="63"/>
      <c r="BJ159" s="352"/>
      <c r="BK159" s="19"/>
      <c r="BL159" s="62"/>
      <c r="BM159" s="19"/>
      <c r="BN159" s="59"/>
      <c r="BO159" s="14"/>
      <c r="BP159" s="14"/>
      <c r="BQ159" s="107" t="s">
        <v>39</v>
      </c>
      <c r="BR159" s="27">
        <f t="shared" si="110"/>
        <v>0</v>
      </c>
      <c r="BS159" s="41">
        <f t="shared" si="114"/>
        <v>0</v>
      </c>
      <c r="BT159" s="14"/>
      <c r="BU159" s="14"/>
      <c r="BV159" s="14"/>
      <c r="BW159" s="65"/>
      <c r="BX159" s="63"/>
      <c r="BY159" s="352"/>
      <c r="BZ159" s="14"/>
      <c r="CA159" s="14"/>
      <c r="CB159" s="21"/>
      <c r="CC159" s="21"/>
      <c r="CD159" s="180"/>
      <c r="CE159" s="181"/>
      <c r="CF159" s="31"/>
      <c r="CG159" s="52"/>
      <c r="CH159" s="52"/>
      <c r="CI159" s="99"/>
      <c r="CJ159" s="14"/>
      <c r="CK159" s="14"/>
      <c r="CL159" s="14"/>
      <c r="CM159" s="14"/>
      <c r="CN159" s="14"/>
      <c r="CO159" s="129"/>
      <c r="CP159" s="14"/>
      <c r="CQ159" s="47"/>
      <c r="CR159" s="14"/>
      <c r="CS159" s="14"/>
      <c r="CT159" s="14"/>
      <c r="CU159" s="14"/>
      <c r="CV159" s="180"/>
      <c r="CW159" s="190"/>
      <c r="CX159" s="191"/>
      <c r="CY159" s="52"/>
      <c r="CZ159" s="52"/>
      <c r="DA159" s="54"/>
      <c r="DB159" s="14"/>
      <c r="DC159" s="14"/>
      <c r="DD159" s="14"/>
      <c r="DE159" s="14"/>
      <c r="DF159" s="14"/>
      <c r="DG159" s="129"/>
      <c r="DH159" s="14"/>
      <c r="DI159" s="47"/>
      <c r="DJ159" s="14"/>
      <c r="DK159" s="62"/>
      <c r="DL159" s="19"/>
      <c r="DM159" s="59"/>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row>
    <row r="160" spans="1:142" x14ac:dyDescent="0.25">
      <c r="A160" s="14"/>
      <c r="B160" s="62"/>
      <c r="C160" s="19"/>
      <c r="D160" s="59"/>
      <c r="E160" s="14"/>
      <c r="F160" s="14"/>
      <c r="G160" s="14"/>
      <c r="H160" s="21"/>
      <c r="I160" s="21"/>
      <c r="J160" s="14"/>
      <c r="K160" s="14"/>
      <c r="L160" s="14"/>
      <c r="M160" s="14"/>
      <c r="N160" s="14"/>
      <c r="O160" s="14"/>
      <c r="P160" s="14"/>
      <c r="Q160" s="47"/>
      <c r="R160" s="19"/>
      <c r="S160" s="62"/>
      <c r="T160" s="19"/>
      <c r="U160" s="59"/>
      <c r="V160" s="14"/>
      <c r="W160" s="14"/>
      <c r="X160" s="86" t="s">
        <v>145</v>
      </c>
      <c r="Y160" s="111">
        <f>COUNTIFS(S30_stakeholder_category,"NB",Response_Q176_1,"&lt;&gt;0")</f>
        <v>2</v>
      </c>
      <c r="Z160" s="119">
        <f t="shared" si="107"/>
        <v>1</v>
      </c>
      <c r="AA160" s="14"/>
      <c r="AB160" s="14"/>
      <c r="AC160" s="14"/>
      <c r="AD160" s="65"/>
      <c r="AE160" s="63"/>
      <c r="AF160" s="352"/>
      <c r="AG160" s="19"/>
      <c r="AH160" s="62"/>
      <c r="AI160" s="19"/>
      <c r="AJ160" s="59"/>
      <c r="AK160" s="14"/>
      <c r="AL160" s="14"/>
      <c r="AM160" s="86" t="s">
        <v>145</v>
      </c>
      <c r="AN160" s="111">
        <f>COUNTIFS(S30_stakeholder_category,"NB",Response_30a_CaseA,"&lt;&gt;0")</f>
        <v>2</v>
      </c>
      <c r="AO160" s="119">
        <f t="shared" si="112"/>
        <v>1</v>
      </c>
      <c r="AP160" s="14"/>
      <c r="AQ160" s="14"/>
      <c r="AR160" s="14"/>
      <c r="AS160" s="65"/>
      <c r="AT160" s="63"/>
      <c r="AU160" s="352"/>
      <c r="AV160" s="14"/>
      <c r="AW160" s="62"/>
      <c r="AX160" s="19"/>
      <c r="AY160" s="59"/>
      <c r="AZ160" s="14"/>
      <c r="BA160" s="14"/>
      <c r="BB160" s="86" t="s">
        <v>145</v>
      </c>
      <c r="BC160" s="111">
        <f>COUNTIFS(S30_stakeholder_category,"NB",Response_30a_CaseB,"&lt;&gt;0")</f>
        <v>2</v>
      </c>
      <c r="BD160" s="119">
        <f t="shared" si="113"/>
        <v>1</v>
      </c>
      <c r="BE160" s="14"/>
      <c r="BF160" s="14"/>
      <c r="BG160" s="14"/>
      <c r="BH160" s="65"/>
      <c r="BI160" s="63"/>
      <c r="BJ160" s="352"/>
      <c r="BK160" s="19"/>
      <c r="BL160" s="62"/>
      <c r="BM160" s="19"/>
      <c r="BN160" s="59"/>
      <c r="BO160" s="14"/>
      <c r="BP160" s="14"/>
      <c r="BQ160" s="86" t="s">
        <v>145</v>
      </c>
      <c r="BR160" s="111">
        <f>COUNTIFS(S30_stakeholder_category,"NB",Response_30a_CaseC,"&lt;&gt;0")</f>
        <v>2</v>
      </c>
      <c r="BS160" s="119">
        <f t="shared" si="114"/>
        <v>1</v>
      </c>
      <c r="BT160" s="14"/>
      <c r="BU160" s="14"/>
      <c r="BV160" s="14"/>
      <c r="BW160" s="65"/>
      <c r="BX160" s="63"/>
      <c r="BY160" s="352"/>
      <c r="BZ160" s="14"/>
      <c r="CA160" s="14"/>
      <c r="CB160" s="21"/>
      <c r="CC160" s="21"/>
      <c r="CD160" s="180"/>
      <c r="CE160" s="181"/>
      <c r="CF160" s="31"/>
      <c r="CG160" s="52"/>
      <c r="CH160" s="52"/>
      <c r="CI160" s="99"/>
      <c r="CJ160" s="14"/>
      <c r="CK160" s="14"/>
      <c r="CL160" s="14"/>
      <c r="CM160" s="14"/>
      <c r="CN160" s="14"/>
      <c r="CO160" s="129"/>
      <c r="CP160" s="14"/>
      <c r="CQ160" s="47"/>
      <c r="CR160" s="14"/>
      <c r="CS160" s="14"/>
      <c r="CT160" s="14"/>
      <c r="CU160" s="14"/>
      <c r="CV160" s="180"/>
      <c r="CW160" s="190"/>
      <c r="CX160" s="191"/>
      <c r="CY160" s="52"/>
      <c r="CZ160" s="52"/>
      <c r="DA160" s="54"/>
      <c r="DB160" s="14"/>
      <c r="DC160" s="14"/>
      <c r="DD160" s="14"/>
      <c r="DE160" s="14"/>
      <c r="DF160" s="14"/>
      <c r="DG160" s="129"/>
      <c r="DH160" s="14"/>
      <c r="DI160" s="47"/>
      <c r="DJ160" s="14"/>
      <c r="DK160" s="62"/>
      <c r="DL160" s="19"/>
      <c r="DM160" s="59"/>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row>
    <row r="161" spans="1:142" s="135" customFormat="1" ht="15" customHeight="1" x14ac:dyDescent="0.25">
      <c r="A161" s="14"/>
      <c r="B161" s="13"/>
      <c r="C161" s="13"/>
      <c r="D161" s="21"/>
      <c r="E161" s="14"/>
      <c r="F161" s="14"/>
      <c r="G161" s="14"/>
      <c r="H161" s="21"/>
      <c r="I161" s="21"/>
      <c r="J161" s="14"/>
      <c r="K161" s="14"/>
      <c r="L161" s="14"/>
      <c r="M161" s="14"/>
      <c r="N161" s="14"/>
      <c r="O161" s="14"/>
      <c r="P161" s="14"/>
      <c r="Q161" s="47"/>
      <c r="R161" s="19"/>
      <c r="S161" s="13"/>
      <c r="T161" s="13"/>
      <c r="U161" s="21"/>
      <c r="V161" s="14"/>
      <c r="W161" s="14"/>
      <c r="X161" s="14"/>
      <c r="Y161" s="14"/>
      <c r="Z161" s="14"/>
      <c r="AA161" s="14"/>
      <c r="AB161" s="14"/>
      <c r="AC161" s="14"/>
      <c r="AD161" s="65"/>
      <c r="AE161" s="63"/>
      <c r="AF161" s="352"/>
      <c r="AG161" s="19"/>
      <c r="AH161" s="13"/>
      <c r="AI161" s="13"/>
      <c r="AJ161" s="21"/>
      <c r="AK161" s="14"/>
      <c r="AL161" s="14"/>
      <c r="AM161" s="14"/>
      <c r="AN161" s="14"/>
      <c r="AO161" s="14"/>
      <c r="AP161" s="14"/>
      <c r="AQ161" s="14"/>
      <c r="AR161" s="14"/>
      <c r="AS161" s="65"/>
      <c r="AT161" s="63"/>
      <c r="AU161" s="352"/>
      <c r="AV161" s="14"/>
      <c r="AW161" s="13"/>
      <c r="AX161" s="13"/>
      <c r="AY161" s="21"/>
      <c r="AZ161" s="14"/>
      <c r="BA161" s="14"/>
      <c r="BB161" s="14"/>
      <c r="BC161" s="14"/>
      <c r="BD161" s="14"/>
      <c r="BE161" s="14"/>
      <c r="BF161" s="14"/>
      <c r="BG161" s="14"/>
      <c r="BH161" s="65"/>
      <c r="BI161" s="63"/>
      <c r="BJ161" s="352"/>
      <c r="BK161" s="19"/>
      <c r="BL161" s="13"/>
      <c r="BM161" s="13"/>
      <c r="BN161" s="21"/>
      <c r="BO161" s="14"/>
      <c r="BP161" s="14"/>
      <c r="BQ161" s="14"/>
      <c r="BR161" s="14"/>
      <c r="BS161" s="14"/>
      <c r="BT161" s="14"/>
      <c r="BU161" s="14"/>
      <c r="BV161" s="14"/>
      <c r="BW161" s="65"/>
      <c r="BX161" s="63"/>
      <c r="BY161" s="352"/>
      <c r="BZ161" s="14"/>
      <c r="CA161" s="14"/>
      <c r="CB161" s="21"/>
      <c r="CC161" s="21"/>
      <c r="CD161" s="180"/>
      <c r="CE161" s="181"/>
      <c r="CF161" s="31"/>
      <c r="CG161" s="31"/>
      <c r="CH161" s="31"/>
      <c r="CI161" s="14"/>
      <c r="CJ161" s="14"/>
      <c r="CK161" s="14"/>
      <c r="CL161" s="14"/>
      <c r="CM161" s="14"/>
      <c r="CN161" s="14"/>
      <c r="CO161" s="129"/>
      <c r="CP161" s="14"/>
      <c r="CQ161" s="47"/>
      <c r="CR161" s="14"/>
      <c r="CS161" s="14"/>
      <c r="CT161" s="14"/>
      <c r="CU161" s="14"/>
      <c r="CV161" s="180"/>
      <c r="CW161" s="190"/>
      <c r="CX161" s="191"/>
      <c r="CY161" s="31"/>
      <c r="CZ161" s="31"/>
      <c r="DA161" s="14"/>
      <c r="DB161" s="14"/>
      <c r="DC161" s="14"/>
      <c r="DD161" s="14"/>
      <c r="DE161" s="14"/>
      <c r="DF161" s="14"/>
      <c r="DG161" s="129"/>
      <c r="DH161" s="14"/>
      <c r="DI161" s="47"/>
      <c r="DJ161" s="14"/>
      <c r="DK161" s="13"/>
      <c r="DL161" s="13"/>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row>
    <row r="162" spans="1:142" s="131" customFormat="1" x14ac:dyDescent="0.25">
      <c r="A162" s="78"/>
      <c r="B162" s="78" t="s">
        <v>153</v>
      </c>
      <c r="C162" s="78" t="s">
        <v>137</v>
      </c>
      <c r="D162" s="79"/>
      <c r="E162" s="78"/>
      <c r="F162" s="78"/>
      <c r="G162" s="78"/>
      <c r="H162" s="79"/>
      <c r="I162" s="79"/>
      <c r="J162" s="78"/>
      <c r="K162" s="78"/>
      <c r="L162" s="78"/>
      <c r="M162" s="78"/>
      <c r="N162" s="78"/>
      <c r="O162" s="78"/>
      <c r="P162" s="78"/>
      <c r="Q162" s="82"/>
      <c r="R162" s="83"/>
      <c r="S162" s="78" t="str">
        <f>$B162</f>
        <v>Policy makers and academia</v>
      </c>
      <c r="T162" s="78"/>
      <c r="U162" s="78"/>
      <c r="V162" s="78"/>
      <c r="W162" s="78"/>
      <c r="X162" s="78"/>
      <c r="Y162" s="78"/>
      <c r="Z162" s="78"/>
      <c r="AA162" s="78"/>
      <c r="AB162" s="78"/>
      <c r="AC162" s="78"/>
      <c r="AD162" s="80"/>
      <c r="AE162" s="81"/>
      <c r="AF162" s="373"/>
      <c r="AG162" s="83"/>
      <c r="AH162" s="78" t="str">
        <f>$B162</f>
        <v>Policy makers and academia</v>
      </c>
      <c r="AI162" s="78"/>
      <c r="AJ162" s="78"/>
      <c r="AK162" s="78"/>
      <c r="AL162" s="78"/>
      <c r="AM162" s="78"/>
      <c r="AN162" s="78"/>
      <c r="AO162" s="78"/>
      <c r="AP162" s="78"/>
      <c r="AQ162" s="78"/>
      <c r="AR162" s="78"/>
      <c r="AS162" s="80"/>
      <c r="AT162" s="81"/>
      <c r="AU162" s="373"/>
      <c r="AV162" s="78"/>
      <c r="AW162" s="78" t="str">
        <f>$B162</f>
        <v>Policy makers and academia</v>
      </c>
      <c r="AX162" s="78"/>
      <c r="AY162" s="78"/>
      <c r="AZ162" s="78"/>
      <c r="BA162" s="78"/>
      <c r="BB162" s="78"/>
      <c r="BC162" s="78"/>
      <c r="BD162" s="78"/>
      <c r="BE162" s="78"/>
      <c r="BF162" s="78"/>
      <c r="BG162" s="78"/>
      <c r="BH162" s="80"/>
      <c r="BI162" s="81"/>
      <c r="BJ162" s="373"/>
      <c r="BK162" s="83"/>
      <c r="BL162" s="78" t="str">
        <f>$B162</f>
        <v>Policy makers and academia</v>
      </c>
      <c r="BM162" s="78"/>
      <c r="BN162" s="78"/>
      <c r="BO162" s="78"/>
      <c r="BP162" s="78"/>
      <c r="BQ162" s="78"/>
      <c r="BR162" s="78"/>
      <c r="BS162" s="78"/>
      <c r="BT162" s="78"/>
      <c r="BU162" s="78"/>
      <c r="BV162" s="78"/>
      <c r="BW162" s="80"/>
      <c r="BX162" s="81"/>
      <c r="BY162" s="373"/>
      <c r="BZ162" s="78"/>
      <c r="CA162" s="78" t="str">
        <f>$B162</f>
        <v>Policy makers and academia</v>
      </c>
      <c r="CB162" s="79"/>
      <c r="CC162" s="79"/>
      <c r="CD162" s="182"/>
      <c r="CE162" s="182"/>
      <c r="CF162" s="79"/>
      <c r="CG162" s="78"/>
      <c r="CH162" s="78"/>
      <c r="CI162" s="78"/>
      <c r="CJ162" s="78"/>
      <c r="CK162" s="78"/>
      <c r="CL162" s="78"/>
      <c r="CM162" s="78"/>
      <c r="CN162" s="78"/>
      <c r="CO162" s="78"/>
      <c r="CP162" s="78"/>
      <c r="CQ162" s="82"/>
      <c r="CR162" s="78"/>
      <c r="CS162" s="78" t="str">
        <f>$B162</f>
        <v>Policy makers and academia</v>
      </c>
      <c r="CT162" s="78"/>
      <c r="CU162" s="78"/>
      <c r="CV162" s="182"/>
      <c r="CW162" s="192"/>
      <c r="CX162" s="192"/>
      <c r="CY162" s="78"/>
      <c r="CZ162" s="78"/>
      <c r="DA162" s="78"/>
      <c r="DB162" s="78"/>
      <c r="DC162" s="78"/>
      <c r="DD162" s="78"/>
      <c r="DE162" s="78"/>
      <c r="DF162" s="78"/>
      <c r="DG162" s="78"/>
      <c r="DH162" s="78"/>
      <c r="DI162" s="82"/>
      <c r="DJ162" s="78"/>
      <c r="DK162" s="78" t="str">
        <f>$B162</f>
        <v>Policy makers and academia</v>
      </c>
      <c r="DL162" s="78"/>
      <c r="DM162" s="78"/>
      <c r="DN162" s="78"/>
      <c r="DO162" s="78"/>
      <c r="DP162" s="78"/>
      <c r="DQ162" s="78"/>
      <c r="DR162" s="78"/>
      <c r="DS162" s="78"/>
      <c r="DT162" s="78"/>
      <c r="DU162" s="78"/>
      <c r="DV162" s="78"/>
      <c r="DW162" s="78"/>
      <c r="DX162" s="78"/>
      <c r="DY162" s="78"/>
      <c r="DZ162" s="78"/>
      <c r="EA162" s="78"/>
      <c r="EB162" s="78"/>
      <c r="EC162" s="78"/>
      <c r="ED162" s="78"/>
      <c r="EE162" s="78"/>
      <c r="EF162" s="78"/>
      <c r="EG162" s="78"/>
      <c r="EH162" s="78"/>
      <c r="EI162" s="78"/>
      <c r="EJ162" s="78"/>
      <c r="EK162" s="78"/>
      <c r="EL162" s="78"/>
    </row>
    <row r="163" spans="1:142" x14ac:dyDescent="0.25">
      <c r="A163" s="14"/>
      <c r="B163" s="84" t="s">
        <v>301</v>
      </c>
      <c r="C163" s="84"/>
      <c r="D163" s="85"/>
      <c r="E163" s="84"/>
      <c r="F163" s="14"/>
      <c r="G163" s="14"/>
      <c r="H163" s="21"/>
      <c r="I163" s="21"/>
      <c r="J163" s="14"/>
      <c r="K163" s="14"/>
      <c r="L163" s="14"/>
      <c r="M163" s="14"/>
      <c r="N163" s="14"/>
      <c r="O163" s="14"/>
      <c r="P163" s="14"/>
      <c r="Q163" s="47"/>
      <c r="R163" s="19"/>
      <c r="S163" s="84" t="s">
        <v>322</v>
      </c>
      <c r="T163" s="84"/>
      <c r="U163" s="85"/>
      <c r="V163" s="84"/>
      <c r="W163" s="14"/>
      <c r="X163" s="14"/>
      <c r="Y163" s="14"/>
      <c r="Z163" s="14"/>
      <c r="AA163" s="14"/>
      <c r="AB163" s="14"/>
      <c r="AC163" s="14"/>
      <c r="AD163" s="65"/>
      <c r="AE163" s="63"/>
      <c r="AF163" s="352"/>
      <c r="AG163" s="19"/>
      <c r="AH163" s="84" t="s">
        <v>328</v>
      </c>
      <c r="AI163" s="84"/>
      <c r="AJ163" s="85"/>
      <c r="AK163" s="84"/>
      <c r="AL163" s="84"/>
      <c r="AM163" s="14"/>
      <c r="AN163" s="14"/>
      <c r="AO163" s="14"/>
      <c r="AP163" s="14"/>
      <c r="AQ163" s="14"/>
      <c r="AR163" s="14"/>
      <c r="AS163" s="65"/>
      <c r="AT163" s="63"/>
      <c r="AU163" s="352"/>
      <c r="AV163" s="14"/>
      <c r="AW163" s="84" t="s">
        <v>347</v>
      </c>
      <c r="AX163" s="84"/>
      <c r="AY163" s="85"/>
      <c r="AZ163" s="84"/>
      <c r="BA163" s="84"/>
      <c r="BB163" s="14"/>
      <c r="BC163" s="14"/>
      <c r="BD163" s="14"/>
      <c r="BE163" s="14"/>
      <c r="BF163" s="14"/>
      <c r="BG163" s="14"/>
      <c r="BH163" s="65"/>
      <c r="BI163" s="63"/>
      <c r="BJ163" s="352"/>
      <c r="BK163" s="19"/>
      <c r="BL163" s="84" t="s">
        <v>348</v>
      </c>
      <c r="BM163" s="84"/>
      <c r="BN163" s="85"/>
      <c r="BO163" s="84"/>
      <c r="BP163" s="84"/>
      <c r="BQ163" s="14"/>
      <c r="BR163" s="14"/>
      <c r="BS163" s="14"/>
      <c r="BT163" s="14"/>
      <c r="BU163" s="14"/>
      <c r="BV163" s="14"/>
      <c r="BW163" s="65"/>
      <c r="BX163" s="63"/>
      <c r="BY163" s="352"/>
      <c r="BZ163" s="14"/>
      <c r="CA163" s="148" t="s">
        <v>303</v>
      </c>
      <c r="CB163" s="85"/>
      <c r="CC163" s="85"/>
      <c r="CD163" s="186"/>
      <c r="CE163" s="185"/>
      <c r="CF163" s="147"/>
      <c r="CG163" s="14"/>
      <c r="CH163" s="14"/>
      <c r="CI163" s="14"/>
      <c r="CJ163" s="14"/>
      <c r="CK163" s="14"/>
      <c r="CL163" s="14"/>
      <c r="CM163" s="14"/>
      <c r="CN163" s="14"/>
      <c r="CO163" s="129"/>
      <c r="CP163" s="14"/>
      <c r="CQ163" s="47"/>
      <c r="CR163" s="14"/>
      <c r="CS163" s="148" t="s">
        <v>304</v>
      </c>
      <c r="CT163" s="84"/>
      <c r="CU163" s="85"/>
      <c r="CV163" s="186"/>
      <c r="CW163" s="193"/>
      <c r="CX163" s="193"/>
      <c r="CY163" s="14"/>
      <c r="CZ163" s="14"/>
      <c r="DA163" s="14"/>
      <c r="DB163" s="14"/>
      <c r="DC163" s="14"/>
      <c r="DD163" s="14"/>
      <c r="DE163" s="14"/>
      <c r="DF163" s="14"/>
      <c r="DG163" s="129"/>
      <c r="DH163" s="14"/>
      <c r="DI163" s="47"/>
      <c r="DJ163" s="14"/>
      <c r="DK163" s="84" t="s">
        <v>305</v>
      </c>
      <c r="DL163" s="84"/>
      <c r="DM163" s="85"/>
      <c r="DN163" s="8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row>
    <row r="164" spans="1:142" x14ac:dyDescent="0.25">
      <c r="A164" s="14"/>
      <c r="B164" s="14"/>
      <c r="C164" s="14"/>
      <c r="D164" s="15"/>
      <c r="E164" s="14"/>
      <c r="F164" s="14"/>
      <c r="G164" s="14"/>
      <c r="H164" s="21"/>
      <c r="I164" s="21"/>
      <c r="J164" s="14"/>
      <c r="K164" s="19"/>
      <c r="L164" s="14"/>
      <c r="M164" s="14"/>
      <c r="N164" s="14"/>
      <c r="O164" s="14"/>
      <c r="P164" s="14"/>
      <c r="Q164" s="47"/>
      <c r="R164" s="19"/>
      <c r="S164" s="14"/>
      <c r="T164" s="14"/>
      <c r="U164" s="15"/>
      <c r="V164" s="14"/>
      <c r="W164" s="14"/>
      <c r="X164" s="14"/>
      <c r="Y164" s="14"/>
      <c r="Z164" s="14"/>
      <c r="AA164" s="14"/>
      <c r="AB164" s="14"/>
      <c r="AC164" s="14"/>
      <c r="AD164" s="65"/>
      <c r="AE164" s="63"/>
      <c r="AF164" s="352"/>
      <c r="AG164" s="19"/>
      <c r="AH164" s="14"/>
      <c r="AI164" s="14"/>
      <c r="AJ164" s="15"/>
      <c r="AK164" s="14"/>
      <c r="AL164" s="14"/>
      <c r="AM164" s="14"/>
      <c r="AN164" s="14"/>
      <c r="AO164" s="14"/>
      <c r="AP164" s="14"/>
      <c r="AQ164" s="14"/>
      <c r="AR164" s="14"/>
      <c r="AS164" s="65"/>
      <c r="AT164" s="63"/>
      <c r="AU164" s="352"/>
      <c r="AV164" s="14"/>
      <c r="AW164" s="14"/>
      <c r="AX164" s="14"/>
      <c r="AY164" s="15"/>
      <c r="AZ164" s="14"/>
      <c r="BA164" s="14"/>
      <c r="BB164" s="14"/>
      <c r="BC164" s="14"/>
      <c r="BD164" s="14"/>
      <c r="BE164" s="14"/>
      <c r="BF164" s="14"/>
      <c r="BG164" s="14"/>
      <c r="BH164" s="65"/>
      <c r="BI164" s="63"/>
      <c r="BJ164" s="352"/>
      <c r="BK164" s="19"/>
      <c r="BL164" s="14"/>
      <c r="BM164" s="14"/>
      <c r="BN164" s="15"/>
      <c r="BO164" s="14"/>
      <c r="BP164" s="14"/>
      <c r="BQ164" s="14"/>
      <c r="BR164" s="14"/>
      <c r="BS164" s="14"/>
      <c r="BT164" s="14"/>
      <c r="BU164" s="14"/>
      <c r="BV164" s="14"/>
      <c r="BW164" s="65"/>
      <c r="BX164" s="63"/>
      <c r="BY164" s="352"/>
      <c r="BZ164" s="14"/>
      <c r="CA164" s="14"/>
      <c r="CB164" s="21"/>
      <c r="CC164" s="21"/>
      <c r="CD164" s="180"/>
      <c r="CE164" s="180"/>
      <c r="CF164" s="21"/>
      <c r="CG164" s="14"/>
      <c r="CH164" s="14"/>
      <c r="CI164" s="14"/>
      <c r="CJ164" s="14"/>
      <c r="CK164" s="14"/>
      <c r="CL164" s="14"/>
      <c r="CM164" s="14"/>
      <c r="CN164" s="14"/>
      <c r="CO164" s="129"/>
      <c r="CP164" s="14"/>
      <c r="CQ164" s="47"/>
      <c r="CR164" s="14"/>
      <c r="CS164" s="14"/>
      <c r="CT164" s="14"/>
      <c r="CU164" s="14"/>
      <c r="CV164" s="180"/>
      <c r="CW164" s="189"/>
      <c r="CX164" s="189"/>
      <c r="CY164" s="14"/>
      <c r="CZ164" s="14"/>
      <c r="DA164" s="14"/>
      <c r="DB164" s="14"/>
      <c r="DC164" s="14"/>
      <c r="DD164" s="14"/>
      <c r="DE164" s="14"/>
      <c r="DF164" s="14"/>
      <c r="DG164" s="129"/>
      <c r="DH164" s="14"/>
      <c r="DI164" s="47"/>
      <c r="DJ164" s="14"/>
      <c r="DK164" s="14"/>
      <c r="DL164" s="14"/>
      <c r="DM164" s="15"/>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row>
    <row r="165" spans="1:142" ht="27.6" x14ac:dyDescent="0.25">
      <c r="A165" s="14"/>
      <c r="B165" s="112" t="s">
        <v>23</v>
      </c>
      <c r="C165" s="113" t="s">
        <v>24</v>
      </c>
      <c r="D165" s="113" t="s">
        <v>145</v>
      </c>
      <c r="E165" s="113" t="s">
        <v>300</v>
      </c>
      <c r="F165" s="14"/>
      <c r="G165" s="14"/>
      <c r="H165" s="21"/>
      <c r="I165" s="21"/>
      <c r="J165" s="14"/>
      <c r="K165" s="19"/>
      <c r="L165" s="51"/>
      <c r="M165" s="51"/>
      <c r="N165" s="51"/>
      <c r="O165" s="51"/>
      <c r="P165" s="51"/>
      <c r="Q165" s="47"/>
      <c r="R165" s="19"/>
      <c r="S165" s="112" t="s">
        <v>23</v>
      </c>
      <c r="T165" s="113" t="s">
        <v>24</v>
      </c>
      <c r="U165" s="113" t="s">
        <v>145</v>
      </c>
      <c r="V165" s="113" t="s">
        <v>300</v>
      </c>
      <c r="W165" s="14"/>
      <c r="X165" s="14"/>
      <c r="Y165" s="14"/>
      <c r="Z165" s="14"/>
      <c r="AA165" s="56"/>
      <c r="AB165" s="56"/>
      <c r="AC165" s="56"/>
      <c r="AD165" s="65"/>
      <c r="AE165" s="63"/>
      <c r="AF165" s="352"/>
      <c r="AG165" s="19"/>
      <c r="AH165" s="112" t="s">
        <v>23</v>
      </c>
      <c r="AI165" s="113" t="s">
        <v>24</v>
      </c>
      <c r="AJ165" s="113" t="s">
        <v>145</v>
      </c>
      <c r="AK165" s="113" t="s">
        <v>300</v>
      </c>
      <c r="AL165" s="14"/>
      <c r="AM165" s="14"/>
      <c r="AN165" s="14"/>
      <c r="AO165" s="14"/>
      <c r="AP165" s="56"/>
      <c r="AQ165" s="56"/>
      <c r="AR165" s="56"/>
      <c r="AS165" s="65"/>
      <c r="AT165" s="63"/>
      <c r="AU165" s="352"/>
      <c r="AV165" s="14"/>
      <c r="AW165" s="112" t="s">
        <v>23</v>
      </c>
      <c r="AX165" s="113" t="s">
        <v>24</v>
      </c>
      <c r="AY165" s="113" t="s">
        <v>145</v>
      </c>
      <c r="AZ165" s="113" t="s">
        <v>300</v>
      </c>
      <c r="BA165" s="14"/>
      <c r="BB165" s="14"/>
      <c r="BC165" s="14"/>
      <c r="BD165" s="14"/>
      <c r="BE165" s="56"/>
      <c r="BF165" s="56"/>
      <c r="BG165" s="56"/>
      <c r="BH165" s="65"/>
      <c r="BI165" s="63"/>
      <c r="BJ165" s="352"/>
      <c r="BK165" s="19"/>
      <c r="BL165" s="112" t="s">
        <v>23</v>
      </c>
      <c r="BM165" s="113" t="s">
        <v>24</v>
      </c>
      <c r="BN165" s="113" t="s">
        <v>145</v>
      </c>
      <c r="BO165" s="113" t="s">
        <v>300</v>
      </c>
      <c r="BP165" s="14"/>
      <c r="BQ165" s="14"/>
      <c r="BR165" s="14"/>
      <c r="BS165" s="14"/>
      <c r="BT165" s="56"/>
      <c r="BU165" s="56"/>
      <c r="BV165" s="56"/>
      <c r="BW165" s="65"/>
      <c r="BX165" s="63"/>
      <c r="BY165" s="352"/>
      <c r="BZ165" s="14"/>
      <c r="CA165" s="112" t="s">
        <v>23</v>
      </c>
      <c r="CB165" s="113" t="s">
        <v>145</v>
      </c>
      <c r="CC165" s="21"/>
      <c r="CD165" s="180"/>
      <c r="CE165" s="180"/>
      <c r="CF165" s="21"/>
      <c r="CG165" s="14"/>
      <c r="CH165" s="14"/>
      <c r="CI165" s="14"/>
      <c r="CJ165" s="14"/>
      <c r="CK165" s="14"/>
      <c r="CL165" s="14"/>
      <c r="CM165" s="14"/>
      <c r="CN165" s="14"/>
      <c r="CO165" s="129"/>
      <c r="CP165" s="17"/>
      <c r="CQ165" s="47"/>
      <c r="CR165" s="14"/>
      <c r="CS165" s="112" t="s">
        <v>23</v>
      </c>
      <c r="CT165" s="113" t="s">
        <v>145</v>
      </c>
      <c r="CU165" s="14"/>
      <c r="CV165" s="180"/>
      <c r="CW165" s="189"/>
      <c r="CX165" s="189"/>
      <c r="CY165" s="14"/>
      <c r="CZ165" s="14"/>
      <c r="DA165" s="14"/>
      <c r="DB165" s="14"/>
      <c r="DC165" s="14"/>
      <c r="DD165" s="14"/>
      <c r="DE165" s="14"/>
      <c r="DF165" s="14"/>
      <c r="DG165" s="129"/>
      <c r="DH165" s="17"/>
      <c r="DI165" s="47"/>
      <c r="DJ165" s="17"/>
      <c r="DK165" s="112" t="s">
        <v>23</v>
      </c>
      <c r="DL165" s="113" t="s">
        <v>24</v>
      </c>
      <c r="DM165" s="113" t="s">
        <v>145</v>
      </c>
      <c r="DN165" s="113" t="s">
        <v>300</v>
      </c>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row>
    <row r="166" spans="1:142" x14ac:dyDescent="0.25">
      <c r="A166" s="14"/>
      <c r="B166" s="57" t="s">
        <v>153</v>
      </c>
      <c r="C166" s="121" t="str">
        <f>IF(H185=0,"na",IF(COUNTIF(H180:H184,MAX(H180:H184))&gt;COUNTIF(G180:G184,"&lt;&gt;""")/2,"No clear choice of the most common response",INDEX(G180:G184,MATCH(MAX(H180:H184),H180:H184,0),1)))</f>
        <v>Definitely not</v>
      </c>
      <c r="D166" s="58">
        <f>COUNTIFS(S30_stakeholder_category,"PO",Response_Q173_1,"&lt;&gt;0")</f>
        <v>3</v>
      </c>
      <c r="E166" s="121">
        <f>COUNTIFS(S30_stakeholder_category,"PO",Response_Q173_1,"I don’t know")</f>
        <v>0</v>
      </c>
      <c r="F166" s="14"/>
      <c r="G166" s="14"/>
      <c r="H166" s="21"/>
      <c r="I166" s="21"/>
      <c r="J166" s="14"/>
      <c r="K166" s="19"/>
      <c r="L166" s="40"/>
      <c r="M166" s="40"/>
      <c r="N166" s="40"/>
      <c r="O166" s="40"/>
      <c r="P166" s="40"/>
      <c r="Q166" s="47"/>
      <c r="R166" s="19"/>
      <c r="S166" s="34" t="s">
        <v>153</v>
      </c>
      <c r="T166" s="37" t="str">
        <f>IF(Y187=0,"na",IF(COUNTIF(Y180:Y186,MAX(Y180:Y186))&gt;COUNTIF(X180:X186,"&lt;&gt;""")/2,"No clear choice of the most common response",INDEX(X180:X186,MATCH(MAX(Y180:Y186),Y180:Y186,0),1)))</f>
        <v>Very unlikely</v>
      </c>
      <c r="U166" s="33">
        <f>COUNTIFS(S30_stakeholder_category,"PO",Response_Q176_1,"&lt;&gt;0")</f>
        <v>2</v>
      </c>
      <c r="V166" s="37">
        <f>COUNTIFS(S30_stakeholder_category,"PO",Response_Q176_1,"I don’t know")</f>
        <v>0</v>
      </c>
      <c r="W166" s="14"/>
      <c r="X166" s="14"/>
      <c r="Y166" s="14"/>
      <c r="Z166" s="14"/>
      <c r="AA166" s="19"/>
      <c r="AB166" s="19"/>
      <c r="AC166" s="19"/>
      <c r="AD166" s="65"/>
      <c r="AE166" s="63"/>
      <c r="AF166" s="352"/>
      <c r="AG166" s="19"/>
      <c r="AH166" s="57" t="s">
        <v>153</v>
      </c>
      <c r="AI166" s="121" t="str">
        <f>IF(AN187=0,"na",IF(COUNTIF(AN180:AN186,MAX(AN180:AN186))&gt;COUNTIF(AM180:AM186,"&lt;&gt;""")/2,"No clear choice of the most common response",INDEX(AM180:AM186,MATCH(MAX(AN180:AN186),AN180:AN186,0),1)))</f>
        <v>na</v>
      </c>
      <c r="AJ166" s="58">
        <f>COUNTIFS(S30_stakeholder_category,"PO",Response_30a_CaseA,"&lt;&gt;0")</f>
        <v>0</v>
      </c>
      <c r="AK166" s="121">
        <f>COUNTIFS(S30_stakeholder_category,"PO",Response_30a_CaseA,"I don’t know")</f>
        <v>0</v>
      </c>
      <c r="AL166" s="14"/>
      <c r="AM166" s="14"/>
      <c r="AN166" s="14"/>
      <c r="AO166" s="14"/>
      <c r="AP166" s="19"/>
      <c r="AQ166" s="19"/>
      <c r="AR166" s="19"/>
      <c r="AS166" s="65"/>
      <c r="AT166" s="63"/>
      <c r="AU166" s="352"/>
      <c r="AV166" s="14"/>
      <c r="AW166" s="57" t="s">
        <v>153</v>
      </c>
      <c r="AX166" s="121" t="str">
        <f>IF(BC187=0,"na",IF(COUNTIF(BC180:BC186,MAX(BC180:BC186))&gt;COUNTIF(BB180:BB186,"&lt;&gt;""")/2,"No clear choice of the most common response",INDEX(BB180:BB186,MATCH(MAX(BC180:BC186),BC180:BC186,0),1)))</f>
        <v>na</v>
      </c>
      <c r="AY166" s="58">
        <f>COUNTIFS(S30_stakeholder_category,"PO",Response_30a_CaseB,"&lt;&gt;0")</f>
        <v>0</v>
      </c>
      <c r="AZ166" s="121">
        <f>COUNTIFS(S30_stakeholder_category,"PO",Response_30a_CaseB,"I don’t know")</f>
        <v>0</v>
      </c>
      <c r="BA166" s="14"/>
      <c r="BB166" s="14"/>
      <c r="BC166" s="14"/>
      <c r="BD166" s="14"/>
      <c r="BE166" s="19"/>
      <c r="BF166" s="19"/>
      <c r="BG166" s="19"/>
      <c r="BH166" s="65"/>
      <c r="BI166" s="63"/>
      <c r="BJ166" s="352"/>
      <c r="BK166" s="19"/>
      <c r="BL166" s="57" t="s">
        <v>153</v>
      </c>
      <c r="BM166" s="121" t="str">
        <f>IF(BR187=0,"na",IF(COUNTIF(BR180:BR186,MAX(BR180:BR186))&gt;COUNTIF(BQ177_:BQ186,"&lt;&gt;""")/2,"No clear choice of the most common response",INDEX(BQ177_:BQ186,MATCH(MAX(BR180:BR186),BR180:BR186,0),1)))</f>
        <v>na</v>
      </c>
      <c r="BN166" s="58">
        <f>COUNTIFS(S30_stakeholder_category,"PO",Response_30a_CaseC,"&lt;&gt;0")</f>
        <v>0</v>
      </c>
      <c r="BO166" s="121">
        <f>COUNTIFS(S30_stakeholder_category,"PO",Response_30a_CaseC,"I don’t know")</f>
        <v>0</v>
      </c>
      <c r="BP166" s="14"/>
      <c r="BQ166" s="14"/>
      <c r="BR166" s="14"/>
      <c r="BS166" s="14"/>
      <c r="BT166" s="19"/>
      <c r="BU166" s="19"/>
      <c r="BV166" s="19"/>
      <c r="BW166" s="65"/>
      <c r="BX166" s="63"/>
      <c r="BY166" s="352"/>
      <c r="BZ166" s="14"/>
      <c r="CA166" s="34" t="s">
        <v>153</v>
      </c>
      <c r="CB166" s="37">
        <f>MAX(SUM(CC172:CC178),SUM(CD172:CD178),SUM(CE172:CE178))</f>
        <v>2</v>
      </c>
      <c r="CC166" s="21"/>
      <c r="CD166" s="180"/>
      <c r="CE166" s="180"/>
      <c r="CF166" s="21"/>
      <c r="CG166" s="14"/>
      <c r="CH166" s="14"/>
      <c r="CI166" s="14"/>
      <c r="CJ166" s="14"/>
      <c r="CK166" s="14"/>
      <c r="CL166" s="14"/>
      <c r="CM166" s="14"/>
      <c r="CN166" s="14"/>
      <c r="CO166" s="129"/>
      <c r="CP166" s="29"/>
      <c r="CQ166" s="47"/>
      <c r="CR166" s="14"/>
      <c r="CS166" s="34" t="s">
        <v>153</v>
      </c>
      <c r="CT166" s="37">
        <f>MAX(SUM(CU172:CU178),SUM(CV172:CV178),SUM(CW172:CW178))</f>
        <v>1</v>
      </c>
      <c r="CU166" s="14"/>
      <c r="CV166" s="180"/>
      <c r="CW166" s="189"/>
      <c r="CX166" s="189"/>
      <c r="CY166" s="14"/>
      <c r="CZ166" s="14"/>
      <c r="DA166" s="14"/>
      <c r="DB166" s="14"/>
      <c r="DC166" s="14"/>
      <c r="DD166" s="14"/>
      <c r="DE166" s="14"/>
      <c r="DF166" s="14"/>
      <c r="DG166" s="129"/>
      <c r="DH166" s="29"/>
      <c r="DI166" s="47"/>
      <c r="DJ166" s="29"/>
      <c r="DK166" s="34" t="s">
        <v>153</v>
      </c>
      <c r="DL166" s="37" t="str">
        <f>IF(DQ185=0,"na",IF(COUNTIF(DQ180:DQ184,MAX(DQ180:DQ184))&gt;COUNTIF(DP180:DP184,"&lt;&gt;""")/2,"No clear choice of the most common response",INDEX(DP180:DP184,MATCH(MAX(DQ180:DQ184),DQ180:DQ184,0),1)))</f>
        <v>Definitely not</v>
      </c>
      <c r="DM166" s="33">
        <f>COUNTIFS(S30_stakeholder_category,"PO",Response_Q172_1,"&lt;&gt;0",Response_Q173_1,"&lt;&gt;0")</f>
        <v>3</v>
      </c>
      <c r="DN166" s="37">
        <f>DQ184</f>
        <v>0</v>
      </c>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row>
    <row r="167" spans="1:142" x14ac:dyDescent="0.25">
      <c r="A167" s="14"/>
      <c r="B167" s="57"/>
      <c r="C167" s="121" t="str">
        <f ca="1">IF(H185=0,"",IF(COUNTIF(H180:H184,MAX(H180:H184))=1,"",IF(COUNTIF(H180:H184,MAX(H180:H184))&gt;COUNTIF(G180:G184,"&lt;&gt;""")/2,"",INDEX(OFFSET(G180,MATCH(C166,G180:G185,0),0):G184,MATCH(MAX(H180:H184),OFFSET(H180,MATCH(C166,G180:G185,0),0):H184,0),1))))</f>
        <v/>
      </c>
      <c r="D167" s="58"/>
      <c r="E167" s="121"/>
      <c r="F167" s="14"/>
      <c r="G167" s="14"/>
      <c r="H167" s="21"/>
      <c r="I167" s="21"/>
      <c r="J167" s="14"/>
      <c r="K167" s="19"/>
      <c r="L167" s="40"/>
      <c r="M167" s="40"/>
      <c r="N167" s="40"/>
      <c r="O167" s="40"/>
      <c r="P167" s="40"/>
      <c r="Q167" s="47"/>
      <c r="R167" s="19"/>
      <c r="S167" s="34"/>
      <c r="T167" s="37" t="str">
        <f ca="1">IF(Y187=0,"",IF(COUNTIF(Y180:Y186,MAX(Y180:Y186))=1,"",IF(COUNTIF(Y180:Y186,MAX(Y180:Y186))&gt;COUNTIF(X180:X186,"&lt;&gt;""")/2,"",INDEX(OFFSET(X180,MATCH(T166,X180:X186,0),0):X186,MATCH(MAX(Y180:Y186),OFFSET(Y180,MATCH(T166,X180:X186,0),0):Y186,0),1))))</f>
        <v>Moderately likely</v>
      </c>
      <c r="U167" s="33"/>
      <c r="V167" s="37"/>
      <c r="W167" s="14"/>
      <c r="X167" s="14"/>
      <c r="Y167" s="14"/>
      <c r="Z167" s="14"/>
      <c r="AA167" s="19"/>
      <c r="AB167" s="19"/>
      <c r="AC167" s="19"/>
      <c r="AD167" s="65"/>
      <c r="AE167" s="63"/>
      <c r="AF167" s="352"/>
      <c r="AG167" s="19"/>
      <c r="AH167" s="57"/>
      <c r="AI167" s="121" t="str">
        <f ca="1">IF(AN187=0,"",IF(COUNTIF(AN180:AN186,MAX(AN180:AN186))=1,"",IF(COUNTIF(AN180:AN186,MAX(AN180:AN186))&gt;COUNTIF(AM180:AM186,"&lt;&gt;""")/2,"",INDEX(OFFSET(AM180,MATCH(AI166,AM180:AM186,0),0):AM186,MATCH(MAX(AN180:AN186),OFFSET(AN180,MATCH(AI166,AM180:AM186,0),0):AN186,0),1))))</f>
        <v/>
      </c>
      <c r="AJ167" s="58"/>
      <c r="AK167" s="121"/>
      <c r="AL167" s="14"/>
      <c r="AM167" s="14"/>
      <c r="AN167" s="14"/>
      <c r="AO167" s="14"/>
      <c r="AP167" s="19"/>
      <c r="AQ167" s="19"/>
      <c r="AR167" s="19"/>
      <c r="AS167" s="65"/>
      <c r="AT167" s="63"/>
      <c r="AU167" s="352"/>
      <c r="AV167" s="14"/>
      <c r="AW167" s="57"/>
      <c r="AX167" s="121" t="str">
        <f ca="1">IF(BC187=0,"",IF(COUNTIF(BC180:BC186,MAX(BC180:BC186))=1,"",IF(COUNTIF(BC180:BC186,MAX(BC180:BC186))&gt;COUNTIF(BB180:BB186,"&lt;&gt;""")/2,"",INDEX(OFFSET(BB180,MATCH(AX166,BB180:BB186,0),0):BB186,MATCH(MAX(BC180:BC186),OFFSET(BC180,MATCH(AX166,BB180:BB186,0),0):BC186,0),1))))</f>
        <v/>
      </c>
      <c r="AY167" s="58"/>
      <c r="AZ167" s="121"/>
      <c r="BA167" s="14"/>
      <c r="BB167" s="14"/>
      <c r="BC167" s="14"/>
      <c r="BD167" s="14"/>
      <c r="BE167" s="19"/>
      <c r="BF167" s="19"/>
      <c r="BG167" s="19"/>
      <c r="BH167" s="65"/>
      <c r="BI167" s="63"/>
      <c r="BJ167" s="352"/>
      <c r="BK167" s="19"/>
      <c r="BL167" s="57"/>
      <c r="BM167" s="121" t="str">
        <f ca="1">IF(BR187=0,"",IF(COUNTIF(BR180:BR186,MAX(BR180:BR186))=1,"",IF(COUNTIF(BR180:BR186,MAX(BR180:BR186))&gt;COUNTIF(BQ180:BQ186,"&lt;&gt;""")/2,"",INDEX(OFFSET(BQ180,MATCH(BM166,BQ180:BQ186,0),0):BQ186,MATCH(MAX(BR180:BR186),OFFSET(BR180,MATCH(BM166,BQ180:BQ186,0),0):BR186,0),1))))</f>
        <v/>
      </c>
      <c r="BN167" s="58"/>
      <c r="BO167" s="121"/>
      <c r="BP167" s="14"/>
      <c r="BQ167" s="14"/>
      <c r="BR167" s="14"/>
      <c r="BS167" s="14"/>
      <c r="BT167" s="19"/>
      <c r="BU167" s="19"/>
      <c r="BV167" s="19"/>
      <c r="BW167" s="65"/>
      <c r="BX167" s="63"/>
      <c r="BY167" s="352"/>
      <c r="BZ167" s="14"/>
      <c r="CA167" s="14"/>
      <c r="CB167" s="21"/>
      <c r="CC167" s="21"/>
      <c r="CD167" s="180"/>
      <c r="CE167" s="180"/>
      <c r="CF167" s="21"/>
      <c r="CG167" s="14"/>
      <c r="CH167" s="14"/>
      <c r="CI167" s="14"/>
      <c r="CJ167" s="14"/>
      <c r="CK167" s="14"/>
      <c r="CL167" s="14"/>
      <c r="CM167" s="14"/>
      <c r="CN167" s="14"/>
      <c r="CO167" s="129"/>
      <c r="CP167" s="29"/>
      <c r="CQ167" s="47"/>
      <c r="CR167" s="14"/>
      <c r="CS167" s="14"/>
      <c r="CT167" s="14"/>
      <c r="CU167" s="14"/>
      <c r="CV167" s="180"/>
      <c r="CW167" s="189"/>
      <c r="CX167" s="189"/>
      <c r="CY167" s="14"/>
      <c r="CZ167" s="14"/>
      <c r="DA167" s="14"/>
      <c r="DB167" s="14"/>
      <c r="DC167" s="14"/>
      <c r="DD167" s="14"/>
      <c r="DE167" s="14"/>
      <c r="DF167" s="14"/>
      <c r="DG167" s="129"/>
      <c r="DH167" s="29"/>
      <c r="DI167" s="47"/>
      <c r="DJ167" s="29"/>
      <c r="DK167" s="34"/>
      <c r="DL167" s="37" t="str">
        <f ca="1">IF(DQ185=0,"",IF(COUNTIF(DQ180:DQ184,MAX(DQ180:DQ184))=1,"",IF(COUNTIF(DQ180:DQ184,MAX(DQ180:DQ184))&gt;COUNTIF(DP180:DP184,"&lt;&gt;""")/2,"",INDEX(OFFSET(DP180,MATCH(DL166,DP180:DP185,0),0):DP184,MATCH(MAX(DQ180:DQ184),OFFSET(DQ180,MATCH(DL166,DP180:DP185,0),0):DQ184,0),1))))</f>
        <v/>
      </c>
      <c r="DM167" s="33"/>
      <c r="DN167" s="37"/>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row>
    <row r="168" spans="1:142" x14ac:dyDescent="0.25">
      <c r="A168" s="14"/>
      <c r="B168" s="57"/>
      <c r="C168" s="121" t="str">
        <f ca="1" xml:space="preserve"> IF(H185=0,"", IF(COUNTIF(H180:H184,MAX(H180:H184))&lt;=2,"",IF(COUNTIF(H180:H184,MAX(H180:H184))&gt;COUNTIF(G180:G184,"&lt;&gt;""")/2,"", INDEX(OFFSET(G180,MATCH(C167,G180:G185,0),0):G184,         MATCH(MAX(H180:H184),        OFFSET(H180,MATCH(C167,G180:G185,0),0):H184,0),1))))</f>
        <v/>
      </c>
      <c r="D168" s="58"/>
      <c r="E168" s="121"/>
      <c r="F168" s="14"/>
      <c r="G168" s="14"/>
      <c r="H168" s="21"/>
      <c r="I168" s="21"/>
      <c r="J168" s="14"/>
      <c r="K168" s="19"/>
      <c r="L168" s="40"/>
      <c r="M168" s="40"/>
      <c r="N168" s="40"/>
      <c r="O168" s="40"/>
      <c r="P168" s="40"/>
      <c r="Q168" s="47"/>
      <c r="R168" s="19"/>
      <c r="S168" s="34"/>
      <c r="T168" s="121" t="str">
        <f ca="1" xml:space="preserve"> IF(Y187=0,"",IF(Y187=0,"", IF(COUNTIF(Y180:Y186,MAX(Y180:Y186))&lt;=2,"",IF(COUNTIF(Y180:Y186,MAX(Y180:Y186))&gt;COUNTIF(X180:X186,"&lt;&gt;""")/2,"", INDEX(OFFSET(X180,MATCH(T167,X180:X186,0),0):X186,         MATCH(MAX(Y180:Y186),        OFFSET(Y180,MATCH(T167,X180:X186,0),0):Y186,0),1)))))</f>
        <v/>
      </c>
      <c r="U168" s="33"/>
      <c r="V168" s="37"/>
      <c r="W168" s="14"/>
      <c r="X168" s="14"/>
      <c r="Y168" s="14"/>
      <c r="Z168" s="14"/>
      <c r="AA168" s="19"/>
      <c r="AB168" s="19"/>
      <c r="AC168" s="19"/>
      <c r="AD168" s="65"/>
      <c r="AE168" s="63"/>
      <c r="AF168" s="352"/>
      <c r="AG168" s="19"/>
      <c r="AH168" s="57"/>
      <c r="AI168" s="121" t="str">
        <f ca="1" xml:space="preserve"> IF(AN187=0,"",IF(AN187=0,"", IF(COUNTIF(AN180:AN186,MAX(AN180:AN186))&lt;=2,"",IF(COUNTIF(AN180:AN186,MAX(AN180:AN186))&gt;COUNTIF(AM180:AM186,"&lt;&gt;""")/2,"", INDEX(OFFSET(AM180,MATCH(AI167,AM180:AM186,0),0):AM186,         MATCH(MAX(AN180:AN186),        OFFSET(AN180,MATCH(AI167,AM180:AM186,0),0):AN186,0),1)))))</f>
        <v/>
      </c>
      <c r="AJ168" s="58"/>
      <c r="AK168" s="121"/>
      <c r="AL168" s="14"/>
      <c r="AM168" s="14"/>
      <c r="AN168" s="14"/>
      <c r="AO168" s="14"/>
      <c r="AP168" s="19"/>
      <c r="AQ168" s="19"/>
      <c r="AR168" s="19"/>
      <c r="AS168" s="65"/>
      <c r="AT168" s="63"/>
      <c r="AU168" s="352"/>
      <c r="AV168" s="14"/>
      <c r="AW168" s="57"/>
      <c r="AX168" s="121" t="str">
        <f ca="1" xml:space="preserve"> IF(BC187=0,"",IF(BC187=0,"", IF(COUNTIF(BC180:BC186,MAX(BC180:BC186))&lt;=2,"",IF(COUNTIF(BC180:BC186,MAX(BC180:BC186))&gt;COUNTIF(BB180:BB186,"&lt;&gt;""")/2,"", INDEX(OFFSET(BB180,MATCH(AX167,BB180:BB186,0),0):BB186,         MATCH(MAX(BC180:BC186),        OFFSET(BC180,MATCH(AX167,BB180:BB186,0),0):BC186,0),1)))))</f>
        <v/>
      </c>
      <c r="AY168" s="58"/>
      <c r="AZ168" s="121"/>
      <c r="BA168" s="14"/>
      <c r="BB168" s="14"/>
      <c r="BC168" s="14"/>
      <c r="BD168" s="14"/>
      <c r="BE168" s="19"/>
      <c r="BF168" s="19"/>
      <c r="BG168" s="19"/>
      <c r="BH168" s="65"/>
      <c r="BI168" s="63"/>
      <c r="BJ168" s="352"/>
      <c r="BK168" s="19"/>
      <c r="BL168" s="57"/>
      <c r="BM168" s="121" t="str">
        <f ca="1" xml:space="preserve"> IF(BR187=0,"",IF(BR187=0,"", IF(COUNTIF(BR180:BR186,MAX(BR180:BR186))&lt;=2,"",IF(COUNTIF(BR180:BR186,MAX(BR180:BR186))&gt;COUNTIF(BQ180:BQ186,"&lt;&gt;""")/2,"", INDEX(OFFSET(BQ180,MATCH(BM167,BQ180:BQ186,0),0):BQ186,         MATCH(MAX(BR180:BR186),        OFFSET(BR180,MATCH(BM167,BQ180:BQ186,0),0):BR186,0),1)))))</f>
        <v/>
      </c>
      <c r="BN168" s="58"/>
      <c r="BO168" s="121"/>
      <c r="BP168" s="14"/>
      <c r="BQ168" s="14"/>
      <c r="BR168" s="14"/>
      <c r="BS168" s="14"/>
      <c r="BT168" s="19"/>
      <c r="BU168" s="19"/>
      <c r="BV168" s="19"/>
      <c r="BW168" s="65"/>
      <c r="BX168" s="63"/>
      <c r="BY168" s="352"/>
      <c r="BZ168" s="14"/>
      <c r="CA168" s="14"/>
      <c r="CB168" s="21"/>
      <c r="CC168" s="21"/>
      <c r="CD168" s="180"/>
      <c r="CE168" s="180"/>
      <c r="CF168" s="21"/>
      <c r="CG168" s="14"/>
      <c r="CH168" s="14"/>
      <c r="CI168" s="14"/>
      <c r="CJ168" s="14"/>
      <c r="CK168" s="14"/>
      <c r="CL168" s="14"/>
      <c r="CM168" s="14"/>
      <c r="CN168" s="14"/>
      <c r="CO168" s="129"/>
      <c r="CP168" s="29"/>
      <c r="CQ168" s="47"/>
      <c r="CR168" s="14"/>
      <c r="CS168" s="14"/>
      <c r="CT168" s="14"/>
      <c r="CU168" s="14"/>
      <c r="CV168" s="180"/>
      <c r="CW168" s="189"/>
      <c r="CX168" s="189"/>
      <c r="CY168" s="14"/>
      <c r="CZ168" s="14"/>
      <c r="DA168" s="14"/>
      <c r="DB168" s="14"/>
      <c r="DC168" s="14"/>
      <c r="DD168" s="14"/>
      <c r="DE168" s="14"/>
      <c r="DF168" s="14"/>
      <c r="DG168" s="129"/>
      <c r="DH168" s="29"/>
      <c r="DI168" s="47"/>
      <c r="DJ168" s="29"/>
      <c r="DK168" s="34"/>
      <c r="DL168" s="37" t="str">
        <f ca="1">IF(DQ185=0,"",IF(COUNTIF(DQ180:DQ184,MAX(DQ180:DQ184))&lt;=2,"",IF(COUNTIF(DQ180:DQ184,MAX(DQ180:DQ184))&gt;COUNTIF(DP180:DP184,"&lt;&gt;""")/2,"",INDEX(OFFSET(DP180,MATCH(DL167,DP180:DP185,0),0):DP184,MATCH(MAX(DQ180:DQ184),OFFSET(DQ180,MATCH(DL167,DP180:DP185,0),0):DQ184,0),1))))</f>
        <v/>
      </c>
      <c r="DM168" s="33"/>
      <c r="DN168" s="37"/>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row>
    <row r="169" spans="1:142" x14ac:dyDescent="0.25">
      <c r="A169" s="14"/>
      <c r="B169" s="14"/>
      <c r="C169" s="14"/>
      <c r="D169" s="27"/>
      <c r="E169" s="14"/>
      <c r="F169" s="14"/>
      <c r="G169" s="14"/>
      <c r="H169" s="21"/>
      <c r="I169" s="21"/>
      <c r="J169" s="14"/>
      <c r="K169" s="19"/>
      <c r="L169" s="40"/>
      <c r="M169" s="40"/>
      <c r="N169" s="40"/>
      <c r="O169" s="40"/>
      <c r="P169" s="40"/>
      <c r="Q169" s="47"/>
      <c r="R169" s="19"/>
      <c r="S169" s="19"/>
      <c r="T169" s="19"/>
      <c r="U169" s="19"/>
      <c r="V169" s="19"/>
      <c r="W169" s="14"/>
      <c r="X169" s="14"/>
      <c r="Y169" s="14"/>
      <c r="Z169" s="14"/>
      <c r="AA169" s="19"/>
      <c r="AB169" s="19"/>
      <c r="AC169" s="19"/>
      <c r="AD169" s="65"/>
      <c r="AE169" s="63"/>
      <c r="AF169" s="352"/>
      <c r="AG169" s="19"/>
      <c r="AH169" s="19"/>
      <c r="AI169" s="19"/>
      <c r="AJ169" s="19"/>
      <c r="AK169" s="19"/>
      <c r="AL169" s="14"/>
      <c r="AM169" s="14"/>
      <c r="AN169" s="14"/>
      <c r="AO169" s="14"/>
      <c r="AP169" s="19"/>
      <c r="AQ169" s="19"/>
      <c r="AR169" s="19"/>
      <c r="AS169" s="65"/>
      <c r="AT169" s="63"/>
      <c r="AU169" s="352"/>
      <c r="AV169" s="14"/>
      <c r="AW169" s="19"/>
      <c r="AX169" s="19"/>
      <c r="AY169" s="19"/>
      <c r="AZ169" s="19"/>
      <c r="BA169" s="14"/>
      <c r="BB169" s="14"/>
      <c r="BC169" s="14"/>
      <c r="BD169" s="14"/>
      <c r="BE169" s="19"/>
      <c r="BF169" s="19"/>
      <c r="BG169" s="19"/>
      <c r="BH169" s="65"/>
      <c r="BI169" s="63"/>
      <c r="BJ169" s="352"/>
      <c r="BK169" s="19"/>
      <c r="BL169" s="19"/>
      <c r="BM169" s="19"/>
      <c r="BN169" s="19"/>
      <c r="BO169" s="19"/>
      <c r="BP169" s="14"/>
      <c r="BQ169" s="14"/>
      <c r="BR169" s="14"/>
      <c r="BS169" s="14"/>
      <c r="BT169" s="19"/>
      <c r="BU169" s="19"/>
      <c r="BV169" s="19"/>
      <c r="BW169" s="65"/>
      <c r="BX169" s="63"/>
      <c r="BY169" s="352"/>
      <c r="BZ169" s="14"/>
      <c r="CA169" s="14"/>
      <c r="CB169" s="21"/>
      <c r="CC169" s="21"/>
      <c r="CD169" s="180"/>
      <c r="CE169" s="180"/>
      <c r="CF169" s="21"/>
      <c r="CG169" s="14"/>
      <c r="CH169" s="14"/>
      <c r="CI169" s="14"/>
      <c r="CJ169" s="14"/>
      <c r="CK169" s="14"/>
      <c r="CL169" s="14"/>
      <c r="CM169" s="14"/>
      <c r="CN169" s="14"/>
      <c r="CO169" s="129"/>
      <c r="CP169" s="29"/>
      <c r="CQ169" s="47"/>
      <c r="CR169" s="14"/>
      <c r="CS169" s="14"/>
      <c r="CT169" s="14"/>
      <c r="CU169" s="14"/>
      <c r="CV169" s="180"/>
      <c r="CW169" s="189"/>
      <c r="CX169" s="189"/>
      <c r="CY169" s="14"/>
      <c r="CZ169" s="14"/>
      <c r="DA169" s="14"/>
      <c r="DB169" s="14"/>
      <c r="DC169" s="14"/>
      <c r="DD169" s="14"/>
      <c r="DE169" s="14"/>
      <c r="DF169" s="14"/>
      <c r="DG169" s="129"/>
      <c r="DH169" s="29"/>
      <c r="DI169" s="47"/>
      <c r="DJ169" s="29"/>
      <c r="DK169" s="14"/>
      <c r="DL169" s="14"/>
      <c r="DM169" s="27"/>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row>
    <row r="170" spans="1:142" x14ac:dyDescent="0.25">
      <c r="A170" s="14"/>
      <c r="B170" s="14"/>
      <c r="C170" s="14"/>
      <c r="D170" s="27"/>
      <c r="E170" s="14"/>
      <c r="F170" s="14"/>
      <c r="G170" s="14"/>
      <c r="H170" s="21"/>
      <c r="I170" s="21"/>
      <c r="J170" s="14"/>
      <c r="K170" s="19"/>
      <c r="L170" s="40"/>
      <c r="M170" s="40"/>
      <c r="N170" s="40"/>
      <c r="O170" s="40"/>
      <c r="P170" s="40"/>
      <c r="Q170" s="47"/>
      <c r="R170" s="19"/>
      <c r="S170" s="19"/>
      <c r="T170" s="19"/>
      <c r="U170" s="19"/>
      <c r="V170" s="19"/>
      <c r="W170" s="14"/>
      <c r="X170" s="14"/>
      <c r="Y170" s="14"/>
      <c r="Z170" s="14"/>
      <c r="AA170" s="19"/>
      <c r="AB170" s="19"/>
      <c r="AC170" s="19"/>
      <c r="AD170" s="65"/>
      <c r="AE170" s="63"/>
      <c r="AF170" s="352"/>
      <c r="AG170" s="19"/>
      <c r="AH170" s="19"/>
      <c r="AI170" s="19"/>
      <c r="AJ170" s="19"/>
      <c r="AK170" s="19"/>
      <c r="AL170" s="14"/>
      <c r="AM170" s="14"/>
      <c r="AN170" s="14"/>
      <c r="AO170" s="14"/>
      <c r="AP170" s="19"/>
      <c r="AQ170" s="19"/>
      <c r="AR170" s="19"/>
      <c r="AS170" s="65"/>
      <c r="AT170" s="63"/>
      <c r="AU170" s="352"/>
      <c r="AV170" s="14"/>
      <c r="AW170" s="19"/>
      <c r="AX170" s="19"/>
      <c r="AY170" s="19"/>
      <c r="AZ170" s="19"/>
      <c r="BA170" s="14"/>
      <c r="BB170" s="14"/>
      <c r="BC170" s="14"/>
      <c r="BD170" s="14"/>
      <c r="BE170" s="19"/>
      <c r="BF170" s="19"/>
      <c r="BG170" s="19"/>
      <c r="BH170" s="65"/>
      <c r="BI170" s="63"/>
      <c r="BJ170" s="352"/>
      <c r="BK170" s="19"/>
      <c r="BL170" s="19"/>
      <c r="BM170" s="19"/>
      <c r="BN170" s="19"/>
      <c r="BO170" s="19"/>
      <c r="BP170" s="14"/>
      <c r="BQ170" s="14"/>
      <c r="BR170" s="14"/>
      <c r="BS170" s="14"/>
      <c r="BT170" s="19"/>
      <c r="BU170" s="19"/>
      <c r="BV170" s="19"/>
      <c r="BW170" s="65"/>
      <c r="BX170" s="63"/>
      <c r="BY170" s="352"/>
      <c r="BZ170" s="14"/>
      <c r="CA170" s="14"/>
      <c r="CB170" s="21"/>
      <c r="CC170" s="21"/>
      <c r="CD170" s="180"/>
      <c r="CE170" s="180"/>
      <c r="CF170" s="21"/>
      <c r="CG170" s="14"/>
      <c r="CH170" s="14"/>
      <c r="CI170" s="14"/>
      <c r="CJ170" s="14"/>
      <c r="CK170" s="14"/>
      <c r="CL170" s="14"/>
      <c r="CM170" s="14"/>
      <c r="CN170" s="14"/>
      <c r="CO170" s="129"/>
      <c r="CP170" s="29"/>
      <c r="CQ170" s="47"/>
      <c r="CR170" s="14"/>
      <c r="CS170" s="14"/>
      <c r="CT170" s="14"/>
      <c r="CU170" s="14"/>
      <c r="CV170" s="180"/>
      <c r="CW170" s="189"/>
      <c r="CX170" s="189"/>
      <c r="CY170" s="14"/>
      <c r="CZ170" s="14"/>
      <c r="DA170" s="14"/>
      <c r="DB170" s="14"/>
      <c r="DC170" s="14"/>
      <c r="DD170" s="14"/>
      <c r="DE170" s="14"/>
      <c r="DF170" s="14"/>
      <c r="DG170" s="129"/>
      <c r="DH170" s="29"/>
      <c r="DI170" s="47"/>
      <c r="DJ170" s="29"/>
      <c r="DK170" s="14"/>
      <c r="DL170" s="14"/>
      <c r="DM170" s="27"/>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row>
    <row r="171" spans="1:142" ht="27.6" x14ac:dyDescent="0.25">
      <c r="A171" s="14"/>
      <c r="B171" s="14"/>
      <c r="C171" s="14"/>
      <c r="D171" s="27"/>
      <c r="E171" s="14"/>
      <c r="F171" s="14"/>
      <c r="G171" s="14"/>
      <c r="H171" s="21"/>
      <c r="I171" s="21"/>
      <c r="J171" s="14"/>
      <c r="K171" s="19"/>
      <c r="L171" s="40"/>
      <c r="M171" s="40"/>
      <c r="N171" s="40"/>
      <c r="O171" s="40"/>
      <c r="P171" s="40"/>
      <c r="Q171" s="47"/>
      <c r="R171" s="19"/>
      <c r="S171" s="19"/>
      <c r="T171" s="19"/>
      <c r="U171" s="19"/>
      <c r="V171" s="19"/>
      <c r="W171" s="14"/>
      <c r="X171" s="14"/>
      <c r="Y171" s="14"/>
      <c r="Z171" s="14"/>
      <c r="AA171" s="19"/>
      <c r="AB171" s="19"/>
      <c r="AC171" s="19"/>
      <c r="AD171" s="65"/>
      <c r="AE171" s="63"/>
      <c r="AF171" s="352"/>
      <c r="AG171" s="19"/>
      <c r="AH171" s="19"/>
      <c r="AI171" s="19"/>
      <c r="AJ171" s="19"/>
      <c r="AK171" s="19"/>
      <c r="AL171" s="14"/>
      <c r="AM171" s="14"/>
      <c r="AN171" s="14"/>
      <c r="AO171" s="14"/>
      <c r="AP171" s="19"/>
      <c r="AQ171" s="19"/>
      <c r="AR171" s="19"/>
      <c r="AS171" s="65"/>
      <c r="AT171" s="63"/>
      <c r="AU171" s="352"/>
      <c r="AV171" s="14"/>
      <c r="AW171" s="19"/>
      <c r="AX171" s="19"/>
      <c r="AY171" s="19"/>
      <c r="AZ171" s="19"/>
      <c r="BA171" s="14"/>
      <c r="BB171" s="14"/>
      <c r="BC171" s="14"/>
      <c r="BD171" s="14"/>
      <c r="BE171" s="19"/>
      <c r="BF171" s="19"/>
      <c r="BG171" s="19"/>
      <c r="BH171" s="65"/>
      <c r="BI171" s="63"/>
      <c r="BJ171" s="352"/>
      <c r="BK171" s="19"/>
      <c r="BL171" s="19"/>
      <c r="BM171" s="19"/>
      <c r="BN171" s="19"/>
      <c r="BO171" s="19"/>
      <c r="BP171" s="14"/>
      <c r="BQ171" s="14"/>
      <c r="BR171" s="14"/>
      <c r="BS171" s="14"/>
      <c r="BT171" s="19"/>
      <c r="BU171" s="19"/>
      <c r="BV171" s="19"/>
      <c r="BW171" s="65"/>
      <c r="BX171" s="63"/>
      <c r="BY171" s="352"/>
      <c r="BZ171" s="14"/>
      <c r="CA171" s="109" t="s">
        <v>14</v>
      </c>
      <c r="CB171" s="110" t="s">
        <v>164</v>
      </c>
      <c r="CC171" s="110" t="s">
        <v>149</v>
      </c>
      <c r="CD171" s="184" t="s">
        <v>150</v>
      </c>
      <c r="CE171" s="184" t="s">
        <v>151</v>
      </c>
      <c r="CF171" s="110" t="s">
        <v>152</v>
      </c>
      <c r="CG171" s="14"/>
      <c r="CH171" s="109"/>
      <c r="CI171" s="110" t="s">
        <v>5</v>
      </c>
      <c r="CJ171" s="110" t="s">
        <v>4</v>
      </c>
      <c r="CK171" s="110" t="s">
        <v>33</v>
      </c>
      <c r="CL171" s="110" t="s">
        <v>29</v>
      </c>
      <c r="CM171" s="110" t="s">
        <v>3</v>
      </c>
      <c r="CN171" s="110" t="s">
        <v>54</v>
      </c>
      <c r="CO171" s="328" t="s">
        <v>160</v>
      </c>
      <c r="CP171" s="29"/>
      <c r="CQ171" s="47"/>
      <c r="CR171" s="14"/>
      <c r="CS171" s="109" t="s">
        <v>14</v>
      </c>
      <c r="CT171" s="110" t="s">
        <v>164</v>
      </c>
      <c r="CU171" s="110" t="s">
        <v>149</v>
      </c>
      <c r="CV171" s="184" t="s">
        <v>150</v>
      </c>
      <c r="CW171" s="184" t="s">
        <v>151</v>
      </c>
      <c r="CX171" s="194" t="s">
        <v>152</v>
      </c>
      <c r="CY171" s="14"/>
      <c r="CZ171" s="109" t="s">
        <v>14</v>
      </c>
      <c r="DA171" s="110" t="s">
        <v>5</v>
      </c>
      <c r="DB171" s="110" t="s">
        <v>4</v>
      </c>
      <c r="DC171" s="110" t="s">
        <v>33</v>
      </c>
      <c r="DD171" s="110" t="s">
        <v>29</v>
      </c>
      <c r="DE171" s="110" t="s">
        <v>3</v>
      </c>
      <c r="DF171" s="110" t="s">
        <v>54</v>
      </c>
      <c r="DG171" s="328" t="s">
        <v>160</v>
      </c>
      <c r="DH171" s="29"/>
      <c r="DI171" s="47"/>
      <c r="DJ171" s="29"/>
      <c r="DK171" s="19"/>
      <c r="DL171" s="19"/>
      <c r="DM171" s="27"/>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row>
    <row r="172" spans="1:142" x14ac:dyDescent="0.25">
      <c r="A172" s="14"/>
      <c r="B172" s="14"/>
      <c r="C172" s="14"/>
      <c r="D172" s="21"/>
      <c r="E172" s="14"/>
      <c r="F172" s="14"/>
      <c r="G172" s="14"/>
      <c r="H172" s="21"/>
      <c r="I172" s="21"/>
      <c r="J172" s="14"/>
      <c r="K172" s="19"/>
      <c r="L172" s="14"/>
      <c r="M172" s="14"/>
      <c r="N172" s="14"/>
      <c r="O172" s="14"/>
      <c r="P172" s="14"/>
      <c r="Q172" s="47"/>
      <c r="R172" s="19"/>
      <c r="S172" s="19"/>
      <c r="T172" s="19"/>
      <c r="U172" s="19"/>
      <c r="V172" s="19"/>
      <c r="W172" s="14"/>
      <c r="X172" s="14"/>
      <c r="Y172" s="14"/>
      <c r="Z172" s="14"/>
      <c r="AA172" s="19"/>
      <c r="AB172" s="19"/>
      <c r="AC172" s="19"/>
      <c r="AD172" s="65"/>
      <c r="AE172" s="63"/>
      <c r="AF172" s="352"/>
      <c r="AG172" s="19"/>
      <c r="AH172" s="19"/>
      <c r="AI172" s="19"/>
      <c r="AJ172" s="19"/>
      <c r="AK172" s="19"/>
      <c r="AL172" s="14"/>
      <c r="AM172" s="14"/>
      <c r="AN172" s="14"/>
      <c r="AO172" s="14"/>
      <c r="AP172" s="19"/>
      <c r="AQ172" s="19"/>
      <c r="AR172" s="19"/>
      <c r="AS172" s="65"/>
      <c r="AT172" s="63"/>
      <c r="AU172" s="352"/>
      <c r="AV172" s="14"/>
      <c r="AW172" s="19"/>
      <c r="AX172" s="19"/>
      <c r="AY172" s="19"/>
      <c r="AZ172" s="19"/>
      <c r="BA172" s="14"/>
      <c r="BB172" s="14"/>
      <c r="BC172" s="14"/>
      <c r="BD172" s="14"/>
      <c r="BE172" s="19"/>
      <c r="BF172" s="19"/>
      <c r="BG172" s="19"/>
      <c r="BH172" s="65"/>
      <c r="BI172" s="63"/>
      <c r="BJ172" s="352"/>
      <c r="BK172" s="19"/>
      <c r="BL172" s="19"/>
      <c r="BM172" s="19"/>
      <c r="BN172" s="19"/>
      <c r="BO172" s="19"/>
      <c r="BP172" s="14"/>
      <c r="BQ172" s="14"/>
      <c r="BR172" s="14"/>
      <c r="BS172" s="14"/>
      <c r="BT172" s="19"/>
      <c r="BU172" s="19"/>
      <c r="BV172" s="19"/>
      <c r="BW172" s="65"/>
      <c r="BX172" s="63"/>
      <c r="BY172" s="352"/>
      <c r="BZ172" s="14"/>
      <c r="CA172" s="140" t="s">
        <v>701</v>
      </c>
      <c r="CB172" s="27">
        <f>COUNTIFS(S30_stakeholder_category,"PO",Response_Q177_1,"&lt;&gt;0",Response_Q173_1,"&lt;&gt;0")</f>
        <v>1</v>
      </c>
      <c r="CC172" s="37">
        <f>COUNTIFS(S30_stakeholder_category,"PO",Response_Q177_1,1,Response_Q173_1,"&lt;&gt;""0")</f>
        <v>2</v>
      </c>
      <c r="CD172" s="37">
        <f>COUNTIFS(S30_stakeholder_category,"PO",Response_Q177_1,2,Response_Q173_1,"&lt;&gt;""0")</f>
        <v>1</v>
      </c>
      <c r="CE172" s="37">
        <f>COUNTIFS(S30_stakeholder_category,"PO",Response_Q177_1,3,Response_Q173_1,"&lt;&gt;""0")</f>
        <v>1</v>
      </c>
      <c r="CF172" s="97">
        <f>IF(CB166=0,0,SUMPRODUCT(CC172:CE172,Rank_score)/$CB166)</f>
        <v>4.5</v>
      </c>
      <c r="CG172" s="14"/>
      <c r="CH172" s="140" t="s">
        <v>701</v>
      </c>
      <c r="CI172" s="27">
        <f t="shared" ref="CI172:CN172" si="115">COUNTIFS(S30_stakeholder_category,"PO",Response_Q177_1,"&lt;&gt;0",Response_Q177_2,CI$63,Response_Q173_1,"&lt;&gt;0")</f>
        <v>0</v>
      </c>
      <c r="CJ172" s="27">
        <f t="shared" si="115"/>
        <v>0</v>
      </c>
      <c r="CK172" s="27">
        <f t="shared" si="115"/>
        <v>1</v>
      </c>
      <c r="CL172" s="27">
        <f t="shared" si="115"/>
        <v>0</v>
      </c>
      <c r="CM172" s="27">
        <f t="shared" si="115"/>
        <v>0</v>
      </c>
      <c r="CN172" s="27">
        <f t="shared" si="115"/>
        <v>0</v>
      </c>
      <c r="CO172" s="141">
        <f t="shared" ref="CO172:CO178" si="116">IF(ISBLANK(CH172),"",IF(CF172=0,not_ranked,IF(SUM(CI172:CN172)=0,not_estimated,IFERROR(SUMPRODUCT(CI172:CN172,Likekihood_score)/SUM(CI172:CN172),0))))</f>
        <v>3</v>
      </c>
      <c r="CP172" s="29"/>
      <c r="CQ172" s="47"/>
      <c r="CR172" s="14"/>
      <c r="CS172" s="140" t="s">
        <v>373</v>
      </c>
      <c r="CT172" s="27">
        <f>COUNTIFS(S30_stakeholder_category,"PO",Response_Q178_1,"&lt;&gt;0",Response_Q173_1,"&lt;&gt;0")</f>
        <v>1</v>
      </c>
      <c r="CU172" s="37">
        <f>COUNTIFS(S30_stakeholder_category,"PO",Response_Q178_1,1,Response_Q173_1,"&lt;&gt;0")</f>
        <v>0</v>
      </c>
      <c r="CV172" s="37">
        <f>COUNTIFS(S30_stakeholder_category,"PO",Response_Q178_1,2,Response_Q173_1,"&lt;&gt;0")</f>
        <v>1</v>
      </c>
      <c r="CW172" s="37">
        <f>COUNTIFS(S30_stakeholder_category,"PO",Response_Q178_1,3,Response_Q173_1,"&lt;&gt;0")</f>
        <v>0</v>
      </c>
      <c r="CX172" s="37">
        <f>IF(CT166=0,0,SUMPRODUCT(CU172:CW172,Rank_score)/CT$58)</f>
        <v>1</v>
      </c>
      <c r="CY172" s="14"/>
      <c r="CZ172" s="140" t="s">
        <v>373</v>
      </c>
      <c r="DA172" s="27">
        <f t="shared" ref="DA172:DF172" si="117">COUNTIFS(S30_stakeholder_category,"PO",Response_Q178_1,"&lt;&gt;0",Response_Q178_2,DA$63,Response_Q173_1,"&lt;&gt;0")</f>
        <v>0</v>
      </c>
      <c r="DB172" s="27">
        <f t="shared" si="117"/>
        <v>0</v>
      </c>
      <c r="DC172" s="27">
        <f t="shared" si="117"/>
        <v>0</v>
      </c>
      <c r="DD172" s="27">
        <f t="shared" si="117"/>
        <v>0</v>
      </c>
      <c r="DE172" s="27">
        <f t="shared" si="117"/>
        <v>1</v>
      </c>
      <c r="DF172" s="27">
        <f t="shared" si="117"/>
        <v>0</v>
      </c>
      <c r="DG172" s="141">
        <f t="shared" ref="DG172:DG179" si="118">IF(ISBLANK(CZ172),"",IF(CX172=0,not_ranked,IF(SUM(DA172:DF172)=0,not_estimated,IFERROR(SUMPRODUCT(DA172:DF172,Likekihood_score)/SUM(DA172:DF172),0))))</f>
        <v>5</v>
      </c>
      <c r="DH172" s="29"/>
      <c r="DI172" s="47"/>
      <c r="DJ172" s="29"/>
      <c r="DK172" s="19"/>
      <c r="DL172" s="19"/>
      <c r="DM172" s="14"/>
      <c r="DN172" s="14"/>
      <c r="DO172" s="14"/>
      <c r="DP172" s="14"/>
      <c r="DQ172" s="14"/>
      <c r="DR172" s="13"/>
      <c r="DS172" s="13"/>
      <c r="DT172" s="14"/>
      <c r="DU172" s="14"/>
      <c r="DV172" s="14"/>
      <c r="DW172" s="14"/>
      <c r="DX172" s="14"/>
      <c r="DY172" s="14"/>
      <c r="DZ172" s="14"/>
      <c r="EA172" s="14"/>
      <c r="EB172" s="14"/>
      <c r="EC172" s="14"/>
      <c r="ED172" s="14"/>
      <c r="EE172" s="14"/>
      <c r="EF172" s="14"/>
      <c r="EG172" s="14"/>
      <c r="EH172" s="14"/>
      <c r="EI172" s="14"/>
      <c r="EJ172" s="14"/>
      <c r="EK172" s="14"/>
      <c r="EL172" s="14"/>
    </row>
    <row r="173" spans="1:142" ht="14.4" x14ac:dyDescent="0.25">
      <c r="A173" s="14"/>
      <c r="B173" s="60"/>
      <c r="C173" s="19"/>
      <c r="D173" s="59"/>
      <c r="E173" s="14"/>
      <c r="F173" s="14"/>
      <c r="G173" s="14"/>
      <c r="H173" s="21"/>
      <c r="I173" s="21"/>
      <c r="J173" s="14"/>
      <c r="K173" s="14"/>
      <c r="L173" s="14"/>
      <c r="M173" s="14"/>
      <c r="N173" s="14"/>
      <c r="O173" s="14"/>
      <c r="P173" s="14"/>
      <c r="Q173" s="47"/>
      <c r="R173" s="19"/>
      <c r="S173" s="19"/>
      <c r="T173" s="19"/>
      <c r="U173" s="19"/>
      <c r="V173" s="19"/>
      <c r="W173" s="14"/>
      <c r="X173" s="14"/>
      <c r="Y173" s="14"/>
      <c r="Z173" s="14"/>
      <c r="AA173" s="19"/>
      <c r="AB173" s="19"/>
      <c r="AC173" s="19"/>
      <c r="AD173" s="65"/>
      <c r="AE173" s="63"/>
      <c r="AF173" s="352"/>
      <c r="AG173" s="19"/>
      <c r="AH173" s="19"/>
      <c r="AI173" s="19"/>
      <c r="AJ173" s="19"/>
      <c r="AK173" s="19"/>
      <c r="AL173" s="14"/>
      <c r="AM173" s="14"/>
      <c r="AN173" s="14"/>
      <c r="AO173" s="14"/>
      <c r="AP173" s="19"/>
      <c r="AQ173" s="19"/>
      <c r="AR173" s="19"/>
      <c r="AS173" s="65"/>
      <c r="AT173" s="63"/>
      <c r="AU173" s="352"/>
      <c r="AV173" s="14"/>
      <c r="AW173" s="19"/>
      <c r="AX173" s="19"/>
      <c r="AY173" s="19"/>
      <c r="AZ173" s="19"/>
      <c r="BA173" s="14"/>
      <c r="BB173" s="14"/>
      <c r="BC173" s="14"/>
      <c r="BD173" s="14"/>
      <c r="BE173" s="19"/>
      <c r="BF173" s="19"/>
      <c r="BG173" s="19"/>
      <c r="BH173" s="65"/>
      <c r="BI173" s="63"/>
      <c r="BJ173" s="352"/>
      <c r="BK173" s="19"/>
      <c r="BL173" s="19"/>
      <c r="BM173" s="19"/>
      <c r="BN173" s="19"/>
      <c r="BO173" s="19"/>
      <c r="BP173" s="14"/>
      <c r="BQ173" s="14"/>
      <c r="BR173" s="14"/>
      <c r="BS173" s="14"/>
      <c r="BT173" s="19"/>
      <c r="BU173" s="19"/>
      <c r="BV173" s="19"/>
      <c r="BW173" s="65"/>
      <c r="BX173" s="63"/>
      <c r="BY173" s="352"/>
      <c r="BZ173" s="14"/>
      <c r="CA173" s="140" t="s">
        <v>344</v>
      </c>
      <c r="CB173" s="27">
        <f>COUNTIFS(S30_stakeholder_category,"PO",Response_Q177_3,"&lt;&gt;0",Response_Q173_1,"&lt;&gt;0")</f>
        <v>1</v>
      </c>
      <c r="CC173" s="37">
        <f>COUNTIFS(S30_stakeholder_category,"PO",Response_Q177_3,1,Response_Q173_1,"&lt;&gt;0")</f>
        <v>0</v>
      </c>
      <c r="CD173" s="37">
        <f>COUNTIFS(S30_stakeholder_category,"PO",Response_Q177_3,2,Response_Q173_1,"&lt;&gt;0")</f>
        <v>1</v>
      </c>
      <c r="CE173" s="37">
        <f>COUNTIFS(S30_stakeholder_category,"PO",Response_Q177_3,3,Response_Q173_1,"&lt;&gt;0")</f>
        <v>0</v>
      </c>
      <c r="CF173" s="97">
        <f>IF(CB166=0,0,SUMPRODUCT(CC173:CE173,Rank_score)/$CB166)</f>
        <v>1</v>
      </c>
      <c r="CG173" s="14"/>
      <c r="CH173" s="140" t="s">
        <v>344</v>
      </c>
      <c r="CI173" s="27">
        <f t="shared" ref="CI173:CN173" si="119">COUNTIFS(S30_stakeholder_category,"PO",Response_Q177_3,"&lt;&gt;0",Response_Q177_4,CI$63,Response_Q173_1,"&lt;&gt;0")</f>
        <v>1</v>
      </c>
      <c r="CJ173" s="27">
        <f t="shared" si="119"/>
        <v>0</v>
      </c>
      <c r="CK173" s="27">
        <f t="shared" si="119"/>
        <v>0</v>
      </c>
      <c r="CL173" s="27">
        <f t="shared" si="119"/>
        <v>0</v>
      </c>
      <c r="CM173" s="27">
        <f t="shared" si="119"/>
        <v>0</v>
      </c>
      <c r="CN173" s="27">
        <f t="shared" si="119"/>
        <v>0</v>
      </c>
      <c r="CO173" s="141">
        <f t="shared" si="116"/>
        <v>1</v>
      </c>
      <c r="CP173" s="14"/>
      <c r="CQ173" s="47"/>
      <c r="CR173" s="14"/>
      <c r="CS173" s="140" t="s">
        <v>338</v>
      </c>
      <c r="CT173" s="27">
        <f>COUNTIFS(S30_stakeholder_category,"PO",Response_Q178_3,"&lt;&gt;0",Response_Q173_1,"&lt;&gt;0")</f>
        <v>0</v>
      </c>
      <c r="CU173" s="37">
        <f>COUNTIFS(S30_stakeholder_category,"PO",Response_Q178_3,1,Response_Q173_1,"&lt;&gt;0")</f>
        <v>0</v>
      </c>
      <c r="CV173" s="37">
        <f>COUNTIFS(S30_stakeholder_category,"PO",Response_Q178_3,2,Response_Q173_1,"&lt;&gt;0")</f>
        <v>0</v>
      </c>
      <c r="CW173" s="37">
        <f>COUNTIFS(S30_stakeholder_category,"PO",Response_Q178_3,3,Response_Q173_1,"&lt;&gt;0")</f>
        <v>0</v>
      </c>
      <c r="CX173" s="37">
        <f>IF(CT166=0,0,SUMPRODUCT(CU173:CW173,Rank_score)/CT$58)</f>
        <v>0</v>
      </c>
      <c r="CY173" s="14"/>
      <c r="CZ173" s="140" t="s">
        <v>338</v>
      </c>
      <c r="DA173" s="27">
        <f t="shared" ref="DA173:DF173" si="120">COUNTIFS(S30_stakeholder_category,"PO",Response_Q178_3,"&lt;&gt;0",Response_Q178_4,DA$63,Response_Q173_1,"&lt;&gt;0")</f>
        <v>0</v>
      </c>
      <c r="DB173" s="27">
        <f t="shared" si="120"/>
        <v>0</v>
      </c>
      <c r="DC173" s="27">
        <f t="shared" si="120"/>
        <v>0</v>
      </c>
      <c r="DD173" s="27">
        <f t="shared" si="120"/>
        <v>0</v>
      </c>
      <c r="DE173" s="27">
        <f t="shared" si="120"/>
        <v>0</v>
      </c>
      <c r="DF173" s="27">
        <f t="shared" si="120"/>
        <v>0</v>
      </c>
      <c r="DG173" s="141" t="str">
        <f t="shared" si="118"/>
        <v>Factor not ranked</v>
      </c>
      <c r="DH173" s="14"/>
      <c r="DI173" s="47"/>
      <c r="DJ173" s="14"/>
      <c r="DK173" s="56"/>
      <c r="DL173" s="29"/>
      <c r="DM173" s="59"/>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row>
    <row r="174" spans="1:142" x14ac:dyDescent="0.25">
      <c r="A174" s="14"/>
      <c r="B174" s="62"/>
      <c r="C174" s="19"/>
      <c r="D174" s="59"/>
      <c r="E174" s="14"/>
      <c r="F174" s="14"/>
      <c r="G174" s="14"/>
      <c r="H174" s="21"/>
      <c r="I174" s="21"/>
      <c r="J174" s="14"/>
      <c r="K174" s="14"/>
      <c r="L174" s="14"/>
      <c r="M174" s="14"/>
      <c r="N174" s="14"/>
      <c r="O174" s="14"/>
      <c r="P174" s="14"/>
      <c r="Q174" s="47"/>
      <c r="R174" s="19"/>
      <c r="S174" s="19"/>
      <c r="T174" s="19"/>
      <c r="U174" s="19"/>
      <c r="V174" s="19"/>
      <c r="W174" s="14"/>
      <c r="X174" s="14"/>
      <c r="Y174" s="14"/>
      <c r="Z174" s="13"/>
      <c r="AA174" s="13"/>
      <c r="AB174" s="13"/>
      <c r="AC174" s="13"/>
      <c r="AD174" s="65"/>
      <c r="AE174" s="63"/>
      <c r="AF174" s="352"/>
      <c r="AG174" s="19"/>
      <c r="AH174" s="19"/>
      <c r="AI174" s="19"/>
      <c r="AJ174" s="19"/>
      <c r="AK174" s="19"/>
      <c r="AL174" s="14"/>
      <c r="AM174" s="14"/>
      <c r="AN174" s="14"/>
      <c r="AO174" s="13"/>
      <c r="AP174" s="13"/>
      <c r="AQ174" s="13"/>
      <c r="AR174" s="13"/>
      <c r="AS174" s="65"/>
      <c r="AT174" s="63"/>
      <c r="AU174" s="352"/>
      <c r="AV174" s="14"/>
      <c r="AW174" s="19"/>
      <c r="AX174" s="19"/>
      <c r="AY174" s="19"/>
      <c r="AZ174" s="19"/>
      <c r="BA174" s="14"/>
      <c r="BB174" s="14"/>
      <c r="BC174" s="14"/>
      <c r="BD174" s="13"/>
      <c r="BE174" s="13"/>
      <c r="BF174" s="13"/>
      <c r="BG174" s="13"/>
      <c r="BH174" s="65"/>
      <c r="BI174" s="63"/>
      <c r="BJ174" s="352"/>
      <c r="BK174" s="19"/>
      <c r="BL174" s="19"/>
      <c r="BM174" s="19"/>
      <c r="BN174" s="19"/>
      <c r="BO174" s="19"/>
      <c r="BP174" s="14"/>
      <c r="BQ174" s="14"/>
      <c r="BR174" s="14"/>
      <c r="BS174" s="13"/>
      <c r="BT174" s="13"/>
      <c r="BU174" s="13"/>
      <c r="BV174" s="13"/>
      <c r="BW174" s="65"/>
      <c r="BX174" s="63"/>
      <c r="BY174" s="352"/>
      <c r="BZ174" s="14"/>
      <c r="CA174" s="140" t="s">
        <v>146</v>
      </c>
      <c r="CB174" s="27">
        <f>COUNTIFS(S30_stakeholder_category,"PO",Response_Q177_5,"&lt;&gt;0",Response_Q173_1,"&lt;&gt;0")</f>
        <v>0</v>
      </c>
      <c r="CC174" s="37">
        <f>COUNTIFS(S30_stakeholder_category,"PO",Response_Q177_5,1,Response_Q173_1,"&lt;&gt;0")</f>
        <v>0</v>
      </c>
      <c r="CD174" s="37">
        <f>COUNTIFS(S30_stakeholder_category,"PO",Response_Q177_5,2,Response_Q173_1,"&lt;&gt;0")</f>
        <v>0</v>
      </c>
      <c r="CE174" s="37">
        <f>COUNTIFS(S30_stakeholder_category,"PO",Response_Q177_5,3,Response_Q173_1,"&lt;&gt;0")</f>
        <v>0</v>
      </c>
      <c r="CF174" s="97">
        <f>IF(CB166=0,0,SUMPRODUCT(CC174:CE174,Rank_score)/$CB166)</f>
        <v>0</v>
      </c>
      <c r="CG174" s="14"/>
      <c r="CH174" s="140" t="s">
        <v>146</v>
      </c>
      <c r="CI174" s="27">
        <f t="shared" ref="CI174:CN174" si="121">COUNTIFS(S30_stakeholder_category,"PO",Response_Q177_5,"&lt;&gt;0",Response_Q177_6,CI$63,Response_Q173_1,"&lt;&gt;0")</f>
        <v>0</v>
      </c>
      <c r="CJ174" s="27">
        <f t="shared" si="121"/>
        <v>0</v>
      </c>
      <c r="CK174" s="27">
        <f t="shared" si="121"/>
        <v>0</v>
      </c>
      <c r="CL174" s="27">
        <f t="shared" si="121"/>
        <v>0</v>
      </c>
      <c r="CM174" s="27">
        <f t="shared" si="121"/>
        <v>0</v>
      </c>
      <c r="CN174" s="27">
        <f t="shared" si="121"/>
        <v>0</v>
      </c>
      <c r="CO174" s="141" t="str">
        <f t="shared" si="116"/>
        <v>Factor not ranked</v>
      </c>
      <c r="CP174" s="14"/>
      <c r="CQ174" s="47"/>
      <c r="CR174" s="14"/>
      <c r="CS174" s="106" t="s">
        <v>339</v>
      </c>
      <c r="CT174" s="27">
        <f>COUNTIFS(S30_stakeholder_category,"PO",Response_Q178_5,"&lt;&gt;0",Response_Q173_1,"&lt;&gt;0")</f>
        <v>0</v>
      </c>
      <c r="CU174" s="37">
        <f>COUNTIFS(S30_stakeholder_category,"PO",Response_Q178_5,1,Response_Q173_1,"&lt;&gt;0")</f>
        <v>0</v>
      </c>
      <c r="CV174" s="37">
        <f>COUNTIFS(S30_stakeholder_category,"PO",Response_Q178_5,2,Response_Q173_1,"&lt;&gt;0")</f>
        <v>0</v>
      </c>
      <c r="CW174" s="37">
        <f>COUNTIFS(S30_stakeholder_category,"PO",Response_Q178_5,3,Response_Q173_1,"&lt;&gt;0")</f>
        <v>0</v>
      </c>
      <c r="CX174" s="37">
        <f>IF(CT166=0,0,SUMPRODUCT(CU174:CW174,Rank_score)/CT$58)</f>
        <v>0</v>
      </c>
      <c r="CY174" s="14"/>
      <c r="CZ174" s="106" t="s">
        <v>339</v>
      </c>
      <c r="DA174" s="27">
        <f t="shared" ref="DA174:DF174" si="122">COUNTIFS(S30_stakeholder_category,"PO",Response_Q178_5,"&lt;&gt;0",Response_Q178_6,DA$63,Response_Q173_1,"&lt;&gt;0")</f>
        <v>0</v>
      </c>
      <c r="DB174" s="27">
        <f t="shared" si="122"/>
        <v>0</v>
      </c>
      <c r="DC174" s="27">
        <f t="shared" si="122"/>
        <v>0</v>
      </c>
      <c r="DD174" s="27">
        <f t="shared" si="122"/>
        <v>0</v>
      </c>
      <c r="DE174" s="27">
        <f t="shared" si="122"/>
        <v>0</v>
      </c>
      <c r="DF174" s="27">
        <f t="shared" si="122"/>
        <v>0</v>
      </c>
      <c r="DG174" s="141" t="str">
        <f t="shared" si="118"/>
        <v>Factor not ranked</v>
      </c>
      <c r="DH174" s="14"/>
      <c r="DI174" s="47"/>
      <c r="DJ174" s="14"/>
      <c r="DK174" s="56"/>
      <c r="DL174" s="19"/>
      <c r="DM174" s="59"/>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row>
    <row r="175" spans="1:142" x14ac:dyDescent="0.25">
      <c r="A175" s="14"/>
      <c r="B175" s="62"/>
      <c r="C175" s="19"/>
      <c r="D175" s="59"/>
      <c r="E175" s="14"/>
      <c r="F175" s="14"/>
      <c r="G175" s="14"/>
      <c r="H175" s="21"/>
      <c r="I175" s="21"/>
      <c r="J175" s="14"/>
      <c r="K175" s="14"/>
      <c r="L175" s="14"/>
      <c r="M175" s="14"/>
      <c r="N175" s="14"/>
      <c r="O175" s="14"/>
      <c r="P175" s="14"/>
      <c r="Q175" s="47"/>
      <c r="R175" s="19"/>
      <c r="S175" s="19"/>
      <c r="T175" s="19"/>
      <c r="U175" s="59"/>
      <c r="V175" s="19"/>
      <c r="W175" s="14"/>
      <c r="X175" s="14"/>
      <c r="Y175" s="14"/>
      <c r="Z175" s="14"/>
      <c r="AA175" s="14"/>
      <c r="AB175" s="14"/>
      <c r="AC175" s="14"/>
      <c r="AD175" s="65"/>
      <c r="AE175" s="63"/>
      <c r="AF175" s="352"/>
      <c r="AG175" s="19"/>
      <c r="AH175" s="19"/>
      <c r="AI175" s="19"/>
      <c r="AJ175" s="59"/>
      <c r="AK175" s="19"/>
      <c r="AL175" s="14"/>
      <c r="AM175" s="14"/>
      <c r="AN175" s="14"/>
      <c r="AO175" s="14"/>
      <c r="AP175" s="14"/>
      <c r="AQ175" s="14"/>
      <c r="AR175" s="14"/>
      <c r="AS175" s="65"/>
      <c r="AT175" s="63"/>
      <c r="AU175" s="352"/>
      <c r="AV175" s="14"/>
      <c r="AW175" s="19"/>
      <c r="AX175" s="19"/>
      <c r="AY175" s="59"/>
      <c r="AZ175" s="19"/>
      <c r="BA175" s="14"/>
      <c r="BB175" s="14"/>
      <c r="BC175" s="14"/>
      <c r="BD175" s="14"/>
      <c r="BE175" s="14"/>
      <c r="BF175" s="14"/>
      <c r="BG175" s="14"/>
      <c r="BH175" s="65"/>
      <c r="BI175" s="63"/>
      <c r="BJ175" s="352"/>
      <c r="BK175" s="19"/>
      <c r="BL175" s="19"/>
      <c r="BM175" s="19"/>
      <c r="BN175" s="59"/>
      <c r="BO175" s="19"/>
      <c r="BP175" s="14"/>
      <c r="BQ175" s="14"/>
      <c r="BR175" s="14"/>
      <c r="BS175" s="14"/>
      <c r="BT175" s="14"/>
      <c r="BU175" s="14"/>
      <c r="BV175" s="14"/>
      <c r="BW175" s="65"/>
      <c r="BX175" s="63"/>
      <c r="BY175" s="352"/>
      <c r="BZ175" s="14"/>
      <c r="CA175" s="140" t="s">
        <v>147</v>
      </c>
      <c r="CB175" s="27">
        <f>COUNTIFS(S30_stakeholder_category,"PO",Response_Q177_7,"&lt;&gt;0",Response_Q173_1,"&lt;&gt;0")</f>
        <v>1</v>
      </c>
      <c r="CC175" s="37">
        <f>COUNTIFS(S30_stakeholder_category,"PO",Response_Q177_7,1,Response_Q173_1,"&lt;&gt;0")</f>
        <v>0</v>
      </c>
      <c r="CD175" s="37">
        <f>COUNTIFS(S30_stakeholder_category,"PO",Response_Q177_7,2,Response_Q173_1,"&lt;&gt;0")</f>
        <v>0</v>
      </c>
      <c r="CE175" s="37">
        <f>COUNTIFS(S30_stakeholder_category,"PO",Response_Q177_7,3,Response_Q173_1,"&lt;&gt;0")</f>
        <v>1</v>
      </c>
      <c r="CF175" s="97">
        <f>IF(CB166=0,0,SUMPRODUCT(CC175:CE175,Rank_score)/$CB166)</f>
        <v>0.5</v>
      </c>
      <c r="CG175" s="14"/>
      <c r="CH175" s="140" t="s">
        <v>147</v>
      </c>
      <c r="CI175" s="27">
        <f t="shared" ref="CI175:CN175" si="123">COUNTIFS(S30_stakeholder_category,"PO",Response_Q177_7,"&lt;&gt;0",Response_Q177_8,CI$63,Response_Q173_1,"&lt;&gt;0")</f>
        <v>0</v>
      </c>
      <c r="CJ175" s="27">
        <f t="shared" si="123"/>
        <v>0</v>
      </c>
      <c r="CK175" s="27">
        <f t="shared" si="123"/>
        <v>0</v>
      </c>
      <c r="CL175" s="27">
        <f t="shared" si="123"/>
        <v>1</v>
      </c>
      <c r="CM175" s="27">
        <f t="shared" si="123"/>
        <v>0</v>
      </c>
      <c r="CN175" s="27">
        <f t="shared" si="123"/>
        <v>0</v>
      </c>
      <c r="CO175" s="141">
        <f t="shared" si="116"/>
        <v>4</v>
      </c>
      <c r="CP175" s="14"/>
      <c r="CQ175" s="47"/>
      <c r="CR175" s="14"/>
      <c r="CS175" s="106" t="s">
        <v>345</v>
      </c>
      <c r="CT175" s="27">
        <f>COUNTIFS(S30_stakeholder_category,"PO",Response_Q178_7,"&lt;&gt;0",Response_Q173_1,"&lt;&gt;0")</f>
        <v>1</v>
      </c>
      <c r="CU175" s="37">
        <f>COUNTIFS(S30_stakeholder_category,"PO",Response_Q178_7,1,Response_Q173_1,"&lt;&gt;0")</f>
        <v>0</v>
      </c>
      <c r="CV175" s="37">
        <f>COUNTIFS(S30_stakeholder_category,"PO",Response_Q178_7,2,Response_Q173_1,"&lt;&gt;0")</f>
        <v>0</v>
      </c>
      <c r="CW175" s="37">
        <f>COUNTIFS(S30_stakeholder_category,"PO",Response_Q178_7,3,Response_Q173_1,"&lt;&gt;0")</f>
        <v>1</v>
      </c>
      <c r="CX175" s="37">
        <f>IF(CT166=0,0,SUMPRODUCT(CU175:CW175,Rank_score)/CT$58)</f>
        <v>0.5</v>
      </c>
      <c r="CY175" s="14"/>
      <c r="CZ175" s="106" t="s">
        <v>345</v>
      </c>
      <c r="DA175" s="27">
        <f t="shared" ref="DA175:DF175" si="124">COUNTIFS(S30_stakeholder_category,"PO",Response_Q178_7,"&lt;&gt;0",Response_Q178_8,DA$63,Response_Q173_1,"&lt;&gt;0")</f>
        <v>0</v>
      </c>
      <c r="DB175" s="27">
        <f t="shared" si="124"/>
        <v>0</v>
      </c>
      <c r="DC175" s="27">
        <f t="shared" si="124"/>
        <v>0</v>
      </c>
      <c r="DD175" s="27">
        <f t="shared" si="124"/>
        <v>1</v>
      </c>
      <c r="DE175" s="27">
        <f t="shared" si="124"/>
        <v>0</v>
      </c>
      <c r="DF175" s="27">
        <f t="shared" si="124"/>
        <v>0</v>
      </c>
      <c r="DG175" s="141">
        <f t="shared" si="118"/>
        <v>4</v>
      </c>
      <c r="DH175" s="14"/>
      <c r="DI175" s="47"/>
      <c r="DJ175" s="14"/>
      <c r="DK175" s="14"/>
      <c r="DL175" s="19"/>
      <c r="DM175" s="59"/>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row>
    <row r="176" spans="1:142" x14ac:dyDescent="0.25">
      <c r="A176" s="14"/>
      <c r="B176" s="19"/>
      <c r="C176" s="19"/>
      <c r="D176" s="59"/>
      <c r="E176" s="14"/>
      <c r="F176" s="14"/>
      <c r="G176" s="14"/>
      <c r="H176" s="21"/>
      <c r="I176" s="21"/>
      <c r="J176" s="14"/>
      <c r="K176" s="14"/>
      <c r="L176" s="14"/>
      <c r="M176" s="14"/>
      <c r="N176" s="14"/>
      <c r="O176" s="14"/>
      <c r="P176" s="14"/>
      <c r="Q176" s="47"/>
      <c r="R176" s="19"/>
      <c r="S176" s="19"/>
      <c r="T176" s="19"/>
      <c r="U176" s="59"/>
      <c r="V176" s="19"/>
      <c r="W176" s="14"/>
      <c r="X176" s="14"/>
      <c r="Y176" s="14"/>
      <c r="Z176" s="14"/>
      <c r="AA176" s="14"/>
      <c r="AB176" s="14"/>
      <c r="AC176" s="14"/>
      <c r="AD176" s="65"/>
      <c r="AE176" s="63"/>
      <c r="AF176" s="352"/>
      <c r="AG176" s="19"/>
      <c r="AH176" s="19"/>
      <c r="AI176" s="19"/>
      <c r="AJ176" s="59"/>
      <c r="AK176" s="19"/>
      <c r="AL176" s="14"/>
      <c r="AM176" s="14"/>
      <c r="AN176" s="14"/>
      <c r="AO176" s="14"/>
      <c r="AP176" s="14"/>
      <c r="AQ176" s="14"/>
      <c r="AR176" s="14"/>
      <c r="AS176" s="65"/>
      <c r="AT176" s="63"/>
      <c r="AU176" s="352"/>
      <c r="AV176" s="14"/>
      <c r="AW176" s="19"/>
      <c r="AX176" s="19"/>
      <c r="AY176" s="59"/>
      <c r="AZ176" s="19"/>
      <c r="BA176" s="14"/>
      <c r="BB176" s="14"/>
      <c r="BC176" s="14"/>
      <c r="BD176" s="14"/>
      <c r="BE176" s="14"/>
      <c r="BF176" s="14"/>
      <c r="BG176" s="14"/>
      <c r="BH176" s="65"/>
      <c r="BI176" s="63"/>
      <c r="BJ176" s="352"/>
      <c r="BK176" s="19"/>
      <c r="BL176" s="19"/>
      <c r="BM176" s="19"/>
      <c r="BN176" s="59"/>
      <c r="BO176" s="19"/>
      <c r="BP176" s="14"/>
      <c r="BQ176" s="14"/>
      <c r="BR176" s="14"/>
      <c r="BS176" s="14"/>
      <c r="BT176" s="14"/>
      <c r="BU176" s="14"/>
      <c r="BV176" s="14"/>
      <c r="BW176" s="65"/>
      <c r="BX176" s="63"/>
      <c r="BY176" s="352"/>
      <c r="BZ176" s="14"/>
      <c r="CA176" s="140" t="s">
        <v>341</v>
      </c>
      <c r="CB176" s="27">
        <f>COUNTIFS(S30_stakeholder_category,"PO",Response_Q177_9,"&lt;&gt;0",Response_Q173_1,"&lt;&gt;0")</f>
        <v>0</v>
      </c>
      <c r="CC176" s="37">
        <f>COUNTIFS(S30_stakeholder_category,"PO",Response_Q177_9,1,Response_Q173_1,"&lt;&gt;0")</f>
        <v>0</v>
      </c>
      <c r="CD176" s="37">
        <f>COUNTIFS(S30_stakeholder_category,"PO",Response_Q177_9,2,Response_Q173_1,"&lt;&gt;0")</f>
        <v>0</v>
      </c>
      <c r="CE176" s="37">
        <f>COUNTIFS(S30_stakeholder_category,"PO",Response_Q177_9,3,Response_Q173_1,"&lt;&gt;0")</f>
        <v>0</v>
      </c>
      <c r="CF176" s="97">
        <f>IF(CB166=0,0,SUMPRODUCT(CC176:CE176,Rank_score)/$CB166)</f>
        <v>0</v>
      </c>
      <c r="CG176" s="14"/>
      <c r="CH176" s="140" t="s">
        <v>341</v>
      </c>
      <c r="CI176" s="27">
        <f t="shared" ref="CI176:CN176" si="125">COUNTIFS(S30_stakeholder_category,"PO",Response_Q177_9,"&lt;&gt;0",Response_Q177_10,CI$63,Response_Q173_1,"&lt;&gt;0")</f>
        <v>0</v>
      </c>
      <c r="CJ176" s="27">
        <f t="shared" si="125"/>
        <v>0</v>
      </c>
      <c r="CK176" s="27">
        <f t="shared" si="125"/>
        <v>0</v>
      </c>
      <c r="CL176" s="27">
        <f t="shared" si="125"/>
        <v>0</v>
      </c>
      <c r="CM176" s="27">
        <f t="shared" si="125"/>
        <v>0</v>
      </c>
      <c r="CN176" s="27">
        <f t="shared" si="125"/>
        <v>0</v>
      </c>
      <c r="CO176" s="141" t="str">
        <f t="shared" si="116"/>
        <v>Factor not ranked</v>
      </c>
      <c r="CP176" s="14"/>
      <c r="CQ176" s="47"/>
      <c r="CR176" s="14"/>
      <c r="CS176" s="106" t="s">
        <v>561</v>
      </c>
      <c r="CT176" s="27">
        <f>COUNTIFS(S30_stakeholder_category,"PO",Response_Q178_9,"&lt;&gt;0",Response_Q173_1,"&lt;&gt;0")</f>
        <v>1</v>
      </c>
      <c r="CU176" s="37">
        <f>COUNTIFS(S30_stakeholder_category,"PO",Response_Q178_9,1,Response_Q173_1,"&lt;&gt;0")</f>
        <v>1</v>
      </c>
      <c r="CV176" s="37">
        <f>COUNTIFS(S30_stakeholder_category,"PO",Response_Q178_9,2,Response_Q173_1,"&lt;&gt;0")</f>
        <v>0</v>
      </c>
      <c r="CW176" s="37">
        <f>COUNTIFS(S30_stakeholder_category,"PO",Response_Q178_9,3,Response_Q173_1,"&lt;&gt;0")</f>
        <v>0</v>
      </c>
      <c r="CX176" s="37">
        <f>IF(CT166=0,0,SUMPRODUCT(CU176:CW176,Rank_score)/CT$58)</f>
        <v>1.5</v>
      </c>
      <c r="CY176" s="14"/>
      <c r="CZ176" s="106" t="s">
        <v>561</v>
      </c>
      <c r="DA176" s="27">
        <f t="shared" ref="DA176:DF176" si="126">COUNTIFS(S30_stakeholder_category,"PO",Response_Q178_9,"&lt;&gt;0",Response_Q178_10,DA$63,Response_Q173_1,"&lt;&gt;0")</f>
        <v>0</v>
      </c>
      <c r="DB176" s="27">
        <f t="shared" si="126"/>
        <v>0</v>
      </c>
      <c r="DC176" s="27">
        <f t="shared" si="126"/>
        <v>0</v>
      </c>
      <c r="DD176" s="27">
        <f t="shared" si="126"/>
        <v>0</v>
      </c>
      <c r="DE176" s="27">
        <f t="shared" si="126"/>
        <v>1</v>
      </c>
      <c r="DF176" s="27">
        <f t="shared" si="126"/>
        <v>0</v>
      </c>
      <c r="DG176" s="141">
        <f t="shared" si="118"/>
        <v>5</v>
      </c>
      <c r="DH176" s="14"/>
      <c r="DI176" s="47"/>
      <c r="DJ176" s="14"/>
      <c r="DK176" s="14"/>
      <c r="DL176" s="19"/>
      <c r="DM176" s="59"/>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row>
    <row r="177" spans="1:142" x14ac:dyDescent="0.25">
      <c r="A177" s="14"/>
      <c r="B177" s="19"/>
      <c r="C177" s="19"/>
      <c r="D177" s="59"/>
      <c r="E177" s="14"/>
      <c r="F177" s="14"/>
      <c r="G177" s="14"/>
      <c r="H177" s="21"/>
      <c r="I177" s="21"/>
      <c r="J177" s="14"/>
      <c r="K177" s="14"/>
      <c r="L177" s="14"/>
      <c r="M177" s="14"/>
      <c r="N177" s="14"/>
      <c r="O177" s="14"/>
      <c r="P177" s="14"/>
      <c r="Q177" s="47"/>
      <c r="R177" s="19"/>
      <c r="S177" s="56"/>
      <c r="T177" s="29"/>
      <c r="U177" s="27"/>
      <c r="V177" s="19"/>
      <c r="W177" s="14"/>
      <c r="X177" s="14"/>
      <c r="Y177" s="14"/>
      <c r="Z177" s="14"/>
      <c r="AA177" s="14"/>
      <c r="AB177" s="14"/>
      <c r="AC177" s="14"/>
      <c r="AD177" s="65"/>
      <c r="AE177" s="63"/>
      <c r="AF177" s="352"/>
      <c r="AG177" s="19"/>
      <c r="AH177" s="56"/>
      <c r="AI177" s="29"/>
      <c r="AJ177" s="27"/>
      <c r="AK177" s="19"/>
      <c r="AL177" s="14"/>
      <c r="AM177" s="14"/>
      <c r="AN177" s="14"/>
      <c r="AO177" s="14"/>
      <c r="AP177" s="14"/>
      <c r="AQ177" s="14"/>
      <c r="AR177" s="14"/>
      <c r="AS177" s="65"/>
      <c r="AT177" s="63"/>
      <c r="AU177" s="352"/>
      <c r="AV177" s="14"/>
      <c r="AW177" s="56"/>
      <c r="AX177" s="29"/>
      <c r="AY177" s="27"/>
      <c r="AZ177" s="19"/>
      <c r="BA177" s="14"/>
      <c r="BB177" s="14"/>
      <c r="BC177" s="14"/>
      <c r="BD177" s="14"/>
      <c r="BE177" s="14"/>
      <c r="BF177" s="14"/>
      <c r="BG177" s="14"/>
      <c r="BH177" s="65"/>
      <c r="BI177" s="63"/>
      <c r="BJ177" s="352"/>
      <c r="BK177" s="19"/>
      <c r="BL177" s="56"/>
      <c r="BM177" s="29"/>
      <c r="BN177" s="27"/>
      <c r="BO177" s="19"/>
      <c r="BP177" s="14"/>
      <c r="BQ177" s="14"/>
      <c r="BR177" s="14"/>
      <c r="BS177" s="14"/>
      <c r="BT177" s="14"/>
      <c r="BU177" s="14"/>
      <c r="BV177" s="14"/>
      <c r="BW177" s="65"/>
      <c r="BX177" s="63"/>
      <c r="BY177" s="352"/>
      <c r="BZ177" s="14"/>
      <c r="CA177" s="106" t="s">
        <v>148</v>
      </c>
      <c r="CB177" s="27">
        <f>COUNTIFS(S30_stakeholder_category,"PO",Response_Q177_11,"&lt;&gt;0",Response_Q173_1,"&lt;&gt;0")</f>
        <v>0</v>
      </c>
      <c r="CC177" s="37">
        <f>COUNTIFS(S30_stakeholder_category,"PO",Response_Q177_11,1,Response_Q173_1,"&lt;&gt;0")</f>
        <v>0</v>
      </c>
      <c r="CD177" s="37">
        <f>COUNTIFS(S30_stakeholder_category,"PO",Response_Q177_11,2,Response_Q173_1,"&lt;&gt;0")</f>
        <v>0</v>
      </c>
      <c r="CE177" s="37">
        <f>COUNTIFS(S30_stakeholder_category,"PO",Response_Q177_11,3,Response_Q173_1,"&lt;&gt;0")</f>
        <v>0</v>
      </c>
      <c r="CF177" s="97">
        <f>IF(CB166=0,0,SUMPRODUCT(CC177:CE177,Rank_score)/$CB166)</f>
        <v>0</v>
      </c>
      <c r="CG177" s="43"/>
      <c r="CH177" s="106" t="s">
        <v>148</v>
      </c>
      <c r="CI177" s="27">
        <f t="shared" ref="CI177:CN177" si="127">COUNTIFS(S30_stakeholder_category,"PO",Response_Q177_11,"&lt;&gt;0",Response_Q177_12,CI$63,Response_Q173_1,"&lt;&gt;0")</f>
        <v>0</v>
      </c>
      <c r="CJ177" s="27">
        <f t="shared" si="127"/>
        <v>0</v>
      </c>
      <c r="CK177" s="27">
        <f t="shared" si="127"/>
        <v>0</v>
      </c>
      <c r="CL177" s="27">
        <f t="shared" si="127"/>
        <v>0</v>
      </c>
      <c r="CM177" s="27">
        <f t="shared" si="127"/>
        <v>0</v>
      </c>
      <c r="CN177" s="27">
        <f t="shared" si="127"/>
        <v>0</v>
      </c>
      <c r="CO177" s="141" t="str">
        <f t="shared" si="116"/>
        <v>Factor not ranked</v>
      </c>
      <c r="CP177" s="14"/>
      <c r="CQ177" s="47"/>
      <c r="CR177" s="14"/>
      <c r="CS177" s="106" t="s">
        <v>49</v>
      </c>
      <c r="CT177" s="27">
        <f>COUNTIFS(S30_stakeholder_category,"PO",Response_Q178_11,"&lt;&gt;0",Response_Q173_1,"&lt;&gt;0")</f>
        <v>0</v>
      </c>
      <c r="CU177" s="37">
        <f>COUNTIFS(S30_stakeholder_category,"PO",Response_Q178_11,1,Response_Q173_1,"&lt;&gt;0")</f>
        <v>0</v>
      </c>
      <c r="CV177" s="37">
        <f>COUNTIFS(S30_stakeholder_category,"PO",Response_Q178_11,2,Response_Q173_1,"&lt;&gt;0")</f>
        <v>0</v>
      </c>
      <c r="CW177" s="37">
        <f>COUNTIFS(S30_stakeholder_category,"PO",Response_Q178_11,3,Response_Q173_1,"&lt;&gt;0")</f>
        <v>0</v>
      </c>
      <c r="CX177" s="37">
        <f>IF(CT166=0,0,SUMPRODUCT(CU177:CW177,Rank_score)/CT$58)</f>
        <v>0</v>
      </c>
      <c r="CY177" s="43"/>
      <c r="CZ177" s="106" t="s">
        <v>49</v>
      </c>
      <c r="DA177" s="27">
        <f t="shared" ref="DA177:DF177" si="128">COUNTIFS(S30_stakeholder_category,"PO",Response_Q178_11,"&lt;&gt;0",Response_Q178_12,DA$63,Response_Q173_1,"&lt;&gt;0")</f>
        <v>0</v>
      </c>
      <c r="DB177" s="27">
        <f t="shared" si="128"/>
        <v>0</v>
      </c>
      <c r="DC177" s="27">
        <f t="shared" si="128"/>
        <v>0</v>
      </c>
      <c r="DD177" s="27">
        <f t="shared" si="128"/>
        <v>0</v>
      </c>
      <c r="DE177" s="27">
        <f t="shared" si="128"/>
        <v>0</v>
      </c>
      <c r="DF177" s="27">
        <f t="shared" si="128"/>
        <v>0</v>
      </c>
      <c r="DG177" s="141" t="str">
        <f t="shared" si="118"/>
        <v>Factor not ranked</v>
      </c>
      <c r="DH177" s="14"/>
      <c r="DI177" s="47"/>
      <c r="DJ177" s="14"/>
      <c r="DK177" s="14"/>
      <c r="DL177" s="19"/>
      <c r="DM177" s="59"/>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row>
    <row r="178" spans="1:142" x14ac:dyDescent="0.25">
      <c r="A178" s="14"/>
      <c r="B178" s="56"/>
      <c r="C178" s="29"/>
      <c r="D178" s="59"/>
      <c r="E178" s="14"/>
      <c r="F178" s="14"/>
      <c r="G178" s="14"/>
      <c r="H178" s="21"/>
      <c r="I178" s="21"/>
      <c r="J178" s="14"/>
      <c r="K178" s="14"/>
      <c r="L178" s="14"/>
      <c r="M178" s="14"/>
      <c r="N178" s="14"/>
      <c r="O178" s="14"/>
      <c r="P178" s="14"/>
      <c r="Q178" s="47"/>
      <c r="R178" s="19"/>
      <c r="S178" s="56"/>
      <c r="T178" s="19"/>
      <c r="U178" s="27"/>
      <c r="V178" s="19"/>
      <c r="W178" s="14"/>
      <c r="X178" s="14"/>
      <c r="Y178" s="14"/>
      <c r="Z178" s="14"/>
      <c r="AA178" s="14"/>
      <c r="AB178" s="14"/>
      <c r="AC178" s="14"/>
      <c r="AD178" s="65"/>
      <c r="AE178" s="63"/>
      <c r="AF178" s="352"/>
      <c r="AG178" s="19"/>
      <c r="AH178" s="56"/>
      <c r="AI178" s="19"/>
      <c r="AJ178" s="27"/>
      <c r="AK178" s="19"/>
      <c r="AL178" s="14"/>
      <c r="AM178" s="14"/>
      <c r="AN178" s="14"/>
      <c r="AO178" s="14"/>
      <c r="AP178" s="14"/>
      <c r="AQ178" s="14"/>
      <c r="AR178" s="14"/>
      <c r="AS178" s="65"/>
      <c r="AT178" s="63"/>
      <c r="AU178" s="352"/>
      <c r="AV178" s="14"/>
      <c r="AW178" s="56"/>
      <c r="AX178" s="19"/>
      <c r="AY178" s="27"/>
      <c r="AZ178" s="19"/>
      <c r="BA178" s="14"/>
      <c r="BB178" s="14"/>
      <c r="BC178" s="14"/>
      <c r="BD178" s="14"/>
      <c r="BE178" s="14"/>
      <c r="BF178" s="14"/>
      <c r="BG178" s="14"/>
      <c r="BH178" s="65"/>
      <c r="BI178" s="63"/>
      <c r="BJ178" s="352"/>
      <c r="BK178" s="19"/>
      <c r="BL178" s="56"/>
      <c r="BM178" s="19"/>
      <c r="BN178" s="27"/>
      <c r="BO178" s="19"/>
      <c r="BP178" s="14"/>
      <c r="BQ178" s="14"/>
      <c r="BR178" s="14"/>
      <c r="BS178" s="14"/>
      <c r="BT178" s="14"/>
      <c r="BU178" s="14"/>
      <c r="BV178" s="14"/>
      <c r="BW178" s="65"/>
      <c r="BX178" s="63"/>
      <c r="BY178" s="352"/>
      <c r="BZ178" s="14"/>
      <c r="CA178" s="107" t="s">
        <v>49</v>
      </c>
      <c r="CB178" s="27">
        <f>COUNTIFS(S30_stakeholder_category,"PO",Response_Q177_13,"&lt;&gt;0",Response_Q173_1,"&lt;&gt;0")</f>
        <v>0</v>
      </c>
      <c r="CC178" s="37">
        <f>COUNTIFS(S30_stakeholder_category,"PO",Response_Q177_13,1,Response_Q173_1,"&lt;&gt;0")</f>
        <v>0</v>
      </c>
      <c r="CD178" s="37">
        <f>COUNTIFS(S30_stakeholder_category,"PO",Response_Q177_13,2,Response_Q173_1,"&lt;&gt;0")</f>
        <v>0</v>
      </c>
      <c r="CE178" s="37">
        <f>COUNTIFS(S30_stakeholder_category,"PO",Response_Q177_13,3,Response_Q173_1,"&lt;&gt;0")</f>
        <v>0</v>
      </c>
      <c r="CF178" s="97">
        <f>IF(CB166=0,0,SUMPRODUCT(CC178:CE178,Rank_score)/$CB166)</f>
        <v>0</v>
      </c>
      <c r="CG178" s="29"/>
      <c r="CH178" s="107" t="s">
        <v>49</v>
      </c>
      <c r="CI178" s="27">
        <f t="shared" ref="CI178:CN178" si="129">COUNTIFS(S30_stakeholder_category,"PO",Response_Q177_13,"&lt;&gt;0",Response_Q177_14,CI$63,Response_Q173_1,"&lt;&gt;0")</f>
        <v>0</v>
      </c>
      <c r="CJ178" s="27">
        <f t="shared" si="129"/>
        <v>0</v>
      </c>
      <c r="CK178" s="27">
        <f t="shared" si="129"/>
        <v>0</v>
      </c>
      <c r="CL178" s="27">
        <f t="shared" si="129"/>
        <v>0</v>
      </c>
      <c r="CM178" s="27">
        <f t="shared" si="129"/>
        <v>0</v>
      </c>
      <c r="CN178" s="27">
        <f t="shared" si="129"/>
        <v>0</v>
      </c>
      <c r="CO178" s="141" t="str">
        <f t="shared" si="116"/>
        <v>Factor not ranked</v>
      </c>
      <c r="CP178" s="14"/>
      <c r="CQ178" s="47"/>
      <c r="CR178" s="14"/>
      <c r="CS178" s="107"/>
      <c r="CT178" s="27"/>
      <c r="CU178" s="37"/>
      <c r="CV178" s="37"/>
      <c r="CW178" s="37"/>
      <c r="CX178" s="37"/>
      <c r="CY178" s="29"/>
      <c r="CZ178" s="106"/>
      <c r="DA178" s="27"/>
      <c r="DB178" s="27"/>
      <c r="DC178" s="27"/>
      <c r="DD178" s="27"/>
      <c r="DE178" s="27"/>
      <c r="DF178" s="27"/>
      <c r="DG178" s="141" t="str">
        <f t="shared" si="118"/>
        <v/>
      </c>
      <c r="DH178" s="14"/>
      <c r="DI178" s="47"/>
      <c r="DJ178" s="14"/>
      <c r="DK178" s="62"/>
      <c r="DL178" s="19"/>
      <c r="DM178" s="59"/>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row>
    <row r="179" spans="1:142" x14ac:dyDescent="0.25">
      <c r="A179" s="14"/>
      <c r="B179" s="56"/>
      <c r="C179" s="19"/>
      <c r="D179" s="59"/>
      <c r="E179" s="14"/>
      <c r="F179" s="14"/>
      <c r="G179" s="109" t="s">
        <v>14</v>
      </c>
      <c r="H179" s="110" t="s">
        <v>6</v>
      </c>
      <c r="I179" s="110" t="s">
        <v>7</v>
      </c>
      <c r="J179" s="14"/>
      <c r="K179" s="14"/>
      <c r="L179" s="14"/>
      <c r="M179" s="14"/>
      <c r="N179" s="14"/>
      <c r="O179" s="14"/>
      <c r="P179" s="14"/>
      <c r="Q179" s="47"/>
      <c r="R179" s="19"/>
      <c r="S179" s="19"/>
      <c r="T179" s="19"/>
      <c r="U179" s="27"/>
      <c r="V179" s="19"/>
      <c r="W179" s="14"/>
      <c r="X179" s="109" t="s">
        <v>14</v>
      </c>
      <c r="Y179" s="110" t="s">
        <v>6</v>
      </c>
      <c r="Z179" s="110" t="s">
        <v>7</v>
      </c>
      <c r="AA179" s="14"/>
      <c r="AB179" s="14"/>
      <c r="AC179" s="14"/>
      <c r="AD179" s="65"/>
      <c r="AE179" s="63"/>
      <c r="AF179" s="352"/>
      <c r="AG179" s="19"/>
      <c r="AH179" s="19"/>
      <c r="AI179" s="19"/>
      <c r="AJ179" s="27"/>
      <c r="AK179" s="19"/>
      <c r="AL179" s="14"/>
      <c r="AM179" s="109" t="s">
        <v>14</v>
      </c>
      <c r="AN179" s="110" t="s">
        <v>6</v>
      </c>
      <c r="AO179" s="110" t="s">
        <v>7</v>
      </c>
      <c r="AP179" s="14"/>
      <c r="AQ179" s="14"/>
      <c r="AR179" s="14"/>
      <c r="AS179" s="65"/>
      <c r="AT179" s="63"/>
      <c r="AU179" s="352"/>
      <c r="AV179" s="14"/>
      <c r="AW179" s="19"/>
      <c r="AX179" s="19"/>
      <c r="AY179" s="27"/>
      <c r="AZ179" s="19"/>
      <c r="BA179" s="14"/>
      <c r="BB179" s="109" t="s">
        <v>14</v>
      </c>
      <c r="BC179" s="110" t="s">
        <v>6</v>
      </c>
      <c r="BD179" s="110" t="s">
        <v>7</v>
      </c>
      <c r="BE179" s="14"/>
      <c r="BF179" s="14"/>
      <c r="BG179" s="14"/>
      <c r="BH179" s="65"/>
      <c r="BI179" s="63"/>
      <c r="BJ179" s="352"/>
      <c r="BK179" s="19"/>
      <c r="BL179" s="19"/>
      <c r="BM179" s="19"/>
      <c r="BN179" s="27"/>
      <c r="BO179" s="19"/>
      <c r="BP179" s="14"/>
      <c r="BQ179" s="109" t="s">
        <v>14</v>
      </c>
      <c r="BR179" s="110" t="s">
        <v>6</v>
      </c>
      <c r="BS179" s="110" t="s">
        <v>7</v>
      </c>
      <c r="BT179" s="14"/>
      <c r="BU179" s="14"/>
      <c r="BV179" s="14"/>
      <c r="BW179" s="65"/>
      <c r="BX179" s="63"/>
      <c r="BY179" s="352"/>
      <c r="BZ179" s="14"/>
      <c r="CA179" s="86"/>
      <c r="CB179" s="111"/>
      <c r="CC179" s="111"/>
      <c r="CD179" s="179"/>
      <c r="CE179" s="179"/>
      <c r="CF179" s="108"/>
      <c r="CG179" s="29"/>
      <c r="CH179" s="109"/>
      <c r="CI179" s="109"/>
      <c r="CJ179" s="109"/>
      <c r="CK179" s="109"/>
      <c r="CL179" s="109"/>
      <c r="CM179" s="109"/>
      <c r="CN179" s="109"/>
      <c r="CO179" s="329"/>
      <c r="CP179" s="14"/>
      <c r="CQ179" s="47"/>
      <c r="CR179" s="14"/>
      <c r="CS179" s="107"/>
      <c r="CT179" s="27"/>
      <c r="CU179" s="37"/>
      <c r="CV179" s="37"/>
      <c r="CW179" s="37"/>
      <c r="CX179" s="37"/>
      <c r="CY179" s="29"/>
      <c r="CZ179" s="106"/>
      <c r="DA179" s="27"/>
      <c r="DB179" s="27"/>
      <c r="DC179" s="27"/>
      <c r="DD179" s="27"/>
      <c r="DE179" s="27"/>
      <c r="DF179" s="27"/>
      <c r="DG179" s="141" t="str">
        <f t="shared" si="118"/>
        <v/>
      </c>
      <c r="DH179" s="14"/>
      <c r="DI179" s="47"/>
      <c r="DJ179" s="14"/>
      <c r="DK179" s="62"/>
      <c r="DL179" s="19"/>
      <c r="DM179" s="59"/>
      <c r="DN179" s="14"/>
      <c r="DO179" s="14"/>
      <c r="DP179" s="109" t="s">
        <v>14</v>
      </c>
      <c r="DQ179" s="110" t="s">
        <v>6</v>
      </c>
      <c r="DR179" s="110" t="s">
        <v>7</v>
      </c>
      <c r="DS179" s="14"/>
      <c r="DT179" s="14"/>
      <c r="DU179" s="14"/>
      <c r="DV179" s="14"/>
      <c r="DW179" s="14"/>
      <c r="DX179" s="14"/>
      <c r="DY179" s="14"/>
      <c r="DZ179" s="14"/>
      <c r="EA179" s="14"/>
      <c r="EB179" s="14"/>
      <c r="EC179" s="14"/>
      <c r="ED179" s="14"/>
      <c r="EE179" s="14"/>
      <c r="EF179" s="14"/>
      <c r="EG179" s="14"/>
      <c r="EH179" s="14"/>
      <c r="EI179" s="14"/>
      <c r="EJ179" s="14"/>
      <c r="EK179" s="14"/>
      <c r="EL179" s="14"/>
    </row>
    <row r="180" spans="1:142" x14ac:dyDescent="0.25">
      <c r="A180" s="14"/>
      <c r="B180" s="14"/>
      <c r="C180" s="19"/>
      <c r="D180" s="59"/>
      <c r="E180" s="14"/>
      <c r="F180" s="14"/>
      <c r="G180" s="107" t="s">
        <v>34</v>
      </c>
      <c r="H180" s="27">
        <f>COUNTIFS(S30_stakeholder_category,"PO",Response_Q173_1,G180)</f>
        <v>2</v>
      </c>
      <c r="I180" s="41">
        <f>IFERROR(H180/H$185,"")</f>
        <v>0.66666666666666663</v>
      </c>
      <c r="J180" s="14"/>
      <c r="K180" s="14"/>
      <c r="L180" s="14"/>
      <c r="M180" s="14"/>
      <c r="N180" s="14"/>
      <c r="O180" s="14"/>
      <c r="P180" s="14"/>
      <c r="Q180" s="47"/>
      <c r="R180" s="19"/>
      <c r="S180" s="19"/>
      <c r="T180" s="19"/>
      <c r="U180" s="27"/>
      <c r="V180" s="19"/>
      <c r="W180" s="14"/>
      <c r="X180" s="107" t="s">
        <v>5</v>
      </c>
      <c r="Y180" s="27">
        <f t="shared" ref="Y180:Y186" si="130">COUNTIFS(S30_stakeholder_category,"PO",Response_Q176_1,X180)</f>
        <v>1</v>
      </c>
      <c r="Z180" s="41">
        <f t="shared" ref="Z180:Z186" si="131">IFERROR(Y180/Y$187,0)</f>
        <v>0.5</v>
      </c>
      <c r="AA180" s="14"/>
      <c r="AB180" s="14"/>
      <c r="AC180" s="14"/>
      <c r="AD180" s="65"/>
      <c r="AE180" s="63"/>
      <c r="AF180" s="352"/>
      <c r="AG180" s="19"/>
      <c r="AH180" s="19"/>
      <c r="AI180" s="19"/>
      <c r="AJ180" s="27"/>
      <c r="AK180" s="19"/>
      <c r="AL180" s="14"/>
      <c r="AM180" s="107" t="s">
        <v>5</v>
      </c>
      <c r="AN180" s="27">
        <f t="shared" ref="AN180:AN186" si="132">COUNTIFS(S30_stakeholder_category,"PO",Response_30a_CaseA,AM180)</f>
        <v>0</v>
      </c>
      <c r="AO180" s="41">
        <f>IFERROR(AN180/AN$187,0)</f>
        <v>0</v>
      </c>
      <c r="AP180" s="14"/>
      <c r="AQ180" s="14"/>
      <c r="AR180" s="14"/>
      <c r="AS180" s="65"/>
      <c r="AT180" s="63"/>
      <c r="AU180" s="352"/>
      <c r="AV180" s="14"/>
      <c r="AW180" s="19"/>
      <c r="AX180" s="19"/>
      <c r="AY180" s="27"/>
      <c r="AZ180" s="19"/>
      <c r="BA180" s="14"/>
      <c r="BB180" s="107" t="s">
        <v>5</v>
      </c>
      <c r="BC180" s="27">
        <f t="shared" ref="BC180:BC186" si="133">COUNTIFS(S30_stakeholder_category,"PO",Response_30a_CaseB,BB180)</f>
        <v>0</v>
      </c>
      <c r="BD180" s="41">
        <f>IFERROR(BC180/BC$187,0)</f>
        <v>0</v>
      </c>
      <c r="BE180" s="14"/>
      <c r="BF180" s="14"/>
      <c r="BG180" s="14"/>
      <c r="BH180" s="65"/>
      <c r="BI180" s="63"/>
      <c r="BJ180" s="352"/>
      <c r="BK180" s="19"/>
      <c r="BL180" s="19"/>
      <c r="BM180" s="19"/>
      <c r="BN180" s="27"/>
      <c r="BO180" s="19"/>
      <c r="BP180" s="14"/>
      <c r="BQ180" s="107" t="s">
        <v>5</v>
      </c>
      <c r="BR180" s="27">
        <f t="shared" ref="BR180:BR186" si="134">COUNTIFS(S30_stakeholder_category,"PO",Response_30a_CaseC,BQ180)</f>
        <v>0</v>
      </c>
      <c r="BS180" s="41">
        <f>IFERROR(BR180/BR$187,0)</f>
        <v>0</v>
      </c>
      <c r="BT180" s="14"/>
      <c r="BU180" s="14"/>
      <c r="BV180" s="14"/>
      <c r="BW180" s="65"/>
      <c r="BX180" s="63"/>
      <c r="BY180" s="352"/>
      <c r="BZ180" s="14"/>
      <c r="CA180" s="14"/>
      <c r="CB180" s="21"/>
      <c r="CC180" s="21"/>
      <c r="CD180" s="180"/>
      <c r="CE180" s="181"/>
      <c r="CF180" s="31"/>
      <c r="CG180" s="52"/>
      <c r="CH180" s="52"/>
      <c r="CI180" s="99"/>
      <c r="CJ180" s="14"/>
      <c r="CK180" s="14"/>
      <c r="CL180" s="14"/>
      <c r="CM180" s="14"/>
      <c r="CN180" s="14"/>
      <c r="CO180" s="129"/>
      <c r="CP180" s="14"/>
      <c r="CQ180" s="47"/>
      <c r="CR180" s="14"/>
      <c r="CS180" s="86"/>
      <c r="CT180" s="111"/>
      <c r="CU180" s="86"/>
      <c r="CV180" s="179"/>
      <c r="CW180" s="188"/>
      <c r="CX180" s="179"/>
      <c r="CY180" s="29"/>
      <c r="CZ180" s="109"/>
      <c r="DA180" s="109"/>
      <c r="DB180" s="109"/>
      <c r="DC180" s="109"/>
      <c r="DD180" s="109"/>
      <c r="DE180" s="109"/>
      <c r="DF180" s="109"/>
      <c r="DG180" s="329"/>
      <c r="DH180" s="14"/>
      <c r="DI180" s="47"/>
      <c r="DJ180" s="14"/>
      <c r="DK180" s="62"/>
      <c r="DL180" s="19"/>
      <c r="DM180" s="59"/>
      <c r="DN180" s="14"/>
      <c r="DO180" s="14"/>
      <c r="DP180" s="107" t="s">
        <v>34</v>
      </c>
      <c r="DQ180" s="27">
        <f>COUNTIFS(S30_stakeholder_category,"PO",Response_Q172_1,DP180,Response_Q173_1,"&lt;&gt;0")</f>
        <v>2</v>
      </c>
      <c r="DR180" s="41">
        <f>IF(DQ185=0,"",DQ180/DQ185)</f>
        <v>0.66666666666666663</v>
      </c>
      <c r="DS180" s="14"/>
      <c r="DT180" s="14"/>
      <c r="DU180" s="14"/>
      <c r="DV180" s="14"/>
      <c r="DW180" s="14"/>
      <c r="DX180" s="14"/>
      <c r="DY180" s="14"/>
      <c r="DZ180" s="14"/>
      <c r="EA180" s="14"/>
      <c r="EB180" s="14"/>
      <c r="EC180" s="14"/>
      <c r="ED180" s="14"/>
      <c r="EE180" s="14"/>
      <c r="EF180" s="14"/>
      <c r="EG180" s="14"/>
      <c r="EH180" s="14"/>
      <c r="EI180" s="14"/>
      <c r="EJ180" s="14"/>
      <c r="EK180" s="14"/>
      <c r="EL180" s="14"/>
    </row>
    <row r="181" spans="1:142" x14ac:dyDescent="0.25">
      <c r="A181" s="14"/>
      <c r="B181" s="14"/>
      <c r="C181" s="19"/>
      <c r="D181" s="59"/>
      <c r="E181" s="14"/>
      <c r="F181" s="14"/>
      <c r="G181" s="107" t="s">
        <v>35</v>
      </c>
      <c r="H181" s="27">
        <f>COUNTIFS(S30_stakeholder_category,"PO",Response_Q173_1,G181)</f>
        <v>1</v>
      </c>
      <c r="I181" s="41">
        <f t="shared" ref="I181:I185" si="135">IFERROR(H181/H$185,"")</f>
        <v>0.33333333333333331</v>
      </c>
      <c r="J181" s="14"/>
      <c r="K181" s="14"/>
      <c r="L181" s="14"/>
      <c r="M181" s="14"/>
      <c r="N181" s="14"/>
      <c r="O181" s="14"/>
      <c r="P181" s="14"/>
      <c r="Q181" s="47"/>
      <c r="R181" s="19"/>
      <c r="S181" s="19"/>
      <c r="T181" s="19"/>
      <c r="U181" s="27"/>
      <c r="V181" s="19"/>
      <c r="W181" s="14"/>
      <c r="X181" s="107" t="s">
        <v>4</v>
      </c>
      <c r="Y181" s="27">
        <f t="shared" si="130"/>
        <v>0</v>
      </c>
      <c r="Z181" s="41">
        <f t="shared" si="131"/>
        <v>0</v>
      </c>
      <c r="AA181" s="14"/>
      <c r="AB181" s="14"/>
      <c r="AC181" s="14"/>
      <c r="AD181" s="65"/>
      <c r="AE181" s="63"/>
      <c r="AF181" s="352"/>
      <c r="AG181" s="19"/>
      <c r="AH181" s="19"/>
      <c r="AI181" s="19"/>
      <c r="AJ181" s="27"/>
      <c r="AK181" s="19"/>
      <c r="AL181" s="14"/>
      <c r="AM181" s="107" t="s">
        <v>4</v>
      </c>
      <c r="AN181" s="27">
        <f t="shared" si="132"/>
        <v>0</v>
      </c>
      <c r="AO181" s="41">
        <f t="shared" ref="AO181:AO186" si="136">IFERROR(AN181/AN$187,0)</f>
        <v>0</v>
      </c>
      <c r="AP181" s="14"/>
      <c r="AQ181" s="14"/>
      <c r="AR181" s="14"/>
      <c r="AS181" s="65"/>
      <c r="AT181" s="63"/>
      <c r="AU181" s="352"/>
      <c r="AV181" s="14"/>
      <c r="AW181" s="19"/>
      <c r="AX181" s="19"/>
      <c r="AY181" s="27"/>
      <c r="AZ181" s="19"/>
      <c r="BA181" s="14"/>
      <c r="BB181" s="107" t="s">
        <v>4</v>
      </c>
      <c r="BC181" s="27">
        <f t="shared" si="133"/>
        <v>0</v>
      </c>
      <c r="BD181" s="41">
        <f t="shared" ref="BD181:BD186" si="137">IFERROR(BC181/BC$187,0)</f>
        <v>0</v>
      </c>
      <c r="BE181" s="14"/>
      <c r="BF181" s="14"/>
      <c r="BG181" s="14"/>
      <c r="BH181" s="65"/>
      <c r="BI181" s="63"/>
      <c r="BJ181" s="352"/>
      <c r="BK181" s="19"/>
      <c r="BL181" s="19"/>
      <c r="BM181" s="19"/>
      <c r="BN181" s="27"/>
      <c r="BO181" s="19"/>
      <c r="BP181" s="14"/>
      <c r="BQ181" s="107" t="s">
        <v>4</v>
      </c>
      <c r="BR181" s="27">
        <f t="shared" si="134"/>
        <v>0</v>
      </c>
      <c r="BS181" s="41">
        <f t="shared" ref="BS181:BS186" si="138">IFERROR(BR181/BR$187,0)</f>
        <v>0</v>
      </c>
      <c r="BT181" s="14"/>
      <c r="BU181" s="14"/>
      <c r="BV181" s="14"/>
      <c r="BW181" s="65"/>
      <c r="BX181" s="63"/>
      <c r="BY181" s="352"/>
      <c r="BZ181" s="14"/>
      <c r="CA181" s="14"/>
      <c r="CB181" s="21"/>
      <c r="CC181" s="21"/>
      <c r="CD181" s="180"/>
      <c r="CE181" s="181"/>
      <c r="CF181" s="31"/>
      <c r="CG181" s="52"/>
      <c r="CH181" s="52"/>
      <c r="CI181" s="99"/>
      <c r="CJ181" s="14"/>
      <c r="CK181" s="14"/>
      <c r="CL181" s="14"/>
      <c r="CM181" s="14"/>
      <c r="CN181" s="14"/>
      <c r="CO181" s="129"/>
      <c r="CP181" s="14"/>
      <c r="CQ181" s="47"/>
      <c r="CR181" s="14"/>
      <c r="CS181" s="14"/>
      <c r="CT181" s="14"/>
      <c r="CU181" s="14"/>
      <c r="CV181" s="180"/>
      <c r="CW181" s="190"/>
      <c r="CX181" s="191"/>
      <c r="CY181" s="52"/>
      <c r="CZ181" s="52"/>
      <c r="DA181" s="54"/>
      <c r="DB181" s="14"/>
      <c r="DC181" s="14"/>
      <c r="DD181" s="14"/>
      <c r="DE181" s="14"/>
      <c r="DF181" s="14"/>
      <c r="DG181" s="129"/>
      <c r="DH181" s="14"/>
      <c r="DI181" s="47"/>
      <c r="DJ181" s="14"/>
      <c r="DK181" s="62"/>
      <c r="DL181" s="19"/>
      <c r="DM181" s="59"/>
      <c r="DN181" s="14"/>
      <c r="DO181" s="14"/>
      <c r="DP181" s="107" t="s">
        <v>35</v>
      </c>
      <c r="DQ181" s="27">
        <f>COUNTIFS(S30_stakeholder_category,"PO",Response_Q172_1,DP181,Response_Q173_1,"&lt;&gt;0")</f>
        <v>1</v>
      </c>
      <c r="DR181" s="41">
        <f>IF(DQ185=0,"",DQ181/DQ185)</f>
        <v>0.33333333333333331</v>
      </c>
      <c r="DS181" s="14"/>
      <c r="DT181" s="14"/>
      <c r="DU181" s="14"/>
      <c r="DV181" s="14"/>
      <c r="DW181" s="14"/>
      <c r="DX181" s="14"/>
      <c r="DY181" s="14"/>
      <c r="DZ181" s="14"/>
      <c r="EA181" s="14"/>
      <c r="EB181" s="14"/>
      <c r="EC181" s="14"/>
      <c r="ED181" s="14"/>
      <c r="EE181" s="14"/>
      <c r="EF181" s="14"/>
      <c r="EG181" s="14"/>
      <c r="EH181" s="14"/>
      <c r="EI181" s="14"/>
      <c r="EJ181" s="14"/>
      <c r="EK181" s="14"/>
      <c r="EL181" s="14"/>
    </row>
    <row r="182" spans="1:142" x14ac:dyDescent="0.25">
      <c r="A182" s="14"/>
      <c r="B182" s="14"/>
      <c r="C182" s="19"/>
      <c r="D182" s="59"/>
      <c r="E182" s="14"/>
      <c r="F182" s="14"/>
      <c r="G182" s="107" t="s">
        <v>36</v>
      </c>
      <c r="H182" s="27">
        <f>COUNTIFS(S30_stakeholder_category,"PO",Response_Q173_1,G182)</f>
        <v>0</v>
      </c>
      <c r="I182" s="41">
        <f t="shared" si="135"/>
        <v>0</v>
      </c>
      <c r="J182" s="14"/>
      <c r="K182" s="14"/>
      <c r="L182" s="14"/>
      <c r="M182" s="14"/>
      <c r="N182" s="14"/>
      <c r="O182" s="14"/>
      <c r="P182" s="14"/>
      <c r="Q182" s="47"/>
      <c r="R182" s="19"/>
      <c r="S182" s="19"/>
      <c r="T182" s="19"/>
      <c r="U182" s="27"/>
      <c r="V182" s="19"/>
      <c r="W182" s="14"/>
      <c r="X182" s="107" t="s">
        <v>33</v>
      </c>
      <c r="Y182" s="27">
        <f t="shared" si="130"/>
        <v>0</v>
      </c>
      <c r="Z182" s="41">
        <f t="shared" si="131"/>
        <v>0</v>
      </c>
      <c r="AA182" s="14"/>
      <c r="AB182" s="14"/>
      <c r="AC182" s="14"/>
      <c r="AD182" s="65"/>
      <c r="AE182" s="63"/>
      <c r="AF182" s="352"/>
      <c r="AG182" s="19"/>
      <c r="AH182" s="19"/>
      <c r="AI182" s="19"/>
      <c r="AJ182" s="27"/>
      <c r="AK182" s="19"/>
      <c r="AL182" s="14"/>
      <c r="AM182" s="107" t="s">
        <v>33</v>
      </c>
      <c r="AN182" s="27">
        <f t="shared" si="132"/>
        <v>0</v>
      </c>
      <c r="AO182" s="41">
        <f t="shared" si="136"/>
        <v>0</v>
      </c>
      <c r="AP182" s="14"/>
      <c r="AQ182" s="14"/>
      <c r="AR182" s="14"/>
      <c r="AS182" s="65"/>
      <c r="AT182" s="63"/>
      <c r="AU182" s="352"/>
      <c r="AV182" s="14"/>
      <c r="AW182" s="19"/>
      <c r="AX182" s="19"/>
      <c r="AY182" s="27"/>
      <c r="AZ182" s="19"/>
      <c r="BA182" s="14"/>
      <c r="BB182" s="107" t="s">
        <v>33</v>
      </c>
      <c r="BC182" s="27">
        <f t="shared" si="133"/>
        <v>0</v>
      </c>
      <c r="BD182" s="41">
        <f t="shared" si="137"/>
        <v>0</v>
      </c>
      <c r="BE182" s="14"/>
      <c r="BF182" s="14"/>
      <c r="BG182" s="14"/>
      <c r="BH182" s="65"/>
      <c r="BI182" s="63"/>
      <c r="BJ182" s="352"/>
      <c r="BK182" s="19"/>
      <c r="BL182" s="19"/>
      <c r="BM182" s="19"/>
      <c r="BN182" s="27"/>
      <c r="BO182" s="19"/>
      <c r="BP182" s="14"/>
      <c r="BQ182" s="107" t="s">
        <v>33</v>
      </c>
      <c r="BR182" s="27">
        <f t="shared" si="134"/>
        <v>0</v>
      </c>
      <c r="BS182" s="41">
        <f t="shared" si="138"/>
        <v>0</v>
      </c>
      <c r="BT182" s="14"/>
      <c r="BU182" s="14"/>
      <c r="BV182" s="14"/>
      <c r="BW182" s="65"/>
      <c r="BX182" s="63"/>
      <c r="BY182" s="352"/>
      <c r="BZ182" s="14"/>
      <c r="CA182" s="14"/>
      <c r="CB182" s="21"/>
      <c r="CC182" s="21"/>
      <c r="CD182" s="180"/>
      <c r="CE182" s="181"/>
      <c r="CF182" s="31"/>
      <c r="CG182" s="52"/>
      <c r="CH182" s="52"/>
      <c r="CI182" s="99"/>
      <c r="CJ182" s="14"/>
      <c r="CK182" s="14"/>
      <c r="CL182" s="14"/>
      <c r="CM182" s="14"/>
      <c r="CN182" s="14"/>
      <c r="CO182" s="129"/>
      <c r="CP182" s="14"/>
      <c r="CQ182" s="47"/>
      <c r="CR182" s="14"/>
      <c r="CS182" s="14"/>
      <c r="CT182" s="14"/>
      <c r="CU182" s="14"/>
      <c r="CV182" s="180"/>
      <c r="CW182" s="190"/>
      <c r="CX182" s="191"/>
      <c r="CY182" s="52"/>
      <c r="CZ182" s="52"/>
      <c r="DA182" s="54"/>
      <c r="DB182" s="14"/>
      <c r="DC182" s="14"/>
      <c r="DD182" s="14"/>
      <c r="DE182" s="14"/>
      <c r="DF182" s="14"/>
      <c r="DG182" s="129"/>
      <c r="DH182" s="14"/>
      <c r="DI182" s="47"/>
      <c r="DJ182" s="14"/>
      <c r="DK182" s="62"/>
      <c r="DL182" s="19"/>
      <c r="DM182" s="59"/>
      <c r="DN182" s="14"/>
      <c r="DO182" s="14"/>
      <c r="DP182" s="107" t="s">
        <v>36</v>
      </c>
      <c r="DQ182" s="27">
        <f>COUNTIFS(S30_stakeholder_category,"PO",Response_Q172_1,DP182,Response_Q173_1,"&lt;&gt;0")</f>
        <v>0</v>
      </c>
      <c r="DR182" s="41">
        <f>IF(DQ185=0,"",DQ182/DQ185)</f>
        <v>0</v>
      </c>
      <c r="DS182" s="14"/>
      <c r="DT182" s="14"/>
      <c r="DU182" s="14"/>
      <c r="DV182" s="14"/>
      <c r="DW182" s="14"/>
      <c r="DX182" s="14"/>
      <c r="DY182" s="14"/>
      <c r="DZ182" s="14"/>
      <c r="EA182" s="14"/>
      <c r="EB182" s="14"/>
      <c r="EC182" s="14"/>
      <c r="ED182" s="14"/>
      <c r="EE182" s="14"/>
      <c r="EF182" s="14"/>
      <c r="EG182" s="14"/>
      <c r="EH182" s="14"/>
      <c r="EI182" s="14"/>
      <c r="EJ182" s="14"/>
      <c r="EK182" s="14"/>
      <c r="EL182" s="14"/>
    </row>
    <row r="183" spans="1:142" ht="14.4" x14ac:dyDescent="0.25">
      <c r="A183" s="14"/>
      <c r="B183" s="62"/>
      <c r="C183" s="19"/>
      <c r="D183" s="59"/>
      <c r="E183" s="14"/>
      <c r="F183" s="14"/>
      <c r="G183" s="107" t="s">
        <v>38</v>
      </c>
      <c r="H183" s="27">
        <f>COUNTIFS(S30_stakeholder_category,"PO",Response_Q173_1,G183)</f>
        <v>0</v>
      </c>
      <c r="I183" s="41">
        <f t="shared" si="135"/>
        <v>0</v>
      </c>
      <c r="J183" s="14"/>
      <c r="K183" s="14"/>
      <c r="L183" s="14"/>
      <c r="M183" s="14"/>
      <c r="N183" s="14"/>
      <c r="O183" s="14"/>
      <c r="P183" s="14"/>
      <c r="Q183" s="47"/>
      <c r="R183" s="19"/>
      <c r="S183" s="60"/>
      <c r="T183" s="19"/>
      <c r="U183" s="59"/>
      <c r="V183" s="19"/>
      <c r="W183" s="14"/>
      <c r="X183" s="107" t="s">
        <v>29</v>
      </c>
      <c r="Y183" s="27">
        <f t="shared" si="130"/>
        <v>1</v>
      </c>
      <c r="Z183" s="41">
        <f t="shared" si="131"/>
        <v>0.5</v>
      </c>
      <c r="AA183" s="14"/>
      <c r="AB183" s="14"/>
      <c r="AC183" s="14"/>
      <c r="AD183" s="65"/>
      <c r="AE183" s="63"/>
      <c r="AF183" s="352"/>
      <c r="AG183" s="19"/>
      <c r="AH183" s="60"/>
      <c r="AI183" s="19"/>
      <c r="AJ183" s="59"/>
      <c r="AK183" s="19"/>
      <c r="AL183" s="14"/>
      <c r="AM183" s="107" t="s">
        <v>29</v>
      </c>
      <c r="AN183" s="27">
        <f t="shared" si="132"/>
        <v>0</v>
      </c>
      <c r="AO183" s="41">
        <f t="shared" si="136"/>
        <v>0</v>
      </c>
      <c r="AP183" s="14"/>
      <c r="AQ183" s="14"/>
      <c r="AR183" s="14"/>
      <c r="AS183" s="65"/>
      <c r="AT183" s="63"/>
      <c r="AU183" s="352"/>
      <c r="AV183" s="14"/>
      <c r="AW183" s="60"/>
      <c r="AX183" s="19"/>
      <c r="AY183" s="59"/>
      <c r="AZ183" s="19"/>
      <c r="BA183" s="14"/>
      <c r="BB183" s="107" t="s">
        <v>29</v>
      </c>
      <c r="BC183" s="27">
        <f t="shared" si="133"/>
        <v>0</v>
      </c>
      <c r="BD183" s="41">
        <f t="shared" si="137"/>
        <v>0</v>
      </c>
      <c r="BE183" s="14"/>
      <c r="BF183" s="14"/>
      <c r="BG183" s="14"/>
      <c r="BH183" s="65"/>
      <c r="BI183" s="63"/>
      <c r="BJ183" s="352"/>
      <c r="BK183" s="19"/>
      <c r="BL183" s="60"/>
      <c r="BM183" s="19"/>
      <c r="BN183" s="59"/>
      <c r="BO183" s="19"/>
      <c r="BP183" s="14"/>
      <c r="BQ183" s="107" t="s">
        <v>29</v>
      </c>
      <c r="BR183" s="27">
        <f t="shared" si="134"/>
        <v>0</v>
      </c>
      <c r="BS183" s="41">
        <f t="shared" si="138"/>
        <v>0</v>
      </c>
      <c r="BT183" s="14"/>
      <c r="BU183" s="14"/>
      <c r="BV183" s="14"/>
      <c r="BW183" s="65"/>
      <c r="BX183" s="63"/>
      <c r="BY183" s="352"/>
      <c r="BZ183" s="14"/>
      <c r="CA183" s="14"/>
      <c r="CB183" s="21"/>
      <c r="CC183" s="21"/>
      <c r="CD183" s="180"/>
      <c r="CE183" s="181"/>
      <c r="CF183" s="31"/>
      <c r="CG183" s="52"/>
      <c r="CH183" s="52"/>
      <c r="CI183" s="99"/>
      <c r="CJ183" s="14"/>
      <c r="CK183" s="14"/>
      <c r="CL183" s="14"/>
      <c r="CM183" s="14"/>
      <c r="CN183" s="14"/>
      <c r="CO183" s="129"/>
      <c r="CP183" s="14"/>
      <c r="CQ183" s="47"/>
      <c r="CR183" s="14"/>
      <c r="CS183" s="14"/>
      <c r="CT183" s="14"/>
      <c r="CU183" s="14"/>
      <c r="CV183" s="180"/>
      <c r="CW183" s="190"/>
      <c r="CX183" s="191"/>
      <c r="CY183" s="52"/>
      <c r="CZ183" s="52"/>
      <c r="DA183" s="54"/>
      <c r="DB183" s="14"/>
      <c r="DC183" s="14"/>
      <c r="DD183" s="14"/>
      <c r="DE183" s="14"/>
      <c r="DF183" s="14"/>
      <c r="DG183" s="129"/>
      <c r="DH183" s="14"/>
      <c r="DI183" s="47"/>
      <c r="DJ183" s="14"/>
      <c r="DK183" s="62"/>
      <c r="DL183" s="19"/>
      <c r="DM183" s="59"/>
      <c r="DN183" s="14"/>
      <c r="DO183" s="14"/>
      <c r="DP183" s="107" t="s">
        <v>38</v>
      </c>
      <c r="DQ183" s="27">
        <f>COUNTIFS(S30_stakeholder_category,"PO",Response_Q172_1,DP183,Response_Q173_1,"&lt;&gt;0")</f>
        <v>0</v>
      </c>
      <c r="DR183" s="41">
        <f>IF(DQ185=0,"",DQ183/DQ185)</f>
        <v>0</v>
      </c>
      <c r="DS183" s="14"/>
      <c r="DT183" s="14"/>
      <c r="DU183" s="14"/>
      <c r="DV183" s="14"/>
      <c r="DW183" s="14"/>
      <c r="DX183" s="14"/>
      <c r="DY183" s="14"/>
      <c r="DZ183" s="14"/>
      <c r="EA183" s="14"/>
      <c r="EB183" s="14"/>
      <c r="EC183" s="14"/>
      <c r="ED183" s="14"/>
      <c r="EE183" s="14"/>
      <c r="EF183" s="14"/>
      <c r="EG183" s="14"/>
      <c r="EH183" s="14"/>
      <c r="EI183" s="14"/>
      <c r="EJ183" s="14"/>
      <c r="EK183" s="14"/>
      <c r="EL183" s="14"/>
    </row>
    <row r="184" spans="1:142" ht="14.4" x14ac:dyDescent="0.25">
      <c r="A184" s="14"/>
      <c r="B184" s="62"/>
      <c r="C184" s="19"/>
      <c r="D184" s="59"/>
      <c r="E184" s="14"/>
      <c r="F184" s="14"/>
      <c r="G184" s="107" t="s">
        <v>39</v>
      </c>
      <c r="H184" s="27">
        <f>COUNTIFS(S30_stakeholder_category,"PO",Response_Q173_1,G184)</f>
        <v>0</v>
      </c>
      <c r="I184" s="41">
        <f t="shared" si="135"/>
        <v>0</v>
      </c>
      <c r="J184" s="14"/>
      <c r="K184" s="14"/>
      <c r="L184" s="14"/>
      <c r="M184" s="14"/>
      <c r="N184" s="14"/>
      <c r="O184" s="14"/>
      <c r="P184" s="14"/>
      <c r="Q184" s="47"/>
      <c r="R184" s="19"/>
      <c r="S184" s="61"/>
      <c r="T184" s="19"/>
      <c r="U184" s="59"/>
      <c r="V184" s="19"/>
      <c r="W184" s="14"/>
      <c r="X184" s="107" t="s">
        <v>3</v>
      </c>
      <c r="Y184" s="27">
        <f t="shared" si="130"/>
        <v>0</v>
      </c>
      <c r="Z184" s="41">
        <f t="shared" si="131"/>
        <v>0</v>
      </c>
      <c r="AA184" s="14"/>
      <c r="AB184" s="14"/>
      <c r="AC184" s="14"/>
      <c r="AD184" s="65"/>
      <c r="AE184" s="63"/>
      <c r="AF184" s="352"/>
      <c r="AG184" s="19"/>
      <c r="AH184" s="61"/>
      <c r="AI184" s="19"/>
      <c r="AJ184" s="59"/>
      <c r="AK184" s="19"/>
      <c r="AL184" s="14"/>
      <c r="AM184" s="107" t="s">
        <v>3</v>
      </c>
      <c r="AN184" s="27">
        <f t="shared" si="132"/>
        <v>0</v>
      </c>
      <c r="AO184" s="41">
        <f t="shared" si="136"/>
        <v>0</v>
      </c>
      <c r="AP184" s="14"/>
      <c r="AQ184" s="14"/>
      <c r="AR184" s="14"/>
      <c r="AS184" s="65"/>
      <c r="AT184" s="63"/>
      <c r="AU184" s="352"/>
      <c r="AV184" s="14"/>
      <c r="AW184" s="61"/>
      <c r="AX184" s="19"/>
      <c r="AY184" s="59"/>
      <c r="AZ184" s="19"/>
      <c r="BA184" s="14"/>
      <c r="BB184" s="107" t="s">
        <v>3</v>
      </c>
      <c r="BC184" s="27">
        <f t="shared" si="133"/>
        <v>0</v>
      </c>
      <c r="BD184" s="41">
        <f t="shared" si="137"/>
        <v>0</v>
      </c>
      <c r="BE184" s="14"/>
      <c r="BF184" s="14"/>
      <c r="BG184" s="14"/>
      <c r="BH184" s="65"/>
      <c r="BI184" s="63"/>
      <c r="BJ184" s="352"/>
      <c r="BK184" s="19"/>
      <c r="BL184" s="61"/>
      <c r="BM184" s="19"/>
      <c r="BN184" s="59"/>
      <c r="BO184" s="19"/>
      <c r="BP184" s="14"/>
      <c r="BQ184" s="107" t="s">
        <v>3</v>
      </c>
      <c r="BR184" s="27">
        <f t="shared" si="134"/>
        <v>0</v>
      </c>
      <c r="BS184" s="41">
        <f t="shared" si="138"/>
        <v>0</v>
      </c>
      <c r="BT184" s="14"/>
      <c r="BU184" s="14"/>
      <c r="BV184" s="14"/>
      <c r="BW184" s="65"/>
      <c r="BX184" s="63"/>
      <c r="BY184" s="352"/>
      <c r="BZ184" s="14"/>
      <c r="CA184" s="14"/>
      <c r="CB184" s="21"/>
      <c r="CC184" s="21"/>
      <c r="CD184" s="180"/>
      <c r="CE184" s="181"/>
      <c r="CF184" s="31"/>
      <c r="CG184" s="52"/>
      <c r="CH184" s="52"/>
      <c r="CI184" s="99"/>
      <c r="CJ184" s="14"/>
      <c r="CK184" s="14"/>
      <c r="CL184" s="14"/>
      <c r="CM184" s="14"/>
      <c r="CN184" s="14"/>
      <c r="CO184" s="129"/>
      <c r="CP184" s="14"/>
      <c r="CQ184" s="47"/>
      <c r="CR184" s="14"/>
      <c r="CS184" s="14"/>
      <c r="CT184" s="14"/>
      <c r="CU184" s="14"/>
      <c r="CV184" s="180"/>
      <c r="CW184" s="190"/>
      <c r="CX184" s="191"/>
      <c r="CY184" s="52"/>
      <c r="CZ184" s="52"/>
      <c r="DA184" s="54"/>
      <c r="DB184" s="14"/>
      <c r="DC184" s="14"/>
      <c r="DD184" s="14"/>
      <c r="DE184" s="14"/>
      <c r="DF184" s="14"/>
      <c r="DG184" s="129"/>
      <c r="DH184" s="14"/>
      <c r="DI184" s="47"/>
      <c r="DJ184" s="14"/>
      <c r="DK184" s="62"/>
      <c r="DL184" s="19"/>
      <c r="DM184" s="59"/>
      <c r="DN184" s="14"/>
      <c r="DO184" s="14"/>
      <c r="DP184" s="107" t="s">
        <v>39</v>
      </c>
      <c r="DQ184" s="27">
        <f>COUNTIFS(S30_stakeholder_category,"PO",Response_Q172_1,DP184,Response_Q173_1,"&lt;&gt;0")</f>
        <v>0</v>
      </c>
      <c r="DR184" s="41">
        <f>IF(DQ185=0,"",DQ184/DQ185)</f>
        <v>0</v>
      </c>
      <c r="DS184" s="14"/>
      <c r="DT184" s="14"/>
      <c r="DU184" s="14"/>
      <c r="DV184" s="14"/>
      <c r="DW184" s="14"/>
      <c r="DX184" s="14"/>
      <c r="DY184" s="14"/>
      <c r="DZ184" s="14"/>
      <c r="EA184" s="14"/>
      <c r="EB184" s="14"/>
      <c r="EC184" s="14"/>
      <c r="ED184" s="14"/>
      <c r="EE184" s="14"/>
      <c r="EF184" s="14"/>
      <c r="EG184" s="14"/>
      <c r="EH184" s="14"/>
      <c r="EI184" s="14"/>
      <c r="EJ184" s="14"/>
      <c r="EK184" s="14"/>
      <c r="EL184" s="14"/>
    </row>
    <row r="185" spans="1:142" x14ac:dyDescent="0.25">
      <c r="A185" s="14"/>
      <c r="B185" s="62"/>
      <c r="C185" s="19"/>
      <c r="D185" s="59"/>
      <c r="E185" s="14"/>
      <c r="F185" s="14"/>
      <c r="G185" s="86" t="s">
        <v>145</v>
      </c>
      <c r="H185" s="111">
        <f>COUNTIFS(S30_stakeholder_category,"PO",Response_Q173_1,"&lt;&gt;0")</f>
        <v>3</v>
      </c>
      <c r="I185" s="119">
        <f t="shared" si="135"/>
        <v>1</v>
      </c>
      <c r="J185" s="14"/>
      <c r="K185" s="14"/>
      <c r="L185" s="14"/>
      <c r="M185" s="14"/>
      <c r="N185" s="14"/>
      <c r="O185" s="14"/>
      <c r="P185" s="14"/>
      <c r="Q185" s="47"/>
      <c r="R185" s="19"/>
      <c r="S185" s="62"/>
      <c r="T185" s="19"/>
      <c r="U185" s="59"/>
      <c r="V185" s="19"/>
      <c r="W185" s="14"/>
      <c r="X185" s="107" t="s">
        <v>54</v>
      </c>
      <c r="Y185" s="27">
        <f t="shared" si="130"/>
        <v>0</v>
      </c>
      <c r="Z185" s="41">
        <f t="shared" si="131"/>
        <v>0</v>
      </c>
      <c r="AA185" s="14"/>
      <c r="AB185" s="14"/>
      <c r="AC185" s="14"/>
      <c r="AD185" s="65"/>
      <c r="AE185" s="63"/>
      <c r="AF185" s="352"/>
      <c r="AG185" s="19"/>
      <c r="AH185" s="62"/>
      <c r="AI185" s="19"/>
      <c r="AJ185" s="59"/>
      <c r="AK185" s="19"/>
      <c r="AL185" s="14"/>
      <c r="AM185" s="107" t="s">
        <v>54</v>
      </c>
      <c r="AN185" s="27">
        <f t="shared" si="132"/>
        <v>0</v>
      </c>
      <c r="AO185" s="41">
        <f t="shared" si="136"/>
        <v>0</v>
      </c>
      <c r="AP185" s="14"/>
      <c r="AQ185" s="14"/>
      <c r="AR185" s="14"/>
      <c r="AS185" s="65"/>
      <c r="AT185" s="63"/>
      <c r="AU185" s="352"/>
      <c r="AV185" s="14"/>
      <c r="AW185" s="62"/>
      <c r="AX185" s="19"/>
      <c r="AY185" s="59"/>
      <c r="AZ185" s="19"/>
      <c r="BA185" s="14"/>
      <c r="BB185" s="107" t="s">
        <v>54</v>
      </c>
      <c r="BC185" s="27">
        <f t="shared" si="133"/>
        <v>0</v>
      </c>
      <c r="BD185" s="41">
        <f t="shared" si="137"/>
        <v>0</v>
      </c>
      <c r="BE185" s="14"/>
      <c r="BF185" s="14"/>
      <c r="BG185" s="14"/>
      <c r="BH185" s="65"/>
      <c r="BI185" s="63"/>
      <c r="BJ185" s="352"/>
      <c r="BK185" s="19"/>
      <c r="BL185" s="62"/>
      <c r="BM185" s="19"/>
      <c r="BN185" s="59"/>
      <c r="BO185" s="19"/>
      <c r="BP185" s="14"/>
      <c r="BQ185" s="107" t="s">
        <v>54</v>
      </c>
      <c r="BR185" s="27">
        <f t="shared" si="134"/>
        <v>0</v>
      </c>
      <c r="BS185" s="41">
        <f t="shared" si="138"/>
        <v>0</v>
      </c>
      <c r="BT185" s="14"/>
      <c r="BU185" s="14"/>
      <c r="BV185" s="14"/>
      <c r="BW185" s="65"/>
      <c r="BX185" s="63"/>
      <c r="BY185" s="352"/>
      <c r="BZ185" s="14"/>
      <c r="CA185" s="14"/>
      <c r="CB185" s="21"/>
      <c r="CC185" s="21"/>
      <c r="CD185" s="180"/>
      <c r="CE185" s="181"/>
      <c r="CF185" s="31"/>
      <c r="CG185" s="52"/>
      <c r="CH185" s="52"/>
      <c r="CI185" s="99"/>
      <c r="CJ185" s="14"/>
      <c r="CK185" s="14"/>
      <c r="CL185" s="14"/>
      <c r="CM185" s="14"/>
      <c r="CN185" s="14"/>
      <c r="CO185" s="129"/>
      <c r="CP185" s="14"/>
      <c r="CQ185" s="47"/>
      <c r="CR185" s="14"/>
      <c r="CS185" s="14"/>
      <c r="CT185" s="14"/>
      <c r="CU185" s="14"/>
      <c r="CV185" s="180"/>
      <c r="CW185" s="190"/>
      <c r="CX185" s="191"/>
      <c r="CY185" s="52"/>
      <c r="CZ185" s="52"/>
      <c r="DA185" s="54"/>
      <c r="DB185" s="14"/>
      <c r="DC185" s="14"/>
      <c r="DD185" s="14"/>
      <c r="DE185" s="14"/>
      <c r="DF185" s="14"/>
      <c r="DG185" s="129"/>
      <c r="DH185" s="14"/>
      <c r="DI185" s="47"/>
      <c r="DJ185" s="14"/>
      <c r="DK185" s="62"/>
      <c r="DL185" s="19"/>
      <c r="DM185" s="59"/>
      <c r="DN185" s="14"/>
      <c r="DO185" s="14"/>
      <c r="DP185" s="86" t="s">
        <v>145</v>
      </c>
      <c r="DQ185" s="111">
        <f>COUNTIFS(S30_stakeholder_category,"PO",Response_Q172_1,"&lt;&gt;0",Response_Q173_1,"&lt;&gt;0")</f>
        <v>3</v>
      </c>
      <c r="DR185" s="119">
        <f>IF(DQ185=0,"",DQ185/DQ185)</f>
        <v>1</v>
      </c>
      <c r="DS185" s="14"/>
      <c r="DT185" s="14"/>
      <c r="DU185" s="14"/>
      <c r="DV185" s="14"/>
      <c r="DW185" s="14"/>
      <c r="DX185" s="14"/>
      <c r="DY185" s="14"/>
      <c r="DZ185" s="14"/>
      <c r="EA185" s="14"/>
      <c r="EB185" s="14"/>
      <c r="EC185" s="14"/>
      <c r="ED185" s="14"/>
      <c r="EE185" s="14"/>
      <c r="EF185" s="14"/>
      <c r="EG185" s="14"/>
      <c r="EH185" s="14"/>
      <c r="EI185" s="14"/>
      <c r="EJ185" s="14"/>
      <c r="EK185" s="14"/>
      <c r="EL185" s="14"/>
    </row>
    <row r="186" spans="1:142" x14ac:dyDescent="0.25">
      <c r="A186" s="14"/>
      <c r="B186" s="62"/>
      <c r="C186" s="19"/>
      <c r="D186" s="59"/>
      <c r="E186" s="14"/>
      <c r="F186" s="14"/>
      <c r="G186" s="14"/>
      <c r="H186" s="21"/>
      <c r="I186" s="21"/>
      <c r="J186" s="14"/>
      <c r="K186" s="14"/>
      <c r="L186" s="14"/>
      <c r="M186" s="14"/>
      <c r="N186" s="14"/>
      <c r="O186" s="14"/>
      <c r="P186" s="14"/>
      <c r="Q186" s="47"/>
      <c r="R186" s="19"/>
      <c r="S186" s="62"/>
      <c r="T186" s="19"/>
      <c r="U186" s="59"/>
      <c r="V186" s="19"/>
      <c r="W186" s="14"/>
      <c r="X186" s="107" t="s">
        <v>39</v>
      </c>
      <c r="Y186" s="27">
        <f t="shared" si="130"/>
        <v>0</v>
      </c>
      <c r="Z186" s="41">
        <f t="shared" si="131"/>
        <v>0</v>
      </c>
      <c r="AA186" s="14"/>
      <c r="AB186" s="14"/>
      <c r="AC186" s="14"/>
      <c r="AD186" s="65"/>
      <c r="AE186" s="63"/>
      <c r="AF186" s="352"/>
      <c r="AG186" s="19"/>
      <c r="AH186" s="62"/>
      <c r="AI186" s="19"/>
      <c r="AJ186" s="59"/>
      <c r="AK186" s="19"/>
      <c r="AL186" s="14"/>
      <c r="AM186" s="107" t="s">
        <v>39</v>
      </c>
      <c r="AN186" s="27">
        <f t="shared" si="132"/>
        <v>0</v>
      </c>
      <c r="AO186" s="41">
        <f t="shared" si="136"/>
        <v>0</v>
      </c>
      <c r="AP186" s="14"/>
      <c r="AQ186" s="14"/>
      <c r="AR186" s="14"/>
      <c r="AS186" s="65"/>
      <c r="AT186" s="63"/>
      <c r="AU186" s="352"/>
      <c r="AV186" s="14"/>
      <c r="AW186" s="62"/>
      <c r="AX186" s="19"/>
      <c r="AY186" s="59"/>
      <c r="AZ186" s="19"/>
      <c r="BA186" s="14"/>
      <c r="BB186" s="107" t="s">
        <v>39</v>
      </c>
      <c r="BC186" s="27">
        <f t="shared" si="133"/>
        <v>0</v>
      </c>
      <c r="BD186" s="41">
        <f t="shared" si="137"/>
        <v>0</v>
      </c>
      <c r="BE186" s="14"/>
      <c r="BF186" s="14"/>
      <c r="BG186" s="14"/>
      <c r="BH186" s="65"/>
      <c r="BI186" s="63"/>
      <c r="BJ186" s="352"/>
      <c r="BK186" s="19"/>
      <c r="BL186" s="62"/>
      <c r="BM186" s="19"/>
      <c r="BN186" s="59"/>
      <c r="BO186" s="19"/>
      <c r="BP186" s="14"/>
      <c r="BQ186" s="107" t="s">
        <v>39</v>
      </c>
      <c r="BR186" s="27">
        <f t="shared" si="134"/>
        <v>0</v>
      </c>
      <c r="BS186" s="41">
        <f t="shared" si="138"/>
        <v>0</v>
      </c>
      <c r="BT186" s="14"/>
      <c r="BU186" s="14"/>
      <c r="BV186" s="14"/>
      <c r="BW186" s="65"/>
      <c r="BX186" s="63"/>
      <c r="BY186" s="352"/>
      <c r="BZ186" s="14"/>
      <c r="CA186" s="14"/>
      <c r="CB186" s="21"/>
      <c r="CC186" s="21"/>
      <c r="CD186" s="180"/>
      <c r="CE186" s="181"/>
      <c r="CF186" s="31"/>
      <c r="CG186" s="52"/>
      <c r="CH186" s="52"/>
      <c r="CI186" s="99"/>
      <c r="CJ186" s="14"/>
      <c r="CK186" s="14"/>
      <c r="CL186" s="14"/>
      <c r="CM186" s="14"/>
      <c r="CN186" s="14"/>
      <c r="CO186" s="129"/>
      <c r="CP186" s="14"/>
      <c r="CQ186" s="47"/>
      <c r="CR186" s="14"/>
      <c r="CS186" s="14"/>
      <c r="CT186" s="14"/>
      <c r="CU186" s="14"/>
      <c r="CV186" s="180"/>
      <c r="CW186" s="190"/>
      <c r="CX186" s="191"/>
      <c r="CY186" s="52"/>
      <c r="CZ186" s="52"/>
      <c r="DA186" s="54"/>
      <c r="DB186" s="14"/>
      <c r="DC186" s="14"/>
      <c r="DD186" s="14"/>
      <c r="DE186" s="14"/>
      <c r="DF186" s="14"/>
      <c r="DG186" s="129"/>
      <c r="DH186" s="14"/>
      <c r="DI186" s="47"/>
      <c r="DJ186" s="14"/>
      <c r="DK186" s="62"/>
      <c r="DL186" s="19"/>
      <c r="DM186" s="59"/>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row>
    <row r="187" spans="1:142" x14ac:dyDescent="0.25">
      <c r="A187" s="14"/>
      <c r="B187" s="62"/>
      <c r="C187" s="19"/>
      <c r="D187" s="59"/>
      <c r="E187" s="14"/>
      <c r="F187" s="14"/>
      <c r="G187" s="14"/>
      <c r="H187" s="21"/>
      <c r="I187" s="21"/>
      <c r="J187" s="14"/>
      <c r="K187" s="14"/>
      <c r="L187" s="14"/>
      <c r="M187" s="14"/>
      <c r="N187" s="14"/>
      <c r="O187" s="14"/>
      <c r="P187" s="14"/>
      <c r="Q187" s="47"/>
      <c r="R187" s="19"/>
      <c r="S187" s="62"/>
      <c r="T187" s="19"/>
      <c r="U187" s="59"/>
      <c r="V187" s="19"/>
      <c r="W187" s="14"/>
      <c r="X187" s="86" t="s">
        <v>145</v>
      </c>
      <c r="Y187" s="111">
        <f>COUNTIFS(S30_stakeholder_category,"PO",Response_Q176_1,"&lt;&gt;0")</f>
        <v>2</v>
      </c>
      <c r="Z187" s="119">
        <f>SUM(Z180:Z186)</f>
        <v>1</v>
      </c>
      <c r="AA187" s="14"/>
      <c r="AB187" s="14"/>
      <c r="AC187" s="14"/>
      <c r="AD187" s="65"/>
      <c r="AE187" s="63"/>
      <c r="AF187" s="352"/>
      <c r="AG187" s="19"/>
      <c r="AH187" s="62"/>
      <c r="AI187" s="19"/>
      <c r="AJ187" s="59"/>
      <c r="AK187" s="19"/>
      <c r="AL187" s="14"/>
      <c r="AM187" s="86" t="s">
        <v>145</v>
      </c>
      <c r="AN187" s="111">
        <f>COUNTIFS(S30_stakeholder_category,"PO",Response_30a_CaseA,"&lt;&gt;0")</f>
        <v>0</v>
      </c>
      <c r="AO187" s="119">
        <f>SUM(AO180:AO186)</f>
        <v>0</v>
      </c>
      <c r="AP187" s="14"/>
      <c r="AQ187" s="14"/>
      <c r="AR187" s="14"/>
      <c r="AS187" s="65"/>
      <c r="AT187" s="63"/>
      <c r="AU187" s="352"/>
      <c r="AV187" s="14"/>
      <c r="AW187" s="62"/>
      <c r="AX187" s="19"/>
      <c r="AY187" s="59"/>
      <c r="AZ187" s="19"/>
      <c r="BA187" s="14"/>
      <c r="BB187" s="86" t="s">
        <v>145</v>
      </c>
      <c r="BC187" s="111">
        <f>COUNTIFS(S30_stakeholder_category,"PO",Response_30a_CaseB,"&lt;&gt;0")</f>
        <v>0</v>
      </c>
      <c r="BD187" s="119">
        <f>SUM(BD180:BD186)</f>
        <v>0</v>
      </c>
      <c r="BE187" s="14"/>
      <c r="BF187" s="14"/>
      <c r="BG187" s="14"/>
      <c r="BH187" s="65"/>
      <c r="BI187" s="63"/>
      <c r="BJ187" s="352"/>
      <c r="BK187" s="19"/>
      <c r="BL187" s="62"/>
      <c r="BM187" s="19"/>
      <c r="BN187" s="59"/>
      <c r="BO187" s="19"/>
      <c r="BP187" s="14"/>
      <c r="BQ187" s="86" t="s">
        <v>145</v>
      </c>
      <c r="BR187" s="111">
        <f>COUNTIFS(S30_stakeholder_category,"PO",Response_30a_CaseC,"&lt;&gt;0")</f>
        <v>0</v>
      </c>
      <c r="BS187" s="119">
        <f>SUM(BS180:BS186)</f>
        <v>0</v>
      </c>
      <c r="BT187" s="14"/>
      <c r="BU187" s="14"/>
      <c r="BV187" s="14"/>
      <c r="BW187" s="65"/>
      <c r="BX187" s="63"/>
      <c r="BY187" s="352"/>
      <c r="BZ187" s="14"/>
      <c r="CA187" s="14"/>
      <c r="CB187" s="21"/>
      <c r="CC187" s="21"/>
      <c r="CD187" s="180"/>
      <c r="CE187" s="181"/>
      <c r="CF187" s="31"/>
      <c r="CG187" s="52"/>
      <c r="CH187" s="52"/>
      <c r="CI187" s="99"/>
      <c r="CJ187" s="14"/>
      <c r="CK187" s="14"/>
      <c r="CL187" s="14"/>
      <c r="CM187" s="14"/>
      <c r="CN187" s="14"/>
      <c r="CO187" s="129"/>
      <c r="CP187" s="14"/>
      <c r="CQ187" s="47"/>
      <c r="CR187" s="14"/>
      <c r="CS187" s="14"/>
      <c r="CT187" s="14"/>
      <c r="CU187" s="14"/>
      <c r="CV187" s="180"/>
      <c r="CW187" s="190"/>
      <c r="CX187" s="191"/>
      <c r="CY187" s="52"/>
      <c r="CZ187" s="52"/>
      <c r="DA187" s="54"/>
      <c r="DB187" s="14"/>
      <c r="DC187" s="14"/>
      <c r="DD187" s="14"/>
      <c r="DE187" s="14"/>
      <c r="DF187" s="14"/>
      <c r="DG187" s="129"/>
      <c r="DH187" s="14"/>
      <c r="DI187" s="47"/>
      <c r="DJ187" s="14"/>
      <c r="DK187" s="62"/>
      <c r="DL187" s="19"/>
      <c r="DM187" s="59"/>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row>
    <row r="188" spans="1:142" s="135" customFormat="1" ht="15" customHeight="1" x14ac:dyDescent="0.25">
      <c r="A188" s="14"/>
      <c r="B188" s="13"/>
      <c r="C188" s="13"/>
      <c r="D188" s="21"/>
      <c r="E188" s="14"/>
      <c r="F188" s="14"/>
      <c r="G188" s="14"/>
      <c r="H188" s="21"/>
      <c r="I188" s="21"/>
      <c r="J188" s="14"/>
      <c r="K188" s="14"/>
      <c r="L188" s="14"/>
      <c r="M188" s="14"/>
      <c r="N188" s="14"/>
      <c r="O188" s="14"/>
      <c r="P188" s="14"/>
      <c r="Q188" s="47"/>
      <c r="R188" s="19"/>
      <c r="S188" s="13"/>
      <c r="T188" s="13"/>
      <c r="U188" s="21"/>
      <c r="V188" s="14"/>
      <c r="W188" s="14"/>
      <c r="X188" s="14"/>
      <c r="Y188" s="14"/>
      <c r="Z188" s="14"/>
      <c r="AA188" s="14"/>
      <c r="AB188" s="14"/>
      <c r="AC188" s="14"/>
      <c r="AD188" s="65"/>
      <c r="AE188" s="63"/>
      <c r="AF188" s="352"/>
      <c r="AG188" s="19"/>
      <c r="AH188" s="13"/>
      <c r="AI188" s="13"/>
      <c r="AJ188" s="21"/>
      <c r="AK188" s="14"/>
      <c r="AL188" s="14"/>
      <c r="AM188" s="14"/>
      <c r="AN188" s="14"/>
      <c r="AO188" s="14"/>
      <c r="AP188" s="14"/>
      <c r="AQ188" s="14"/>
      <c r="AR188" s="14"/>
      <c r="AS188" s="65"/>
      <c r="AT188" s="63"/>
      <c r="AU188" s="352"/>
      <c r="AV188" s="14"/>
      <c r="AW188" s="13"/>
      <c r="AX188" s="13"/>
      <c r="AY188" s="21"/>
      <c r="AZ188" s="14"/>
      <c r="BA188" s="14"/>
      <c r="BB188" s="14"/>
      <c r="BC188" s="14"/>
      <c r="BD188" s="14"/>
      <c r="BE188" s="14"/>
      <c r="BF188" s="14"/>
      <c r="BG188" s="14"/>
      <c r="BH188" s="65"/>
      <c r="BI188" s="63"/>
      <c r="BJ188" s="352"/>
      <c r="BK188" s="19"/>
      <c r="BL188" s="13"/>
      <c r="BM188" s="13"/>
      <c r="BN188" s="21"/>
      <c r="BO188" s="14"/>
      <c r="BP188" s="14"/>
      <c r="BQ188" s="14"/>
      <c r="BR188" s="14"/>
      <c r="BS188" s="14"/>
      <c r="BT188" s="14"/>
      <c r="BU188" s="14"/>
      <c r="BV188" s="14"/>
      <c r="BW188" s="65"/>
      <c r="BX188" s="63"/>
      <c r="BY188" s="352"/>
      <c r="BZ188" s="14"/>
      <c r="CA188" s="14"/>
      <c r="CB188" s="21"/>
      <c r="CC188" s="21"/>
      <c r="CD188" s="180"/>
      <c r="CE188" s="181"/>
      <c r="CF188" s="31"/>
      <c r="CG188" s="31"/>
      <c r="CH188" s="31"/>
      <c r="CI188" s="14"/>
      <c r="CJ188" s="14"/>
      <c r="CK188" s="14"/>
      <c r="CL188" s="14"/>
      <c r="CM188" s="14"/>
      <c r="CN188" s="14"/>
      <c r="CO188" s="129"/>
      <c r="CP188" s="14"/>
      <c r="CQ188" s="47"/>
      <c r="CR188" s="14"/>
      <c r="CS188" s="14"/>
      <c r="CT188" s="14"/>
      <c r="CU188" s="14"/>
      <c r="CV188" s="180"/>
      <c r="CW188" s="190"/>
      <c r="CX188" s="191"/>
      <c r="CY188" s="31"/>
      <c r="CZ188" s="31"/>
      <c r="DA188" s="14"/>
      <c r="DB188" s="14"/>
      <c r="DC188" s="14"/>
      <c r="DD188" s="14"/>
      <c r="DE188" s="14"/>
      <c r="DF188" s="14"/>
      <c r="DG188" s="129"/>
      <c r="DH188" s="14"/>
      <c r="DI188" s="47"/>
      <c r="DJ188" s="14"/>
      <c r="DK188" s="13"/>
      <c r="DL188" s="13"/>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row>
    <row r="189" spans="1:142" s="131" customFormat="1" x14ac:dyDescent="0.25">
      <c r="A189" s="78"/>
      <c r="B189" s="78" t="s">
        <v>154</v>
      </c>
      <c r="C189" s="78" t="s">
        <v>116</v>
      </c>
      <c r="D189" s="79"/>
      <c r="E189" s="78"/>
      <c r="F189" s="78"/>
      <c r="G189" s="78"/>
      <c r="H189" s="79"/>
      <c r="I189" s="79"/>
      <c r="J189" s="78"/>
      <c r="K189" s="78"/>
      <c r="L189" s="78"/>
      <c r="M189" s="78"/>
      <c r="N189" s="78"/>
      <c r="O189" s="78"/>
      <c r="P189" s="78"/>
      <c r="Q189" s="82"/>
      <c r="R189" s="83"/>
      <c r="S189" s="78" t="str">
        <f>$B189</f>
        <v>NGOs</v>
      </c>
      <c r="T189" s="78"/>
      <c r="U189" s="78"/>
      <c r="V189" s="78"/>
      <c r="W189" s="78"/>
      <c r="X189" s="78"/>
      <c r="Y189" s="78"/>
      <c r="Z189" s="78"/>
      <c r="AA189" s="78"/>
      <c r="AB189" s="78"/>
      <c r="AC189" s="78"/>
      <c r="AD189" s="80"/>
      <c r="AE189" s="81"/>
      <c r="AF189" s="373"/>
      <c r="AG189" s="83"/>
      <c r="AH189" s="78" t="str">
        <f>$B189</f>
        <v>NGOs</v>
      </c>
      <c r="AI189" s="78"/>
      <c r="AJ189" s="78"/>
      <c r="AK189" s="78"/>
      <c r="AL189" s="78"/>
      <c r="AM189" s="78"/>
      <c r="AN189" s="78"/>
      <c r="AO189" s="78"/>
      <c r="AP189" s="78"/>
      <c r="AQ189" s="78"/>
      <c r="AR189" s="78"/>
      <c r="AS189" s="80"/>
      <c r="AT189" s="81"/>
      <c r="AU189" s="373"/>
      <c r="AV189" s="78"/>
      <c r="AW189" s="78" t="str">
        <f>$B189</f>
        <v>NGOs</v>
      </c>
      <c r="AX189" s="78"/>
      <c r="AY189" s="78"/>
      <c r="AZ189" s="78"/>
      <c r="BA189" s="78"/>
      <c r="BB189" s="78"/>
      <c r="BC189" s="78"/>
      <c r="BD189" s="78"/>
      <c r="BE189" s="78"/>
      <c r="BF189" s="78"/>
      <c r="BG189" s="78"/>
      <c r="BH189" s="80"/>
      <c r="BI189" s="81"/>
      <c r="BJ189" s="373"/>
      <c r="BK189" s="83"/>
      <c r="BL189" s="78" t="str">
        <f>$B189</f>
        <v>NGOs</v>
      </c>
      <c r="BM189" s="78"/>
      <c r="BN189" s="78"/>
      <c r="BO189" s="78"/>
      <c r="BP189" s="78"/>
      <c r="BQ189" s="78"/>
      <c r="BR189" s="78"/>
      <c r="BS189" s="78"/>
      <c r="BT189" s="78"/>
      <c r="BU189" s="78"/>
      <c r="BV189" s="78"/>
      <c r="BW189" s="80"/>
      <c r="BX189" s="81"/>
      <c r="BY189" s="373"/>
      <c r="BZ189" s="78"/>
      <c r="CA189" s="78" t="str">
        <f>$B189</f>
        <v>NGOs</v>
      </c>
      <c r="CB189" s="79"/>
      <c r="CC189" s="79"/>
      <c r="CD189" s="182"/>
      <c r="CE189" s="182"/>
      <c r="CF189" s="79"/>
      <c r="CG189" s="78"/>
      <c r="CH189" s="78"/>
      <c r="CI189" s="78"/>
      <c r="CJ189" s="78"/>
      <c r="CK189" s="78"/>
      <c r="CL189" s="78"/>
      <c r="CM189" s="78"/>
      <c r="CN189" s="78"/>
      <c r="CO189" s="78"/>
      <c r="CP189" s="78"/>
      <c r="CQ189" s="82"/>
      <c r="CR189" s="78"/>
      <c r="CS189" s="78" t="str">
        <f>$B189</f>
        <v>NGOs</v>
      </c>
      <c r="CT189" s="78"/>
      <c r="CU189" s="78"/>
      <c r="CV189" s="182"/>
      <c r="CW189" s="192"/>
      <c r="CX189" s="192"/>
      <c r="CY189" s="78"/>
      <c r="CZ189" s="78"/>
      <c r="DA189" s="78"/>
      <c r="DB189" s="78"/>
      <c r="DC189" s="78"/>
      <c r="DD189" s="78"/>
      <c r="DE189" s="78"/>
      <c r="DF189" s="78"/>
      <c r="DG189" s="78"/>
      <c r="DH189" s="78"/>
      <c r="DI189" s="82"/>
      <c r="DJ189" s="78"/>
      <c r="DK189" s="78" t="str">
        <f>$B189</f>
        <v>NGOs</v>
      </c>
      <c r="DL189" s="78"/>
      <c r="DM189" s="78"/>
      <c r="DN189" s="78"/>
      <c r="DO189" s="78"/>
      <c r="DP189" s="78"/>
      <c r="DQ189" s="78"/>
      <c r="DR189" s="78"/>
      <c r="DS189" s="78"/>
      <c r="DT189" s="78"/>
      <c r="DU189" s="78"/>
      <c r="DV189" s="78"/>
      <c r="DW189" s="78"/>
      <c r="DX189" s="78"/>
      <c r="DY189" s="78"/>
      <c r="DZ189" s="78"/>
      <c r="EA189" s="78"/>
      <c r="EB189" s="78"/>
      <c r="EC189" s="78"/>
      <c r="ED189" s="78"/>
      <c r="EE189" s="78"/>
      <c r="EF189" s="78"/>
      <c r="EG189" s="78"/>
      <c r="EH189" s="78"/>
      <c r="EI189" s="78"/>
      <c r="EJ189" s="78"/>
      <c r="EK189" s="78"/>
      <c r="EL189" s="78"/>
    </row>
    <row r="190" spans="1:142" x14ac:dyDescent="0.25">
      <c r="A190" s="14"/>
      <c r="B190" s="84" t="s">
        <v>301</v>
      </c>
      <c r="C190" s="84"/>
      <c r="D190" s="85"/>
      <c r="E190" s="84"/>
      <c r="F190" s="14"/>
      <c r="G190" s="14"/>
      <c r="H190" s="21"/>
      <c r="I190" s="21"/>
      <c r="J190" s="14"/>
      <c r="K190" s="14"/>
      <c r="L190" s="14"/>
      <c r="M190" s="14"/>
      <c r="N190" s="14"/>
      <c r="O190" s="14"/>
      <c r="P190" s="14"/>
      <c r="Q190" s="47"/>
      <c r="R190" s="19"/>
      <c r="S190" s="84" t="s">
        <v>322</v>
      </c>
      <c r="T190" s="84"/>
      <c r="U190" s="85"/>
      <c r="V190" s="84"/>
      <c r="W190" s="14"/>
      <c r="X190" s="14"/>
      <c r="Y190" s="14"/>
      <c r="Z190" s="14"/>
      <c r="AA190" s="14"/>
      <c r="AB190" s="14"/>
      <c r="AC190" s="14"/>
      <c r="AD190" s="65"/>
      <c r="AE190" s="63"/>
      <c r="AF190" s="352"/>
      <c r="AG190" s="19"/>
      <c r="AH190" s="84" t="s">
        <v>328</v>
      </c>
      <c r="AI190" s="84"/>
      <c r="AJ190" s="85"/>
      <c r="AK190" s="84"/>
      <c r="AL190" s="84"/>
      <c r="AM190" s="14"/>
      <c r="AN190" s="14"/>
      <c r="AO190" s="14"/>
      <c r="AP190" s="14"/>
      <c r="AQ190" s="14"/>
      <c r="AR190" s="14"/>
      <c r="AS190" s="65"/>
      <c r="AT190" s="63"/>
      <c r="AU190" s="352"/>
      <c r="AV190" s="14"/>
      <c r="AW190" s="84" t="s">
        <v>347</v>
      </c>
      <c r="AX190" s="84"/>
      <c r="AY190" s="85"/>
      <c r="AZ190" s="84"/>
      <c r="BA190" s="84"/>
      <c r="BB190" s="14"/>
      <c r="BC190" s="14"/>
      <c r="BD190" s="14"/>
      <c r="BE190" s="14"/>
      <c r="BF190" s="14"/>
      <c r="BG190" s="14"/>
      <c r="BH190" s="65"/>
      <c r="BI190" s="63"/>
      <c r="BJ190" s="352"/>
      <c r="BK190" s="19"/>
      <c r="BL190" s="84" t="s">
        <v>348</v>
      </c>
      <c r="BM190" s="84"/>
      <c r="BN190" s="85"/>
      <c r="BO190" s="84"/>
      <c r="BP190" s="84"/>
      <c r="BQ190" s="14"/>
      <c r="BR190" s="14"/>
      <c r="BS190" s="14"/>
      <c r="BT190" s="14"/>
      <c r="BU190" s="14"/>
      <c r="BV190" s="14"/>
      <c r="BW190" s="65"/>
      <c r="BX190" s="63"/>
      <c r="BY190" s="352"/>
      <c r="BZ190" s="14"/>
      <c r="CA190" s="148" t="s">
        <v>303</v>
      </c>
      <c r="CB190" s="85"/>
      <c r="CC190" s="85"/>
      <c r="CD190" s="185"/>
      <c r="CE190" s="185"/>
      <c r="CF190" s="147"/>
      <c r="CG190" s="14"/>
      <c r="CH190" s="14"/>
      <c r="CI190" s="14"/>
      <c r="CJ190" s="14"/>
      <c r="CK190" s="14"/>
      <c r="CL190" s="14"/>
      <c r="CM190" s="14"/>
      <c r="CN190" s="14"/>
      <c r="CO190" s="129"/>
      <c r="CP190" s="14"/>
      <c r="CQ190" s="47"/>
      <c r="CR190" s="14"/>
      <c r="CS190" s="84" t="s">
        <v>304</v>
      </c>
      <c r="CT190" s="84"/>
      <c r="CU190" s="85"/>
      <c r="CV190" s="186"/>
      <c r="CW190" s="189"/>
      <c r="CX190" s="189"/>
      <c r="CY190" s="14"/>
      <c r="CZ190" s="14"/>
      <c r="DA190" s="14"/>
      <c r="DB190" s="14"/>
      <c r="DC190" s="14"/>
      <c r="DD190" s="14"/>
      <c r="DE190" s="14"/>
      <c r="DF190" s="14"/>
      <c r="DG190" s="129"/>
      <c r="DH190" s="14"/>
      <c r="DI190" s="47"/>
      <c r="DJ190" s="14"/>
      <c r="DK190" s="84" t="s">
        <v>305</v>
      </c>
      <c r="DL190" s="84"/>
      <c r="DM190" s="85"/>
      <c r="DN190" s="8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row>
    <row r="191" spans="1:142" x14ac:dyDescent="0.25">
      <c r="A191" s="14"/>
      <c r="B191" s="14"/>
      <c r="C191" s="14"/>
      <c r="D191" s="15"/>
      <c r="E191" s="14"/>
      <c r="F191" s="14"/>
      <c r="G191" s="14"/>
      <c r="H191" s="21"/>
      <c r="I191" s="21"/>
      <c r="J191" s="14"/>
      <c r="K191" s="19"/>
      <c r="L191" s="14"/>
      <c r="M191" s="14"/>
      <c r="N191" s="14"/>
      <c r="O191" s="14"/>
      <c r="P191" s="14"/>
      <c r="Q191" s="47"/>
      <c r="R191" s="19"/>
      <c r="S191" s="14"/>
      <c r="T191" s="14"/>
      <c r="U191" s="15"/>
      <c r="V191" s="14"/>
      <c r="W191" s="14"/>
      <c r="X191" s="14"/>
      <c r="Y191" s="14"/>
      <c r="Z191" s="14"/>
      <c r="AA191" s="14"/>
      <c r="AB191" s="14"/>
      <c r="AC191" s="14"/>
      <c r="AD191" s="65"/>
      <c r="AE191" s="63"/>
      <c r="AF191" s="352"/>
      <c r="AG191" s="19"/>
      <c r="AH191" s="14"/>
      <c r="AI191" s="14"/>
      <c r="AJ191" s="15"/>
      <c r="AK191" s="14"/>
      <c r="AL191" s="14"/>
      <c r="AM191" s="14"/>
      <c r="AN191" s="14"/>
      <c r="AO191" s="14"/>
      <c r="AP191" s="14"/>
      <c r="AQ191" s="14"/>
      <c r="AR191" s="14"/>
      <c r="AS191" s="65"/>
      <c r="AT191" s="63"/>
      <c r="AU191" s="352"/>
      <c r="AV191" s="14"/>
      <c r="AW191" s="14"/>
      <c r="AX191" s="14"/>
      <c r="AY191" s="15"/>
      <c r="AZ191" s="14"/>
      <c r="BA191" s="14"/>
      <c r="BB191" s="14"/>
      <c r="BC191" s="14"/>
      <c r="BD191" s="14"/>
      <c r="BE191" s="14"/>
      <c r="BF191" s="14"/>
      <c r="BG191" s="14"/>
      <c r="BH191" s="65"/>
      <c r="BI191" s="63"/>
      <c r="BJ191" s="352"/>
      <c r="BK191" s="19"/>
      <c r="BL191" s="14"/>
      <c r="BM191" s="14"/>
      <c r="BN191" s="15"/>
      <c r="BO191" s="14"/>
      <c r="BP191" s="14"/>
      <c r="BQ191" s="14"/>
      <c r="BR191" s="14"/>
      <c r="BS191" s="14"/>
      <c r="BT191" s="14"/>
      <c r="BU191" s="14"/>
      <c r="BV191" s="14"/>
      <c r="BW191" s="65"/>
      <c r="BX191" s="63"/>
      <c r="BY191" s="352"/>
      <c r="BZ191" s="14"/>
      <c r="CA191" s="23"/>
      <c r="CB191" s="21"/>
      <c r="CC191" s="21"/>
      <c r="CD191" s="180"/>
      <c r="CE191" s="180"/>
      <c r="CF191" s="21"/>
      <c r="CG191" s="14"/>
      <c r="CH191" s="14"/>
      <c r="CI191" s="14"/>
      <c r="CJ191" s="14"/>
      <c r="CK191" s="14"/>
      <c r="CL191" s="14"/>
      <c r="CM191" s="14"/>
      <c r="CN191" s="14"/>
      <c r="CO191" s="129"/>
      <c r="CP191" s="14"/>
      <c r="CQ191" s="47"/>
      <c r="CR191" s="14"/>
      <c r="CS191" s="14"/>
      <c r="CT191" s="14"/>
      <c r="CU191" s="14"/>
      <c r="CV191" s="180"/>
      <c r="CW191" s="189"/>
      <c r="CX191" s="189"/>
      <c r="CY191" s="14"/>
      <c r="CZ191" s="14"/>
      <c r="DA191" s="14"/>
      <c r="DB191" s="14"/>
      <c r="DC191" s="14"/>
      <c r="DD191" s="14"/>
      <c r="DE191" s="14"/>
      <c r="DF191" s="14"/>
      <c r="DG191" s="129"/>
      <c r="DH191" s="14"/>
      <c r="DI191" s="47"/>
      <c r="DJ191" s="14"/>
      <c r="DK191" s="14"/>
      <c r="DL191" s="14"/>
      <c r="DM191" s="15"/>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row>
    <row r="192" spans="1:142" ht="27.6" x14ac:dyDescent="0.25">
      <c r="A192" s="14"/>
      <c r="B192" s="112" t="s">
        <v>23</v>
      </c>
      <c r="C192" s="113" t="s">
        <v>24</v>
      </c>
      <c r="D192" s="113" t="s">
        <v>145</v>
      </c>
      <c r="E192" s="113" t="s">
        <v>300</v>
      </c>
      <c r="F192" s="14"/>
      <c r="G192" s="14"/>
      <c r="H192" s="21"/>
      <c r="I192" s="21"/>
      <c r="J192" s="14"/>
      <c r="K192" s="19"/>
      <c r="L192" s="51"/>
      <c r="M192" s="51"/>
      <c r="N192" s="51"/>
      <c r="O192" s="51"/>
      <c r="P192" s="51"/>
      <c r="Q192" s="47"/>
      <c r="R192" s="19"/>
      <c r="S192" s="112" t="s">
        <v>23</v>
      </c>
      <c r="T192" s="113" t="s">
        <v>24</v>
      </c>
      <c r="U192" s="113" t="s">
        <v>145</v>
      </c>
      <c r="V192" s="113" t="s">
        <v>300</v>
      </c>
      <c r="W192" s="14"/>
      <c r="X192" s="14"/>
      <c r="Y192" s="14"/>
      <c r="Z192" s="14"/>
      <c r="AA192" s="56"/>
      <c r="AB192" s="56"/>
      <c r="AC192" s="56"/>
      <c r="AD192" s="65"/>
      <c r="AE192" s="63"/>
      <c r="AF192" s="352"/>
      <c r="AG192" s="19"/>
      <c r="AH192" s="112" t="s">
        <v>23</v>
      </c>
      <c r="AI192" s="113" t="s">
        <v>24</v>
      </c>
      <c r="AJ192" s="113" t="s">
        <v>145</v>
      </c>
      <c r="AK192" s="113" t="s">
        <v>300</v>
      </c>
      <c r="AL192" s="14"/>
      <c r="AM192" s="14"/>
      <c r="AN192" s="14"/>
      <c r="AO192" s="14"/>
      <c r="AP192" s="56"/>
      <c r="AQ192" s="56"/>
      <c r="AR192" s="56"/>
      <c r="AS192" s="65"/>
      <c r="AT192" s="63"/>
      <c r="AU192" s="352"/>
      <c r="AV192" s="14"/>
      <c r="AW192" s="112" t="s">
        <v>23</v>
      </c>
      <c r="AX192" s="113" t="s">
        <v>24</v>
      </c>
      <c r="AY192" s="113" t="s">
        <v>145</v>
      </c>
      <c r="AZ192" s="113" t="s">
        <v>300</v>
      </c>
      <c r="BA192" s="14"/>
      <c r="BB192" s="14"/>
      <c r="BC192" s="14"/>
      <c r="BD192" s="14"/>
      <c r="BE192" s="56"/>
      <c r="BF192" s="56"/>
      <c r="BG192" s="56"/>
      <c r="BH192" s="65"/>
      <c r="BI192" s="63"/>
      <c r="BJ192" s="352"/>
      <c r="BK192" s="19"/>
      <c r="BL192" s="112" t="s">
        <v>23</v>
      </c>
      <c r="BM192" s="113" t="s">
        <v>24</v>
      </c>
      <c r="BN192" s="113" t="s">
        <v>145</v>
      </c>
      <c r="BO192" s="113" t="s">
        <v>300</v>
      </c>
      <c r="BP192" s="14"/>
      <c r="BQ192" s="14"/>
      <c r="BR192" s="14"/>
      <c r="BS192" s="14"/>
      <c r="BT192" s="56"/>
      <c r="BU192" s="56"/>
      <c r="BV192" s="56"/>
      <c r="BW192" s="65"/>
      <c r="BX192" s="63"/>
      <c r="BY192" s="352"/>
      <c r="BZ192" s="14"/>
      <c r="CA192" s="112" t="s">
        <v>23</v>
      </c>
      <c r="CB192" s="113" t="s">
        <v>145</v>
      </c>
      <c r="CC192" s="21"/>
      <c r="CD192" s="180"/>
      <c r="CE192" s="180"/>
      <c r="CF192" s="21"/>
      <c r="CG192" s="14"/>
      <c r="CH192" s="14"/>
      <c r="CI192" s="14"/>
      <c r="CJ192" s="14"/>
      <c r="CK192" s="14"/>
      <c r="CL192" s="14"/>
      <c r="CM192" s="14"/>
      <c r="CN192" s="14"/>
      <c r="CO192" s="129"/>
      <c r="CP192" s="17"/>
      <c r="CQ192" s="47"/>
      <c r="CR192" s="14"/>
      <c r="CS192" s="112" t="s">
        <v>23</v>
      </c>
      <c r="CT192" s="113" t="s">
        <v>145</v>
      </c>
      <c r="CU192" s="14"/>
      <c r="CV192" s="180"/>
      <c r="CW192" s="189"/>
      <c r="CX192" s="189"/>
      <c r="CY192" s="14"/>
      <c r="CZ192" s="14"/>
      <c r="DA192" s="14"/>
      <c r="DB192" s="14"/>
      <c r="DC192" s="14"/>
      <c r="DD192" s="14"/>
      <c r="DE192" s="14"/>
      <c r="DF192" s="14"/>
      <c r="DG192" s="129"/>
      <c r="DH192" s="17"/>
      <c r="DI192" s="47"/>
      <c r="DJ192" s="17"/>
      <c r="DK192" s="112" t="s">
        <v>23</v>
      </c>
      <c r="DL192" s="113" t="s">
        <v>24</v>
      </c>
      <c r="DM192" s="113" t="s">
        <v>145</v>
      </c>
      <c r="DN192" s="113" t="s">
        <v>300</v>
      </c>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row>
    <row r="193" spans="1:142" x14ac:dyDescent="0.25">
      <c r="A193" s="14"/>
      <c r="B193" s="57" t="s">
        <v>154</v>
      </c>
      <c r="C193" s="121" t="str">
        <f>IF(H212=0,"na",IF(COUNTIF(H207:H211,MAX(H207:H211))&gt;COUNTIF(G207:G211,"&lt;&gt;""")/2,"No clear choice of the most common response",INDEX(G207:G211,MATCH(MAX(H207:H211),H207:H211,0),1)))</f>
        <v>Most of the time</v>
      </c>
      <c r="D193" s="58">
        <f>COUNTIFS(S30_stakeholder_category,"NGO",Response_Q173_1,"&lt;&gt;0")</f>
        <v>4</v>
      </c>
      <c r="E193" s="121">
        <f>COUNTIFS(S30_stakeholder_category,"NGO",Response_Q173_1,"I don’t know")</f>
        <v>0</v>
      </c>
      <c r="F193" s="14"/>
      <c r="G193" s="14"/>
      <c r="H193" s="21"/>
      <c r="I193" s="21"/>
      <c r="J193" s="14"/>
      <c r="K193" s="19"/>
      <c r="L193" s="40"/>
      <c r="M193" s="40"/>
      <c r="N193" s="40"/>
      <c r="O193" s="40"/>
      <c r="P193" s="40"/>
      <c r="Q193" s="47"/>
      <c r="R193" s="19"/>
      <c r="S193" s="34" t="s">
        <v>154</v>
      </c>
      <c r="T193" s="37" t="str">
        <f>IF(Y214=0,"na",IF(COUNTIF(Y207:Y213,MAX(Y207:Y213))&gt;COUNTIF(X207:X213,"&lt;&gt;""")/2,"No clear choice of the most common response",INDEX(X207:X213,MATCH(MAX(Y207:Y213),Y207:Y213,0),1)))</f>
        <v>Very likely</v>
      </c>
      <c r="U193" s="33">
        <f>COUNTIFS(S30_stakeholder_category,"NGO",Response_Q176_1,"&lt;&gt;0")</f>
        <v>4</v>
      </c>
      <c r="V193" s="37">
        <f>COUNTIFS(S30_stakeholder_category,"NGO",Response_Q176_1,"I don’t know")</f>
        <v>0</v>
      </c>
      <c r="W193" s="14"/>
      <c r="X193" s="14"/>
      <c r="Y193" s="14"/>
      <c r="Z193" s="14"/>
      <c r="AA193" s="19"/>
      <c r="AB193" s="19"/>
      <c r="AC193" s="19"/>
      <c r="AD193" s="65"/>
      <c r="AE193" s="63"/>
      <c r="AF193" s="352"/>
      <c r="AG193" s="19"/>
      <c r="AH193" s="57" t="s">
        <v>154</v>
      </c>
      <c r="AI193" s="121" t="str">
        <f>IF(AN214=0,"na",IF(COUNTIF(AN207:AN213,MAX(AN207:AN213))&gt;COUNTIF(AM207:AM213,"&lt;&gt;""")/2,"No clear choice of the most common response",INDEX(AM207:AM213,MATCH(MAX(AN207:AN213),AN207:AN213,0),1)))</f>
        <v>Likely</v>
      </c>
      <c r="AJ193" s="58">
        <f>COUNTIFS(S30_stakeholder_category,"NGO",Response_30a_CaseA,"&lt;&gt;0")</f>
        <v>4</v>
      </c>
      <c r="AK193" s="121">
        <f>COUNTIFS(S30_stakeholder_category,"NGO",Response_30a_CaseA,"I don’t know")</f>
        <v>0</v>
      </c>
      <c r="AL193" s="14"/>
      <c r="AM193" s="14"/>
      <c r="AN193" s="14"/>
      <c r="AO193" s="14"/>
      <c r="AP193" s="19"/>
      <c r="AQ193" s="19"/>
      <c r="AR193" s="19"/>
      <c r="AS193" s="65"/>
      <c r="AT193" s="63"/>
      <c r="AU193" s="352"/>
      <c r="AV193" s="14"/>
      <c r="AW193" s="57" t="s">
        <v>154</v>
      </c>
      <c r="AX193" s="121" t="str">
        <f>IF(BC214=0,"na",IF(COUNTIF(BC207:BC213,MAX(BC207:BC213))&gt;COUNTIF(BB207:BB213,"&lt;&gt;""")/2,"No clear choice of the most common response",INDEX(BB207:BB213,MATCH(MAX(BC207:BC213),BC207:BC213,0),1)))</f>
        <v>Very likely</v>
      </c>
      <c r="AY193" s="58">
        <f>COUNTIFS(S30_stakeholder_category,"NGO",Response_30a_CaseB,"&lt;&gt;0")</f>
        <v>4</v>
      </c>
      <c r="AZ193" s="121">
        <f>COUNTIFS(S30_stakeholder_category,"NGO",Response_30a_CaseB,"I don’t know")</f>
        <v>0</v>
      </c>
      <c r="BA193" s="14"/>
      <c r="BB193" s="14"/>
      <c r="BC193" s="14"/>
      <c r="BD193" s="14"/>
      <c r="BE193" s="19"/>
      <c r="BF193" s="19"/>
      <c r="BG193" s="19"/>
      <c r="BH193" s="65"/>
      <c r="BI193" s="63"/>
      <c r="BJ193" s="352"/>
      <c r="BK193" s="19"/>
      <c r="BL193" s="57" t="s">
        <v>154</v>
      </c>
      <c r="BM193" s="121" t="str">
        <f>IF(BR214=0,"na",IF(COUNTIF(BR207:BR213,MAX(BR207:BR213))&gt;COUNTIF(BQ207:BQ213,"&lt;&gt;""")/2,"No clear choice of the most common response",INDEX(BQ207:BQ213,MATCH(MAX(BR207:BR213),BR207:BR213,0),1)))</f>
        <v>Very likely</v>
      </c>
      <c r="BN193" s="58">
        <f>COUNTIFS(S30_stakeholder_category,"NGO",Response_30a_CaseC,"&lt;&gt;0")</f>
        <v>4</v>
      </c>
      <c r="BO193" s="121">
        <f>COUNTIFS(S30_stakeholder_category,"NGO",Response_30a_CaseC,"I don’t know")</f>
        <v>0</v>
      </c>
      <c r="BP193" s="14"/>
      <c r="BQ193" s="14"/>
      <c r="BR193" s="14"/>
      <c r="BS193" s="14"/>
      <c r="BT193" s="19"/>
      <c r="BU193" s="19"/>
      <c r="BV193" s="19"/>
      <c r="BW193" s="65"/>
      <c r="BX193" s="63"/>
      <c r="BY193" s="352"/>
      <c r="BZ193" s="14"/>
      <c r="CA193" s="34" t="s">
        <v>154</v>
      </c>
      <c r="CB193" s="37">
        <f>MAX(SUM(CC199:CC205),SUM(CD199:CD205),SUM(CE199:CE205))</f>
        <v>4</v>
      </c>
      <c r="CC193" s="21"/>
      <c r="CD193" s="180"/>
      <c r="CE193" s="180"/>
      <c r="CF193" s="21"/>
      <c r="CG193" s="14"/>
      <c r="CH193" s="14"/>
      <c r="CI193" s="14"/>
      <c r="CJ193" s="14"/>
      <c r="CK193" s="14"/>
      <c r="CL193" s="14"/>
      <c r="CM193" s="14"/>
      <c r="CN193" s="14"/>
      <c r="CO193" s="129"/>
      <c r="CP193" s="29"/>
      <c r="CQ193" s="47"/>
      <c r="CR193" s="14"/>
      <c r="CS193" s="34" t="s">
        <v>154</v>
      </c>
      <c r="CT193" s="37">
        <f>MAX(SUM(CU199:CU205),SUM(CV199:CV205),SUM(CW199:CW205))</f>
        <v>4</v>
      </c>
      <c r="CU193" s="14"/>
      <c r="CV193" s="180"/>
      <c r="CW193" s="189"/>
      <c r="CX193" s="189"/>
      <c r="CY193" s="14"/>
      <c r="CZ193" s="14"/>
      <c r="DA193" s="14"/>
      <c r="DB193" s="14"/>
      <c r="DC193" s="14"/>
      <c r="DD193" s="14"/>
      <c r="DE193" s="14"/>
      <c r="DF193" s="14"/>
      <c r="DG193" s="129"/>
      <c r="DH193" s="29"/>
      <c r="DI193" s="47"/>
      <c r="DJ193" s="29"/>
      <c r="DK193" s="34" t="s">
        <v>154</v>
      </c>
      <c r="DL193" s="37" t="str">
        <f>IF(DQ212=0,"na",IF(COUNTIF(DQ207:DQ211,MAX(DQ207:DQ211))&gt;COUNTIF(DP207:DP211,"&lt;&gt;""")/2,"No clear choice of the most common response",INDEX(DP207:DP211,MATCH(MAX(DQ207:DQ211),DQ207:DQ211,0),1)))</f>
        <v>Sometimes</v>
      </c>
      <c r="DM193" s="33">
        <f>COUNTIFS(S30_stakeholder_category,"NGO",Response_Q172_1,"&lt;&gt;0",Response_Q173_1,"&lt;&gt;0")</f>
        <v>4</v>
      </c>
      <c r="DN193" s="37">
        <f>DQ211</f>
        <v>0</v>
      </c>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row>
    <row r="194" spans="1:142" x14ac:dyDescent="0.25">
      <c r="A194" s="14"/>
      <c r="B194" s="57"/>
      <c r="C194" s="121" t="str">
        <f ca="1">IF(H212=0,"",IF(COUNTIF(H207:H211,MAX(H207:H211))=1,"",IF(COUNTIF(H207:H211,MAX(H207:H211))&gt;COUNTIF(G207:G211,"&lt;&gt;""")/2,"",INDEX(OFFSET(G207,MATCH(C193,G207:G212,0),0):G211,MATCH(MAX(H207:H211),OFFSET(H207,MATCH(C193,G207:G212,0),0):H211,0),1))))</f>
        <v/>
      </c>
      <c r="D194" s="58"/>
      <c r="E194" s="121"/>
      <c r="F194" s="14"/>
      <c r="G194" s="14"/>
      <c r="H194" s="21"/>
      <c r="I194" s="21"/>
      <c r="J194" s="14"/>
      <c r="K194" s="19"/>
      <c r="L194" s="40"/>
      <c r="M194" s="40"/>
      <c r="N194" s="40"/>
      <c r="O194" s="40"/>
      <c r="P194" s="40"/>
      <c r="Q194" s="47"/>
      <c r="R194" s="19"/>
      <c r="S194" s="34"/>
      <c r="T194" s="37" t="str">
        <f ca="1">IF(Y214=0,"",IF(COUNTIF(Y207:Y213,MAX(Y207:Y213))=1,"",IF(COUNTIF(Y207:Y213,MAX(Y207:Y213))&gt;COUNTIF(X207:X213,"&lt;&gt;""")/2,"",INDEX(OFFSET(X207,MATCH(T193,X207:X213,0),0):X213,MATCH(MAX(Y207:Y213),OFFSET(Y207,MATCH(T193,X207:X213,0),0):Y213,0),1))))</f>
        <v/>
      </c>
      <c r="U194" s="33"/>
      <c r="V194" s="37"/>
      <c r="W194" s="14"/>
      <c r="X194" s="14"/>
      <c r="Y194" s="14"/>
      <c r="Z194" s="14"/>
      <c r="AA194" s="19"/>
      <c r="AB194" s="19"/>
      <c r="AC194" s="19"/>
      <c r="AD194" s="65"/>
      <c r="AE194" s="63"/>
      <c r="AF194" s="352"/>
      <c r="AG194" s="19"/>
      <c r="AH194" s="57"/>
      <c r="AI194" s="121" t="str">
        <f ca="1">IF(AN214=0,"",IF(COUNTIF(AN207:AN213,MAX(AN207:AN213))=1,"",IF(COUNTIF(AN207:AN213,MAX(AN207:AN213))&gt;COUNTIF(AM207:AM213,"&lt;&gt;""")/2,"",INDEX(OFFSET(AM207,MATCH(AI193,AM207:AM213,0),0):AM213,MATCH(MAX(AN207:AN213),OFFSET(AN207,MATCH(AI193,AM207:AM213,0),0):AN213,0),1))))</f>
        <v/>
      </c>
      <c r="AJ194" s="58"/>
      <c r="AK194" s="121"/>
      <c r="AL194" s="14"/>
      <c r="AM194" s="14"/>
      <c r="AN194" s="14"/>
      <c r="AO194" s="14"/>
      <c r="AP194" s="19"/>
      <c r="AQ194" s="19"/>
      <c r="AR194" s="19"/>
      <c r="AS194" s="65"/>
      <c r="AT194" s="63"/>
      <c r="AU194" s="352"/>
      <c r="AV194" s="14"/>
      <c r="AW194" s="57"/>
      <c r="AX194" s="121" t="str">
        <f ca="1">IF(BC214=0,"",IF(COUNTIF(BC207:BC213,MAX(BC207:BC213))=1,"",IF(COUNTIF(BC207:BC213,MAX(BC207:BC213))&gt;COUNTIF(BB207:BB213,"&lt;&gt;""")/2,"",INDEX(OFFSET(BB207,MATCH(AX193,BB207:BB213,0),0):BB213,MATCH(MAX(BC207:BC213),OFFSET(BC207,MATCH(AX193,BB207:BB213,0),0):BC213,0),1))))</f>
        <v/>
      </c>
      <c r="AY194" s="58"/>
      <c r="AZ194" s="121"/>
      <c r="BA194" s="14"/>
      <c r="BB194" s="14"/>
      <c r="BC194" s="14"/>
      <c r="BD194" s="14"/>
      <c r="BE194" s="19"/>
      <c r="BF194" s="19"/>
      <c r="BG194" s="19"/>
      <c r="BH194" s="65"/>
      <c r="BI194" s="63"/>
      <c r="BJ194" s="352"/>
      <c r="BK194" s="19"/>
      <c r="BL194" s="57"/>
      <c r="BM194" s="121" t="str">
        <f ca="1">IF(BR214=0,"",IF(COUNTIF(BR207:BR213,MAX(BR207:BR213))=1,"",IF(COUNTIF(BR207:BR213,MAX(BR207:BR213))&gt;COUNTIF(BQ207:BQ213,"&lt;&gt;""")/2,"",INDEX(OFFSET(BQ207,MATCH(BM193,BQ207:BQ213,0),0):BQ213,MATCH(MAX(BR207:BR213),OFFSET(BR207,MATCH(BM193,BQ207:BQ213,0),0):BR213,0),1))))</f>
        <v/>
      </c>
      <c r="BN194" s="58"/>
      <c r="BO194" s="121"/>
      <c r="BP194" s="14"/>
      <c r="BQ194" s="14"/>
      <c r="BR194" s="14"/>
      <c r="BS194" s="14"/>
      <c r="BT194" s="19"/>
      <c r="BU194" s="19"/>
      <c r="BV194" s="19"/>
      <c r="BW194" s="65"/>
      <c r="BX194" s="63"/>
      <c r="BY194" s="352"/>
      <c r="BZ194" s="14"/>
      <c r="CA194" s="14"/>
      <c r="CB194" s="21"/>
      <c r="CC194" s="21"/>
      <c r="CD194" s="180"/>
      <c r="CE194" s="180"/>
      <c r="CF194" s="21"/>
      <c r="CG194" s="14"/>
      <c r="CH194" s="14"/>
      <c r="CI194" s="14"/>
      <c r="CJ194" s="14"/>
      <c r="CK194" s="14"/>
      <c r="CL194" s="14"/>
      <c r="CM194" s="14"/>
      <c r="CN194" s="14"/>
      <c r="CO194" s="129"/>
      <c r="CP194" s="29"/>
      <c r="CQ194" s="47"/>
      <c r="CR194" s="14"/>
      <c r="CS194" s="14"/>
      <c r="CT194" s="14"/>
      <c r="CU194" s="14"/>
      <c r="CV194" s="180"/>
      <c r="CW194" s="189"/>
      <c r="CX194" s="189"/>
      <c r="CY194" s="14"/>
      <c r="CZ194" s="14"/>
      <c r="DA194" s="14"/>
      <c r="DB194" s="14"/>
      <c r="DC194" s="14"/>
      <c r="DD194" s="14"/>
      <c r="DE194" s="14"/>
      <c r="DF194" s="14"/>
      <c r="DG194" s="129"/>
      <c r="DH194" s="29"/>
      <c r="DI194" s="47"/>
      <c r="DJ194" s="29"/>
      <c r="DK194" s="34"/>
      <c r="DL194" s="37" t="str">
        <f ca="1">IF(DQ212=0,"",IF(COUNTIF(DQ207:DQ211,MAX(DQ207:DQ211))=1,"",IF(COUNTIF(DQ207:DQ211,MAX(DQ207:DQ211))&gt;COUNTIF(DP207:DP211,"&lt;&gt;""")/2,"",INDEX(OFFSET(DP207,MATCH(DL193,DP207:DP212,0),0):DP211,MATCH(MAX(DQ207:DQ211),OFFSET(DQ207,MATCH(DL193,DP207:DP212,0),0):DQ211,0),1))))</f>
        <v/>
      </c>
      <c r="DM194" s="33"/>
      <c r="DN194" s="37"/>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row>
    <row r="195" spans="1:142" x14ac:dyDescent="0.25">
      <c r="A195" s="14"/>
      <c r="B195" s="57"/>
      <c r="C195" s="121" t="str">
        <f ca="1" xml:space="preserve"> IF(H212=0,"", IF(COUNTIF(H207:H211,MAX(H207:H211))&lt;=2,"",IF(COUNTIF(H207:H211,MAX(H207:H211))&gt;COUNTIF(G207:G211,"&lt;&gt;""")/2,"", INDEX(OFFSET(G207,MATCH(C194,G207:G212,0),0):G211,         MATCH(MAX(H207:H211),        OFFSET(H207,MATCH(C194,G207:G212,0),0):H211,0),1))))</f>
        <v/>
      </c>
      <c r="D195" s="58"/>
      <c r="E195" s="121"/>
      <c r="F195" s="14"/>
      <c r="G195" s="14"/>
      <c r="H195" s="21"/>
      <c r="I195" s="21"/>
      <c r="J195" s="14"/>
      <c r="K195" s="19"/>
      <c r="L195" s="40"/>
      <c r="M195" s="40"/>
      <c r="N195" s="40"/>
      <c r="O195" s="40"/>
      <c r="P195" s="40"/>
      <c r="Q195" s="47"/>
      <c r="R195" s="19"/>
      <c r="S195" s="34"/>
      <c r="T195" s="121" t="str">
        <f ca="1" xml:space="preserve"> IF(Y214=0,"",IF(Y214=0,"", IF(COUNTIF(Y207:Y213,MAX(Y207:Y213))&lt;=2,"",IF(COUNTIF(Y207:Y213,MAX(Y207:Y213))&gt;COUNTIF(X207:X213,"&lt;&gt;""")/2,"", INDEX(OFFSET(X207,MATCH(T194,X207:X213,0),0):X213,         MATCH(MAX(Y207:Y213),        OFFSET(Y207,MATCH(T194,X207:X213,0),0):Y213,0),1)))))</f>
        <v/>
      </c>
      <c r="U195" s="33"/>
      <c r="V195" s="37"/>
      <c r="W195" s="14"/>
      <c r="X195" s="14"/>
      <c r="Y195" s="14"/>
      <c r="Z195" s="14"/>
      <c r="AA195" s="19"/>
      <c r="AB195" s="19"/>
      <c r="AC195" s="19"/>
      <c r="AD195" s="65"/>
      <c r="AE195" s="63"/>
      <c r="AF195" s="352"/>
      <c r="AG195" s="19"/>
      <c r="AH195" s="57"/>
      <c r="AI195" s="121" t="str">
        <f ca="1" xml:space="preserve"> IF(AN214=0,"",IF(AN214=0,"", IF(COUNTIF(AN207:AN213,MAX(AN207:AN213))&lt;=2,"",IF(COUNTIF(AN207:AN213,MAX(AN207:AN213))&gt;COUNTIF(AM207:AM213,"&lt;&gt;""")/2,"", INDEX(OFFSET(AM207,MATCH(AI194,AM207:AM213,0),0):AM213,         MATCH(MAX(AN207:AN213),        OFFSET(AN207,MATCH(AI194,AM207:AM213,0),0):AN213,0),1)))))</f>
        <v/>
      </c>
      <c r="AJ195" s="58"/>
      <c r="AK195" s="121"/>
      <c r="AL195" s="14"/>
      <c r="AM195" s="14"/>
      <c r="AN195" s="14"/>
      <c r="AO195" s="14"/>
      <c r="AP195" s="19"/>
      <c r="AQ195" s="19"/>
      <c r="AR195" s="19"/>
      <c r="AS195" s="65"/>
      <c r="AT195" s="63"/>
      <c r="AU195" s="352"/>
      <c r="AV195" s="14"/>
      <c r="AW195" s="57"/>
      <c r="AX195" s="121" t="str">
        <f ca="1" xml:space="preserve"> IF(BC214=0,"",IF(BC214=0,"", IF(COUNTIF(BC207:BC213,MAX(BC207:BC213))&lt;=2,"",IF(COUNTIF(BC207:BC213,MAX(BC207:BC213))&gt;COUNTIF(BB207:BB213,"&lt;&gt;""")/2,"", INDEX(OFFSET(BB207,MATCH(AX194,BB207:BB213,0),0):BB213,         MATCH(MAX(BC207:BC213),        OFFSET(BC207,MATCH(AX194,BB207:BB213,0),0):BC213,0),1)))))</f>
        <v/>
      </c>
      <c r="AY195" s="58"/>
      <c r="AZ195" s="121"/>
      <c r="BA195" s="14"/>
      <c r="BB195" s="14"/>
      <c r="BC195" s="14"/>
      <c r="BD195" s="14"/>
      <c r="BE195" s="19"/>
      <c r="BF195" s="19"/>
      <c r="BG195" s="19"/>
      <c r="BH195" s="65"/>
      <c r="BI195" s="63"/>
      <c r="BJ195" s="352"/>
      <c r="BK195" s="19"/>
      <c r="BL195" s="57"/>
      <c r="BM195" s="121" t="str">
        <f ca="1" xml:space="preserve"> IF(BR214=0,"",IF(BR214=0,"", IF(COUNTIF(BR207:BR213,MAX(BR207:BR213))&lt;=2,"",IF(COUNTIF(BR207:BR213,MAX(BR207:BR213))&gt;COUNTIF(BQ207:BQ213,"&lt;&gt;""")/2,"", INDEX(OFFSET(BQ207,MATCH(BM194,BQ207:BQ213,0),0):BQ213,         MATCH(MAX(BR207:BR213),        OFFSET(BR207,MATCH(BM194,BQ207:BQ213,0),0):BR213,0),1)))))</f>
        <v/>
      </c>
      <c r="BN195" s="58"/>
      <c r="BO195" s="121"/>
      <c r="BP195" s="14"/>
      <c r="BQ195" s="14"/>
      <c r="BR195" s="14"/>
      <c r="BS195" s="14"/>
      <c r="BT195" s="19"/>
      <c r="BU195" s="19"/>
      <c r="BV195" s="19"/>
      <c r="BW195" s="65"/>
      <c r="BX195" s="63"/>
      <c r="BY195" s="352"/>
      <c r="BZ195" s="14"/>
      <c r="CA195" s="14"/>
      <c r="CB195" s="21"/>
      <c r="CC195" s="21"/>
      <c r="CD195" s="180"/>
      <c r="CE195" s="180"/>
      <c r="CF195" s="21"/>
      <c r="CG195" s="14"/>
      <c r="CH195" s="14"/>
      <c r="CI195" s="14"/>
      <c r="CJ195" s="14"/>
      <c r="CK195" s="14"/>
      <c r="CL195" s="14"/>
      <c r="CM195" s="14"/>
      <c r="CN195" s="14"/>
      <c r="CO195" s="129"/>
      <c r="CP195" s="29"/>
      <c r="CQ195" s="47"/>
      <c r="CR195" s="14"/>
      <c r="CS195" s="14"/>
      <c r="CT195" s="14"/>
      <c r="CU195" s="14"/>
      <c r="CV195" s="180"/>
      <c r="CW195" s="189"/>
      <c r="CX195" s="189"/>
      <c r="CY195" s="14"/>
      <c r="CZ195" s="14"/>
      <c r="DA195" s="14"/>
      <c r="DB195" s="14"/>
      <c r="DC195" s="14"/>
      <c r="DD195" s="14"/>
      <c r="DE195" s="14"/>
      <c r="DF195" s="14"/>
      <c r="DG195" s="129"/>
      <c r="DH195" s="29"/>
      <c r="DI195" s="47"/>
      <c r="DJ195" s="29"/>
      <c r="DK195" s="34"/>
      <c r="DL195" s="37" t="str">
        <f ca="1">IF(DQ212=0,"",IF(COUNTIF(DQ207:DQ211,MAX(DQ207:DQ211))&lt;=2,"",IF(COUNTIF(DQ207:DQ211,MAX(DQ207:DQ211))&gt;COUNTIF(DP207:DP211,"&lt;&gt;""")/2,"",INDEX(OFFSET(DP207,MATCH(DL194,DP207:DP212,0),0):DP211,MATCH(MAX(DQ207:DQ211),OFFSET(DQ207,MATCH(DL194,DP207:DP212,0),0):DQ211,0),1))))</f>
        <v/>
      </c>
      <c r="DM195" s="33"/>
      <c r="DN195" s="37"/>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row>
    <row r="196" spans="1:142" x14ac:dyDescent="0.25">
      <c r="A196" s="14"/>
      <c r="B196" s="14"/>
      <c r="C196" s="14"/>
      <c r="D196" s="27"/>
      <c r="E196" s="14"/>
      <c r="F196" s="14"/>
      <c r="G196" s="14"/>
      <c r="H196" s="27"/>
      <c r="I196" s="21"/>
      <c r="J196" s="14"/>
      <c r="K196" s="19"/>
      <c r="L196" s="40"/>
      <c r="M196" s="40"/>
      <c r="N196" s="40"/>
      <c r="O196" s="40"/>
      <c r="P196" s="40"/>
      <c r="Q196" s="47"/>
      <c r="R196" s="19"/>
      <c r="S196" s="19"/>
      <c r="T196" s="62"/>
      <c r="U196" s="27"/>
      <c r="V196" s="14"/>
      <c r="W196" s="14"/>
      <c r="X196" s="14"/>
      <c r="Y196" s="14"/>
      <c r="Z196" s="14"/>
      <c r="AA196" s="19"/>
      <c r="AB196" s="19"/>
      <c r="AC196" s="19"/>
      <c r="AD196" s="65"/>
      <c r="AE196" s="63"/>
      <c r="AF196" s="352"/>
      <c r="AG196" s="19"/>
      <c r="AH196" s="19"/>
      <c r="AI196" s="62"/>
      <c r="AJ196" s="27"/>
      <c r="AK196" s="14"/>
      <c r="AL196" s="14"/>
      <c r="AM196" s="14"/>
      <c r="AN196" s="14"/>
      <c r="AO196" s="14"/>
      <c r="AP196" s="19"/>
      <c r="AQ196" s="19"/>
      <c r="AR196" s="19"/>
      <c r="AS196" s="65"/>
      <c r="AT196" s="63"/>
      <c r="AU196" s="352"/>
      <c r="AV196" s="14"/>
      <c r="AW196" s="19"/>
      <c r="AX196" s="62"/>
      <c r="AY196" s="27"/>
      <c r="AZ196" s="14"/>
      <c r="BA196" s="14"/>
      <c r="BB196" s="14"/>
      <c r="BC196" s="14"/>
      <c r="BD196" s="14"/>
      <c r="BE196" s="19"/>
      <c r="BF196" s="19"/>
      <c r="BG196" s="19"/>
      <c r="BH196" s="65"/>
      <c r="BI196" s="63"/>
      <c r="BJ196" s="352"/>
      <c r="BK196" s="19"/>
      <c r="BL196" s="19"/>
      <c r="BM196" s="62"/>
      <c r="BN196" s="27"/>
      <c r="BO196" s="14"/>
      <c r="BP196" s="14"/>
      <c r="BQ196" s="14"/>
      <c r="BR196" s="14"/>
      <c r="BS196" s="14"/>
      <c r="BT196" s="19"/>
      <c r="BU196" s="19"/>
      <c r="BV196" s="19"/>
      <c r="BW196" s="65"/>
      <c r="BX196" s="63"/>
      <c r="BY196" s="352"/>
      <c r="BZ196" s="14"/>
      <c r="CA196" s="14"/>
      <c r="CB196" s="21"/>
      <c r="CC196" s="21"/>
      <c r="CD196" s="180"/>
      <c r="CE196" s="180"/>
      <c r="CF196" s="21"/>
      <c r="CG196" s="14"/>
      <c r="CH196" s="14"/>
      <c r="CI196" s="14"/>
      <c r="CJ196" s="14"/>
      <c r="CK196" s="14"/>
      <c r="CL196" s="14"/>
      <c r="CM196" s="14"/>
      <c r="CN196" s="14"/>
      <c r="CO196" s="129"/>
      <c r="CP196" s="29"/>
      <c r="CQ196" s="47"/>
      <c r="CR196" s="14"/>
      <c r="CS196" s="14"/>
      <c r="CT196" s="14"/>
      <c r="CU196" s="14"/>
      <c r="CV196" s="180"/>
      <c r="CW196" s="189"/>
      <c r="CX196" s="189"/>
      <c r="CY196" s="14"/>
      <c r="CZ196" s="14"/>
      <c r="DA196" s="14"/>
      <c r="DB196" s="14"/>
      <c r="DC196" s="14"/>
      <c r="DD196" s="14"/>
      <c r="DE196" s="14"/>
      <c r="DF196" s="14"/>
      <c r="DG196" s="129"/>
      <c r="DH196" s="29"/>
      <c r="DI196" s="47"/>
      <c r="DJ196" s="29"/>
      <c r="DK196" s="14"/>
      <c r="DL196" s="14"/>
      <c r="DM196" s="27"/>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row>
    <row r="197" spans="1:142" x14ac:dyDescent="0.25">
      <c r="A197" s="14"/>
      <c r="B197" s="14"/>
      <c r="C197" s="14"/>
      <c r="D197" s="27"/>
      <c r="E197" s="14"/>
      <c r="F197" s="14"/>
      <c r="G197" s="14"/>
      <c r="H197" s="21"/>
      <c r="I197" s="21"/>
      <c r="J197" s="14"/>
      <c r="K197" s="19"/>
      <c r="L197" s="40"/>
      <c r="M197" s="40"/>
      <c r="N197" s="40"/>
      <c r="O197" s="40"/>
      <c r="P197" s="40"/>
      <c r="Q197" s="47"/>
      <c r="R197" s="19"/>
      <c r="S197" s="19"/>
      <c r="T197" s="14"/>
      <c r="U197" s="27"/>
      <c r="V197" s="14"/>
      <c r="W197" s="14"/>
      <c r="X197" s="14"/>
      <c r="Y197" s="14"/>
      <c r="Z197" s="14"/>
      <c r="AA197" s="19"/>
      <c r="AB197" s="19"/>
      <c r="AC197" s="19"/>
      <c r="AD197" s="65"/>
      <c r="AE197" s="63"/>
      <c r="AF197" s="352"/>
      <c r="AG197" s="19"/>
      <c r="AH197" s="19"/>
      <c r="AI197" s="14"/>
      <c r="AJ197" s="27"/>
      <c r="AK197" s="14"/>
      <c r="AL197" s="14"/>
      <c r="AM197" s="14"/>
      <c r="AN197" s="14"/>
      <c r="AO197" s="14"/>
      <c r="AP197" s="19"/>
      <c r="AQ197" s="19"/>
      <c r="AR197" s="19"/>
      <c r="AS197" s="65"/>
      <c r="AT197" s="63"/>
      <c r="AU197" s="352"/>
      <c r="AV197" s="14"/>
      <c r="AW197" s="19"/>
      <c r="AX197" s="14"/>
      <c r="AY197" s="27"/>
      <c r="AZ197" s="14"/>
      <c r="BA197" s="14"/>
      <c r="BB197" s="14"/>
      <c r="BC197" s="14"/>
      <c r="BD197" s="14"/>
      <c r="BE197" s="19"/>
      <c r="BF197" s="19"/>
      <c r="BG197" s="19"/>
      <c r="BH197" s="65"/>
      <c r="BI197" s="63"/>
      <c r="BJ197" s="352"/>
      <c r="BK197" s="19"/>
      <c r="BL197" s="19"/>
      <c r="BM197" s="14"/>
      <c r="BN197" s="27"/>
      <c r="BO197" s="14"/>
      <c r="BP197" s="14"/>
      <c r="BQ197" s="14"/>
      <c r="BR197" s="14"/>
      <c r="BS197" s="14"/>
      <c r="BT197" s="19"/>
      <c r="BU197" s="19"/>
      <c r="BV197" s="19"/>
      <c r="BW197" s="65"/>
      <c r="BX197" s="63"/>
      <c r="BY197" s="352"/>
      <c r="BZ197" s="14"/>
      <c r="CA197" s="14"/>
      <c r="CB197" s="21"/>
      <c r="CC197" s="21"/>
      <c r="CD197" s="180"/>
      <c r="CE197" s="180"/>
      <c r="CF197" s="21"/>
      <c r="CG197" s="14"/>
      <c r="CH197" s="14"/>
      <c r="CI197" s="14"/>
      <c r="CJ197" s="14"/>
      <c r="CK197" s="14"/>
      <c r="CL197" s="14"/>
      <c r="CM197" s="14"/>
      <c r="CN197" s="14"/>
      <c r="CO197" s="129"/>
      <c r="CP197" s="29"/>
      <c r="CQ197" s="47"/>
      <c r="CR197" s="14"/>
      <c r="CS197" s="14"/>
      <c r="CT197" s="14"/>
      <c r="CU197" s="14"/>
      <c r="CV197" s="180"/>
      <c r="CW197" s="189"/>
      <c r="CX197" s="189"/>
      <c r="CY197" s="14"/>
      <c r="CZ197" s="14"/>
      <c r="DA197" s="14"/>
      <c r="DB197" s="14"/>
      <c r="DC197" s="14"/>
      <c r="DD197" s="14"/>
      <c r="DE197" s="14"/>
      <c r="DF197" s="14"/>
      <c r="DG197" s="129"/>
      <c r="DH197" s="29"/>
      <c r="DI197" s="47"/>
      <c r="DJ197" s="29"/>
      <c r="DK197" s="14"/>
      <c r="DL197" s="14"/>
      <c r="DM197" s="27"/>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row>
    <row r="198" spans="1:142" ht="27.6" x14ac:dyDescent="0.25">
      <c r="A198" s="14"/>
      <c r="B198" s="14"/>
      <c r="C198" s="14"/>
      <c r="D198" s="27"/>
      <c r="E198" s="14"/>
      <c r="F198" s="14"/>
      <c r="G198" s="14"/>
      <c r="H198" s="21"/>
      <c r="I198" s="21"/>
      <c r="J198" s="14"/>
      <c r="K198" s="19"/>
      <c r="L198" s="40"/>
      <c r="M198" s="40"/>
      <c r="N198" s="40"/>
      <c r="O198" s="40"/>
      <c r="P198" s="40"/>
      <c r="Q198" s="47"/>
      <c r="R198" s="19"/>
      <c r="S198" s="19"/>
      <c r="T198" s="14"/>
      <c r="U198" s="27"/>
      <c r="V198" s="14"/>
      <c r="W198" s="14"/>
      <c r="X198" s="14"/>
      <c r="Y198" s="14"/>
      <c r="Z198" s="14"/>
      <c r="AA198" s="19"/>
      <c r="AB198" s="19"/>
      <c r="AC198" s="19"/>
      <c r="AD198" s="65"/>
      <c r="AE198" s="63"/>
      <c r="AF198" s="352"/>
      <c r="AG198" s="19"/>
      <c r="AH198" s="19"/>
      <c r="AI198" s="14"/>
      <c r="AJ198" s="27"/>
      <c r="AK198" s="14"/>
      <c r="AL198" s="14"/>
      <c r="AM198" s="14"/>
      <c r="AN198" s="14"/>
      <c r="AO198" s="14"/>
      <c r="AP198" s="19"/>
      <c r="AQ198" s="19"/>
      <c r="AR198" s="19"/>
      <c r="AS198" s="65"/>
      <c r="AT198" s="63"/>
      <c r="AU198" s="352"/>
      <c r="AV198" s="14"/>
      <c r="AW198" s="19"/>
      <c r="AX198" s="14"/>
      <c r="AY198" s="27"/>
      <c r="AZ198" s="14"/>
      <c r="BA198" s="14"/>
      <c r="BB198" s="14"/>
      <c r="BC198" s="14"/>
      <c r="BD198" s="14"/>
      <c r="BE198" s="19"/>
      <c r="BF198" s="19"/>
      <c r="BG198" s="19"/>
      <c r="BH198" s="65"/>
      <c r="BI198" s="63"/>
      <c r="BJ198" s="352"/>
      <c r="BK198" s="19"/>
      <c r="BL198" s="19"/>
      <c r="BM198" s="14"/>
      <c r="BN198" s="27"/>
      <c r="BO198" s="14"/>
      <c r="BP198" s="14"/>
      <c r="BQ198" s="14"/>
      <c r="BR198" s="14"/>
      <c r="BS198" s="14"/>
      <c r="BT198" s="19"/>
      <c r="BU198" s="19"/>
      <c r="BV198" s="19"/>
      <c r="BW198" s="65"/>
      <c r="BX198" s="63"/>
      <c r="BY198" s="352"/>
      <c r="BZ198" s="14"/>
      <c r="CA198" s="109" t="s">
        <v>14</v>
      </c>
      <c r="CB198" s="110" t="s">
        <v>164</v>
      </c>
      <c r="CC198" s="110" t="s">
        <v>149</v>
      </c>
      <c r="CD198" s="184" t="s">
        <v>150</v>
      </c>
      <c r="CE198" s="184" t="s">
        <v>151</v>
      </c>
      <c r="CF198" s="110" t="s">
        <v>152</v>
      </c>
      <c r="CG198" s="14"/>
      <c r="CH198" s="109"/>
      <c r="CI198" s="110" t="s">
        <v>5</v>
      </c>
      <c r="CJ198" s="110" t="s">
        <v>4</v>
      </c>
      <c r="CK198" s="110" t="s">
        <v>33</v>
      </c>
      <c r="CL198" s="110" t="s">
        <v>29</v>
      </c>
      <c r="CM198" s="110" t="s">
        <v>3</v>
      </c>
      <c r="CN198" s="110" t="s">
        <v>54</v>
      </c>
      <c r="CO198" s="328" t="s">
        <v>160</v>
      </c>
      <c r="CP198" s="29"/>
      <c r="CQ198" s="47"/>
      <c r="CR198" s="14"/>
      <c r="CS198" s="109" t="s">
        <v>14</v>
      </c>
      <c r="CT198" s="110" t="s">
        <v>164</v>
      </c>
      <c r="CU198" s="110" t="s">
        <v>149</v>
      </c>
      <c r="CV198" s="184" t="s">
        <v>150</v>
      </c>
      <c r="CW198" s="184" t="s">
        <v>151</v>
      </c>
      <c r="CX198" s="194" t="s">
        <v>152</v>
      </c>
      <c r="CY198" s="14"/>
      <c r="CZ198" s="109" t="s">
        <v>14</v>
      </c>
      <c r="DA198" s="110" t="s">
        <v>5</v>
      </c>
      <c r="DB198" s="110" t="s">
        <v>4</v>
      </c>
      <c r="DC198" s="110" t="s">
        <v>33</v>
      </c>
      <c r="DD198" s="110" t="s">
        <v>29</v>
      </c>
      <c r="DE198" s="110" t="s">
        <v>3</v>
      </c>
      <c r="DF198" s="110" t="s">
        <v>54</v>
      </c>
      <c r="DG198" s="328" t="s">
        <v>160</v>
      </c>
      <c r="DH198" s="29"/>
      <c r="DI198" s="47"/>
      <c r="DJ198" s="29"/>
      <c r="DK198" s="14"/>
      <c r="DL198" s="14"/>
      <c r="DM198" s="27"/>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row>
    <row r="199" spans="1:142" x14ac:dyDescent="0.25">
      <c r="A199" s="14"/>
      <c r="B199" s="14"/>
      <c r="C199" s="14"/>
      <c r="D199" s="21"/>
      <c r="E199" s="14"/>
      <c r="F199" s="14"/>
      <c r="G199" s="14"/>
      <c r="H199" s="21"/>
      <c r="I199" s="21"/>
      <c r="J199" s="14"/>
      <c r="K199" s="19"/>
      <c r="L199" s="14"/>
      <c r="M199" s="14"/>
      <c r="N199" s="14"/>
      <c r="O199" s="14"/>
      <c r="P199" s="14"/>
      <c r="Q199" s="47"/>
      <c r="R199" s="19"/>
      <c r="S199" s="14"/>
      <c r="T199" s="14"/>
      <c r="U199" s="21"/>
      <c r="V199" s="14"/>
      <c r="W199" s="14"/>
      <c r="X199" s="14"/>
      <c r="Y199" s="14"/>
      <c r="Z199" s="14"/>
      <c r="AA199" s="19"/>
      <c r="AB199" s="19"/>
      <c r="AC199" s="19"/>
      <c r="AD199" s="65"/>
      <c r="AE199" s="63"/>
      <c r="AF199" s="352"/>
      <c r="AG199" s="19"/>
      <c r="AH199" s="14"/>
      <c r="AI199" s="14"/>
      <c r="AJ199" s="21"/>
      <c r="AK199" s="14"/>
      <c r="AL199" s="14"/>
      <c r="AM199" s="14"/>
      <c r="AN199" s="14"/>
      <c r="AO199" s="14"/>
      <c r="AP199" s="19"/>
      <c r="AQ199" s="19"/>
      <c r="AR199" s="19"/>
      <c r="AS199" s="65"/>
      <c r="AT199" s="63"/>
      <c r="AU199" s="352"/>
      <c r="AV199" s="14"/>
      <c r="AW199" s="14"/>
      <c r="AX199" s="14"/>
      <c r="AY199" s="21"/>
      <c r="AZ199" s="14"/>
      <c r="BA199" s="14"/>
      <c r="BB199" s="14"/>
      <c r="BC199" s="14"/>
      <c r="BD199" s="14"/>
      <c r="BE199" s="19"/>
      <c r="BF199" s="19"/>
      <c r="BG199" s="19"/>
      <c r="BH199" s="65"/>
      <c r="BI199" s="63"/>
      <c r="BJ199" s="352"/>
      <c r="BK199" s="19"/>
      <c r="BL199" s="14"/>
      <c r="BM199" s="14"/>
      <c r="BN199" s="21"/>
      <c r="BO199" s="14"/>
      <c r="BP199" s="14"/>
      <c r="BQ199" s="14"/>
      <c r="BR199" s="14"/>
      <c r="BS199" s="14"/>
      <c r="BT199" s="19"/>
      <c r="BU199" s="19"/>
      <c r="BV199" s="19"/>
      <c r="BW199" s="65"/>
      <c r="BX199" s="63"/>
      <c r="BY199" s="352"/>
      <c r="BZ199" s="14"/>
      <c r="CA199" s="140" t="s">
        <v>701</v>
      </c>
      <c r="CB199" s="27">
        <f>COUNTIFS(S30_stakeholder_category,"NGO",Response_Q177_1,"&lt;&gt;0",Response_Q173_1,"&lt;&gt;0")</f>
        <v>4</v>
      </c>
      <c r="CC199" s="37">
        <f>COUNTIFS(S30_stakeholder_category,"NGO",Response_Q177_1,1,Response_Q173_1,"&lt;&gt;""0")</f>
        <v>4</v>
      </c>
      <c r="CD199" s="37">
        <f>COUNTIFS(S30_stakeholder_category,"NGO",Response_Q177_1,2,Response_Q173_1,"&lt;&gt;""0")</f>
        <v>0</v>
      </c>
      <c r="CE199" s="37">
        <f>COUNTIFS(S30_stakeholder_category,"NGO",Response_Q177_1,3,Response_Q173_1,"&lt;&gt;""0")</f>
        <v>0</v>
      </c>
      <c r="CF199" s="97">
        <f>IF(CB193=0,0,SUMPRODUCT(CC199:CE199,Rank_score)/$CB193)</f>
        <v>3</v>
      </c>
      <c r="CG199" s="14"/>
      <c r="CH199" s="140" t="s">
        <v>701</v>
      </c>
      <c r="CI199" s="27">
        <f t="shared" ref="CI199:CN199" si="139">COUNTIFS(S30_stakeholder_category,"NGO",Response_Q177_1,"&lt;&gt;0",Response_Q177_2,CI$63,Response_Q173_1,"&lt;&gt;0")</f>
        <v>0</v>
      </c>
      <c r="CJ199" s="27">
        <f t="shared" si="139"/>
        <v>0</v>
      </c>
      <c r="CK199" s="27">
        <f t="shared" si="139"/>
        <v>0</v>
      </c>
      <c r="CL199" s="27">
        <f t="shared" si="139"/>
        <v>0</v>
      </c>
      <c r="CM199" s="27">
        <f t="shared" si="139"/>
        <v>3</v>
      </c>
      <c r="CN199" s="27">
        <f t="shared" si="139"/>
        <v>0</v>
      </c>
      <c r="CO199" s="141">
        <f t="shared" ref="CO199:CO205" si="140">IF(ISBLANK(CH199),"",IF(CF199=0,not_ranked,IF(SUM(CI199:CN199)=0,not_estimated,IFERROR(SUMPRODUCT(CI199:CN199,Likekihood_score)/SUM(CI199:CN199),0))))</f>
        <v>5</v>
      </c>
      <c r="CP199" s="29"/>
      <c r="CQ199" s="47"/>
      <c r="CR199" s="14"/>
      <c r="CS199" s="140" t="s">
        <v>373</v>
      </c>
      <c r="CT199" s="27">
        <f>COUNTIFS(S30_stakeholder_category,"NGO",Response_Q178_1,"&lt;&gt;0",Response_Q173_1,"&lt;&gt;0")</f>
        <v>4</v>
      </c>
      <c r="CU199" s="37">
        <f>COUNTIFS(S30_stakeholder_category,"NGO",Response_Q178_1,1,Response_Q173_1,"&lt;&gt;0")</f>
        <v>4</v>
      </c>
      <c r="CV199" s="37">
        <f>COUNTIFS(S30_stakeholder_category,"NGO",Response_Q178_1,2,Response_Q173_1,"&lt;&gt;0")</f>
        <v>0</v>
      </c>
      <c r="CW199" s="37">
        <f>COUNTIFS(S30_stakeholder_category,"NGO",Response_Q178_1,3,Response_Q173_1,"&lt;&gt;0")</f>
        <v>0</v>
      </c>
      <c r="CX199" s="37">
        <f>IF(CT193=0,0,SUMPRODUCT(CU199:CW199,Rank_score)/CT$58)</f>
        <v>6</v>
      </c>
      <c r="CY199" s="14"/>
      <c r="CZ199" s="140" t="s">
        <v>373</v>
      </c>
      <c r="DA199" s="27">
        <f t="shared" ref="DA199:DF199" si="141">COUNTIFS(S30_stakeholder_category,"NGO",Response_Q178_1,"&lt;&gt;0",Response_Q178_2,DA$63,Response_Q173_1,"&lt;&gt;0")</f>
        <v>0</v>
      </c>
      <c r="DB199" s="27">
        <f t="shared" si="141"/>
        <v>0</v>
      </c>
      <c r="DC199" s="27">
        <f t="shared" si="141"/>
        <v>0</v>
      </c>
      <c r="DD199" s="27">
        <f t="shared" si="141"/>
        <v>0</v>
      </c>
      <c r="DE199" s="27">
        <f t="shared" si="141"/>
        <v>1</v>
      </c>
      <c r="DF199" s="27">
        <f t="shared" si="141"/>
        <v>0</v>
      </c>
      <c r="DG199" s="141">
        <f t="shared" ref="DG199:DG206" si="142">IF(ISBLANK(CZ199),"",IF(CX199=0,not_ranked,IF(SUM(DA199:DF199)=0,not_estimated,IFERROR(SUMPRODUCT(DA199:DF199,Likekihood_score)/SUM(DA199:DF199),0))))</f>
        <v>5</v>
      </c>
      <c r="DH199" s="29"/>
      <c r="DI199" s="47"/>
      <c r="DJ199" s="29"/>
      <c r="DK199" s="14"/>
      <c r="DL199" s="14"/>
      <c r="DM199" s="14"/>
      <c r="DN199" s="14"/>
      <c r="DO199" s="14"/>
      <c r="DP199" s="14"/>
      <c r="DQ199" s="14"/>
      <c r="DR199" s="13"/>
      <c r="DS199" s="13"/>
      <c r="DT199" s="14"/>
      <c r="DU199" s="14"/>
      <c r="DV199" s="14"/>
      <c r="DW199" s="14"/>
      <c r="DX199" s="14"/>
      <c r="DY199" s="14"/>
      <c r="DZ199" s="14"/>
      <c r="EA199" s="14"/>
      <c r="EB199" s="14"/>
      <c r="EC199" s="14"/>
      <c r="ED199" s="14"/>
      <c r="EE199" s="14"/>
      <c r="EF199" s="14"/>
      <c r="EG199" s="14"/>
      <c r="EH199" s="14"/>
      <c r="EI199" s="14"/>
      <c r="EJ199" s="14"/>
      <c r="EK199" s="14"/>
      <c r="EL199" s="14"/>
    </row>
    <row r="200" spans="1:142" ht="14.4" x14ac:dyDescent="0.25">
      <c r="A200" s="14"/>
      <c r="B200" s="60"/>
      <c r="C200" s="19"/>
      <c r="D200" s="59"/>
      <c r="E200" s="14"/>
      <c r="F200" s="14"/>
      <c r="G200" s="14"/>
      <c r="H200" s="21"/>
      <c r="I200" s="21"/>
      <c r="J200" s="14"/>
      <c r="K200" s="14"/>
      <c r="L200" s="14"/>
      <c r="M200" s="14"/>
      <c r="N200" s="14"/>
      <c r="O200" s="14"/>
      <c r="P200" s="14"/>
      <c r="Q200" s="47"/>
      <c r="R200" s="19"/>
      <c r="S200" s="60"/>
      <c r="T200" s="19"/>
      <c r="U200" s="59"/>
      <c r="V200" s="14"/>
      <c r="W200" s="14"/>
      <c r="X200" s="14"/>
      <c r="Y200" s="14"/>
      <c r="Z200" s="14"/>
      <c r="AA200" s="19"/>
      <c r="AB200" s="19"/>
      <c r="AC200" s="19"/>
      <c r="AD200" s="65"/>
      <c r="AE200" s="63"/>
      <c r="AF200" s="352"/>
      <c r="AG200" s="19"/>
      <c r="AH200" s="60"/>
      <c r="AI200" s="19"/>
      <c r="AJ200" s="59"/>
      <c r="AK200" s="14"/>
      <c r="AL200" s="14"/>
      <c r="AM200" s="14"/>
      <c r="AN200" s="14"/>
      <c r="AO200" s="14"/>
      <c r="AP200" s="19"/>
      <c r="AQ200" s="19"/>
      <c r="AR200" s="19"/>
      <c r="AS200" s="65"/>
      <c r="AT200" s="63"/>
      <c r="AU200" s="352"/>
      <c r="AV200" s="14"/>
      <c r="AW200" s="60"/>
      <c r="AX200" s="19"/>
      <c r="AY200" s="59"/>
      <c r="AZ200" s="14"/>
      <c r="BA200" s="14"/>
      <c r="BB200" s="14"/>
      <c r="BC200" s="14"/>
      <c r="BD200" s="14"/>
      <c r="BE200" s="19"/>
      <c r="BF200" s="19"/>
      <c r="BG200" s="19"/>
      <c r="BH200" s="65"/>
      <c r="BI200" s="63"/>
      <c r="BJ200" s="352"/>
      <c r="BK200" s="19"/>
      <c r="BL200" s="60"/>
      <c r="BM200" s="19"/>
      <c r="BN200" s="59"/>
      <c r="BO200" s="14"/>
      <c r="BP200" s="14"/>
      <c r="BQ200" s="14"/>
      <c r="BR200" s="14"/>
      <c r="BS200" s="14"/>
      <c r="BT200" s="19"/>
      <c r="BU200" s="19"/>
      <c r="BV200" s="19"/>
      <c r="BW200" s="65"/>
      <c r="BX200" s="63"/>
      <c r="BY200" s="352"/>
      <c r="BZ200" s="14"/>
      <c r="CA200" s="140" t="s">
        <v>344</v>
      </c>
      <c r="CB200" s="27">
        <f>COUNTIFS(S30_stakeholder_category,"NGO",Response_Q177_3,"&lt;&gt;0",Response_Q173_1,"&lt;&gt;0")</f>
        <v>0</v>
      </c>
      <c r="CC200" s="37">
        <f>COUNTIFS(S30_stakeholder_category,"NGO",Response_Q177_3,1,Response_Q173_1,"&lt;&gt;0")</f>
        <v>0</v>
      </c>
      <c r="CD200" s="37">
        <f>COUNTIFS(S30_stakeholder_category,"NGO",Response_Q177_3,2,Response_Q173_1,"&lt;&gt;0")</f>
        <v>0</v>
      </c>
      <c r="CE200" s="37">
        <f>COUNTIFS(S30_stakeholder_category,"NGO",Response_Q177_3,3,Response_Q173_1,"&lt;&gt;0")</f>
        <v>0</v>
      </c>
      <c r="CF200" s="97">
        <f>IF(CB193=0,0,SUMPRODUCT(CC200:CE200,Rank_score)/$CB193)</f>
        <v>0</v>
      </c>
      <c r="CG200" s="14"/>
      <c r="CH200" s="140" t="s">
        <v>344</v>
      </c>
      <c r="CI200" s="27">
        <f t="shared" ref="CI200:CN200" si="143">COUNTIFS(S30_stakeholder_category,"NGO",Response_Q177_3,"&lt;&gt;0",Response_Q177_4,CI$63,Response_Q173_1,"&lt;&gt;0")</f>
        <v>0</v>
      </c>
      <c r="CJ200" s="27">
        <f t="shared" si="143"/>
        <v>0</v>
      </c>
      <c r="CK200" s="27">
        <f t="shared" si="143"/>
        <v>0</v>
      </c>
      <c r="CL200" s="27">
        <f t="shared" si="143"/>
        <v>0</v>
      </c>
      <c r="CM200" s="27">
        <f t="shared" si="143"/>
        <v>0</v>
      </c>
      <c r="CN200" s="27">
        <f t="shared" si="143"/>
        <v>0</v>
      </c>
      <c r="CO200" s="141" t="str">
        <f t="shared" si="140"/>
        <v>Factor not ranked</v>
      </c>
      <c r="CP200" s="14"/>
      <c r="CQ200" s="47"/>
      <c r="CR200" s="14"/>
      <c r="CS200" s="140" t="s">
        <v>338</v>
      </c>
      <c r="CT200" s="27">
        <f>COUNTIFS(S30_stakeholder_category,"NGO",Response_Q178_3,"&lt;&gt;0",Response_Q173_1,"&lt;&gt;0")</f>
        <v>4</v>
      </c>
      <c r="CU200" s="37">
        <f>COUNTIFS(S30_stakeholder_category,"NGO",Response_Q178_3,1,Response_Q173_1,"&lt;&gt;0")</f>
        <v>0</v>
      </c>
      <c r="CV200" s="37">
        <f>COUNTIFS(S30_stakeholder_category,"NGO",Response_Q178_3,2,Response_Q173_1,"&lt;&gt;0")</f>
        <v>0</v>
      </c>
      <c r="CW200" s="37">
        <f>COUNTIFS(S30_stakeholder_category,"NGO",Response_Q178_3,3,Response_Q173_1,"&lt;&gt;0")</f>
        <v>4</v>
      </c>
      <c r="CX200" s="37">
        <f>IF(CT193=0,0,SUMPRODUCT(CU200:CW200,Rank_score)/CT$58)</f>
        <v>2</v>
      </c>
      <c r="CY200" s="14"/>
      <c r="CZ200" s="140" t="s">
        <v>338</v>
      </c>
      <c r="DA200" s="27">
        <f t="shared" ref="DA200:DF200" si="144">COUNTIFS(S30_stakeholder_category,"NGO",Response_Q178_3,"&lt;&gt;0",Response_Q178_4,DA$63,Response_Q173_1,"&lt;&gt;0")</f>
        <v>0</v>
      </c>
      <c r="DB200" s="27">
        <f t="shared" si="144"/>
        <v>0</v>
      </c>
      <c r="DC200" s="27">
        <f t="shared" si="144"/>
        <v>0</v>
      </c>
      <c r="DD200" s="27">
        <f t="shared" si="144"/>
        <v>0</v>
      </c>
      <c r="DE200" s="27">
        <f t="shared" si="144"/>
        <v>1</v>
      </c>
      <c r="DF200" s="27">
        <f t="shared" si="144"/>
        <v>0</v>
      </c>
      <c r="DG200" s="141">
        <f t="shared" si="142"/>
        <v>5</v>
      </c>
      <c r="DH200" s="14"/>
      <c r="DI200" s="47"/>
      <c r="DJ200" s="14"/>
      <c r="DK200" s="19"/>
      <c r="DL200" s="19"/>
      <c r="DM200" s="59"/>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row>
    <row r="201" spans="1:142" ht="14.4" x14ac:dyDescent="0.25">
      <c r="A201" s="14"/>
      <c r="B201" s="62"/>
      <c r="C201" s="19"/>
      <c r="D201" s="59"/>
      <c r="E201" s="14"/>
      <c r="F201" s="14"/>
      <c r="G201" s="14"/>
      <c r="H201" s="21"/>
      <c r="I201" s="21"/>
      <c r="J201" s="14"/>
      <c r="K201" s="14"/>
      <c r="L201" s="14"/>
      <c r="M201" s="14"/>
      <c r="N201" s="14"/>
      <c r="O201" s="14"/>
      <c r="P201" s="14"/>
      <c r="Q201" s="47"/>
      <c r="R201" s="19"/>
      <c r="S201" s="61"/>
      <c r="T201" s="19"/>
      <c r="U201" s="59"/>
      <c r="V201" s="14"/>
      <c r="W201" s="14"/>
      <c r="X201" s="14"/>
      <c r="Y201" s="14"/>
      <c r="Z201" s="13"/>
      <c r="AA201" s="30"/>
      <c r="AB201" s="30"/>
      <c r="AC201" s="30"/>
      <c r="AD201" s="65"/>
      <c r="AE201" s="63"/>
      <c r="AF201" s="352"/>
      <c r="AG201" s="19"/>
      <c r="AH201" s="61"/>
      <c r="AI201" s="19"/>
      <c r="AJ201" s="59"/>
      <c r="AK201" s="14"/>
      <c r="AL201" s="14"/>
      <c r="AM201" s="14"/>
      <c r="AN201" s="14"/>
      <c r="AO201" s="13"/>
      <c r="AP201" s="30"/>
      <c r="AQ201" s="30"/>
      <c r="AR201" s="30"/>
      <c r="AS201" s="65"/>
      <c r="AT201" s="63"/>
      <c r="AU201" s="352"/>
      <c r="AV201" s="14"/>
      <c r="AW201" s="61"/>
      <c r="AX201" s="19"/>
      <c r="AY201" s="59"/>
      <c r="AZ201" s="14"/>
      <c r="BA201" s="14"/>
      <c r="BB201" s="14"/>
      <c r="BC201" s="14"/>
      <c r="BD201" s="13"/>
      <c r="BE201" s="30"/>
      <c r="BF201" s="30"/>
      <c r="BG201" s="30"/>
      <c r="BH201" s="65"/>
      <c r="BI201" s="63"/>
      <c r="BJ201" s="352"/>
      <c r="BK201" s="19"/>
      <c r="BL201" s="61"/>
      <c r="BM201" s="19"/>
      <c r="BN201" s="59"/>
      <c r="BO201" s="14"/>
      <c r="BP201" s="14"/>
      <c r="BQ201" s="14"/>
      <c r="BR201" s="14"/>
      <c r="BS201" s="13"/>
      <c r="BT201" s="30"/>
      <c r="BU201" s="30"/>
      <c r="BV201" s="30"/>
      <c r="BW201" s="65"/>
      <c r="BX201" s="63"/>
      <c r="BY201" s="352"/>
      <c r="BZ201" s="14"/>
      <c r="CA201" s="140" t="s">
        <v>146</v>
      </c>
      <c r="CB201" s="27">
        <f>COUNTIFS(S30_stakeholder_category,"NGO",Response_Q177_5,"&lt;&gt;0",Response_Q173_1,"&lt;&gt;0")</f>
        <v>4</v>
      </c>
      <c r="CC201" s="37">
        <f>COUNTIFS(S30_stakeholder_category,"NGO",Response_Q177_5,1,Response_Q173_1,"&lt;&gt;0")</f>
        <v>0</v>
      </c>
      <c r="CD201" s="37">
        <f>COUNTIFS(S30_stakeholder_category,"NGO",Response_Q177_5,2,Response_Q173_1,"&lt;&gt;0")</f>
        <v>0</v>
      </c>
      <c r="CE201" s="37">
        <f>COUNTIFS(S30_stakeholder_category,"NGO",Response_Q177_5,3,Response_Q173_1,"&lt;&gt;0")</f>
        <v>4</v>
      </c>
      <c r="CF201" s="97">
        <f>IF(CB193=0,0,SUMPRODUCT(CC201:CE201,Rank_score)/$CB193)</f>
        <v>1</v>
      </c>
      <c r="CG201" s="14"/>
      <c r="CH201" s="140" t="s">
        <v>146</v>
      </c>
      <c r="CI201" s="27">
        <f t="shared" ref="CI201:CN201" si="145">COUNTIFS(S30_stakeholder_category,"NGO",Response_Q177_5,"&lt;&gt;0",Response_Q177_6,CI$63,Response_Q173_1,"&lt;&gt;0")</f>
        <v>0</v>
      </c>
      <c r="CJ201" s="27">
        <f t="shared" si="145"/>
        <v>0</v>
      </c>
      <c r="CK201" s="27">
        <f t="shared" si="145"/>
        <v>0</v>
      </c>
      <c r="CL201" s="27">
        <f t="shared" si="145"/>
        <v>0</v>
      </c>
      <c r="CM201" s="27">
        <f t="shared" si="145"/>
        <v>3</v>
      </c>
      <c r="CN201" s="27">
        <f t="shared" si="145"/>
        <v>0</v>
      </c>
      <c r="CO201" s="141">
        <f t="shared" si="140"/>
        <v>5</v>
      </c>
      <c r="CP201" s="14"/>
      <c r="CQ201" s="47"/>
      <c r="CR201" s="14"/>
      <c r="CS201" s="106" t="s">
        <v>339</v>
      </c>
      <c r="CT201" s="27">
        <f>COUNTIFS(S30_stakeholder_category,"NGO",Response_Q178_5,"&lt;&gt;0",Response_Q173_1,"&lt;&gt;0")</f>
        <v>0</v>
      </c>
      <c r="CU201" s="37">
        <f>COUNTIFS(S30_stakeholder_category,"NGO",Response_Q178_5,1,Response_Q173_1,"&lt;&gt;0")</f>
        <v>0</v>
      </c>
      <c r="CV201" s="37">
        <f>COUNTIFS(S30_stakeholder_category,"NGO",Response_Q178_5,2,Response_Q173_1,"&lt;&gt;0")</f>
        <v>0</v>
      </c>
      <c r="CW201" s="37">
        <f>COUNTIFS(S30_stakeholder_category,"NGO",Response_Q178_5,3,Response_Q173_1,"&lt;&gt;0")</f>
        <v>0</v>
      </c>
      <c r="CX201" s="37">
        <f>IF(CT193=0,0,SUMPRODUCT(CU201:CW201,Rank_score)/CT$58)</f>
        <v>0</v>
      </c>
      <c r="CY201" s="14"/>
      <c r="CZ201" s="106" t="s">
        <v>339</v>
      </c>
      <c r="DA201" s="27">
        <f t="shared" ref="DA201:DF201" si="146">COUNTIFS(S30_stakeholder_category,"NGO",Response_Q178_5,"&lt;&gt;0",Response_Q178_6,DA$63,Response_Q173_1,"&lt;&gt;0")</f>
        <v>0</v>
      </c>
      <c r="DB201" s="27">
        <f t="shared" si="146"/>
        <v>0</v>
      </c>
      <c r="DC201" s="27">
        <f t="shared" si="146"/>
        <v>0</v>
      </c>
      <c r="DD201" s="27">
        <f t="shared" si="146"/>
        <v>0</v>
      </c>
      <c r="DE201" s="27">
        <f t="shared" si="146"/>
        <v>0</v>
      </c>
      <c r="DF201" s="27">
        <f t="shared" si="146"/>
        <v>0</v>
      </c>
      <c r="DG201" s="141" t="str">
        <f t="shared" si="142"/>
        <v>Factor not ranked</v>
      </c>
      <c r="DH201" s="14"/>
      <c r="DI201" s="47"/>
      <c r="DJ201" s="14"/>
      <c r="DK201" s="19"/>
      <c r="DL201" s="19"/>
      <c r="DM201" s="59"/>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row>
    <row r="202" spans="1:142" x14ac:dyDescent="0.25">
      <c r="A202" s="14"/>
      <c r="B202" s="62"/>
      <c r="C202" s="19"/>
      <c r="D202" s="59"/>
      <c r="E202" s="14"/>
      <c r="F202" s="14"/>
      <c r="G202" s="14"/>
      <c r="H202" s="21"/>
      <c r="I202" s="21"/>
      <c r="J202" s="14"/>
      <c r="K202" s="14"/>
      <c r="L202" s="14"/>
      <c r="M202" s="14"/>
      <c r="N202" s="14"/>
      <c r="O202" s="14"/>
      <c r="P202" s="14"/>
      <c r="Q202" s="47"/>
      <c r="R202" s="19"/>
      <c r="S202" s="62"/>
      <c r="T202" s="19"/>
      <c r="U202" s="59"/>
      <c r="V202" s="14"/>
      <c r="W202" s="14"/>
      <c r="X202" s="14"/>
      <c r="Y202" s="14"/>
      <c r="Z202" s="14"/>
      <c r="AA202" s="14"/>
      <c r="AB202" s="14"/>
      <c r="AC202" s="14"/>
      <c r="AD202" s="65"/>
      <c r="AE202" s="63"/>
      <c r="AF202" s="352"/>
      <c r="AG202" s="19"/>
      <c r="AH202" s="62"/>
      <c r="AI202" s="19"/>
      <c r="AJ202" s="59"/>
      <c r="AK202" s="14"/>
      <c r="AL202" s="14"/>
      <c r="AM202" s="14"/>
      <c r="AN202" s="14"/>
      <c r="AO202" s="14"/>
      <c r="AP202" s="14"/>
      <c r="AQ202" s="14"/>
      <c r="AR202" s="14"/>
      <c r="AS202" s="65"/>
      <c r="AT202" s="63"/>
      <c r="AU202" s="352"/>
      <c r="AV202" s="14"/>
      <c r="AW202" s="62"/>
      <c r="AX202" s="19"/>
      <c r="AY202" s="59"/>
      <c r="AZ202" s="14"/>
      <c r="BA202" s="14"/>
      <c r="BB202" s="14"/>
      <c r="BC202" s="14"/>
      <c r="BD202" s="14"/>
      <c r="BE202" s="14"/>
      <c r="BF202" s="14"/>
      <c r="BG202" s="14"/>
      <c r="BH202" s="65"/>
      <c r="BI202" s="63"/>
      <c r="BJ202" s="352"/>
      <c r="BK202" s="19"/>
      <c r="BL202" s="62"/>
      <c r="BM202" s="19"/>
      <c r="BN202" s="59"/>
      <c r="BO202" s="14"/>
      <c r="BP202" s="14"/>
      <c r="BQ202" s="14"/>
      <c r="BR202" s="14"/>
      <c r="BS202" s="14"/>
      <c r="BT202" s="14"/>
      <c r="BU202" s="14"/>
      <c r="BV202" s="14"/>
      <c r="BW202" s="65"/>
      <c r="BX202" s="63"/>
      <c r="BY202" s="352"/>
      <c r="BZ202" s="14"/>
      <c r="CA202" s="140" t="s">
        <v>147</v>
      </c>
      <c r="CB202" s="27">
        <f>COUNTIFS(S30_stakeholder_category,"NGO",Response_Q177_7,"&lt;&gt;0",Response_Q173_1,"&lt;&gt;0")</f>
        <v>4</v>
      </c>
      <c r="CC202" s="37">
        <f>COUNTIFS(S30_stakeholder_category,"NGO",Response_Q177_7,1,Response_Q173_1,"&lt;&gt;0")</f>
        <v>0</v>
      </c>
      <c r="CD202" s="37">
        <f>COUNTIFS(S30_stakeholder_category,"NGO",Response_Q177_7,2,Response_Q173_1,"&lt;&gt;0")</f>
        <v>4</v>
      </c>
      <c r="CE202" s="37">
        <f>COUNTIFS(S30_stakeholder_category,"NGO",Response_Q177_7,3,Response_Q173_1,"&lt;&gt;0")</f>
        <v>0</v>
      </c>
      <c r="CF202" s="97">
        <f>IF(CB193=0,0,SUMPRODUCT(CC202:CE202,Rank_score)/$CB193)</f>
        <v>2</v>
      </c>
      <c r="CG202" s="14"/>
      <c r="CH202" s="140" t="s">
        <v>147</v>
      </c>
      <c r="CI202" s="27">
        <f t="shared" ref="CI202:CN202" si="147">COUNTIFS(S30_stakeholder_category,"NGO",Response_Q177_7,"&lt;&gt;0",Response_Q177_8,CI$63,Response_Q173_1,"&lt;&gt;0")</f>
        <v>0</v>
      </c>
      <c r="CJ202" s="27">
        <f t="shared" si="147"/>
        <v>0</v>
      </c>
      <c r="CK202" s="27">
        <f t="shared" si="147"/>
        <v>0</v>
      </c>
      <c r="CL202" s="27">
        <f t="shared" si="147"/>
        <v>0</v>
      </c>
      <c r="CM202" s="27">
        <f t="shared" si="147"/>
        <v>3</v>
      </c>
      <c r="CN202" s="27">
        <f t="shared" si="147"/>
        <v>0</v>
      </c>
      <c r="CO202" s="141">
        <f t="shared" si="140"/>
        <v>5</v>
      </c>
      <c r="CP202" s="14"/>
      <c r="CQ202" s="47"/>
      <c r="CR202" s="14"/>
      <c r="CS202" s="106" t="s">
        <v>345</v>
      </c>
      <c r="CT202" s="27">
        <f>COUNTIFS(S30_stakeholder_category,"NGO",Response_Q178_7,"&lt;&gt;0",Response_Q173_1,"&lt;&gt;0")</f>
        <v>0</v>
      </c>
      <c r="CU202" s="37">
        <f>COUNTIFS(S30_stakeholder_category,"NGO",Response_Q178_7,1,Response_Q173_1,"&lt;&gt;0")</f>
        <v>0</v>
      </c>
      <c r="CV202" s="37">
        <f>COUNTIFS(S30_stakeholder_category,"NGO",Response_Q178_7,2,Response_Q173_1,"&lt;&gt;0")</f>
        <v>0</v>
      </c>
      <c r="CW202" s="37">
        <f>COUNTIFS(S30_stakeholder_category,"NGO",Response_Q178_7,3,Response_Q173_1,"&lt;&gt;0")</f>
        <v>0</v>
      </c>
      <c r="CX202" s="37">
        <f>IF(CT193=0,0,SUMPRODUCT(CU202:CW202,Rank_score)/CT$58)</f>
        <v>0</v>
      </c>
      <c r="CY202" s="14"/>
      <c r="CZ202" s="106" t="s">
        <v>345</v>
      </c>
      <c r="DA202" s="27">
        <f t="shared" ref="DA202:DF202" si="148">COUNTIFS(S30_stakeholder_category,"NGO",Response_Q178_7,"&lt;&gt;0",Response_Q178_8,DA$63,Response_Q173_1,"&lt;&gt;0")</f>
        <v>0</v>
      </c>
      <c r="DB202" s="27">
        <f t="shared" si="148"/>
        <v>0</v>
      </c>
      <c r="DC202" s="27">
        <f t="shared" si="148"/>
        <v>0</v>
      </c>
      <c r="DD202" s="27">
        <f t="shared" si="148"/>
        <v>0</v>
      </c>
      <c r="DE202" s="27">
        <f t="shared" si="148"/>
        <v>0</v>
      </c>
      <c r="DF202" s="27">
        <f t="shared" si="148"/>
        <v>0</v>
      </c>
      <c r="DG202" s="141" t="str">
        <f t="shared" si="142"/>
        <v>Factor not ranked</v>
      </c>
      <c r="DH202" s="14"/>
      <c r="DI202" s="47"/>
      <c r="DJ202" s="14"/>
      <c r="DK202" s="56"/>
      <c r="DL202" s="29"/>
      <c r="DM202" s="59"/>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row>
    <row r="203" spans="1:142" x14ac:dyDescent="0.25">
      <c r="A203" s="14"/>
      <c r="B203" s="62"/>
      <c r="C203" s="19"/>
      <c r="D203" s="59"/>
      <c r="E203" s="14"/>
      <c r="F203" s="14"/>
      <c r="G203" s="14"/>
      <c r="H203" s="21"/>
      <c r="I203" s="21"/>
      <c r="J203" s="14"/>
      <c r="K203" s="14"/>
      <c r="L203" s="14"/>
      <c r="M203" s="14"/>
      <c r="N203" s="14"/>
      <c r="O203" s="14"/>
      <c r="P203" s="14"/>
      <c r="Q203" s="47"/>
      <c r="R203" s="19"/>
      <c r="S203" s="62"/>
      <c r="T203" s="19"/>
      <c r="U203" s="59"/>
      <c r="V203" s="14"/>
      <c r="W203" s="14"/>
      <c r="X203" s="14"/>
      <c r="Y203" s="14"/>
      <c r="Z203" s="14"/>
      <c r="AA203" s="14"/>
      <c r="AB203" s="14"/>
      <c r="AC203" s="14"/>
      <c r="AD203" s="65"/>
      <c r="AE203" s="63"/>
      <c r="AF203" s="352"/>
      <c r="AG203" s="19"/>
      <c r="AH203" s="62"/>
      <c r="AI203" s="19"/>
      <c r="AJ203" s="59"/>
      <c r="AK203" s="14"/>
      <c r="AL203" s="14"/>
      <c r="AM203" s="14"/>
      <c r="AN203" s="14"/>
      <c r="AO203" s="14"/>
      <c r="AP203" s="14"/>
      <c r="AQ203" s="14"/>
      <c r="AR203" s="14"/>
      <c r="AS203" s="65"/>
      <c r="AT203" s="63"/>
      <c r="AU203" s="352"/>
      <c r="AV203" s="14"/>
      <c r="AW203" s="62"/>
      <c r="AX203" s="19"/>
      <c r="AY203" s="59"/>
      <c r="AZ203" s="14"/>
      <c r="BA203" s="14"/>
      <c r="BB203" s="14"/>
      <c r="BC203" s="14"/>
      <c r="BD203" s="14"/>
      <c r="BE203" s="14"/>
      <c r="BF203" s="14"/>
      <c r="BG203" s="14"/>
      <c r="BH203" s="65"/>
      <c r="BI203" s="63"/>
      <c r="BJ203" s="352"/>
      <c r="BK203" s="19"/>
      <c r="BL203" s="62"/>
      <c r="BM203" s="19"/>
      <c r="BN203" s="59"/>
      <c r="BO203" s="14"/>
      <c r="BP203" s="14"/>
      <c r="BQ203" s="14"/>
      <c r="BR203" s="14"/>
      <c r="BS203" s="14"/>
      <c r="BT203" s="14"/>
      <c r="BU203" s="14"/>
      <c r="BV203" s="14"/>
      <c r="BW203" s="65"/>
      <c r="BX203" s="63"/>
      <c r="BY203" s="352"/>
      <c r="BZ203" s="14"/>
      <c r="CA203" s="140" t="s">
        <v>341</v>
      </c>
      <c r="CB203" s="27">
        <f>COUNTIFS(S30_stakeholder_category,"NGO",Response_Q177_9,"&lt;&gt;0",Response_Q173_1,"&lt;&gt;0")</f>
        <v>0</v>
      </c>
      <c r="CC203" s="37">
        <f>COUNTIFS(S30_stakeholder_category,"NGO",Response_Q177_9,1,Response_Q173_1,"&lt;&gt;0")</f>
        <v>0</v>
      </c>
      <c r="CD203" s="37">
        <f>COUNTIFS(S30_stakeholder_category,"NGO",Response_Q177_9,2,Response_Q173_1,"&lt;&gt;0")</f>
        <v>0</v>
      </c>
      <c r="CE203" s="37">
        <f>COUNTIFS(S30_stakeholder_category,"NGO",Response_Q177_9,3,Response_Q173_1,"&lt;&gt;0")</f>
        <v>0</v>
      </c>
      <c r="CF203" s="97">
        <f>IF(CB193=0,0,SUMPRODUCT(CC203:CE203,Rank_score)/$CB193)</f>
        <v>0</v>
      </c>
      <c r="CG203" s="14"/>
      <c r="CH203" s="140" t="s">
        <v>341</v>
      </c>
      <c r="CI203" s="27">
        <f t="shared" ref="CI203:CN203" si="149">COUNTIFS(S30_stakeholder_category,"NGO",Response_Q177_9,"&lt;&gt;0",Response_Q177_10,CI$63,Response_Q173_1,"&lt;&gt;0")</f>
        <v>0</v>
      </c>
      <c r="CJ203" s="27">
        <f t="shared" si="149"/>
        <v>0</v>
      </c>
      <c r="CK203" s="27">
        <f t="shared" si="149"/>
        <v>0</v>
      </c>
      <c r="CL203" s="27">
        <f t="shared" si="149"/>
        <v>0</v>
      </c>
      <c r="CM203" s="27">
        <f t="shared" si="149"/>
        <v>0</v>
      </c>
      <c r="CN203" s="27">
        <f t="shared" si="149"/>
        <v>0</v>
      </c>
      <c r="CO203" s="141" t="str">
        <f t="shared" si="140"/>
        <v>Factor not ranked</v>
      </c>
      <c r="CP203" s="14"/>
      <c r="CQ203" s="47"/>
      <c r="CR203" s="14"/>
      <c r="CS203" s="106" t="s">
        <v>561</v>
      </c>
      <c r="CT203" s="27">
        <f>COUNTIFS(S30_stakeholder_category,"NGO",Response_Q178_9,"&lt;&gt;0",Response_Q173_1,"&lt;&gt;0")</f>
        <v>4</v>
      </c>
      <c r="CU203" s="37">
        <f>COUNTIFS(S30_stakeholder_category,"NGO",Response_Q178_9,1,Response_Q173_1,"&lt;&gt;0")</f>
        <v>0</v>
      </c>
      <c r="CV203" s="37">
        <f>COUNTIFS(S30_stakeholder_category,"NGO",Response_Q178_9,2,Response_Q173_1,"&lt;&gt;0")</f>
        <v>4</v>
      </c>
      <c r="CW203" s="37">
        <f>COUNTIFS(S30_stakeholder_category,"NGO",Response_Q178_9,3,Response_Q173_1,"&lt;&gt;0")</f>
        <v>0</v>
      </c>
      <c r="CX203" s="37">
        <f>IF(CT193=0,0,SUMPRODUCT(CU203:CW203,Rank_score)/CT$58)</f>
        <v>4</v>
      </c>
      <c r="CY203" s="14"/>
      <c r="CZ203" s="106" t="s">
        <v>561</v>
      </c>
      <c r="DA203" s="27">
        <f t="shared" ref="DA203:DF203" si="150">COUNTIFS(S30_stakeholder_category,"NGO",Response_Q178_9,"&lt;&gt;0",Response_Q178_10,DA$63,Response_Q173_1,"&lt;&gt;0")</f>
        <v>0</v>
      </c>
      <c r="DB203" s="27">
        <f t="shared" si="150"/>
        <v>0</v>
      </c>
      <c r="DC203" s="27">
        <f t="shared" si="150"/>
        <v>0</v>
      </c>
      <c r="DD203" s="27">
        <f t="shared" si="150"/>
        <v>0</v>
      </c>
      <c r="DE203" s="27">
        <f t="shared" si="150"/>
        <v>1</v>
      </c>
      <c r="DF203" s="27">
        <f t="shared" si="150"/>
        <v>0</v>
      </c>
      <c r="DG203" s="141">
        <f t="shared" si="142"/>
        <v>5</v>
      </c>
      <c r="DH203" s="14"/>
      <c r="DI203" s="47"/>
      <c r="DJ203" s="14"/>
      <c r="DK203" s="56"/>
      <c r="DL203" s="19"/>
      <c r="DM203" s="59"/>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row>
    <row r="204" spans="1:142" ht="15" x14ac:dyDescent="0.25">
      <c r="A204" s="14"/>
      <c r="B204" s="62"/>
      <c r="C204" s="19"/>
      <c r="D204" s="59"/>
      <c r="E204" s="14"/>
      <c r="F204" s="14"/>
      <c r="G204" s="14"/>
      <c r="H204" s="21"/>
      <c r="I204" s="21"/>
      <c r="J204" s="14"/>
      <c r="K204" s="14"/>
      <c r="L204" s="14"/>
      <c r="M204" s="14"/>
      <c r="N204" s="14"/>
      <c r="O204" s="14"/>
      <c r="P204" s="14"/>
      <c r="Q204" s="47"/>
      <c r="R204" s="19"/>
      <c r="S204" s="62"/>
      <c r="T204" s="19"/>
      <c r="U204" s="59"/>
      <c r="V204" s="14"/>
      <c r="W204" s="14"/>
      <c r="X204" s="14"/>
      <c r="Y204" s="14"/>
      <c r="Z204" s="14"/>
      <c r="AA204" s="14"/>
      <c r="AB204" s="95"/>
      <c r="AC204" s="14"/>
      <c r="AD204" s="65"/>
      <c r="AE204" s="63"/>
      <c r="AF204" s="352"/>
      <c r="AG204" s="19"/>
      <c r="AH204" s="62"/>
      <c r="AI204" s="19"/>
      <c r="AJ204" s="59"/>
      <c r="AK204" s="14"/>
      <c r="AL204" s="14"/>
      <c r="AM204" s="14"/>
      <c r="AN204" s="14"/>
      <c r="AO204" s="14"/>
      <c r="AP204" s="14"/>
      <c r="AQ204" s="95"/>
      <c r="AR204" s="14"/>
      <c r="AS204" s="65"/>
      <c r="AT204" s="63"/>
      <c r="AU204" s="352"/>
      <c r="AV204" s="14"/>
      <c r="AW204" s="62"/>
      <c r="AX204" s="19"/>
      <c r="AY204" s="59"/>
      <c r="AZ204" s="14"/>
      <c r="BA204" s="14"/>
      <c r="BB204" s="14"/>
      <c r="BC204" s="14"/>
      <c r="BD204" s="14"/>
      <c r="BE204" s="14"/>
      <c r="BF204" s="95"/>
      <c r="BG204" s="14"/>
      <c r="BH204" s="65"/>
      <c r="BI204" s="63"/>
      <c r="BJ204" s="352"/>
      <c r="BK204" s="19"/>
      <c r="BL204" s="62"/>
      <c r="BM204" s="19"/>
      <c r="BN204" s="59"/>
      <c r="BO204" s="14"/>
      <c r="BP204" s="14"/>
      <c r="BQ204" s="14"/>
      <c r="BR204" s="14"/>
      <c r="BS204" s="14"/>
      <c r="BT204" s="14"/>
      <c r="BU204" s="95"/>
      <c r="BV204" s="14"/>
      <c r="BW204" s="65"/>
      <c r="BX204" s="63"/>
      <c r="BY204" s="352"/>
      <c r="BZ204" s="14"/>
      <c r="CA204" s="106" t="s">
        <v>148</v>
      </c>
      <c r="CB204" s="27">
        <f>COUNTIFS(S30_stakeholder_category,"NGO",Response_Q177_11,"&lt;&gt;0",Response_Q173_1,"&lt;&gt;0")</f>
        <v>0</v>
      </c>
      <c r="CC204" s="37">
        <f>COUNTIFS(S30_stakeholder_category,"NGO",Response_Q177_11,1,Response_Q173_1,"&lt;&gt;0")</f>
        <v>0</v>
      </c>
      <c r="CD204" s="37">
        <f>COUNTIFS(S30_stakeholder_category,"NGO",Response_Q177_11,2,Response_Q173_1,"&lt;&gt;0")</f>
        <v>0</v>
      </c>
      <c r="CE204" s="37">
        <f>COUNTIFS(S30_stakeholder_category,"NGO",Response_Q177_11,3,Response_Q173_1,"&lt;&gt;0")</f>
        <v>0</v>
      </c>
      <c r="CF204" s="97">
        <f>IF(CB193=0,0,SUMPRODUCT(CC204:CE204,Rank_score)/$CB193)</f>
        <v>0</v>
      </c>
      <c r="CG204" s="43"/>
      <c r="CH204" s="106" t="s">
        <v>148</v>
      </c>
      <c r="CI204" s="27">
        <f t="shared" ref="CI204:CN204" si="151">COUNTIFS(S30_stakeholder_category,"NGO",Response_Q177_11,"&lt;&gt;0",Response_Q177_12,CI$63,Response_Q173_1,"&lt;&gt;0")</f>
        <v>0</v>
      </c>
      <c r="CJ204" s="27">
        <f t="shared" si="151"/>
        <v>0</v>
      </c>
      <c r="CK204" s="27">
        <f t="shared" si="151"/>
        <v>0</v>
      </c>
      <c r="CL204" s="27">
        <f t="shared" si="151"/>
        <v>0</v>
      </c>
      <c r="CM204" s="27">
        <f t="shared" si="151"/>
        <v>0</v>
      </c>
      <c r="CN204" s="27">
        <f t="shared" si="151"/>
        <v>0</v>
      </c>
      <c r="CO204" s="141" t="str">
        <f t="shared" si="140"/>
        <v>Factor not ranked</v>
      </c>
      <c r="CP204" s="14"/>
      <c r="CQ204" s="47"/>
      <c r="CR204" s="14"/>
      <c r="CS204" s="106" t="s">
        <v>49</v>
      </c>
      <c r="CT204" s="27">
        <f>COUNTIFS(S30_stakeholder_category,"NGO",Response_Q178_11,"&lt;&gt;0",Response_Q173_1,"&lt;&gt;0")</f>
        <v>0</v>
      </c>
      <c r="CU204" s="37">
        <f>COUNTIFS(S30_stakeholder_category,"NGO",Response_Q178_11,1,Response_Q173_1,"&lt;&gt;0")</f>
        <v>0</v>
      </c>
      <c r="CV204" s="37">
        <f>COUNTIFS(S30_stakeholder_category,"NGO",Response_Q178_11,2,Response_Q173_1,"&lt;&gt;0")</f>
        <v>0</v>
      </c>
      <c r="CW204" s="37">
        <f>COUNTIFS(S30_stakeholder_category,"NGO",Response_Q178_11,3,Response_Q173_1,"&lt;&gt;0")</f>
        <v>0</v>
      </c>
      <c r="CX204" s="37">
        <f>IF(CT193=0,0,SUMPRODUCT(CU204:CW204,Rank_score)/CT$58)</f>
        <v>0</v>
      </c>
      <c r="CY204" s="43"/>
      <c r="CZ204" s="106" t="s">
        <v>49</v>
      </c>
      <c r="DA204" s="27">
        <f t="shared" ref="DA204:DF204" si="152">COUNTIFS(S30_stakeholder_category,"NGO",Response_Q178_11,"&lt;&gt;0",Response_Q178_12,DA$63,Response_Q173_1,"&lt;&gt;0")</f>
        <v>0</v>
      </c>
      <c r="DB204" s="27">
        <f t="shared" si="152"/>
        <v>0</v>
      </c>
      <c r="DC204" s="27">
        <f t="shared" si="152"/>
        <v>0</v>
      </c>
      <c r="DD204" s="27">
        <f t="shared" si="152"/>
        <v>0</v>
      </c>
      <c r="DE204" s="27">
        <f t="shared" si="152"/>
        <v>0</v>
      </c>
      <c r="DF204" s="27">
        <f t="shared" si="152"/>
        <v>0</v>
      </c>
      <c r="DG204" s="141" t="str">
        <f t="shared" si="142"/>
        <v>Factor not ranked</v>
      </c>
      <c r="DH204" s="14"/>
      <c r="DI204" s="47"/>
      <c r="DJ204" s="14"/>
      <c r="DK204" s="14"/>
      <c r="DL204" s="19"/>
      <c r="DM204" s="59"/>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row>
    <row r="205" spans="1:142" x14ac:dyDescent="0.25">
      <c r="A205" s="14"/>
      <c r="B205" s="62"/>
      <c r="C205" s="19"/>
      <c r="D205" s="59"/>
      <c r="E205" s="14"/>
      <c r="F205" s="14"/>
      <c r="G205" s="14"/>
      <c r="H205" s="21"/>
      <c r="I205" s="21"/>
      <c r="J205" s="14"/>
      <c r="K205" s="14"/>
      <c r="L205" s="14"/>
      <c r="M205" s="14"/>
      <c r="N205" s="14"/>
      <c r="O205" s="14"/>
      <c r="P205" s="14"/>
      <c r="Q205" s="47"/>
      <c r="R205" s="19"/>
      <c r="S205" s="19"/>
      <c r="T205" s="19"/>
      <c r="U205" s="59"/>
      <c r="V205" s="14"/>
      <c r="W205" s="14"/>
      <c r="X205" s="14"/>
      <c r="Y205" s="14"/>
      <c r="Z205" s="14"/>
      <c r="AA205" s="14"/>
      <c r="AB205" s="14"/>
      <c r="AC205" s="14"/>
      <c r="AD205" s="65"/>
      <c r="AE205" s="63"/>
      <c r="AF205" s="352"/>
      <c r="AG205" s="19"/>
      <c r="AH205" s="19"/>
      <c r="AI205" s="19"/>
      <c r="AJ205" s="59"/>
      <c r="AK205" s="14"/>
      <c r="AL205" s="14"/>
      <c r="AM205" s="14"/>
      <c r="AN205" s="14"/>
      <c r="AO205" s="14"/>
      <c r="AP205" s="14"/>
      <c r="AQ205" s="14"/>
      <c r="AR205" s="14"/>
      <c r="AS205" s="65"/>
      <c r="AT205" s="63"/>
      <c r="AU205" s="352"/>
      <c r="AV205" s="14"/>
      <c r="AW205" s="19"/>
      <c r="AX205" s="19"/>
      <c r="AY205" s="59"/>
      <c r="AZ205" s="14"/>
      <c r="BA205" s="14"/>
      <c r="BB205" s="14"/>
      <c r="BC205" s="14"/>
      <c r="BD205" s="14"/>
      <c r="BE205" s="14"/>
      <c r="BF205" s="14"/>
      <c r="BG205" s="14"/>
      <c r="BH205" s="65"/>
      <c r="BI205" s="63"/>
      <c r="BJ205" s="352"/>
      <c r="BK205" s="19"/>
      <c r="BL205" s="19"/>
      <c r="BM205" s="19"/>
      <c r="BN205" s="59"/>
      <c r="BO205" s="14"/>
      <c r="BP205" s="14"/>
      <c r="BQ205" s="14"/>
      <c r="BR205" s="14"/>
      <c r="BS205" s="14"/>
      <c r="BT205" s="14"/>
      <c r="BU205" s="14"/>
      <c r="BV205" s="14"/>
      <c r="BW205" s="65"/>
      <c r="BX205" s="63"/>
      <c r="BY205" s="352"/>
      <c r="BZ205" s="14"/>
      <c r="CA205" s="107" t="s">
        <v>49</v>
      </c>
      <c r="CB205" s="27">
        <f>COUNTIFS(S30_stakeholder_category,"NGO",Response_Q177_13,"&lt;&gt;0",Response_Q173_1,"&lt;&gt;0")</f>
        <v>0</v>
      </c>
      <c r="CC205" s="37">
        <f>COUNTIFS(S30_stakeholder_category,"NGO",Response_Q177_13,1,Response_Q173_1,"&lt;&gt;0")</f>
        <v>0</v>
      </c>
      <c r="CD205" s="37">
        <f>COUNTIFS(S30_stakeholder_category,"NGO",Response_Q177_13,2,Response_Q173_1,"&lt;&gt;0")</f>
        <v>0</v>
      </c>
      <c r="CE205" s="37">
        <f>COUNTIFS(S30_stakeholder_category,"NGO",Response_Q177_13,3,Response_Q173_1,"&lt;&gt;0")</f>
        <v>0</v>
      </c>
      <c r="CF205" s="97">
        <f>IF(CB193=0,0,SUMPRODUCT(CC205:CE205,Rank_score)/$CB193)</f>
        <v>0</v>
      </c>
      <c r="CG205" s="29"/>
      <c r="CH205" s="107" t="s">
        <v>49</v>
      </c>
      <c r="CI205" s="27">
        <f t="shared" ref="CI205:CN205" si="153">COUNTIFS(S30_stakeholder_category,"NGO",Response_Q177_13,"&lt;&gt;0",Response_Q177_14,CI$63,Response_Q173_1,"&lt;&gt;0")</f>
        <v>0</v>
      </c>
      <c r="CJ205" s="27">
        <f t="shared" si="153"/>
        <v>0</v>
      </c>
      <c r="CK205" s="27">
        <f t="shared" si="153"/>
        <v>0</v>
      </c>
      <c r="CL205" s="27">
        <f t="shared" si="153"/>
        <v>0</v>
      </c>
      <c r="CM205" s="27">
        <f t="shared" si="153"/>
        <v>0</v>
      </c>
      <c r="CN205" s="27">
        <f t="shared" si="153"/>
        <v>0</v>
      </c>
      <c r="CO205" s="141" t="str">
        <f t="shared" si="140"/>
        <v>Factor not ranked</v>
      </c>
      <c r="CP205" s="14"/>
      <c r="CQ205" s="47"/>
      <c r="CR205" s="14"/>
      <c r="CS205" s="107"/>
      <c r="CT205" s="27"/>
      <c r="CU205" s="37"/>
      <c r="CV205" s="37"/>
      <c r="CW205" s="37"/>
      <c r="CX205" s="37"/>
      <c r="CY205" s="29"/>
      <c r="CZ205" s="106"/>
      <c r="DA205" s="27"/>
      <c r="DB205" s="27"/>
      <c r="DC205" s="27"/>
      <c r="DD205" s="27"/>
      <c r="DE205" s="27"/>
      <c r="DF205" s="27"/>
      <c r="DG205" s="141" t="str">
        <f t="shared" si="142"/>
        <v/>
      </c>
      <c r="DH205" s="14"/>
      <c r="DI205" s="47"/>
      <c r="DJ205" s="14"/>
      <c r="DK205" s="14"/>
      <c r="DL205" s="19"/>
      <c r="DM205" s="59"/>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row>
    <row r="206" spans="1:142" x14ac:dyDescent="0.25">
      <c r="A206" s="14"/>
      <c r="B206" s="19"/>
      <c r="C206" s="19"/>
      <c r="D206" s="59"/>
      <c r="E206" s="14"/>
      <c r="F206" s="14"/>
      <c r="G206" s="109" t="s">
        <v>14</v>
      </c>
      <c r="H206" s="110" t="s">
        <v>6</v>
      </c>
      <c r="I206" s="110" t="s">
        <v>7</v>
      </c>
      <c r="J206" s="14"/>
      <c r="K206" s="14"/>
      <c r="L206" s="14"/>
      <c r="M206" s="14"/>
      <c r="N206" s="14"/>
      <c r="O206" s="14"/>
      <c r="P206" s="14"/>
      <c r="Q206" s="47"/>
      <c r="R206" s="19"/>
      <c r="S206" s="19"/>
      <c r="T206" s="19"/>
      <c r="U206" s="59"/>
      <c r="V206" s="14"/>
      <c r="W206" s="14"/>
      <c r="X206" s="109" t="s">
        <v>14</v>
      </c>
      <c r="Y206" s="110" t="s">
        <v>6</v>
      </c>
      <c r="Z206" s="110" t="s">
        <v>7</v>
      </c>
      <c r="AA206" s="14"/>
      <c r="AB206" s="14"/>
      <c r="AC206" s="14"/>
      <c r="AD206" s="65"/>
      <c r="AE206" s="63"/>
      <c r="AF206" s="352"/>
      <c r="AG206" s="19"/>
      <c r="AH206" s="19"/>
      <c r="AI206" s="19"/>
      <c r="AJ206" s="59"/>
      <c r="AK206" s="14"/>
      <c r="AL206" s="14"/>
      <c r="AM206" s="109" t="s">
        <v>14</v>
      </c>
      <c r="AN206" s="110" t="s">
        <v>6</v>
      </c>
      <c r="AO206" s="110" t="s">
        <v>7</v>
      </c>
      <c r="AP206" s="14"/>
      <c r="AQ206" s="14"/>
      <c r="AR206" s="14"/>
      <c r="AS206" s="65"/>
      <c r="AT206" s="63"/>
      <c r="AU206" s="352"/>
      <c r="AV206" s="14"/>
      <c r="AW206" s="19"/>
      <c r="AX206" s="19"/>
      <c r="AY206" s="59"/>
      <c r="AZ206" s="14"/>
      <c r="BA206" s="14"/>
      <c r="BB206" s="109" t="s">
        <v>14</v>
      </c>
      <c r="BC206" s="110" t="s">
        <v>6</v>
      </c>
      <c r="BD206" s="110" t="s">
        <v>7</v>
      </c>
      <c r="BE206" s="14"/>
      <c r="BF206" s="14"/>
      <c r="BG206" s="14"/>
      <c r="BH206" s="65"/>
      <c r="BI206" s="63"/>
      <c r="BJ206" s="352"/>
      <c r="BK206" s="19"/>
      <c r="BL206" s="19"/>
      <c r="BM206" s="19"/>
      <c r="BN206" s="59"/>
      <c r="BO206" s="14"/>
      <c r="BP206" s="14"/>
      <c r="BQ206" s="109" t="s">
        <v>14</v>
      </c>
      <c r="BR206" s="110" t="s">
        <v>6</v>
      </c>
      <c r="BS206" s="110" t="s">
        <v>7</v>
      </c>
      <c r="BT206" s="14"/>
      <c r="BU206" s="14"/>
      <c r="BV206" s="14"/>
      <c r="BW206" s="65"/>
      <c r="BX206" s="63"/>
      <c r="BY206" s="352"/>
      <c r="BZ206" s="14"/>
      <c r="CA206" s="86"/>
      <c r="CB206" s="111"/>
      <c r="CC206" s="111"/>
      <c r="CD206" s="179"/>
      <c r="CE206" s="179"/>
      <c r="CF206" s="108"/>
      <c r="CG206" s="29"/>
      <c r="CH206" s="109"/>
      <c r="CI206" s="109"/>
      <c r="CJ206" s="109"/>
      <c r="CK206" s="109"/>
      <c r="CL206" s="109"/>
      <c r="CM206" s="109"/>
      <c r="CN206" s="109"/>
      <c r="CO206" s="329"/>
      <c r="CP206" s="14"/>
      <c r="CQ206" s="47"/>
      <c r="CR206" s="14"/>
      <c r="CS206" s="107"/>
      <c r="CT206" s="27"/>
      <c r="CU206" s="37"/>
      <c r="CV206" s="37"/>
      <c r="CW206" s="37"/>
      <c r="CX206" s="37"/>
      <c r="CY206" s="29"/>
      <c r="CZ206" s="106"/>
      <c r="DA206" s="27"/>
      <c r="DB206" s="27"/>
      <c r="DC206" s="27"/>
      <c r="DD206" s="27"/>
      <c r="DE206" s="27"/>
      <c r="DF206" s="27"/>
      <c r="DG206" s="141" t="str">
        <f t="shared" si="142"/>
        <v/>
      </c>
      <c r="DH206" s="14"/>
      <c r="DI206" s="47"/>
      <c r="DJ206" s="14"/>
      <c r="DK206" s="14"/>
      <c r="DL206" s="19"/>
      <c r="DM206" s="59"/>
      <c r="DN206" s="14"/>
      <c r="DO206" s="14"/>
      <c r="DP206" s="109" t="s">
        <v>14</v>
      </c>
      <c r="DQ206" s="110" t="s">
        <v>6</v>
      </c>
      <c r="DR206" s="110" t="s">
        <v>7</v>
      </c>
      <c r="DS206" s="14"/>
      <c r="DT206" s="14"/>
      <c r="DU206" s="14"/>
      <c r="DV206" s="14"/>
      <c r="DW206" s="14"/>
      <c r="DX206" s="14"/>
      <c r="DY206" s="14"/>
      <c r="DZ206" s="14"/>
      <c r="EA206" s="14"/>
      <c r="EB206" s="14"/>
      <c r="EC206" s="14"/>
      <c r="ED206" s="14"/>
      <c r="EE206" s="14"/>
      <c r="EF206" s="14"/>
      <c r="EG206" s="14"/>
      <c r="EH206" s="14"/>
      <c r="EI206" s="14"/>
      <c r="EJ206" s="14"/>
      <c r="EK206" s="14"/>
      <c r="EL206" s="14"/>
    </row>
    <row r="207" spans="1:142" x14ac:dyDescent="0.25">
      <c r="A207" s="14"/>
      <c r="B207" s="19"/>
      <c r="C207" s="19"/>
      <c r="D207" s="59"/>
      <c r="E207" s="14"/>
      <c r="F207" s="14"/>
      <c r="G207" s="107" t="s">
        <v>34</v>
      </c>
      <c r="H207" s="27">
        <f>COUNTIFS(S30_stakeholder_category,"NGO",Response_Q173_1,G207)</f>
        <v>0</v>
      </c>
      <c r="I207" s="41">
        <f>IFERROR(H207/H$212,"")</f>
        <v>0</v>
      </c>
      <c r="J207" s="14"/>
      <c r="K207" s="14"/>
      <c r="L207" s="14"/>
      <c r="M207" s="14"/>
      <c r="N207" s="14"/>
      <c r="O207" s="14"/>
      <c r="P207" s="14"/>
      <c r="Q207" s="47"/>
      <c r="R207" s="19"/>
      <c r="S207" s="56"/>
      <c r="T207" s="29"/>
      <c r="U207" s="59"/>
      <c r="V207" s="14"/>
      <c r="W207" s="14"/>
      <c r="X207" s="107" t="s">
        <v>5</v>
      </c>
      <c r="Y207" s="27">
        <f t="shared" ref="Y207:Y213" si="154">COUNTIFS(S30_stakeholder_category,"NGO",Response_Q176_1,X207)</f>
        <v>0</v>
      </c>
      <c r="Z207" s="41">
        <f t="shared" ref="Z207:Z214" si="155">IFERROR(Y207/Y$214,0)</f>
        <v>0</v>
      </c>
      <c r="AA207" s="14"/>
      <c r="AB207" s="14"/>
      <c r="AC207" s="14"/>
      <c r="AD207" s="65"/>
      <c r="AE207" s="63"/>
      <c r="AF207" s="352"/>
      <c r="AG207" s="19"/>
      <c r="AH207" s="56"/>
      <c r="AI207" s="29"/>
      <c r="AJ207" s="59"/>
      <c r="AK207" s="14"/>
      <c r="AL207" s="14"/>
      <c r="AM207" s="107" t="s">
        <v>5</v>
      </c>
      <c r="AN207" s="27">
        <f t="shared" ref="AN207:AN213" si="156">COUNTIFS(S30_stakeholder_category,"NGO",Response_30a_CaseA,AM207)</f>
        <v>0</v>
      </c>
      <c r="AO207" s="41">
        <f>IFERROR(AN207/AN$214,0)</f>
        <v>0</v>
      </c>
      <c r="AP207" s="14"/>
      <c r="AQ207" s="14"/>
      <c r="AR207" s="14"/>
      <c r="AS207" s="65"/>
      <c r="AT207" s="63"/>
      <c r="AU207" s="352"/>
      <c r="AV207" s="14"/>
      <c r="AW207" s="56"/>
      <c r="AX207" s="29"/>
      <c r="AY207" s="59"/>
      <c r="AZ207" s="14"/>
      <c r="BA207" s="14"/>
      <c r="BB207" s="107" t="s">
        <v>5</v>
      </c>
      <c r="BC207" s="27">
        <f t="shared" ref="BC207:BC213" si="157">COUNTIFS(S30_stakeholder_category,"NGO",Response_30a_CaseB,BB207)</f>
        <v>0</v>
      </c>
      <c r="BD207" s="41">
        <f>IFERROR(BC207/BC$214,0)</f>
        <v>0</v>
      </c>
      <c r="BE207" s="14"/>
      <c r="BF207" s="14"/>
      <c r="BG207" s="14"/>
      <c r="BH207" s="65"/>
      <c r="BI207" s="63"/>
      <c r="BJ207" s="352"/>
      <c r="BK207" s="19"/>
      <c r="BL207" s="56"/>
      <c r="BM207" s="29"/>
      <c r="BN207" s="59"/>
      <c r="BO207" s="14"/>
      <c r="BP207" s="14"/>
      <c r="BQ207" s="107" t="s">
        <v>5</v>
      </c>
      <c r="BR207" s="27">
        <f t="shared" ref="BR207:BR213" si="158">COUNTIFS(S30_stakeholder_category,"NGO",Response_30a_CaseC,BQ207)</f>
        <v>0</v>
      </c>
      <c r="BS207" s="41">
        <f>IFERROR(BR207/BR$214,0)</f>
        <v>0</v>
      </c>
      <c r="BT207" s="14"/>
      <c r="BU207" s="14"/>
      <c r="BV207" s="14"/>
      <c r="BW207" s="65"/>
      <c r="BX207" s="63"/>
      <c r="BY207" s="352"/>
      <c r="BZ207" s="14"/>
      <c r="CA207" s="14"/>
      <c r="CB207" s="21"/>
      <c r="CC207" s="21"/>
      <c r="CD207" s="180"/>
      <c r="CE207" s="181"/>
      <c r="CF207" s="31"/>
      <c r="CG207" s="52"/>
      <c r="CH207" s="52"/>
      <c r="CI207" s="99"/>
      <c r="CJ207" s="14"/>
      <c r="CK207" s="14"/>
      <c r="CL207" s="14"/>
      <c r="CM207" s="14"/>
      <c r="CN207" s="14"/>
      <c r="CO207" s="129"/>
      <c r="CP207" s="14"/>
      <c r="CQ207" s="47"/>
      <c r="CR207" s="14"/>
      <c r="CS207" s="86"/>
      <c r="CT207" s="111"/>
      <c r="CU207" s="86"/>
      <c r="CV207" s="179"/>
      <c r="CW207" s="188"/>
      <c r="CX207" s="179"/>
      <c r="CY207" s="29"/>
      <c r="CZ207" s="109"/>
      <c r="DA207" s="109"/>
      <c r="DB207" s="109"/>
      <c r="DC207" s="109"/>
      <c r="DD207" s="109"/>
      <c r="DE207" s="109"/>
      <c r="DF207" s="109"/>
      <c r="DG207" s="329"/>
      <c r="DH207" s="14"/>
      <c r="DI207" s="47"/>
      <c r="DJ207" s="14"/>
      <c r="DK207" s="62"/>
      <c r="DL207" s="19"/>
      <c r="DM207" s="59"/>
      <c r="DN207" s="14"/>
      <c r="DO207" s="14"/>
      <c r="DP207" s="107" t="s">
        <v>34</v>
      </c>
      <c r="DQ207" s="27">
        <f>COUNTIFS(S30_stakeholder_category,"NGO",Response_Q172_1,DP207,Response_Q173_1,"&lt;&gt;0")</f>
        <v>0</v>
      </c>
      <c r="DR207" s="41">
        <f>IF(DQ212=0,"",DQ207/DQ212)</f>
        <v>0</v>
      </c>
      <c r="DS207" s="14"/>
      <c r="DT207" s="14"/>
      <c r="DU207" s="14"/>
      <c r="DV207" s="14"/>
      <c r="DW207" s="14"/>
      <c r="DX207" s="14"/>
      <c r="DY207" s="14"/>
      <c r="DZ207" s="14"/>
      <c r="EA207" s="14"/>
      <c r="EB207" s="14"/>
      <c r="EC207" s="14"/>
      <c r="ED207" s="14"/>
      <c r="EE207" s="14"/>
      <c r="EF207" s="14"/>
      <c r="EG207" s="14"/>
      <c r="EH207" s="14"/>
      <c r="EI207" s="14"/>
      <c r="EJ207" s="14"/>
      <c r="EK207" s="14"/>
      <c r="EL207" s="14"/>
    </row>
    <row r="208" spans="1:142" x14ac:dyDescent="0.25">
      <c r="A208" s="14"/>
      <c r="B208" s="56"/>
      <c r="C208" s="29"/>
      <c r="D208" s="59"/>
      <c r="E208" s="14"/>
      <c r="F208" s="14"/>
      <c r="G208" s="107" t="s">
        <v>35</v>
      </c>
      <c r="H208" s="27">
        <f>COUNTIFS(S30_stakeholder_category,"NGO",Response_Q173_1,G208)</f>
        <v>1</v>
      </c>
      <c r="I208" s="41">
        <f t="shared" ref="I208:I212" si="159">IFERROR(H208/H$212,"")</f>
        <v>0.25</v>
      </c>
      <c r="J208" s="14"/>
      <c r="K208" s="14"/>
      <c r="L208" s="14"/>
      <c r="M208" s="14"/>
      <c r="N208" s="14"/>
      <c r="O208" s="14"/>
      <c r="P208" s="14"/>
      <c r="Q208" s="47"/>
      <c r="R208" s="19"/>
      <c r="S208" s="56"/>
      <c r="T208" s="19"/>
      <c r="U208" s="59"/>
      <c r="V208" s="14"/>
      <c r="W208" s="14"/>
      <c r="X208" s="107" t="s">
        <v>4</v>
      </c>
      <c r="Y208" s="27">
        <f t="shared" si="154"/>
        <v>0</v>
      </c>
      <c r="Z208" s="41">
        <f t="shared" si="155"/>
        <v>0</v>
      </c>
      <c r="AA208" s="14"/>
      <c r="AB208" s="14"/>
      <c r="AC208" s="14"/>
      <c r="AD208" s="65"/>
      <c r="AE208" s="63"/>
      <c r="AF208" s="352"/>
      <c r="AG208" s="19"/>
      <c r="AH208" s="56"/>
      <c r="AI208" s="19"/>
      <c r="AJ208" s="59"/>
      <c r="AK208" s="14"/>
      <c r="AL208" s="14"/>
      <c r="AM208" s="107" t="s">
        <v>4</v>
      </c>
      <c r="AN208" s="27">
        <f t="shared" si="156"/>
        <v>0</v>
      </c>
      <c r="AO208" s="41">
        <f t="shared" ref="AO208:AO214" si="160">IFERROR(AN208/AN$214,0)</f>
        <v>0</v>
      </c>
      <c r="AP208" s="14"/>
      <c r="AQ208" s="14"/>
      <c r="AR208" s="14"/>
      <c r="AS208" s="65"/>
      <c r="AT208" s="63"/>
      <c r="AU208" s="352"/>
      <c r="AV208" s="14"/>
      <c r="AW208" s="56"/>
      <c r="AX208" s="19"/>
      <c r="AY208" s="59"/>
      <c r="AZ208" s="14"/>
      <c r="BA208" s="14"/>
      <c r="BB208" s="107" t="s">
        <v>4</v>
      </c>
      <c r="BC208" s="27">
        <f t="shared" si="157"/>
        <v>0</v>
      </c>
      <c r="BD208" s="41">
        <f t="shared" ref="BD208:BD214" si="161">IFERROR(BC208/BC$214,0)</f>
        <v>0</v>
      </c>
      <c r="BE208" s="14"/>
      <c r="BF208" s="14"/>
      <c r="BG208" s="14"/>
      <c r="BH208" s="65"/>
      <c r="BI208" s="63"/>
      <c r="BJ208" s="352"/>
      <c r="BK208" s="19"/>
      <c r="BL208" s="56"/>
      <c r="BM208" s="19"/>
      <c r="BN208" s="59"/>
      <c r="BO208" s="14"/>
      <c r="BP208" s="14"/>
      <c r="BQ208" s="107" t="s">
        <v>4</v>
      </c>
      <c r="BR208" s="27">
        <f t="shared" si="158"/>
        <v>0</v>
      </c>
      <c r="BS208" s="41">
        <f t="shared" ref="BS208:BS214" si="162">IFERROR(BR208/BR$214,0)</f>
        <v>0</v>
      </c>
      <c r="BT208" s="14"/>
      <c r="BU208" s="14"/>
      <c r="BV208" s="14"/>
      <c r="BW208" s="65"/>
      <c r="BX208" s="63"/>
      <c r="BY208" s="352"/>
      <c r="BZ208" s="14"/>
      <c r="CA208" s="14"/>
      <c r="CB208" s="21"/>
      <c r="CC208" s="21"/>
      <c r="CD208" s="180"/>
      <c r="CE208" s="181"/>
      <c r="CF208" s="31"/>
      <c r="CG208" s="52"/>
      <c r="CH208" s="52"/>
      <c r="CI208" s="99"/>
      <c r="CJ208" s="14"/>
      <c r="CK208" s="14"/>
      <c r="CL208" s="14"/>
      <c r="CM208" s="14"/>
      <c r="CN208" s="14"/>
      <c r="CO208" s="129"/>
      <c r="CP208" s="14"/>
      <c r="CQ208" s="47"/>
      <c r="CR208" s="14"/>
      <c r="CS208" s="14"/>
      <c r="CT208" s="14"/>
      <c r="CU208" s="14"/>
      <c r="CV208" s="180"/>
      <c r="CW208" s="190"/>
      <c r="CX208" s="191"/>
      <c r="CY208" s="52"/>
      <c r="CZ208" s="52"/>
      <c r="DA208" s="54"/>
      <c r="DB208" s="14"/>
      <c r="DC208" s="14"/>
      <c r="DD208" s="14"/>
      <c r="DE208" s="14"/>
      <c r="DF208" s="14"/>
      <c r="DG208" s="129"/>
      <c r="DH208" s="14"/>
      <c r="DI208" s="47"/>
      <c r="DJ208" s="14"/>
      <c r="DK208" s="62"/>
      <c r="DL208" s="19"/>
      <c r="DM208" s="59"/>
      <c r="DN208" s="14"/>
      <c r="DO208" s="14"/>
      <c r="DP208" s="107" t="s">
        <v>35</v>
      </c>
      <c r="DQ208" s="27">
        <f>COUNTIFS(S30_stakeholder_category,"NGO",Response_Q172_1,DP208,Response_Q173_1,"&lt;&gt;0")</f>
        <v>4</v>
      </c>
      <c r="DR208" s="41">
        <f>IF(DQ212=0,"",DQ208/DQ212)</f>
        <v>1</v>
      </c>
      <c r="DS208" s="14"/>
      <c r="DT208" s="14"/>
      <c r="DU208" s="14"/>
      <c r="DV208" s="14"/>
      <c r="DW208" s="14"/>
      <c r="DX208" s="14"/>
      <c r="DY208" s="14"/>
      <c r="DZ208" s="14"/>
      <c r="EA208" s="14"/>
      <c r="EB208" s="14"/>
      <c r="EC208" s="14"/>
      <c r="ED208" s="14"/>
      <c r="EE208" s="14"/>
      <c r="EF208" s="14"/>
      <c r="EG208" s="14"/>
      <c r="EH208" s="14"/>
      <c r="EI208" s="14"/>
      <c r="EJ208" s="14"/>
      <c r="EK208" s="14"/>
      <c r="EL208" s="14"/>
    </row>
    <row r="209" spans="1:142" x14ac:dyDescent="0.25">
      <c r="A209" s="14"/>
      <c r="B209" s="56"/>
      <c r="C209" s="19"/>
      <c r="D209" s="59"/>
      <c r="E209" s="14"/>
      <c r="F209" s="14"/>
      <c r="G209" s="107" t="s">
        <v>36</v>
      </c>
      <c r="H209" s="27">
        <f>COUNTIFS(S30_stakeholder_category,"NGO",Response_Q173_1,G209)</f>
        <v>3</v>
      </c>
      <c r="I209" s="41">
        <f t="shared" si="159"/>
        <v>0.75</v>
      </c>
      <c r="J209" s="14"/>
      <c r="K209" s="14"/>
      <c r="L209" s="14"/>
      <c r="M209" s="14"/>
      <c r="N209" s="14"/>
      <c r="O209" s="14"/>
      <c r="P209" s="14"/>
      <c r="Q209" s="47"/>
      <c r="R209" s="19"/>
      <c r="S209" s="19"/>
      <c r="T209" s="19"/>
      <c r="U209" s="59"/>
      <c r="V209" s="14"/>
      <c r="W209" s="14"/>
      <c r="X209" s="107" t="s">
        <v>33</v>
      </c>
      <c r="Y209" s="27">
        <f t="shared" si="154"/>
        <v>0</v>
      </c>
      <c r="Z209" s="41">
        <f t="shared" si="155"/>
        <v>0</v>
      </c>
      <c r="AA209" s="14"/>
      <c r="AB209" s="14"/>
      <c r="AC209" s="14"/>
      <c r="AD209" s="65"/>
      <c r="AE209" s="63"/>
      <c r="AF209" s="352"/>
      <c r="AG209" s="19"/>
      <c r="AH209" s="19"/>
      <c r="AI209" s="19"/>
      <c r="AJ209" s="59"/>
      <c r="AK209" s="14"/>
      <c r="AL209" s="14"/>
      <c r="AM209" s="107" t="s">
        <v>33</v>
      </c>
      <c r="AN209" s="27">
        <f t="shared" si="156"/>
        <v>0</v>
      </c>
      <c r="AO209" s="41">
        <f t="shared" si="160"/>
        <v>0</v>
      </c>
      <c r="AP209" s="14"/>
      <c r="AQ209" s="14"/>
      <c r="AR209" s="14"/>
      <c r="AS209" s="65"/>
      <c r="AT209" s="63"/>
      <c r="AU209" s="352"/>
      <c r="AV209" s="14"/>
      <c r="AW209" s="19"/>
      <c r="AX209" s="19"/>
      <c r="AY209" s="59"/>
      <c r="AZ209" s="14"/>
      <c r="BA209" s="14"/>
      <c r="BB209" s="107" t="s">
        <v>33</v>
      </c>
      <c r="BC209" s="27">
        <f t="shared" si="157"/>
        <v>0</v>
      </c>
      <c r="BD209" s="41">
        <f t="shared" si="161"/>
        <v>0</v>
      </c>
      <c r="BE209" s="14"/>
      <c r="BF209" s="14"/>
      <c r="BG209" s="14"/>
      <c r="BH209" s="65"/>
      <c r="BI209" s="63"/>
      <c r="BJ209" s="352"/>
      <c r="BK209" s="19"/>
      <c r="BL209" s="19"/>
      <c r="BM209" s="19"/>
      <c r="BN209" s="59"/>
      <c r="BO209" s="14"/>
      <c r="BP209" s="14"/>
      <c r="BQ209" s="107" t="s">
        <v>33</v>
      </c>
      <c r="BR209" s="27">
        <f t="shared" si="158"/>
        <v>0</v>
      </c>
      <c r="BS209" s="41">
        <f t="shared" si="162"/>
        <v>0</v>
      </c>
      <c r="BT209" s="14"/>
      <c r="BU209" s="14"/>
      <c r="BV209" s="14"/>
      <c r="BW209" s="65"/>
      <c r="BX209" s="63"/>
      <c r="BY209" s="352"/>
      <c r="BZ209" s="14"/>
      <c r="CA209" s="14"/>
      <c r="CB209" s="21"/>
      <c r="CC209" s="21"/>
      <c r="CD209" s="180"/>
      <c r="CE209" s="181"/>
      <c r="CF209" s="31"/>
      <c r="CG209" s="52"/>
      <c r="CH209" s="52"/>
      <c r="CI209" s="99"/>
      <c r="CJ209" s="14"/>
      <c r="CK209" s="14"/>
      <c r="CL209" s="14"/>
      <c r="CM209" s="14"/>
      <c r="CN209" s="14"/>
      <c r="CO209" s="129"/>
      <c r="CP209" s="14"/>
      <c r="CQ209" s="47"/>
      <c r="CR209" s="14"/>
      <c r="CS209" s="14"/>
      <c r="CT209" s="14"/>
      <c r="CU209" s="14"/>
      <c r="CV209" s="180"/>
      <c r="CW209" s="190"/>
      <c r="CX209" s="191"/>
      <c r="CY209" s="52"/>
      <c r="CZ209" s="52"/>
      <c r="DA209" s="54"/>
      <c r="DB209" s="14"/>
      <c r="DC209" s="14"/>
      <c r="DD209" s="14"/>
      <c r="DE209" s="14"/>
      <c r="DF209" s="14"/>
      <c r="DG209" s="129"/>
      <c r="DH209" s="14"/>
      <c r="DI209" s="47"/>
      <c r="DJ209" s="14"/>
      <c r="DK209" s="62"/>
      <c r="DL209" s="19"/>
      <c r="DM209" s="59"/>
      <c r="DN209" s="14"/>
      <c r="DO209" s="14"/>
      <c r="DP209" s="107" t="s">
        <v>36</v>
      </c>
      <c r="DQ209" s="27">
        <f>COUNTIFS(S30_stakeholder_category,"NGO",Response_Q172_1,DP209,Response_Q173_1,"&lt;&gt;0")</f>
        <v>0</v>
      </c>
      <c r="DR209" s="41">
        <f>IF(DQ212=0,"",DQ209/DQ212)</f>
        <v>0</v>
      </c>
      <c r="DS209" s="14"/>
      <c r="DT209" s="14"/>
      <c r="DU209" s="14"/>
      <c r="DV209" s="14"/>
      <c r="DW209" s="14"/>
      <c r="DX209" s="14"/>
      <c r="DY209" s="14"/>
      <c r="DZ209" s="14"/>
      <c r="EA209" s="14"/>
      <c r="EB209" s="14"/>
      <c r="EC209" s="14"/>
      <c r="ED209" s="14"/>
      <c r="EE209" s="14"/>
      <c r="EF209" s="14"/>
      <c r="EG209" s="14"/>
      <c r="EH209" s="14"/>
      <c r="EI209" s="14"/>
      <c r="EJ209" s="14"/>
      <c r="EK209" s="14"/>
      <c r="EL209" s="14"/>
    </row>
    <row r="210" spans="1:142" x14ac:dyDescent="0.25">
      <c r="A210" s="14"/>
      <c r="B210" s="14"/>
      <c r="C210" s="19"/>
      <c r="D210" s="59"/>
      <c r="E210" s="14"/>
      <c r="F210" s="14"/>
      <c r="G210" s="107" t="s">
        <v>38</v>
      </c>
      <c r="H210" s="27">
        <f>COUNTIFS(S30_stakeholder_category,"NGO",Response_Q173_1,G210)</f>
        <v>0</v>
      </c>
      <c r="I210" s="41">
        <f t="shared" si="159"/>
        <v>0</v>
      </c>
      <c r="J210" s="14"/>
      <c r="K210" s="14"/>
      <c r="L210" s="14"/>
      <c r="M210" s="14"/>
      <c r="N210" s="14"/>
      <c r="O210" s="14"/>
      <c r="P210" s="14"/>
      <c r="Q210" s="47"/>
      <c r="R210" s="19"/>
      <c r="S210" s="14"/>
      <c r="T210" s="19"/>
      <c r="U210" s="59"/>
      <c r="V210" s="14"/>
      <c r="W210" s="14"/>
      <c r="X210" s="107" t="s">
        <v>29</v>
      </c>
      <c r="Y210" s="27">
        <f t="shared" si="154"/>
        <v>0</v>
      </c>
      <c r="Z210" s="41">
        <f t="shared" si="155"/>
        <v>0</v>
      </c>
      <c r="AA210" s="14"/>
      <c r="AB210" s="14"/>
      <c r="AC210" s="14"/>
      <c r="AD210" s="65"/>
      <c r="AE210" s="63"/>
      <c r="AF210" s="352"/>
      <c r="AG210" s="19"/>
      <c r="AH210" s="14"/>
      <c r="AI210" s="19"/>
      <c r="AJ210" s="59"/>
      <c r="AK210" s="14"/>
      <c r="AL210" s="14"/>
      <c r="AM210" s="107" t="s">
        <v>29</v>
      </c>
      <c r="AN210" s="27">
        <f t="shared" si="156"/>
        <v>0</v>
      </c>
      <c r="AO210" s="41">
        <f t="shared" si="160"/>
        <v>0</v>
      </c>
      <c r="AP210" s="14"/>
      <c r="AQ210" s="14"/>
      <c r="AR210" s="14"/>
      <c r="AS210" s="65"/>
      <c r="AT210" s="63"/>
      <c r="AU210" s="352"/>
      <c r="AV210" s="14"/>
      <c r="AW210" s="14"/>
      <c r="AX210" s="19"/>
      <c r="AY210" s="59"/>
      <c r="AZ210" s="14"/>
      <c r="BA210" s="14"/>
      <c r="BB210" s="107" t="s">
        <v>29</v>
      </c>
      <c r="BC210" s="27">
        <f t="shared" si="157"/>
        <v>0</v>
      </c>
      <c r="BD210" s="41">
        <f t="shared" si="161"/>
        <v>0</v>
      </c>
      <c r="BE210" s="14"/>
      <c r="BF210" s="14"/>
      <c r="BG210" s="14"/>
      <c r="BH210" s="65"/>
      <c r="BI210" s="63"/>
      <c r="BJ210" s="352"/>
      <c r="BK210" s="19"/>
      <c r="BL210" s="14"/>
      <c r="BM210" s="19"/>
      <c r="BN210" s="59"/>
      <c r="BO210" s="14"/>
      <c r="BP210" s="14"/>
      <c r="BQ210" s="107" t="s">
        <v>29</v>
      </c>
      <c r="BR210" s="27">
        <f t="shared" si="158"/>
        <v>0</v>
      </c>
      <c r="BS210" s="41">
        <f t="shared" si="162"/>
        <v>0</v>
      </c>
      <c r="BT210" s="14"/>
      <c r="BU210" s="14"/>
      <c r="BV210" s="14"/>
      <c r="BW210" s="65"/>
      <c r="BX210" s="63"/>
      <c r="BY210" s="352"/>
      <c r="BZ210" s="14"/>
      <c r="CA210" s="14"/>
      <c r="CB210" s="21"/>
      <c r="CC210" s="21"/>
      <c r="CD210" s="180"/>
      <c r="CE210" s="181"/>
      <c r="CF210" s="31"/>
      <c r="CG210" s="52"/>
      <c r="CH210" s="52"/>
      <c r="CI210" s="99"/>
      <c r="CJ210" s="14"/>
      <c r="CK210" s="14"/>
      <c r="CL210" s="14"/>
      <c r="CM210" s="14"/>
      <c r="CN210" s="14"/>
      <c r="CO210" s="129"/>
      <c r="CP210" s="14"/>
      <c r="CQ210" s="47"/>
      <c r="CR210" s="14"/>
      <c r="CS210" s="14"/>
      <c r="CT210" s="14"/>
      <c r="CU210" s="14"/>
      <c r="CV210" s="180"/>
      <c r="CW210" s="190"/>
      <c r="CX210" s="191"/>
      <c r="CY210" s="52"/>
      <c r="CZ210" s="52"/>
      <c r="DA210" s="54"/>
      <c r="DB210" s="14"/>
      <c r="DC210" s="14"/>
      <c r="DD210" s="14"/>
      <c r="DE210" s="14"/>
      <c r="DF210" s="14"/>
      <c r="DG210" s="129"/>
      <c r="DH210" s="14"/>
      <c r="DI210" s="47"/>
      <c r="DJ210" s="14"/>
      <c r="DK210" s="62"/>
      <c r="DL210" s="19"/>
      <c r="DM210" s="59"/>
      <c r="DN210" s="14"/>
      <c r="DO210" s="14"/>
      <c r="DP210" s="107" t="s">
        <v>38</v>
      </c>
      <c r="DQ210" s="27">
        <f>COUNTIFS(S30_stakeholder_category,"NGO",Response_Q172_1,DP210,Response_Q173_1,"&lt;&gt;0")</f>
        <v>0</v>
      </c>
      <c r="DR210" s="41">
        <f>IF(DQ212=0,"",DQ210/DQ212)</f>
        <v>0</v>
      </c>
      <c r="DS210" s="14"/>
      <c r="DT210" s="14"/>
      <c r="DU210" s="14"/>
      <c r="DV210" s="14"/>
      <c r="DW210" s="14"/>
      <c r="DX210" s="14"/>
      <c r="DY210" s="14"/>
      <c r="DZ210" s="14"/>
      <c r="EA210" s="14"/>
      <c r="EB210" s="14"/>
      <c r="EC210" s="14"/>
      <c r="ED210" s="14"/>
      <c r="EE210" s="14"/>
      <c r="EF210" s="14"/>
      <c r="EG210" s="14"/>
      <c r="EH210" s="14"/>
      <c r="EI210" s="14"/>
      <c r="EJ210" s="14"/>
      <c r="EK210" s="14"/>
      <c r="EL210" s="14"/>
    </row>
    <row r="211" spans="1:142" x14ac:dyDescent="0.25">
      <c r="A211" s="14"/>
      <c r="B211" s="14"/>
      <c r="C211" s="19"/>
      <c r="D211" s="59"/>
      <c r="E211" s="14"/>
      <c r="F211" s="14"/>
      <c r="G211" s="107" t="s">
        <v>39</v>
      </c>
      <c r="H211" s="27">
        <f>COUNTIFS(S30_stakeholder_category,"NGO",Response_Q173_1,G211)</f>
        <v>0</v>
      </c>
      <c r="I211" s="41">
        <f t="shared" si="159"/>
        <v>0</v>
      </c>
      <c r="J211" s="14"/>
      <c r="K211" s="14"/>
      <c r="L211" s="14"/>
      <c r="M211" s="14"/>
      <c r="N211" s="14"/>
      <c r="O211" s="14"/>
      <c r="P211" s="14"/>
      <c r="Q211" s="47"/>
      <c r="R211" s="19"/>
      <c r="S211" s="14"/>
      <c r="T211" s="19"/>
      <c r="U211" s="59"/>
      <c r="V211" s="14"/>
      <c r="W211" s="14"/>
      <c r="X211" s="107" t="s">
        <v>3</v>
      </c>
      <c r="Y211" s="27">
        <f t="shared" si="154"/>
        <v>0</v>
      </c>
      <c r="Z211" s="41">
        <f t="shared" si="155"/>
        <v>0</v>
      </c>
      <c r="AA211" s="14"/>
      <c r="AB211" s="14"/>
      <c r="AC211" s="14"/>
      <c r="AD211" s="65"/>
      <c r="AE211" s="63"/>
      <c r="AF211" s="352"/>
      <c r="AG211" s="19"/>
      <c r="AH211" s="14"/>
      <c r="AI211" s="19"/>
      <c r="AJ211" s="59"/>
      <c r="AK211" s="14"/>
      <c r="AL211" s="14"/>
      <c r="AM211" s="107" t="s">
        <v>3</v>
      </c>
      <c r="AN211" s="27">
        <f t="shared" si="156"/>
        <v>4</v>
      </c>
      <c r="AO211" s="41">
        <f t="shared" si="160"/>
        <v>1</v>
      </c>
      <c r="AP211" s="14"/>
      <c r="AQ211" s="14"/>
      <c r="AR211" s="14"/>
      <c r="AS211" s="65"/>
      <c r="AT211" s="63"/>
      <c r="AU211" s="352"/>
      <c r="AV211" s="14"/>
      <c r="AW211" s="14"/>
      <c r="AX211" s="19"/>
      <c r="AY211" s="59"/>
      <c r="AZ211" s="14"/>
      <c r="BA211" s="14"/>
      <c r="BB211" s="107" t="s">
        <v>3</v>
      </c>
      <c r="BC211" s="27">
        <f t="shared" si="157"/>
        <v>0</v>
      </c>
      <c r="BD211" s="41">
        <f t="shared" si="161"/>
        <v>0</v>
      </c>
      <c r="BE211" s="14"/>
      <c r="BF211" s="14"/>
      <c r="BG211" s="14"/>
      <c r="BH211" s="65"/>
      <c r="BI211" s="63"/>
      <c r="BJ211" s="352"/>
      <c r="BK211" s="19"/>
      <c r="BL211" s="14"/>
      <c r="BM211" s="19"/>
      <c r="BN211" s="59"/>
      <c r="BO211" s="14"/>
      <c r="BP211" s="14"/>
      <c r="BQ211" s="107" t="s">
        <v>3</v>
      </c>
      <c r="BR211" s="27">
        <f t="shared" si="158"/>
        <v>0</v>
      </c>
      <c r="BS211" s="41">
        <f t="shared" si="162"/>
        <v>0</v>
      </c>
      <c r="BT211" s="14"/>
      <c r="BU211" s="14"/>
      <c r="BV211" s="14"/>
      <c r="BW211" s="65"/>
      <c r="BX211" s="63"/>
      <c r="BY211" s="352"/>
      <c r="BZ211" s="14"/>
      <c r="CA211" s="14"/>
      <c r="CB211" s="21"/>
      <c r="CC211" s="21"/>
      <c r="CD211" s="180"/>
      <c r="CE211" s="181"/>
      <c r="CF211" s="31"/>
      <c r="CG211" s="52"/>
      <c r="CH211" s="52"/>
      <c r="CI211" s="99"/>
      <c r="CJ211" s="14"/>
      <c r="CK211" s="14"/>
      <c r="CL211" s="14"/>
      <c r="CM211" s="14"/>
      <c r="CN211" s="14"/>
      <c r="CO211" s="129"/>
      <c r="CP211" s="14"/>
      <c r="CQ211" s="47"/>
      <c r="CR211" s="14"/>
      <c r="CS211" s="14"/>
      <c r="CT211" s="14"/>
      <c r="CU211" s="14"/>
      <c r="CV211" s="180"/>
      <c r="CW211" s="190"/>
      <c r="CX211" s="191"/>
      <c r="CY211" s="52"/>
      <c r="CZ211" s="52"/>
      <c r="DA211" s="54"/>
      <c r="DB211" s="14"/>
      <c r="DC211" s="14"/>
      <c r="DD211" s="14"/>
      <c r="DE211" s="14"/>
      <c r="DF211" s="14"/>
      <c r="DG211" s="129"/>
      <c r="DH211" s="14"/>
      <c r="DI211" s="47"/>
      <c r="DJ211" s="14"/>
      <c r="DK211" s="62"/>
      <c r="DL211" s="19"/>
      <c r="DM211" s="59"/>
      <c r="DN211" s="14"/>
      <c r="DO211" s="14"/>
      <c r="DP211" s="107" t="s">
        <v>39</v>
      </c>
      <c r="DQ211" s="27">
        <f>COUNTIFS(S30_stakeholder_category,"NGO",Response_Q172_1,DP211,Response_Q173_1,"&lt;&gt;0")</f>
        <v>0</v>
      </c>
      <c r="DR211" s="41">
        <f>IF(DQ212=0,"",DQ211/DQ212)</f>
        <v>0</v>
      </c>
      <c r="DS211" s="14"/>
      <c r="DT211" s="14"/>
      <c r="DU211" s="14"/>
      <c r="DV211" s="14"/>
      <c r="DW211" s="14"/>
      <c r="DX211" s="14"/>
      <c r="DY211" s="14"/>
      <c r="DZ211" s="14"/>
      <c r="EA211" s="14"/>
      <c r="EB211" s="14"/>
      <c r="EC211" s="14"/>
      <c r="ED211" s="14"/>
      <c r="EE211" s="14"/>
      <c r="EF211" s="14"/>
      <c r="EG211" s="14"/>
      <c r="EH211" s="14"/>
      <c r="EI211" s="14"/>
      <c r="EJ211" s="14"/>
      <c r="EK211" s="14"/>
      <c r="EL211" s="14"/>
    </row>
    <row r="212" spans="1:142" x14ac:dyDescent="0.25">
      <c r="A212" s="14"/>
      <c r="B212" s="14"/>
      <c r="C212" s="19"/>
      <c r="D212" s="59"/>
      <c r="E212" s="14"/>
      <c r="F212" s="14"/>
      <c r="G212" s="86" t="s">
        <v>145</v>
      </c>
      <c r="H212" s="111">
        <f>COUNTIFS(S30_stakeholder_category,"NGO",Response_Q173_1,"&lt;&gt;0")</f>
        <v>4</v>
      </c>
      <c r="I212" s="119">
        <f t="shared" si="159"/>
        <v>1</v>
      </c>
      <c r="J212" s="14"/>
      <c r="K212" s="14"/>
      <c r="L212" s="14"/>
      <c r="M212" s="14"/>
      <c r="N212" s="14"/>
      <c r="O212" s="14"/>
      <c r="P212" s="14"/>
      <c r="Q212" s="47"/>
      <c r="R212" s="19"/>
      <c r="S212" s="14"/>
      <c r="T212" s="19"/>
      <c r="U212" s="59"/>
      <c r="V212" s="14"/>
      <c r="W212" s="14"/>
      <c r="X212" s="107" t="s">
        <v>54</v>
      </c>
      <c r="Y212" s="27">
        <f t="shared" si="154"/>
        <v>4</v>
      </c>
      <c r="Z212" s="41">
        <f t="shared" si="155"/>
        <v>1</v>
      </c>
      <c r="AA212" s="14"/>
      <c r="AB212" s="14"/>
      <c r="AC212" s="14"/>
      <c r="AD212" s="65"/>
      <c r="AE212" s="63"/>
      <c r="AF212" s="352"/>
      <c r="AG212" s="19"/>
      <c r="AH212" s="14"/>
      <c r="AI212" s="19"/>
      <c r="AJ212" s="59"/>
      <c r="AK212" s="14"/>
      <c r="AL212" s="14"/>
      <c r="AM212" s="107" t="s">
        <v>54</v>
      </c>
      <c r="AN212" s="27">
        <f t="shared" si="156"/>
        <v>0</v>
      </c>
      <c r="AO212" s="41">
        <f t="shared" si="160"/>
        <v>0</v>
      </c>
      <c r="AP212" s="14"/>
      <c r="AQ212" s="14"/>
      <c r="AR212" s="14"/>
      <c r="AS212" s="65"/>
      <c r="AT212" s="63"/>
      <c r="AU212" s="352"/>
      <c r="AV212" s="14"/>
      <c r="AW212" s="14"/>
      <c r="AX212" s="19"/>
      <c r="AY212" s="59"/>
      <c r="AZ212" s="14"/>
      <c r="BA212" s="14"/>
      <c r="BB212" s="107" t="s">
        <v>54</v>
      </c>
      <c r="BC212" s="27">
        <f t="shared" si="157"/>
        <v>4</v>
      </c>
      <c r="BD212" s="41">
        <f t="shared" si="161"/>
        <v>1</v>
      </c>
      <c r="BE212" s="14"/>
      <c r="BF212" s="14"/>
      <c r="BG212" s="14"/>
      <c r="BH212" s="65"/>
      <c r="BI212" s="63"/>
      <c r="BJ212" s="352"/>
      <c r="BK212" s="19"/>
      <c r="BL212" s="14"/>
      <c r="BM212" s="19"/>
      <c r="BN212" s="59"/>
      <c r="BO212" s="14"/>
      <c r="BP212" s="14"/>
      <c r="BQ212" s="107" t="s">
        <v>54</v>
      </c>
      <c r="BR212" s="27">
        <f t="shared" si="158"/>
        <v>4</v>
      </c>
      <c r="BS212" s="41">
        <f t="shared" si="162"/>
        <v>1</v>
      </c>
      <c r="BT212" s="14"/>
      <c r="BU212" s="14"/>
      <c r="BV212" s="14"/>
      <c r="BW212" s="65"/>
      <c r="BX212" s="63"/>
      <c r="BY212" s="352"/>
      <c r="BZ212" s="14"/>
      <c r="CA212" s="14"/>
      <c r="CB212" s="21"/>
      <c r="CC212" s="21"/>
      <c r="CD212" s="180"/>
      <c r="CE212" s="181"/>
      <c r="CF212" s="31"/>
      <c r="CG212" s="52"/>
      <c r="CH212" s="52"/>
      <c r="CI212" s="99"/>
      <c r="CJ212" s="14"/>
      <c r="CK212" s="14"/>
      <c r="CL212" s="14"/>
      <c r="CM212" s="14"/>
      <c r="CN212" s="14"/>
      <c r="CO212" s="129"/>
      <c r="CP212" s="14"/>
      <c r="CQ212" s="47"/>
      <c r="CR212" s="14"/>
      <c r="CS212" s="14"/>
      <c r="CT212" s="14"/>
      <c r="CU212" s="14"/>
      <c r="CV212" s="180"/>
      <c r="CW212" s="190"/>
      <c r="CX212" s="191"/>
      <c r="CY212" s="52"/>
      <c r="CZ212" s="52"/>
      <c r="DA212" s="54"/>
      <c r="DB212" s="14"/>
      <c r="DC212" s="14"/>
      <c r="DD212" s="14"/>
      <c r="DE212" s="14"/>
      <c r="DF212" s="14"/>
      <c r="DG212" s="129"/>
      <c r="DH212" s="14"/>
      <c r="DI212" s="47"/>
      <c r="DJ212" s="14"/>
      <c r="DK212" s="62"/>
      <c r="DL212" s="19"/>
      <c r="DM212" s="59"/>
      <c r="DN212" s="14"/>
      <c r="DO212" s="14"/>
      <c r="DP212" s="86" t="s">
        <v>145</v>
      </c>
      <c r="DQ212" s="111">
        <f>COUNTIFS(S30_stakeholder_category,"NGO",Response_Q172_1,"&lt;&gt;0",Response_Q173_1,"&lt;&gt;0")</f>
        <v>4</v>
      </c>
      <c r="DR212" s="119">
        <f>IF(DQ212=0,"",DQ212/DQ212)</f>
        <v>1</v>
      </c>
      <c r="DS212" s="14"/>
      <c r="DT212" s="14"/>
      <c r="DU212" s="14"/>
      <c r="DV212" s="14"/>
      <c r="DW212" s="14"/>
      <c r="DX212" s="14"/>
      <c r="DY212" s="14"/>
      <c r="DZ212" s="14"/>
      <c r="EA212" s="14"/>
      <c r="EB212" s="14"/>
      <c r="EC212" s="14"/>
      <c r="ED212" s="14"/>
      <c r="EE212" s="14"/>
      <c r="EF212" s="14"/>
      <c r="EG212" s="14"/>
      <c r="EH212" s="14"/>
      <c r="EI212" s="14"/>
      <c r="EJ212" s="14"/>
      <c r="EK212" s="14"/>
      <c r="EL212" s="14"/>
    </row>
    <row r="213" spans="1:142" x14ac:dyDescent="0.25">
      <c r="A213" s="14"/>
      <c r="B213" s="62"/>
      <c r="C213" s="19"/>
      <c r="D213" s="59"/>
      <c r="E213" s="14"/>
      <c r="F213" s="14"/>
      <c r="G213" s="14"/>
      <c r="H213" s="21"/>
      <c r="I213" s="21"/>
      <c r="J213" s="14"/>
      <c r="K213" s="14"/>
      <c r="L213" s="14"/>
      <c r="M213" s="14"/>
      <c r="N213" s="14"/>
      <c r="O213" s="14"/>
      <c r="P213" s="14"/>
      <c r="Q213" s="47"/>
      <c r="R213" s="19"/>
      <c r="S213" s="62"/>
      <c r="T213" s="19"/>
      <c r="U213" s="59"/>
      <c r="V213" s="14"/>
      <c r="W213" s="14"/>
      <c r="X213" s="107" t="s">
        <v>39</v>
      </c>
      <c r="Y213" s="27">
        <f t="shared" si="154"/>
        <v>0</v>
      </c>
      <c r="Z213" s="41">
        <f t="shared" si="155"/>
        <v>0</v>
      </c>
      <c r="AA213" s="14"/>
      <c r="AB213" s="14"/>
      <c r="AC213" s="14"/>
      <c r="AD213" s="65"/>
      <c r="AE213" s="63"/>
      <c r="AF213" s="352"/>
      <c r="AG213" s="19"/>
      <c r="AH213" s="62"/>
      <c r="AI213" s="19"/>
      <c r="AJ213" s="59"/>
      <c r="AK213" s="14"/>
      <c r="AL213" s="14"/>
      <c r="AM213" s="107" t="s">
        <v>39</v>
      </c>
      <c r="AN213" s="27">
        <f t="shared" si="156"/>
        <v>0</v>
      </c>
      <c r="AO213" s="41">
        <f t="shared" si="160"/>
        <v>0</v>
      </c>
      <c r="AP213" s="14"/>
      <c r="AQ213" s="14"/>
      <c r="AR213" s="14"/>
      <c r="AS213" s="65"/>
      <c r="AT213" s="63"/>
      <c r="AU213" s="352"/>
      <c r="AV213" s="14"/>
      <c r="AW213" s="62"/>
      <c r="AX213" s="19"/>
      <c r="AY213" s="59"/>
      <c r="AZ213" s="14"/>
      <c r="BA213" s="14"/>
      <c r="BB213" s="107" t="s">
        <v>39</v>
      </c>
      <c r="BC213" s="27">
        <f t="shared" si="157"/>
        <v>0</v>
      </c>
      <c r="BD213" s="41">
        <f t="shared" si="161"/>
        <v>0</v>
      </c>
      <c r="BE213" s="14"/>
      <c r="BF213" s="14"/>
      <c r="BG213" s="14"/>
      <c r="BH213" s="65"/>
      <c r="BI213" s="63"/>
      <c r="BJ213" s="352"/>
      <c r="BK213" s="19"/>
      <c r="BL213" s="62"/>
      <c r="BM213" s="19"/>
      <c r="BN213" s="59"/>
      <c r="BO213" s="14"/>
      <c r="BP213" s="14"/>
      <c r="BQ213" s="107" t="s">
        <v>39</v>
      </c>
      <c r="BR213" s="27">
        <f t="shared" si="158"/>
        <v>0</v>
      </c>
      <c r="BS213" s="41">
        <f t="shared" si="162"/>
        <v>0</v>
      </c>
      <c r="BT213" s="14"/>
      <c r="BU213" s="14"/>
      <c r="BV213" s="14"/>
      <c r="BW213" s="65"/>
      <c r="BX213" s="63"/>
      <c r="BY213" s="352"/>
      <c r="BZ213" s="14"/>
      <c r="CA213" s="14"/>
      <c r="CB213" s="21"/>
      <c r="CC213" s="21"/>
      <c r="CD213" s="180"/>
      <c r="CE213" s="181"/>
      <c r="CF213" s="31"/>
      <c r="CG213" s="52"/>
      <c r="CH213" s="52"/>
      <c r="CI213" s="99"/>
      <c r="CJ213" s="14"/>
      <c r="CK213" s="14"/>
      <c r="CL213" s="14"/>
      <c r="CM213" s="14"/>
      <c r="CN213" s="14"/>
      <c r="CO213" s="129"/>
      <c r="CP213" s="14"/>
      <c r="CQ213" s="47"/>
      <c r="CR213" s="14"/>
      <c r="CS213" s="14"/>
      <c r="CT213" s="14"/>
      <c r="CU213" s="14"/>
      <c r="CV213" s="180"/>
      <c r="CW213" s="190"/>
      <c r="CX213" s="191"/>
      <c r="CY213" s="52"/>
      <c r="CZ213" s="52"/>
      <c r="DA213" s="54"/>
      <c r="DB213" s="14"/>
      <c r="DC213" s="14"/>
      <c r="DD213" s="14"/>
      <c r="DE213" s="14"/>
      <c r="DF213" s="14"/>
      <c r="DG213" s="129"/>
      <c r="DH213" s="14"/>
      <c r="DI213" s="47"/>
      <c r="DJ213" s="14"/>
      <c r="DK213" s="62"/>
      <c r="DL213" s="19"/>
      <c r="DM213" s="59"/>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row>
    <row r="214" spans="1:142" x14ac:dyDescent="0.25">
      <c r="A214" s="14"/>
      <c r="B214" s="62"/>
      <c r="C214" s="19"/>
      <c r="D214" s="59"/>
      <c r="E214" s="14"/>
      <c r="F214" s="14"/>
      <c r="G214" s="14"/>
      <c r="H214" s="21"/>
      <c r="I214" s="21"/>
      <c r="J214" s="14"/>
      <c r="K214" s="14"/>
      <c r="L214" s="14"/>
      <c r="M214" s="14"/>
      <c r="N214" s="14"/>
      <c r="O214" s="14"/>
      <c r="P214" s="14"/>
      <c r="Q214" s="47"/>
      <c r="R214" s="19"/>
      <c r="S214" s="62"/>
      <c r="T214" s="19"/>
      <c r="U214" s="59"/>
      <c r="V214" s="14"/>
      <c r="W214" s="14"/>
      <c r="X214" s="86" t="s">
        <v>145</v>
      </c>
      <c r="Y214" s="111">
        <f>COUNTIFS(S30_stakeholder_category,"NGO",Response_Q176_1,"&lt;&gt;0")</f>
        <v>4</v>
      </c>
      <c r="Z214" s="119">
        <f t="shared" si="155"/>
        <v>1</v>
      </c>
      <c r="AA214" s="14"/>
      <c r="AB214" s="14"/>
      <c r="AC214" s="14"/>
      <c r="AD214" s="65"/>
      <c r="AE214" s="63"/>
      <c r="AF214" s="352"/>
      <c r="AG214" s="19"/>
      <c r="AH214" s="62"/>
      <c r="AI214" s="19"/>
      <c r="AJ214" s="59"/>
      <c r="AK214" s="14"/>
      <c r="AL214" s="14"/>
      <c r="AM214" s="86" t="s">
        <v>145</v>
      </c>
      <c r="AN214" s="111">
        <f>COUNTIFS(S30_stakeholder_category,"NGO",Response_30a_CaseA,"&lt;&gt;0")</f>
        <v>4</v>
      </c>
      <c r="AO214" s="119">
        <f t="shared" si="160"/>
        <v>1</v>
      </c>
      <c r="AP214" s="14"/>
      <c r="AQ214" s="14"/>
      <c r="AR214" s="14"/>
      <c r="AS214" s="65"/>
      <c r="AT214" s="63"/>
      <c r="AU214" s="352"/>
      <c r="AV214" s="14"/>
      <c r="AW214" s="62"/>
      <c r="AX214" s="19"/>
      <c r="AY214" s="59"/>
      <c r="AZ214" s="14"/>
      <c r="BA214" s="14"/>
      <c r="BB214" s="86" t="s">
        <v>145</v>
      </c>
      <c r="BC214" s="111">
        <f>COUNTIFS(S30_stakeholder_category,"NGO",Response_30a_CaseB,"&lt;&gt;0")</f>
        <v>4</v>
      </c>
      <c r="BD214" s="119">
        <f t="shared" si="161"/>
        <v>1</v>
      </c>
      <c r="BE214" s="14"/>
      <c r="BF214" s="14"/>
      <c r="BG214" s="14"/>
      <c r="BH214" s="65"/>
      <c r="BI214" s="63"/>
      <c r="BJ214" s="352"/>
      <c r="BK214" s="19"/>
      <c r="BL214" s="62"/>
      <c r="BM214" s="19"/>
      <c r="BN214" s="59"/>
      <c r="BO214" s="14"/>
      <c r="BP214" s="14"/>
      <c r="BQ214" s="86" t="s">
        <v>145</v>
      </c>
      <c r="BR214" s="111">
        <f>COUNTIFS(S30_stakeholder_category,"NGO",Response_30a_CaseC,"&lt;&gt;0")</f>
        <v>4</v>
      </c>
      <c r="BS214" s="119">
        <f t="shared" si="162"/>
        <v>1</v>
      </c>
      <c r="BT214" s="14"/>
      <c r="BU214" s="14"/>
      <c r="BV214" s="14"/>
      <c r="BW214" s="65"/>
      <c r="BX214" s="63"/>
      <c r="BY214" s="352"/>
      <c r="BZ214" s="14"/>
      <c r="CA214" s="14"/>
      <c r="CB214" s="21"/>
      <c r="CC214" s="21"/>
      <c r="CD214" s="180"/>
      <c r="CE214" s="181"/>
      <c r="CF214" s="31"/>
      <c r="CG214" s="52"/>
      <c r="CH214" s="52"/>
      <c r="CI214" s="99"/>
      <c r="CJ214" s="14"/>
      <c r="CK214" s="14"/>
      <c r="CL214" s="14"/>
      <c r="CM214" s="14"/>
      <c r="CN214" s="14"/>
      <c r="CO214" s="129"/>
      <c r="CP214" s="14"/>
      <c r="CQ214" s="47"/>
      <c r="CR214" s="14"/>
      <c r="CS214" s="14"/>
      <c r="CT214" s="14"/>
      <c r="CU214" s="14"/>
      <c r="CV214" s="180"/>
      <c r="CW214" s="190"/>
      <c r="CX214" s="191"/>
      <c r="CY214" s="52"/>
      <c r="CZ214" s="52"/>
      <c r="DA214" s="54"/>
      <c r="DB214" s="14"/>
      <c r="DC214" s="14"/>
      <c r="DD214" s="14"/>
      <c r="DE214" s="14"/>
      <c r="DF214" s="14"/>
      <c r="DG214" s="129"/>
      <c r="DH214" s="14"/>
      <c r="DI214" s="47"/>
      <c r="DJ214" s="14"/>
      <c r="DK214" s="62"/>
      <c r="DL214" s="19"/>
      <c r="DM214" s="59"/>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row>
    <row r="215" spans="1:142" s="135" customFormat="1" ht="15" customHeight="1" x14ac:dyDescent="0.25">
      <c r="A215" s="14"/>
      <c r="B215" s="13"/>
      <c r="C215" s="13"/>
      <c r="D215" s="21"/>
      <c r="E215" s="14"/>
      <c r="F215" s="14"/>
      <c r="G215" s="14"/>
      <c r="H215" s="21"/>
      <c r="I215" s="21"/>
      <c r="J215" s="14"/>
      <c r="K215" s="14"/>
      <c r="L215" s="14"/>
      <c r="M215" s="14"/>
      <c r="N215" s="14"/>
      <c r="O215" s="14"/>
      <c r="P215" s="14"/>
      <c r="Q215" s="47"/>
      <c r="R215" s="19"/>
      <c r="S215" s="13"/>
      <c r="T215" s="13"/>
      <c r="U215" s="14"/>
      <c r="V215" s="14"/>
      <c r="W215" s="14"/>
      <c r="X215" s="14"/>
      <c r="Y215" s="14"/>
      <c r="Z215" s="14"/>
      <c r="AA215" s="14"/>
      <c r="AB215" s="14"/>
      <c r="AC215" s="14"/>
      <c r="AD215" s="65"/>
      <c r="AE215" s="63"/>
      <c r="AF215" s="352"/>
      <c r="AG215" s="19"/>
      <c r="AH215" s="13"/>
      <c r="AI215" s="13"/>
      <c r="AJ215" s="14"/>
      <c r="AK215" s="14"/>
      <c r="AL215" s="14"/>
      <c r="AM215" s="14"/>
      <c r="AN215" s="14"/>
      <c r="AO215" s="14"/>
      <c r="AP215" s="14"/>
      <c r="AQ215" s="14"/>
      <c r="AR215" s="14"/>
      <c r="AS215" s="65"/>
      <c r="AT215" s="63"/>
      <c r="AU215" s="352"/>
      <c r="AV215" s="14"/>
      <c r="AW215" s="13"/>
      <c r="AX215" s="13"/>
      <c r="AY215" s="14"/>
      <c r="AZ215" s="14"/>
      <c r="BA215" s="14"/>
      <c r="BB215" s="14"/>
      <c r="BC215" s="14"/>
      <c r="BD215" s="14"/>
      <c r="BE215" s="14"/>
      <c r="BF215" s="14"/>
      <c r="BG215" s="14"/>
      <c r="BH215" s="65"/>
      <c r="BI215" s="63"/>
      <c r="BJ215" s="352"/>
      <c r="BK215" s="19"/>
      <c r="BL215" s="13"/>
      <c r="BM215" s="13"/>
      <c r="BN215" s="14"/>
      <c r="BO215" s="14"/>
      <c r="BP215" s="14"/>
      <c r="BQ215" s="14"/>
      <c r="BR215" s="14"/>
      <c r="BS215" s="14"/>
      <c r="BT215" s="14"/>
      <c r="BU215" s="14"/>
      <c r="BV215" s="14"/>
      <c r="BW215" s="65"/>
      <c r="BX215" s="63"/>
      <c r="BY215" s="352"/>
      <c r="BZ215" s="14"/>
      <c r="CA215" s="14"/>
      <c r="CB215" s="21"/>
      <c r="CC215" s="21"/>
      <c r="CD215" s="180"/>
      <c r="CE215" s="181"/>
      <c r="CF215" s="31"/>
      <c r="CG215" s="31"/>
      <c r="CH215" s="31"/>
      <c r="CI215" s="14"/>
      <c r="CJ215" s="14"/>
      <c r="CK215" s="14"/>
      <c r="CL215" s="14"/>
      <c r="CM215" s="14"/>
      <c r="CN215" s="14"/>
      <c r="CO215" s="129"/>
      <c r="CP215" s="14"/>
      <c r="CQ215" s="47"/>
      <c r="CR215" s="14"/>
      <c r="CS215" s="14"/>
      <c r="CT215" s="14"/>
      <c r="CU215" s="14"/>
      <c r="CV215" s="180"/>
      <c r="CW215" s="190"/>
      <c r="CX215" s="191"/>
      <c r="CY215" s="31"/>
      <c r="CZ215" s="31"/>
      <c r="DA215" s="14"/>
      <c r="DB215" s="14"/>
      <c r="DC215" s="14"/>
      <c r="DD215" s="14"/>
      <c r="DE215" s="14"/>
      <c r="DF215" s="14"/>
      <c r="DG215" s="129"/>
      <c r="DH215" s="14"/>
      <c r="DI215" s="47"/>
      <c r="DJ215" s="14"/>
      <c r="DK215" s="13"/>
      <c r="DL215" s="13"/>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row>
    <row r="216" spans="1:142" s="131" customFormat="1" x14ac:dyDescent="0.25">
      <c r="A216" s="78"/>
      <c r="B216" s="78" t="s">
        <v>302</v>
      </c>
      <c r="C216" s="78"/>
      <c r="D216" s="79"/>
      <c r="E216" s="78"/>
      <c r="F216" s="78"/>
      <c r="G216" s="78"/>
      <c r="H216" s="79"/>
      <c r="I216" s="79"/>
      <c r="J216" s="78"/>
      <c r="K216" s="78"/>
      <c r="L216" s="78"/>
      <c r="M216" s="78"/>
      <c r="N216" s="78"/>
      <c r="O216" s="78"/>
      <c r="P216" s="78"/>
      <c r="Q216" s="82"/>
      <c r="R216" s="83"/>
      <c r="S216" s="78" t="str">
        <f>$B216</f>
        <v>Combined total responses</v>
      </c>
      <c r="T216" s="78"/>
      <c r="U216" s="78"/>
      <c r="V216" s="78"/>
      <c r="W216" s="78"/>
      <c r="X216" s="78"/>
      <c r="Y216" s="78"/>
      <c r="Z216" s="78"/>
      <c r="AA216" s="78"/>
      <c r="AB216" s="78"/>
      <c r="AC216" s="78"/>
      <c r="AD216" s="80"/>
      <c r="AE216" s="81"/>
      <c r="AF216" s="373"/>
      <c r="AG216" s="83"/>
      <c r="AH216" s="78" t="str">
        <f>$B216</f>
        <v>Combined total responses</v>
      </c>
      <c r="AI216" s="78"/>
      <c r="AJ216" s="78"/>
      <c r="AK216" s="78"/>
      <c r="AL216" s="78"/>
      <c r="AM216" s="78"/>
      <c r="AN216" s="78"/>
      <c r="AO216" s="78"/>
      <c r="AP216" s="78"/>
      <c r="AQ216" s="78"/>
      <c r="AR216" s="78"/>
      <c r="AS216" s="80"/>
      <c r="AT216" s="81"/>
      <c r="AU216" s="373"/>
      <c r="AV216" s="78"/>
      <c r="AW216" s="78" t="str">
        <f>$B216</f>
        <v>Combined total responses</v>
      </c>
      <c r="AX216" s="78"/>
      <c r="AY216" s="78"/>
      <c r="AZ216" s="78"/>
      <c r="BA216" s="78"/>
      <c r="BB216" s="78"/>
      <c r="BC216" s="78"/>
      <c r="BD216" s="78"/>
      <c r="BE216" s="78"/>
      <c r="BF216" s="78"/>
      <c r="BG216" s="78"/>
      <c r="BH216" s="80"/>
      <c r="BI216" s="81"/>
      <c r="BJ216" s="373"/>
      <c r="BK216" s="83"/>
      <c r="BL216" s="78" t="str">
        <f>$B216</f>
        <v>Combined total responses</v>
      </c>
      <c r="BM216" s="78"/>
      <c r="BN216" s="78"/>
      <c r="BO216" s="78"/>
      <c r="BP216" s="78"/>
      <c r="BQ216" s="78"/>
      <c r="BR216" s="78"/>
      <c r="BS216" s="78"/>
      <c r="BT216" s="78"/>
      <c r="BU216" s="78"/>
      <c r="BV216" s="78"/>
      <c r="BW216" s="80"/>
      <c r="BX216" s="81"/>
      <c r="BY216" s="373"/>
      <c r="BZ216" s="78"/>
      <c r="CA216" s="78" t="str">
        <f>$B216</f>
        <v>Combined total responses</v>
      </c>
      <c r="CB216" s="79"/>
      <c r="CC216" s="79"/>
      <c r="CD216" s="182"/>
      <c r="CE216" s="182"/>
      <c r="CF216" s="79"/>
      <c r="CG216" s="78"/>
      <c r="CH216" s="78"/>
      <c r="CI216" s="78"/>
      <c r="CJ216" s="78"/>
      <c r="CK216" s="78"/>
      <c r="CL216" s="78"/>
      <c r="CM216" s="78"/>
      <c r="CN216" s="78"/>
      <c r="CO216" s="78"/>
      <c r="CP216" s="78"/>
      <c r="CQ216" s="82"/>
      <c r="CR216" s="78"/>
      <c r="CS216" s="78" t="str">
        <f>$B216</f>
        <v>Combined total responses</v>
      </c>
      <c r="CT216" s="78"/>
      <c r="CU216" s="78"/>
      <c r="CV216" s="182"/>
      <c r="CW216" s="192"/>
      <c r="CX216" s="192"/>
      <c r="CY216" s="78"/>
      <c r="CZ216" s="78"/>
      <c r="DA216" s="78"/>
      <c r="DB216" s="78"/>
      <c r="DC216" s="78"/>
      <c r="DD216" s="78"/>
      <c r="DE216" s="78"/>
      <c r="DF216" s="78"/>
      <c r="DG216" s="78"/>
      <c r="DH216" s="78"/>
      <c r="DI216" s="82"/>
      <c r="DJ216" s="78"/>
      <c r="DK216" s="78" t="str">
        <f>$B216</f>
        <v>Combined total responses</v>
      </c>
      <c r="DL216" s="78"/>
      <c r="DM216" s="78"/>
      <c r="DN216" s="78"/>
      <c r="DO216" s="78"/>
      <c r="DP216" s="78"/>
      <c r="DQ216" s="78"/>
      <c r="DR216" s="78"/>
      <c r="DS216" s="78"/>
      <c r="DT216" s="78"/>
      <c r="DU216" s="78"/>
      <c r="DV216" s="78"/>
      <c r="DW216" s="78"/>
      <c r="DX216" s="78"/>
      <c r="DY216" s="78"/>
      <c r="DZ216" s="78"/>
      <c r="EA216" s="78"/>
      <c r="EB216" s="78"/>
      <c r="EC216" s="78"/>
      <c r="ED216" s="78"/>
      <c r="EE216" s="78"/>
      <c r="EF216" s="78"/>
      <c r="EG216" s="78"/>
      <c r="EH216" s="78"/>
      <c r="EI216" s="78"/>
      <c r="EJ216" s="78"/>
      <c r="EK216" s="78"/>
      <c r="EL216" s="78"/>
    </row>
    <row r="217" spans="1:142" x14ac:dyDescent="0.25">
      <c r="A217" s="14"/>
      <c r="B217" s="84" t="s">
        <v>301</v>
      </c>
      <c r="C217" s="84"/>
      <c r="D217" s="85"/>
      <c r="E217" s="84"/>
      <c r="F217" s="14"/>
      <c r="G217" s="14"/>
      <c r="H217" s="21"/>
      <c r="I217" s="21"/>
      <c r="J217" s="14"/>
      <c r="K217" s="14"/>
      <c r="L217" s="14"/>
      <c r="M217" s="14"/>
      <c r="N217" s="14"/>
      <c r="O217" s="14"/>
      <c r="P217" s="14"/>
      <c r="Q217" s="47"/>
      <c r="R217" s="19"/>
      <c r="S217" s="84" t="s">
        <v>322</v>
      </c>
      <c r="T217" s="84"/>
      <c r="U217" s="85"/>
      <c r="V217" s="84"/>
      <c r="W217" s="14"/>
      <c r="X217" s="14"/>
      <c r="Y217" s="14"/>
      <c r="Z217" s="14"/>
      <c r="AA217" s="14"/>
      <c r="AB217" s="14"/>
      <c r="AC217" s="14"/>
      <c r="AD217" s="65"/>
      <c r="AE217" s="63"/>
      <c r="AF217" s="352"/>
      <c r="AG217" s="19"/>
      <c r="AH217" s="84" t="s">
        <v>328</v>
      </c>
      <c r="AI217" s="84"/>
      <c r="AJ217" s="85"/>
      <c r="AK217" s="84"/>
      <c r="AL217" s="84"/>
      <c r="AM217" s="14"/>
      <c r="AN217" s="14"/>
      <c r="AO217" s="14"/>
      <c r="AP217" s="14"/>
      <c r="AQ217" s="14"/>
      <c r="AR217" s="14"/>
      <c r="AS217" s="65"/>
      <c r="AT217" s="63"/>
      <c r="AU217" s="352"/>
      <c r="AV217" s="14"/>
      <c r="AW217" s="84" t="s">
        <v>347</v>
      </c>
      <c r="AX217" s="84"/>
      <c r="AY217" s="85"/>
      <c r="AZ217" s="84"/>
      <c r="BA217" s="84"/>
      <c r="BB217" s="14"/>
      <c r="BC217" s="14"/>
      <c r="BD217" s="14"/>
      <c r="BE217" s="14"/>
      <c r="BF217" s="14"/>
      <c r="BG217" s="14"/>
      <c r="BH217" s="65"/>
      <c r="BI217" s="63"/>
      <c r="BJ217" s="352"/>
      <c r="BK217" s="19"/>
      <c r="BL217" s="84" t="s">
        <v>348</v>
      </c>
      <c r="BM217" s="84"/>
      <c r="BN217" s="85"/>
      <c r="BO217" s="84"/>
      <c r="BP217" s="84"/>
      <c r="BQ217" s="14"/>
      <c r="BR217" s="14"/>
      <c r="BS217" s="14"/>
      <c r="BT217" s="14"/>
      <c r="BU217" s="14"/>
      <c r="BV217" s="14"/>
      <c r="BW217" s="65"/>
      <c r="BX217" s="63"/>
      <c r="BY217" s="352"/>
      <c r="BZ217" s="14"/>
      <c r="CA217" s="148" t="s">
        <v>303</v>
      </c>
      <c r="CB217" s="85"/>
      <c r="CC217" s="85"/>
      <c r="CD217" s="186"/>
      <c r="CE217" s="185"/>
      <c r="CF217" s="147"/>
      <c r="CG217" s="14"/>
      <c r="CH217" s="14"/>
      <c r="CI217" s="14"/>
      <c r="CJ217" s="14"/>
      <c r="CK217" s="14"/>
      <c r="CL217" s="14"/>
      <c r="CM217" s="14"/>
      <c r="CN217" s="14"/>
      <c r="CO217" s="129"/>
      <c r="CP217" s="14"/>
      <c r="CQ217" s="47"/>
      <c r="CR217" s="14"/>
      <c r="CS217" s="84" t="s">
        <v>304</v>
      </c>
      <c r="CT217" s="84"/>
      <c r="CU217" s="85"/>
      <c r="CV217" s="186"/>
      <c r="CW217" s="189"/>
      <c r="CX217" s="189"/>
      <c r="CY217" s="14"/>
      <c r="CZ217" s="14"/>
      <c r="DA217" s="14"/>
      <c r="DB217" s="14"/>
      <c r="DC217" s="14"/>
      <c r="DD217" s="14"/>
      <c r="DE217" s="14"/>
      <c r="DF217" s="14"/>
      <c r="DG217" s="129"/>
      <c r="DH217" s="14"/>
      <c r="DI217" s="47"/>
      <c r="DJ217" s="14"/>
      <c r="DK217" s="84" t="s">
        <v>305</v>
      </c>
      <c r="DL217" s="84"/>
      <c r="DM217" s="85"/>
      <c r="DN217" s="8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row>
    <row r="218" spans="1:142" x14ac:dyDescent="0.25">
      <c r="A218" s="14"/>
      <c r="B218" s="14"/>
      <c r="C218" s="14"/>
      <c r="D218" s="27"/>
      <c r="E218" s="19"/>
      <c r="F218" s="19"/>
      <c r="G218" s="14"/>
      <c r="H218" s="21"/>
      <c r="I218" s="21"/>
      <c r="J218" s="14"/>
      <c r="K218" s="14"/>
      <c r="L218" s="14"/>
      <c r="M218" s="14"/>
      <c r="N218" s="14"/>
      <c r="O218" s="14"/>
      <c r="P218" s="14"/>
      <c r="Q218" s="47"/>
      <c r="R218" s="19"/>
      <c r="S218" s="14"/>
      <c r="T218" s="14"/>
      <c r="U218" s="14"/>
      <c r="V218" s="14"/>
      <c r="W218" s="14"/>
      <c r="X218" s="14"/>
      <c r="Y218" s="14"/>
      <c r="Z218" s="14"/>
      <c r="AA218" s="14"/>
      <c r="AB218" s="14"/>
      <c r="AC218" s="14"/>
      <c r="AD218" s="65"/>
      <c r="AE218" s="63"/>
      <c r="AF218" s="352"/>
      <c r="AG218" s="19"/>
      <c r="AH218" s="14"/>
      <c r="AI218" s="14"/>
      <c r="AJ218" s="14"/>
      <c r="AK218" s="14"/>
      <c r="AL218" s="14"/>
      <c r="AM218" s="14"/>
      <c r="AN218" s="14"/>
      <c r="AO218" s="14"/>
      <c r="AP218" s="14"/>
      <c r="AQ218" s="14"/>
      <c r="AR218" s="14"/>
      <c r="AS218" s="65"/>
      <c r="AT218" s="63"/>
      <c r="AU218" s="352"/>
      <c r="AV218" s="14"/>
      <c r="AW218" s="14"/>
      <c r="AX218" s="14"/>
      <c r="AY218" s="14"/>
      <c r="AZ218" s="14"/>
      <c r="BA218" s="14"/>
      <c r="BB218" s="14"/>
      <c r="BC218" s="14"/>
      <c r="BD218" s="14"/>
      <c r="BE218" s="14"/>
      <c r="BF218" s="14"/>
      <c r="BG218" s="14"/>
      <c r="BH218" s="65"/>
      <c r="BI218" s="63"/>
      <c r="BJ218" s="352"/>
      <c r="BK218" s="19"/>
      <c r="BL218" s="14"/>
      <c r="BM218" s="14"/>
      <c r="BN218" s="14"/>
      <c r="BO218" s="14"/>
      <c r="BP218" s="14"/>
      <c r="BQ218" s="14"/>
      <c r="BR218" s="14"/>
      <c r="BS218" s="14"/>
      <c r="BT218" s="14"/>
      <c r="BU218" s="14"/>
      <c r="BV218" s="14"/>
      <c r="BW218" s="65"/>
      <c r="BX218" s="63"/>
      <c r="BY218" s="352"/>
      <c r="BZ218" s="14"/>
      <c r="CA218" s="14"/>
      <c r="CB218" s="21"/>
      <c r="CC218" s="21"/>
      <c r="CD218" s="180"/>
      <c r="CE218" s="180"/>
      <c r="CF218" s="21"/>
      <c r="CG218" s="14"/>
      <c r="CH218" s="14"/>
      <c r="CI218" s="14"/>
      <c r="CJ218" s="14"/>
      <c r="CK218" s="14"/>
      <c r="CL218" s="14"/>
      <c r="CM218" s="14"/>
      <c r="CN218" s="14"/>
      <c r="CO218" s="129"/>
      <c r="CP218" s="14"/>
      <c r="CQ218" s="47"/>
      <c r="CR218" s="14"/>
      <c r="CS218" s="14"/>
      <c r="CT218" s="14"/>
      <c r="CU218" s="14"/>
      <c r="CV218" s="180"/>
      <c r="CW218" s="189"/>
      <c r="CX218" s="189"/>
      <c r="CY218" s="14"/>
      <c r="CZ218" s="14"/>
      <c r="DA218" s="14"/>
      <c r="DB218" s="14"/>
      <c r="DC218" s="14"/>
      <c r="DD218" s="14"/>
      <c r="DE218" s="14"/>
      <c r="DF218" s="14"/>
      <c r="DG218" s="129"/>
      <c r="DH218" s="14"/>
      <c r="DI218" s="47"/>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row>
    <row r="219" spans="1:142" ht="28.5" customHeight="1" x14ac:dyDescent="0.25">
      <c r="A219" s="14"/>
      <c r="B219" s="112" t="s">
        <v>23</v>
      </c>
      <c r="C219" s="113" t="s">
        <v>24</v>
      </c>
      <c r="D219" s="113" t="s">
        <v>145</v>
      </c>
      <c r="E219" s="113" t="s">
        <v>300</v>
      </c>
      <c r="F219" s="19"/>
      <c r="G219" s="14"/>
      <c r="H219" s="21"/>
      <c r="I219" s="21"/>
      <c r="J219" s="14"/>
      <c r="K219" s="19"/>
      <c r="L219" s="51"/>
      <c r="M219" s="51"/>
      <c r="N219" s="51"/>
      <c r="O219" s="51"/>
      <c r="P219" s="51"/>
      <c r="Q219" s="47"/>
      <c r="R219" s="19"/>
      <c r="S219" s="112" t="s">
        <v>23</v>
      </c>
      <c r="T219" s="113" t="s">
        <v>24</v>
      </c>
      <c r="U219" s="113" t="s">
        <v>145</v>
      </c>
      <c r="V219" s="113" t="s">
        <v>300</v>
      </c>
      <c r="W219" s="14"/>
      <c r="X219" s="14"/>
      <c r="Y219" s="14"/>
      <c r="Z219" s="14"/>
      <c r="AA219" s="56"/>
      <c r="AB219" s="56"/>
      <c r="AC219" s="56"/>
      <c r="AD219" s="65"/>
      <c r="AE219" s="63"/>
      <c r="AF219" s="352"/>
      <c r="AG219" s="19"/>
      <c r="AH219" s="112" t="s">
        <v>23</v>
      </c>
      <c r="AI219" s="113" t="s">
        <v>24</v>
      </c>
      <c r="AJ219" s="113" t="s">
        <v>145</v>
      </c>
      <c r="AK219" s="113" t="s">
        <v>300</v>
      </c>
      <c r="AL219" s="14"/>
      <c r="AM219" s="14"/>
      <c r="AN219" s="14"/>
      <c r="AO219" s="14"/>
      <c r="AP219" s="56"/>
      <c r="AQ219" s="56"/>
      <c r="AR219" s="56"/>
      <c r="AS219" s="65"/>
      <c r="AT219" s="63"/>
      <c r="AU219" s="352"/>
      <c r="AV219" s="14"/>
      <c r="AW219" s="112" t="s">
        <v>23</v>
      </c>
      <c r="AX219" s="113" t="s">
        <v>24</v>
      </c>
      <c r="AY219" s="113" t="s">
        <v>145</v>
      </c>
      <c r="AZ219" s="113" t="s">
        <v>300</v>
      </c>
      <c r="BA219" s="14"/>
      <c r="BB219" s="14"/>
      <c r="BC219" s="14"/>
      <c r="BD219" s="14"/>
      <c r="BE219" s="56"/>
      <c r="BF219" s="56"/>
      <c r="BG219" s="56"/>
      <c r="BH219" s="65"/>
      <c r="BI219" s="63"/>
      <c r="BJ219" s="352"/>
      <c r="BK219" s="19"/>
      <c r="BL219" s="112" t="s">
        <v>23</v>
      </c>
      <c r="BM219" s="113" t="s">
        <v>24</v>
      </c>
      <c r="BN219" s="113" t="s">
        <v>145</v>
      </c>
      <c r="BO219" s="113" t="s">
        <v>300</v>
      </c>
      <c r="BP219" s="14"/>
      <c r="BQ219" s="14"/>
      <c r="BR219" s="14"/>
      <c r="BS219" s="14"/>
      <c r="BT219" s="56"/>
      <c r="BU219" s="56"/>
      <c r="BV219" s="56"/>
      <c r="BW219" s="65"/>
      <c r="BX219" s="63"/>
      <c r="BY219" s="352"/>
      <c r="BZ219" s="14"/>
      <c r="CA219" s="112" t="s">
        <v>23</v>
      </c>
      <c r="CB219" s="113" t="s">
        <v>145</v>
      </c>
      <c r="CC219" s="21"/>
      <c r="CD219" s="180"/>
      <c r="CE219" s="180"/>
      <c r="CF219" s="21"/>
      <c r="CG219" s="17"/>
      <c r="CH219" s="17"/>
      <c r="CI219" s="17"/>
      <c r="CJ219" s="17"/>
      <c r="CK219" s="17"/>
      <c r="CL219" s="17"/>
      <c r="CM219" s="17"/>
      <c r="CN219" s="17"/>
      <c r="CO219" s="20"/>
      <c r="CP219" s="17"/>
      <c r="CQ219" s="47"/>
      <c r="CR219" s="14"/>
      <c r="CS219" s="112" t="s">
        <v>23</v>
      </c>
      <c r="CT219" s="113" t="s">
        <v>145</v>
      </c>
      <c r="CU219" s="14"/>
      <c r="CV219" s="180"/>
      <c r="CW219" s="189"/>
      <c r="CX219" s="189"/>
      <c r="CY219" s="17"/>
      <c r="CZ219" s="17"/>
      <c r="DA219" s="17"/>
      <c r="DB219" s="17"/>
      <c r="DC219" s="17"/>
      <c r="DD219" s="17"/>
      <c r="DE219" s="17"/>
      <c r="DF219" s="17"/>
      <c r="DG219" s="20"/>
      <c r="DH219" s="17"/>
      <c r="DI219" s="47"/>
      <c r="DJ219" s="17"/>
      <c r="DK219" s="112" t="s">
        <v>23</v>
      </c>
      <c r="DL219" s="113" t="s">
        <v>24</v>
      </c>
      <c r="DM219" s="113" t="s">
        <v>145</v>
      </c>
      <c r="DN219" s="113" t="s">
        <v>300</v>
      </c>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row>
    <row r="220" spans="1:142" x14ac:dyDescent="0.25">
      <c r="A220" s="14"/>
      <c r="B220" s="57" t="s">
        <v>306</v>
      </c>
      <c r="C220" s="121" t="str">
        <f>INDEX(G233:G238,MATCH(MAX(H233:H238),H233:H238,0),1)</f>
        <v>Sometimes</v>
      </c>
      <c r="D220" s="58">
        <f>H239</f>
        <v>18</v>
      </c>
      <c r="E220" s="121">
        <f>H238</f>
        <v>2</v>
      </c>
      <c r="F220" s="19"/>
      <c r="G220" s="14"/>
      <c r="H220" s="21"/>
      <c r="I220" s="21"/>
      <c r="J220" s="14"/>
      <c r="K220" s="19"/>
      <c r="L220" s="40"/>
      <c r="M220" s="40"/>
      <c r="N220" s="40"/>
      <c r="O220" s="40"/>
      <c r="P220" s="40"/>
      <c r="Q220" s="47"/>
      <c r="R220" s="19"/>
      <c r="S220" s="34" t="s">
        <v>306</v>
      </c>
      <c r="T220" s="37" t="str">
        <f>IF(Y241=0,"na",IF(COUNTIF(Y234:Y240,MAX(Y234:Y240))&gt;COUNTIF(X234:X240,"&lt;&gt;""")/2,"No clear choice of the most common response",INDEX(X234:X240,MATCH(MAX(Y234:Y240),Y234:Y240,0),1)))</f>
        <v>Moderately likely</v>
      </c>
      <c r="U220" s="33">
        <f>Y241</f>
        <v>17</v>
      </c>
      <c r="V220" s="37">
        <f>Y240</f>
        <v>2</v>
      </c>
      <c r="W220" s="14"/>
      <c r="X220" s="14"/>
      <c r="Y220" s="14"/>
      <c r="Z220" s="14"/>
      <c r="AA220" s="19"/>
      <c r="AB220" s="19"/>
      <c r="AC220" s="19"/>
      <c r="AD220" s="65"/>
      <c r="AE220" s="63"/>
      <c r="AF220" s="352"/>
      <c r="AG220" s="19"/>
      <c r="AH220" s="57" t="s">
        <v>306</v>
      </c>
      <c r="AI220" s="121" t="str">
        <f>IF(AN241=0,"na",IF(COUNTIF(AN234:AN240,MAX(AN234:AN240))&gt;COUNTIF(AM234:AM240,"&lt;&gt;""")/2,"No clear choice of the most common response",INDEX(AM234:AM240,MATCH(MAX(AN234:AN240),AN234:AN240,0),1)))</f>
        <v>Likely</v>
      </c>
      <c r="AJ220" s="58">
        <f>AN241</f>
        <v>15</v>
      </c>
      <c r="AK220" s="121">
        <f>AN240</f>
        <v>0</v>
      </c>
      <c r="AL220" s="14"/>
      <c r="AM220" s="14"/>
      <c r="AN220" s="14"/>
      <c r="AO220" s="14"/>
      <c r="AP220" s="19"/>
      <c r="AQ220" s="19"/>
      <c r="AR220" s="19"/>
      <c r="AS220" s="65"/>
      <c r="AT220" s="63"/>
      <c r="AU220" s="352"/>
      <c r="AV220" s="14"/>
      <c r="AW220" s="57" t="s">
        <v>306</v>
      </c>
      <c r="AX220" s="121" t="str">
        <f>IF(BC241=0,"na",IF(COUNTIF(BC234:BC240,MAX(BC234:BC240))&gt;COUNTIF(BB234:BB240,"&lt;&gt;""")/2,"No clear choice of the most common response",INDEX(BB234:BB240,MATCH(MAX(BC234:BC240),BC234:BC240,0),1)))</f>
        <v>Very likely</v>
      </c>
      <c r="AY220" s="58">
        <f>BC241</f>
        <v>15</v>
      </c>
      <c r="AZ220" s="121">
        <f>BC240</f>
        <v>0</v>
      </c>
      <c r="BA220" s="14"/>
      <c r="BB220" s="14"/>
      <c r="BC220" s="14"/>
      <c r="BD220" s="14"/>
      <c r="BE220" s="19"/>
      <c r="BF220" s="19"/>
      <c r="BG220" s="19"/>
      <c r="BH220" s="65"/>
      <c r="BI220" s="63"/>
      <c r="BJ220" s="352"/>
      <c r="BK220" s="19"/>
      <c r="BL220" s="57" t="s">
        <v>306</v>
      </c>
      <c r="BM220" s="121" t="str">
        <f>IF(BR241=0,"na",IF(COUNTIF(BR234:BR240,MAX(BR234:BR240))&gt;COUNTIF(BQ234:BQ240,"&lt;&gt;""")/2,"No clear choice of the most common response",INDEX(BQ234:BQ240,MATCH(MAX(BR234:BR240),BR234:BR240,0),1)))</f>
        <v>Very likely</v>
      </c>
      <c r="BN220" s="58">
        <f>BR241</f>
        <v>15</v>
      </c>
      <c r="BO220" s="121">
        <f>BR240</f>
        <v>0</v>
      </c>
      <c r="BP220" s="14"/>
      <c r="BQ220" s="14"/>
      <c r="BR220" s="14"/>
      <c r="BS220" s="14"/>
      <c r="BT220" s="19"/>
      <c r="BU220" s="19"/>
      <c r="BV220" s="19"/>
      <c r="BW220" s="65"/>
      <c r="BX220" s="63"/>
      <c r="BY220" s="352"/>
      <c r="BZ220" s="14"/>
      <c r="CA220" s="34" t="s">
        <v>155</v>
      </c>
      <c r="CB220" s="37">
        <f>CB193+CB166+CB139+CB112+CB85+CB58</f>
        <v>17</v>
      </c>
      <c r="CC220" s="21"/>
      <c r="CD220" s="180"/>
      <c r="CE220" s="180"/>
      <c r="CF220" s="21"/>
      <c r="CG220" s="29"/>
      <c r="CH220" s="29"/>
      <c r="CI220" s="29"/>
      <c r="CJ220" s="29"/>
      <c r="CK220" s="29"/>
      <c r="CL220" s="29"/>
      <c r="CM220" s="29"/>
      <c r="CN220" s="29"/>
      <c r="CO220" s="38"/>
      <c r="CP220" s="29"/>
      <c r="CQ220" s="47"/>
      <c r="CR220" s="14"/>
      <c r="CS220" s="34" t="s">
        <v>155</v>
      </c>
      <c r="CT220" s="37">
        <f>CT193+CT166+CT139+CT112+CT85+CT58</f>
        <v>13</v>
      </c>
      <c r="CU220" s="14"/>
      <c r="CV220" s="180"/>
      <c r="CW220" s="189"/>
      <c r="CX220" s="189"/>
      <c r="CY220" s="29"/>
      <c r="CZ220" s="29"/>
      <c r="DA220" s="29"/>
      <c r="DB220" s="29"/>
      <c r="DC220" s="29"/>
      <c r="DD220" s="29"/>
      <c r="DE220" s="29"/>
      <c r="DF220" s="29"/>
      <c r="DG220" s="38"/>
      <c r="DH220" s="29"/>
      <c r="DI220" s="47"/>
      <c r="DJ220" s="29"/>
      <c r="DK220" s="34" t="s">
        <v>306</v>
      </c>
      <c r="DL220" s="37" t="str">
        <f>INDEX(DP233:DP238,MATCH(MAX(DQ233:DQ238),DQ233:DQ238,0),1)</f>
        <v>Sometimes</v>
      </c>
      <c r="DM220" s="33">
        <f>DQ239</f>
        <v>18</v>
      </c>
      <c r="DN220" s="37">
        <f>DQ238</f>
        <v>1</v>
      </c>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row>
    <row r="221" spans="1:142" x14ac:dyDescent="0.25">
      <c r="A221" s="14"/>
      <c r="B221" s="57"/>
      <c r="C221" s="121" t="str">
        <f ca="1">IF(COUNTIF(H233:H238,MAX(H233:H238))=1,"",    INDEX(OFFSET(G233,MATCH(C220,G233:G238,0),0):G238,         MATCH(MAX(H233:H238),OFFSET(H233,MATCH(C220,G233:G238,0),0):H238,0),1)      )</f>
        <v/>
      </c>
      <c r="D221" s="58"/>
      <c r="E221" s="121"/>
      <c r="F221" s="19"/>
      <c r="G221" s="14"/>
      <c r="H221" s="21"/>
      <c r="I221" s="21"/>
      <c r="J221" s="14"/>
      <c r="K221" s="19"/>
      <c r="L221" s="40"/>
      <c r="M221" s="40"/>
      <c r="N221" s="40"/>
      <c r="O221" s="40"/>
      <c r="P221" s="40"/>
      <c r="Q221" s="47"/>
      <c r="R221" s="19"/>
      <c r="S221" s="34"/>
      <c r="T221" s="37" t="str">
        <f ca="1">IF(Y241=0,"",IF(COUNTIF(Y234:Y240,MAX(Y234:Y240))=1,"",IF(COUNTIF(Y234:Y240,MAX(Y234:Y240))&gt;COUNTIF(X234:X240,"&lt;&gt;""")/2,"",INDEX(OFFSET(X234,MATCH(T220,X234:X240,0),0):X240,MATCH(MAX(Y234:Y240),OFFSET(Y234,MATCH(T220,X234:X240,0),0):Y240,0),1))))</f>
        <v/>
      </c>
      <c r="U221" s="33"/>
      <c r="V221" s="37"/>
      <c r="W221" s="14"/>
      <c r="X221" s="14"/>
      <c r="Y221" s="14"/>
      <c r="Z221" s="14"/>
      <c r="AA221" s="19"/>
      <c r="AB221" s="19"/>
      <c r="AC221" s="19"/>
      <c r="AD221" s="65"/>
      <c r="AE221" s="63"/>
      <c r="AF221" s="352"/>
      <c r="AG221" s="19"/>
      <c r="AH221" s="57"/>
      <c r="AI221" s="121" t="str">
        <f ca="1">IF(AN241=0,"",IF(COUNTIF(AN234:AN240,MAX(AN234:AN240))=1,"",IF(COUNTIF(AN234:AN240,MAX(AN234:AN240))&gt;COUNTIF(AM234:AM240,"&lt;&gt;""")/2,"",INDEX(OFFSET(AM234,MATCH(AI220,AM234:AM240,0),0):AM240,MATCH(MAX(AN234:AN240),OFFSET(AN234,MATCH(AI220,AM234:AM240,0),0):AN240,0),1))))</f>
        <v/>
      </c>
      <c r="AJ221" s="58"/>
      <c r="AK221" s="121"/>
      <c r="AL221" s="14"/>
      <c r="AM221" s="14"/>
      <c r="AN221" s="14"/>
      <c r="AO221" s="14"/>
      <c r="AP221" s="19"/>
      <c r="AQ221" s="19"/>
      <c r="AR221" s="19"/>
      <c r="AS221" s="65"/>
      <c r="AT221" s="63"/>
      <c r="AU221" s="352"/>
      <c r="AV221" s="14"/>
      <c r="AW221" s="57"/>
      <c r="AX221" s="121" t="str">
        <f ca="1">IF(BC241=0,"",IF(COUNTIF(BC234:BC240,MAX(BC234:BC240))=1,"",IF(COUNTIF(BC234:BC240,MAX(BC234:BC240))&gt;COUNTIF(BB234:BB240,"&lt;&gt;""")/2,"",INDEX(OFFSET(BB234,MATCH(AX220,BB234:BB240,0),0):BB240,MATCH(MAX(BC234:BC240),OFFSET(BC234,MATCH(AX220,BB234:BB240,0),0):BC240,0),1))))</f>
        <v/>
      </c>
      <c r="AY221" s="58"/>
      <c r="AZ221" s="121"/>
      <c r="BA221" s="14"/>
      <c r="BB221" s="14"/>
      <c r="BC221" s="14"/>
      <c r="BD221" s="14"/>
      <c r="BE221" s="19"/>
      <c r="BF221" s="19"/>
      <c r="BG221" s="19"/>
      <c r="BH221" s="65"/>
      <c r="BI221" s="63"/>
      <c r="BJ221" s="352"/>
      <c r="BK221" s="19"/>
      <c r="BL221" s="57"/>
      <c r="BM221" s="121" t="str">
        <f ca="1">IF(BR241=0,"",IF(COUNTIF(BR234:BR240,MAX(BR234:BR240))=1,"",IF(COUNTIF(BR234:BR240,MAX(BR234:BR240))&gt;COUNTIF(BQ234:BQ240,"&lt;&gt;""")/2,"",INDEX(OFFSET(BQ234,MATCH(BM220,BQ234:BQ240,0),0):BQ240,MATCH(MAX(BR234:BR240),OFFSET(BR234,MATCH(BM220,BQ234:BQ240,0),0):BR240,0),1))))</f>
        <v/>
      </c>
      <c r="BN221" s="58"/>
      <c r="BO221" s="121"/>
      <c r="BP221" s="14"/>
      <c r="BQ221" s="14"/>
      <c r="BR221" s="14"/>
      <c r="BS221" s="14"/>
      <c r="BT221" s="19"/>
      <c r="BU221" s="19"/>
      <c r="BV221" s="19"/>
      <c r="BW221" s="65"/>
      <c r="BX221" s="63"/>
      <c r="BY221" s="352"/>
      <c r="BZ221" s="14"/>
      <c r="CA221" s="14"/>
      <c r="CB221" s="21"/>
      <c r="CC221" s="21"/>
      <c r="CD221" s="180"/>
      <c r="CE221" s="180"/>
      <c r="CF221" s="21"/>
      <c r="CG221" s="29"/>
      <c r="CH221" s="29"/>
      <c r="CI221" s="29"/>
      <c r="CJ221" s="29"/>
      <c r="CK221" s="29"/>
      <c r="CL221" s="29"/>
      <c r="CM221" s="29"/>
      <c r="CN221" s="29"/>
      <c r="CO221" s="38"/>
      <c r="CP221" s="29"/>
      <c r="CQ221" s="47"/>
      <c r="CR221" s="14"/>
      <c r="CS221" s="14"/>
      <c r="CT221" s="14"/>
      <c r="CU221" s="14"/>
      <c r="CV221" s="180"/>
      <c r="CW221" s="189"/>
      <c r="CX221" s="189"/>
      <c r="CY221" s="29"/>
      <c r="CZ221" s="29"/>
      <c r="DA221" s="29"/>
      <c r="DB221" s="29"/>
      <c r="DC221" s="29"/>
      <c r="DD221" s="29"/>
      <c r="DE221" s="29"/>
      <c r="DF221" s="29"/>
      <c r="DG221" s="38"/>
      <c r="DH221" s="29"/>
      <c r="DI221" s="47"/>
      <c r="DJ221" s="29"/>
      <c r="DK221" s="34"/>
      <c r="DL221" s="37" t="str">
        <f ca="1">IF(DQ239=0,"",IF(COUNTIF(DQ234:DQ238,MAX(DQ234:DQ238))=1,"",IF(COUNTIF(DQ234:DQ238,MAX(DQ234:DQ238))&gt;COUNTIF(DP234:DP238,"&lt;&gt;""")/2,"",INDEX(OFFSET(DP234,MATCH(DL220,DP234:DP239,0),0):DP238,MATCH(MAX(DQ234:DQ238),OFFSET(DQ234,MATCH(DL220,DP234:DP239,0),0):DQ238,0),1))))</f>
        <v/>
      </c>
      <c r="DM221" s="33"/>
      <c r="DN221" s="37"/>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row>
    <row r="222" spans="1:142" x14ac:dyDescent="0.25">
      <c r="A222" s="14"/>
      <c r="B222" s="57"/>
      <c r="C222" s="121" t="str">
        <f ca="1">IF(COUNTIF(H233:H238,MAX(H233:H238))&lt;=2,"",    INDEX(OFFSET(G233,MATCH(C221,G233:G238,0),0):G238,         MATCH(MAX(H233:H238),        OFFSET(H233,MATCH(C221,G233:G238,0),0):H238,0),1)      )</f>
        <v/>
      </c>
      <c r="D222" s="58"/>
      <c r="E222" s="121"/>
      <c r="F222" s="19"/>
      <c r="G222" s="14"/>
      <c r="H222" s="21"/>
      <c r="I222" s="21"/>
      <c r="J222" s="14"/>
      <c r="K222" s="19"/>
      <c r="L222" s="40"/>
      <c r="M222" s="40"/>
      <c r="N222" s="40"/>
      <c r="O222" s="40"/>
      <c r="P222" s="40"/>
      <c r="Q222" s="47"/>
      <c r="R222" s="19"/>
      <c r="S222" s="34"/>
      <c r="T222" s="121" t="str">
        <f ca="1" xml:space="preserve"> IF(Y241=0,"",IF(Y241=0,"", IF(COUNTIF(Y234:Y240,MAX(Y234:Y240))&lt;=2,"",IF(COUNTIF(Y234:Y240,MAX(Y234:Y240))&gt;COUNTIF(X234:X240,"&lt;&gt;""")/2,"", INDEX(OFFSET(X234,MATCH(T221,X234:X240,0),0):X240,         MATCH(MAX(Y234:Y240),        OFFSET(Y234,MATCH(T221,X234:X240,0),0):Y240,0),1)))))</f>
        <v/>
      </c>
      <c r="U222" s="33"/>
      <c r="V222" s="37"/>
      <c r="W222" s="14"/>
      <c r="X222" s="14"/>
      <c r="Y222" s="14"/>
      <c r="Z222" s="14"/>
      <c r="AA222" s="19"/>
      <c r="AB222" s="19"/>
      <c r="AC222" s="19"/>
      <c r="AD222" s="65"/>
      <c r="AE222" s="63"/>
      <c r="AF222" s="352"/>
      <c r="AG222" s="19"/>
      <c r="AH222" s="57"/>
      <c r="AI222" s="121" t="str">
        <f ca="1" xml:space="preserve"> IF(AN241=0,"",IF(AN241=0,"", IF(COUNTIF(AN234:AN240,MAX(AN234:AN240))&lt;=2,"",IF(COUNTIF(AN234:AN240,MAX(AN234:AN240))&gt;COUNTIF(AM234:AM240,"&lt;&gt;""")/2,"", INDEX(OFFSET(AM234,MATCH(AI221,AM234:AM240,0),0):AM240,         MATCH(MAX(AN234:AN240),        OFFSET(AN234,MATCH(AI221,AM234:AM240,0),0):AN240,0),1)))))</f>
        <v/>
      </c>
      <c r="AJ222" s="58"/>
      <c r="AK222" s="121"/>
      <c r="AL222" s="14"/>
      <c r="AM222" s="14"/>
      <c r="AN222" s="14"/>
      <c r="AO222" s="14"/>
      <c r="AP222" s="19"/>
      <c r="AQ222" s="19"/>
      <c r="AR222" s="19"/>
      <c r="AS222" s="65"/>
      <c r="AT222" s="63"/>
      <c r="AU222" s="352"/>
      <c r="AV222" s="14"/>
      <c r="AW222" s="57"/>
      <c r="AX222" s="121" t="str">
        <f ca="1" xml:space="preserve"> IF(BC241=0,"",IF(BC241=0,"", IF(COUNTIF(BC234:BC240,MAX(BC234:BC240))&lt;=2,"",IF(COUNTIF(BC234:BC240,MAX(BC234:BC240))&gt;COUNTIF(BB234:BB240,"&lt;&gt;""")/2,"", INDEX(OFFSET(BB234,MATCH(AX221,BB234:BB240,0),0):BB240,         MATCH(MAX(BC234:BC240),        OFFSET(BC234,MATCH(AX221,BB234:BB240,0),0):BC240,0),1)))))</f>
        <v/>
      </c>
      <c r="AY222" s="58"/>
      <c r="AZ222" s="121"/>
      <c r="BA222" s="14"/>
      <c r="BB222" s="14"/>
      <c r="BC222" s="14"/>
      <c r="BD222" s="14"/>
      <c r="BE222" s="19"/>
      <c r="BF222" s="19"/>
      <c r="BG222" s="19"/>
      <c r="BH222" s="65"/>
      <c r="BI222" s="63"/>
      <c r="BJ222" s="352"/>
      <c r="BK222" s="19"/>
      <c r="BL222" s="57"/>
      <c r="BM222" s="121" t="str">
        <f ca="1" xml:space="preserve"> IF(BR241=0,"",IF(BR241=0,"", IF(COUNTIF(BR234:BR240,MAX(BR234:BR240))&lt;=2,"",IF(COUNTIF(BR234:BR240,MAX(BR234:BR240))&gt;COUNTIF(BQ234:BQ240,"&lt;&gt;""")/2,"", INDEX(OFFSET(BQ234,MATCH(BM221,BQ234:BQ240,0),0):BQ240,         MATCH(MAX(BR234:BR240),        OFFSET(BR234,MATCH(BM221,BQ234:BQ240,0),0):BR240,0),1)))))</f>
        <v/>
      </c>
      <c r="BN222" s="58"/>
      <c r="BO222" s="121"/>
      <c r="BP222" s="14"/>
      <c r="BQ222" s="14"/>
      <c r="BR222" s="14"/>
      <c r="BS222" s="14"/>
      <c r="BT222" s="19"/>
      <c r="BU222" s="19"/>
      <c r="BV222" s="19"/>
      <c r="BW222" s="65"/>
      <c r="BX222" s="63"/>
      <c r="BY222" s="352"/>
      <c r="BZ222" s="14"/>
      <c r="CA222" s="14"/>
      <c r="CB222" s="21"/>
      <c r="CC222" s="21"/>
      <c r="CD222" s="180"/>
      <c r="CE222" s="180"/>
      <c r="CF222" s="21"/>
      <c r="CG222" s="29"/>
      <c r="CH222" s="29"/>
      <c r="CI222" s="29"/>
      <c r="CJ222" s="29"/>
      <c r="CK222" s="29"/>
      <c r="CL222" s="29"/>
      <c r="CM222" s="29"/>
      <c r="CN222" s="29"/>
      <c r="CO222" s="38"/>
      <c r="CP222" s="29"/>
      <c r="CQ222" s="47"/>
      <c r="CR222" s="14"/>
      <c r="CS222" s="14"/>
      <c r="CT222" s="14"/>
      <c r="CU222" s="14"/>
      <c r="CV222" s="180"/>
      <c r="CW222" s="189"/>
      <c r="CX222" s="189"/>
      <c r="CY222" s="29"/>
      <c r="CZ222" s="29"/>
      <c r="DA222" s="29"/>
      <c r="DB222" s="29"/>
      <c r="DC222" s="29"/>
      <c r="DD222" s="29"/>
      <c r="DE222" s="29"/>
      <c r="DF222" s="29"/>
      <c r="DG222" s="38"/>
      <c r="DH222" s="29"/>
      <c r="DI222" s="47"/>
      <c r="DJ222" s="29"/>
      <c r="DK222" s="34"/>
      <c r="DL222" s="37" t="str">
        <f ca="1">IF(DQ239=0,"",IF(COUNTIF(DQ234:DQ238,MAX(DQ234:DQ238))&lt;=2,"",IF(COUNTIF(DQ234:DQ238,MAX(DQ234:DQ238))&gt;COUNTIF(DP234:DP238,"&lt;&gt;""")/2,"",INDEX(OFFSET(DP234,MATCH(DL221,DP234:DP239,0),0):DP238,MATCH(MAX(DQ234:DQ238),OFFSET(DQ234,MATCH(DL221,DP234:DP239,0),0):DQ238,0),1))))</f>
        <v/>
      </c>
      <c r="DM222" s="33"/>
      <c r="DN222" s="37"/>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row>
    <row r="223" spans="1:142" x14ac:dyDescent="0.25">
      <c r="A223" s="14"/>
      <c r="B223" s="14"/>
      <c r="C223" s="14"/>
      <c r="D223" s="27"/>
      <c r="E223" s="19"/>
      <c r="F223" s="19"/>
      <c r="G223" s="14"/>
      <c r="H223" s="21"/>
      <c r="I223" s="21"/>
      <c r="J223" s="14"/>
      <c r="K223" s="19"/>
      <c r="L223" s="40"/>
      <c r="M223" s="40"/>
      <c r="N223" s="40"/>
      <c r="O223" s="40"/>
      <c r="P223" s="40"/>
      <c r="Q223" s="47"/>
      <c r="R223" s="19"/>
      <c r="S223" s="14"/>
      <c r="T223" s="14"/>
      <c r="U223" s="14"/>
      <c r="V223" s="14"/>
      <c r="W223" s="14"/>
      <c r="X223" s="14"/>
      <c r="Y223" s="14"/>
      <c r="Z223" s="14"/>
      <c r="AA223" s="19"/>
      <c r="AB223" s="19"/>
      <c r="AC223" s="19"/>
      <c r="AD223" s="65"/>
      <c r="AE223" s="63"/>
      <c r="AF223" s="352"/>
      <c r="AG223" s="19"/>
      <c r="AH223" s="14"/>
      <c r="AI223" s="14"/>
      <c r="AJ223" s="14"/>
      <c r="AK223" s="14"/>
      <c r="AL223" s="14"/>
      <c r="AM223" s="14"/>
      <c r="AN223" s="14"/>
      <c r="AO223" s="14"/>
      <c r="AP223" s="19"/>
      <c r="AQ223" s="19"/>
      <c r="AR223" s="19"/>
      <c r="AS223" s="65"/>
      <c r="AT223" s="63"/>
      <c r="AU223" s="352"/>
      <c r="AV223" s="14"/>
      <c r="AW223" s="14"/>
      <c r="AX223" s="14"/>
      <c r="AY223" s="14"/>
      <c r="AZ223" s="14"/>
      <c r="BA223" s="14"/>
      <c r="BB223" s="14"/>
      <c r="BC223" s="14"/>
      <c r="BD223" s="14"/>
      <c r="BE223" s="19"/>
      <c r="BF223" s="19"/>
      <c r="BG223" s="19"/>
      <c r="BH223" s="65"/>
      <c r="BI223" s="63"/>
      <c r="BJ223" s="352"/>
      <c r="BK223" s="19"/>
      <c r="BL223" s="14"/>
      <c r="BM223" s="14"/>
      <c r="BN223" s="14"/>
      <c r="BO223" s="14"/>
      <c r="BP223" s="14"/>
      <c r="BQ223" s="14"/>
      <c r="BR223" s="14"/>
      <c r="BS223" s="14"/>
      <c r="BT223" s="19"/>
      <c r="BU223" s="19"/>
      <c r="BV223" s="19"/>
      <c r="BW223" s="65"/>
      <c r="BX223" s="63"/>
      <c r="BY223" s="352"/>
      <c r="BZ223" s="14"/>
      <c r="CA223" s="14"/>
      <c r="CB223" s="21"/>
      <c r="CC223" s="21"/>
      <c r="CD223" s="180"/>
      <c r="CE223" s="180"/>
      <c r="CF223" s="21"/>
      <c r="CG223" s="29"/>
      <c r="CH223" s="29"/>
      <c r="CI223" s="29"/>
      <c r="CJ223" s="29"/>
      <c r="CK223" s="29"/>
      <c r="CL223" s="29"/>
      <c r="CM223" s="29"/>
      <c r="CN223" s="29"/>
      <c r="CO223" s="38"/>
      <c r="CP223" s="29"/>
      <c r="CQ223" s="47"/>
      <c r="CR223" s="14"/>
      <c r="CS223" s="14"/>
      <c r="CT223" s="14"/>
      <c r="CU223" s="14"/>
      <c r="CV223" s="180"/>
      <c r="CW223" s="189"/>
      <c r="CX223" s="189"/>
      <c r="CY223" s="29"/>
      <c r="CZ223" s="29"/>
      <c r="DA223" s="29"/>
      <c r="DB223" s="29"/>
      <c r="DC223" s="29"/>
      <c r="DD223" s="29"/>
      <c r="DE223" s="29"/>
      <c r="DF223" s="29"/>
      <c r="DG223" s="38"/>
      <c r="DH223" s="29"/>
      <c r="DI223" s="47"/>
      <c r="DJ223" s="29"/>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row>
    <row r="224" spans="1:142" x14ac:dyDescent="0.25">
      <c r="A224" s="14"/>
      <c r="B224" s="14"/>
      <c r="C224" s="14"/>
      <c r="D224" s="27"/>
      <c r="E224" s="19"/>
      <c r="F224" s="19"/>
      <c r="G224" s="14"/>
      <c r="H224" s="21"/>
      <c r="I224" s="21"/>
      <c r="J224" s="14"/>
      <c r="K224" s="19"/>
      <c r="L224" s="40"/>
      <c r="M224" s="40"/>
      <c r="N224" s="40"/>
      <c r="O224" s="40"/>
      <c r="P224" s="40"/>
      <c r="Q224" s="47"/>
      <c r="R224" s="19"/>
      <c r="S224" s="14"/>
      <c r="T224" s="14"/>
      <c r="U224" s="14"/>
      <c r="V224" s="14"/>
      <c r="W224" s="14"/>
      <c r="X224" s="14"/>
      <c r="Y224" s="14"/>
      <c r="Z224" s="14"/>
      <c r="AA224" s="19"/>
      <c r="AB224" s="19"/>
      <c r="AC224" s="19"/>
      <c r="AD224" s="65"/>
      <c r="AE224" s="63"/>
      <c r="AF224" s="352"/>
      <c r="AG224" s="19"/>
      <c r="AH224" s="14"/>
      <c r="AI224" s="14"/>
      <c r="AJ224" s="14"/>
      <c r="AK224" s="14"/>
      <c r="AL224" s="14"/>
      <c r="AM224" s="14"/>
      <c r="AN224" s="14"/>
      <c r="AO224" s="14"/>
      <c r="AP224" s="19"/>
      <c r="AQ224" s="19"/>
      <c r="AR224" s="19"/>
      <c r="AS224" s="65"/>
      <c r="AT224" s="63"/>
      <c r="AU224" s="352"/>
      <c r="AV224" s="14"/>
      <c r="AW224" s="14"/>
      <c r="AX224" s="14"/>
      <c r="AY224" s="14"/>
      <c r="AZ224" s="14"/>
      <c r="BA224" s="14"/>
      <c r="BB224" s="14"/>
      <c r="BC224" s="14"/>
      <c r="BD224" s="14"/>
      <c r="BE224" s="19"/>
      <c r="BF224" s="19"/>
      <c r="BG224" s="19"/>
      <c r="BH224" s="65"/>
      <c r="BI224" s="63"/>
      <c r="BJ224" s="352"/>
      <c r="BK224" s="19"/>
      <c r="BL224" s="14"/>
      <c r="BM224" s="14"/>
      <c r="BN224" s="14"/>
      <c r="BO224" s="14"/>
      <c r="BP224" s="14"/>
      <c r="BQ224" s="14"/>
      <c r="BR224" s="14"/>
      <c r="BS224" s="14"/>
      <c r="BT224" s="19"/>
      <c r="BU224" s="19"/>
      <c r="BV224" s="19"/>
      <c r="BW224" s="65"/>
      <c r="BX224" s="63"/>
      <c r="BY224" s="352"/>
      <c r="BZ224" s="14"/>
      <c r="CA224" s="14"/>
      <c r="CB224" s="21"/>
      <c r="CC224" s="21"/>
      <c r="CD224" s="180"/>
      <c r="CE224" s="180"/>
      <c r="CF224" s="21"/>
      <c r="CG224" s="29"/>
      <c r="CH224" s="29"/>
      <c r="CI224" s="29"/>
      <c r="CJ224" s="29"/>
      <c r="CK224" s="29"/>
      <c r="CL224" s="29"/>
      <c r="CM224" s="29"/>
      <c r="CN224" s="29"/>
      <c r="CO224" s="38"/>
      <c r="CP224" s="29"/>
      <c r="CQ224" s="47"/>
      <c r="CR224" s="14"/>
      <c r="CS224" s="14"/>
      <c r="CT224" s="14"/>
      <c r="CU224" s="14"/>
      <c r="CV224" s="180"/>
      <c r="CW224" s="189"/>
      <c r="CX224" s="189"/>
      <c r="CY224" s="29"/>
      <c r="CZ224" s="29"/>
      <c r="DA224" s="29"/>
      <c r="DB224" s="29"/>
      <c r="DC224" s="29"/>
      <c r="DD224" s="29"/>
      <c r="DE224" s="29"/>
      <c r="DF224" s="29"/>
      <c r="DG224" s="38"/>
      <c r="DH224" s="29"/>
      <c r="DI224" s="47"/>
      <c r="DJ224" s="29"/>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row>
    <row r="225" spans="1:142" ht="27.6" x14ac:dyDescent="0.25">
      <c r="A225" s="14"/>
      <c r="B225" s="19"/>
      <c r="C225" s="19"/>
      <c r="D225" s="27"/>
      <c r="E225" s="19"/>
      <c r="F225" s="19"/>
      <c r="G225" s="14"/>
      <c r="H225" s="21"/>
      <c r="I225" s="21"/>
      <c r="J225" s="14"/>
      <c r="K225" s="19"/>
      <c r="L225" s="40"/>
      <c r="M225" s="40"/>
      <c r="N225" s="40"/>
      <c r="O225" s="40"/>
      <c r="P225" s="40"/>
      <c r="Q225" s="47"/>
      <c r="R225" s="19"/>
      <c r="S225" s="14"/>
      <c r="T225" s="14"/>
      <c r="U225" s="14"/>
      <c r="V225" s="14"/>
      <c r="W225" s="14"/>
      <c r="X225" s="14"/>
      <c r="Y225" s="14"/>
      <c r="Z225" s="14"/>
      <c r="AA225" s="19"/>
      <c r="AB225" s="19"/>
      <c r="AC225" s="19"/>
      <c r="AD225" s="65"/>
      <c r="AE225" s="63"/>
      <c r="AF225" s="352"/>
      <c r="AG225" s="19"/>
      <c r="AH225" s="14"/>
      <c r="AI225" s="14"/>
      <c r="AJ225" s="14"/>
      <c r="AK225" s="14"/>
      <c r="AL225" s="14"/>
      <c r="AM225" s="14"/>
      <c r="AN225" s="14"/>
      <c r="AO225" s="14"/>
      <c r="AP225" s="19"/>
      <c r="AQ225" s="19"/>
      <c r="AR225" s="19"/>
      <c r="AS225" s="65"/>
      <c r="AT225" s="63"/>
      <c r="AU225" s="352"/>
      <c r="AV225" s="14"/>
      <c r="AW225" s="14"/>
      <c r="AX225" s="14"/>
      <c r="AY225" s="14"/>
      <c r="AZ225" s="14"/>
      <c r="BA225" s="14"/>
      <c r="BB225" s="14"/>
      <c r="BC225" s="14"/>
      <c r="BD225" s="14"/>
      <c r="BE225" s="19"/>
      <c r="BF225" s="19"/>
      <c r="BG225" s="19"/>
      <c r="BH225" s="65"/>
      <c r="BI225" s="63"/>
      <c r="BJ225" s="352"/>
      <c r="BK225" s="19"/>
      <c r="BL225" s="14"/>
      <c r="BM225" s="14"/>
      <c r="BN225" s="14"/>
      <c r="BO225" s="14"/>
      <c r="BP225" s="14"/>
      <c r="BQ225" s="14"/>
      <c r="BR225" s="14"/>
      <c r="BS225" s="14"/>
      <c r="BT225" s="19"/>
      <c r="BU225" s="19"/>
      <c r="BV225" s="19"/>
      <c r="BW225" s="65"/>
      <c r="BX225" s="63"/>
      <c r="BY225" s="352"/>
      <c r="BZ225" s="14"/>
      <c r="CA225" s="109" t="s">
        <v>14</v>
      </c>
      <c r="CB225" s="110" t="s">
        <v>164</v>
      </c>
      <c r="CC225" s="110" t="s">
        <v>149</v>
      </c>
      <c r="CD225" s="184" t="s">
        <v>150</v>
      </c>
      <c r="CE225" s="184" t="s">
        <v>151</v>
      </c>
      <c r="CF225" s="110" t="s">
        <v>152</v>
      </c>
      <c r="CG225" s="29"/>
      <c r="CH225" s="29"/>
      <c r="CI225" s="29"/>
      <c r="CJ225" s="29"/>
      <c r="CK225" s="29"/>
      <c r="CL225" s="29"/>
      <c r="CM225" s="29"/>
      <c r="CN225" s="29"/>
      <c r="CO225" s="38"/>
      <c r="CP225" s="29"/>
      <c r="CQ225" s="47"/>
      <c r="CR225" s="14"/>
      <c r="CS225" s="109" t="s">
        <v>14</v>
      </c>
      <c r="CT225" s="110" t="s">
        <v>164</v>
      </c>
      <c r="CU225" s="110" t="s">
        <v>149</v>
      </c>
      <c r="CV225" s="184" t="s">
        <v>150</v>
      </c>
      <c r="CW225" s="184" t="s">
        <v>151</v>
      </c>
      <c r="CX225" s="194" t="s">
        <v>152</v>
      </c>
      <c r="CY225" s="17"/>
      <c r="CZ225" s="29"/>
      <c r="DA225" s="29"/>
      <c r="DB225" s="29"/>
      <c r="DC225" s="29"/>
      <c r="DD225" s="29"/>
      <c r="DE225" s="29"/>
      <c r="DF225" s="29"/>
      <c r="DG225" s="38"/>
      <c r="DH225" s="29"/>
      <c r="DI225" s="47"/>
      <c r="DJ225" s="29"/>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row>
    <row r="226" spans="1:142" x14ac:dyDescent="0.25">
      <c r="A226" s="14"/>
      <c r="B226" s="56"/>
      <c r="C226" s="19"/>
      <c r="D226" s="21"/>
      <c r="E226" s="14"/>
      <c r="F226" s="14"/>
      <c r="G226" s="14"/>
      <c r="H226" s="21"/>
      <c r="I226" s="21"/>
      <c r="J226" s="14"/>
      <c r="K226" s="19"/>
      <c r="L226" s="14"/>
      <c r="M226" s="14"/>
      <c r="N226" s="14"/>
      <c r="O226" s="14"/>
      <c r="P226" s="14"/>
      <c r="Q226" s="47"/>
      <c r="R226" s="19"/>
      <c r="S226" s="14"/>
      <c r="T226" s="14"/>
      <c r="U226" s="14"/>
      <c r="V226" s="14"/>
      <c r="W226" s="14"/>
      <c r="X226" s="14"/>
      <c r="Y226" s="14"/>
      <c r="Z226" s="14"/>
      <c r="AA226" s="19"/>
      <c r="AB226" s="19"/>
      <c r="AC226" s="19"/>
      <c r="AD226" s="65"/>
      <c r="AE226" s="63"/>
      <c r="AF226" s="352"/>
      <c r="AG226" s="19"/>
      <c r="AH226" s="14"/>
      <c r="AI226" s="14"/>
      <c r="AJ226" s="14"/>
      <c r="AK226" s="14"/>
      <c r="AL226" s="14"/>
      <c r="AM226" s="14"/>
      <c r="AN226" s="14"/>
      <c r="AO226" s="14"/>
      <c r="AP226" s="19"/>
      <c r="AQ226" s="19"/>
      <c r="AR226" s="19"/>
      <c r="AS226" s="65"/>
      <c r="AT226" s="63"/>
      <c r="AU226" s="352"/>
      <c r="AV226" s="14"/>
      <c r="AW226" s="14"/>
      <c r="AX226" s="14"/>
      <c r="AY226" s="14"/>
      <c r="AZ226" s="14"/>
      <c r="BA226" s="14"/>
      <c r="BB226" s="14"/>
      <c r="BC226" s="14"/>
      <c r="BD226" s="14"/>
      <c r="BE226" s="19"/>
      <c r="BF226" s="19"/>
      <c r="BG226" s="19"/>
      <c r="BH226" s="65"/>
      <c r="BI226" s="63"/>
      <c r="BJ226" s="352"/>
      <c r="BK226" s="19"/>
      <c r="BL226" s="14"/>
      <c r="BM226" s="14"/>
      <c r="BN226" s="14"/>
      <c r="BO226" s="14"/>
      <c r="BP226" s="14"/>
      <c r="BQ226" s="14"/>
      <c r="BR226" s="14"/>
      <c r="BS226" s="14"/>
      <c r="BT226" s="19"/>
      <c r="BU226" s="19"/>
      <c r="BV226" s="19"/>
      <c r="BW226" s="65"/>
      <c r="BX226" s="63"/>
      <c r="BY226" s="352"/>
      <c r="BZ226" s="14"/>
      <c r="CA226" s="140" t="s">
        <v>701</v>
      </c>
      <c r="CB226" s="27">
        <f>CB64+CB91+CB118+CB145+CB172+CB199</f>
        <v>11</v>
      </c>
      <c r="CC226" s="37">
        <f t="shared" ref="CC226:CE232" si="163">SUM(CC199,CC172,CC145,CC118,CC91,CC64)</f>
        <v>12</v>
      </c>
      <c r="CD226" s="37">
        <f t="shared" si="163"/>
        <v>2</v>
      </c>
      <c r="CE226" s="37">
        <f t="shared" si="163"/>
        <v>1</v>
      </c>
      <c r="CF226" s="97">
        <f>IF(CB220=0,0,SUMPRODUCT(CC226:CE226,Rank_score)/$CB220)</f>
        <v>2.4117647058823528</v>
      </c>
      <c r="CG226" s="29"/>
      <c r="CH226" s="29"/>
      <c r="CI226" s="29"/>
      <c r="CJ226" s="29"/>
      <c r="CK226" s="29"/>
      <c r="CL226" s="29"/>
      <c r="CM226" s="29"/>
      <c r="CN226" s="29"/>
      <c r="CO226" s="38"/>
      <c r="CP226" s="29"/>
      <c r="CQ226" s="47"/>
      <c r="CR226" s="14"/>
      <c r="CS226" s="140" t="s">
        <v>373</v>
      </c>
      <c r="CT226" s="27">
        <f t="shared" ref="CT226:CT231" si="164">CT199+CT172+CT145+CT118+CT91+CT64</f>
        <v>9</v>
      </c>
      <c r="CU226" s="37">
        <f t="shared" ref="CU226:CW231" si="165">SUM(CU199,CU172,CU145,CU118,CU91,CU64)</f>
        <v>8</v>
      </c>
      <c r="CV226" s="37">
        <f t="shared" si="165"/>
        <v>1</v>
      </c>
      <c r="CW226" s="37">
        <f t="shared" si="165"/>
        <v>0</v>
      </c>
      <c r="CX226" s="37">
        <f>(CU226*3+CV226*2+CW226*1)/(SUM(CU226:CW232)/3)</f>
        <v>2.7857142857142856</v>
      </c>
      <c r="CY226" s="14"/>
      <c r="CZ226" s="29"/>
      <c r="DA226" s="29"/>
      <c r="DB226" s="29"/>
      <c r="DC226" s="29"/>
      <c r="DD226" s="29"/>
      <c r="DE226" s="29"/>
      <c r="DF226" s="29"/>
      <c r="DG226" s="38"/>
      <c r="DH226" s="29"/>
      <c r="DI226" s="47"/>
      <c r="DJ226" s="29"/>
      <c r="DK226" s="19"/>
      <c r="DL226" s="19"/>
      <c r="DM226" s="14"/>
      <c r="DN226" s="14"/>
      <c r="DO226" s="14"/>
      <c r="DP226" s="14"/>
      <c r="DQ226" s="14"/>
      <c r="DR226" s="19"/>
      <c r="DS226" s="19"/>
      <c r="DT226" s="14"/>
      <c r="DU226" s="14"/>
      <c r="DV226" s="14"/>
      <c r="DW226" s="14"/>
      <c r="DX226" s="14"/>
      <c r="DY226" s="14"/>
      <c r="DZ226" s="14"/>
      <c r="EA226" s="14"/>
      <c r="EB226" s="14"/>
      <c r="EC226" s="14"/>
      <c r="ED226" s="14"/>
      <c r="EE226" s="14"/>
      <c r="EF226" s="14"/>
      <c r="EG226" s="14"/>
      <c r="EH226" s="14"/>
      <c r="EI226" s="14"/>
      <c r="EJ226" s="14"/>
      <c r="EK226" s="14"/>
      <c r="EL226" s="14"/>
    </row>
    <row r="227" spans="1:142" x14ac:dyDescent="0.25">
      <c r="A227" s="14"/>
      <c r="B227" s="56"/>
      <c r="C227" s="19"/>
      <c r="D227" s="21"/>
      <c r="E227" s="14"/>
      <c r="F227" s="14"/>
      <c r="G227" s="14"/>
      <c r="H227" s="21"/>
      <c r="I227" s="21"/>
      <c r="J227" s="14"/>
      <c r="K227" s="14"/>
      <c r="L227" s="14"/>
      <c r="M227" s="14"/>
      <c r="N227" s="14"/>
      <c r="O227" s="14"/>
      <c r="P227" s="14"/>
      <c r="Q227" s="47"/>
      <c r="R227" s="19"/>
      <c r="S227" s="14"/>
      <c r="T227" s="14"/>
      <c r="U227" s="14"/>
      <c r="V227" s="14"/>
      <c r="W227" s="14"/>
      <c r="X227" s="14"/>
      <c r="Y227" s="14"/>
      <c r="Z227" s="14"/>
      <c r="AA227" s="19"/>
      <c r="AB227" s="19"/>
      <c r="AC227" s="19"/>
      <c r="AD227" s="65"/>
      <c r="AE227" s="63"/>
      <c r="AF227" s="352"/>
      <c r="AG227" s="19"/>
      <c r="AH227" s="14"/>
      <c r="AI227" s="14"/>
      <c r="AJ227" s="14"/>
      <c r="AK227" s="14"/>
      <c r="AL227" s="14"/>
      <c r="AM227" s="14"/>
      <c r="AN227" s="14"/>
      <c r="AO227" s="14"/>
      <c r="AP227" s="19"/>
      <c r="AQ227" s="19"/>
      <c r="AR227" s="19"/>
      <c r="AS227" s="65"/>
      <c r="AT227" s="63"/>
      <c r="AU227" s="352"/>
      <c r="AV227" s="14"/>
      <c r="AW227" s="14"/>
      <c r="AX227" s="14"/>
      <c r="AY227" s="14"/>
      <c r="AZ227" s="14"/>
      <c r="BA227" s="14"/>
      <c r="BB227" s="14"/>
      <c r="BC227" s="14"/>
      <c r="BD227" s="14"/>
      <c r="BE227" s="19"/>
      <c r="BF227" s="19"/>
      <c r="BG227" s="19"/>
      <c r="BH227" s="65"/>
      <c r="BI227" s="63"/>
      <c r="BJ227" s="352"/>
      <c r="BK227" s="19"/>
      <c r="BL227" s="14"/>
      <c r="BM227" s="14"/>
      <c r="BN227" s="14"/>
      <c r="BO227" s="14"/>
      <c r="BP227" s="14"/>
      <c r="BQ227" s="14"/>
      <c r="BR227" s="14"/>
      <c r="BS227" s="14"/>
      <c r="BT227" s="19"/>
      <c r="BU227" s="19"/>
      <c r="BV227" s="19"/>
      <c r="BW227" s="65"/>
      <c r="BX227" s="63"/>
      <c r="BY227" s="352"/>
      <c r="BZ227" s="14"/>
      <c r="CA227" s="140" t="s">
        <v>344</v>
      </c>
      <c r="CB227" s="27">
        <f t="shared" ref="CB227:CB232" si="166">CB65+CB92+CB119+CB146+CB173+CB200</f>
        <v>5</v>
      </c>
      <c r="CC227" s="37">
        <f t="shared" si="163"/>
        <v>0</v>
      </c>
      <c r="CD227" s="37">
        <f t="shared" si="163"/>
        <v>5</v>
      </c>
      <c r="CE227" s="37">
        <f t="shared" si="163"/>
        <v>0</v>
      </c>
      <c r="CF227" s="97">
        <f>IF(CB220=0,0,SUMPRODUCT(CC227:CE227,Rank_score)/$CB220)</f>
        <v>0.58823529411764708</v>
      </c>
      <c r="CG227" s="14"/>
      <c r="CH227" s="14"/>
      <c r="CI227" s="14"/>
      <c r="CJ227" s="14"/>
      <c r="CK227" s="14"/>
      <c r="CL227" s="14"/>
      <c r="CM227" s="14"/>
      <c r="CN227" s="14"/>
      <c r="CO227" s="129"/>
      <c r="CP227" s="14"/>
      <c r="CQ227" s="47"/>
      <c r="CR227" s="14"/>
      <c r="CS227" s="140" t="s">
        <v>338</v>
      </c>
      <c r="CT227" s="27">
        <f t="shared" si="164"/>
        <v>5</v>
      </c>
      <c r="CU227" s="37">
        <f t="shared" si="165"/>
        <v>0</v>
      </c>
      <c r="CV227" s="37">
        <f t="shared" si="165"/>
        <v>1</v>
      </c>
      <c r="CW227" s="37">
        <f t="shared" si="165"/>
        <v>4</v>
      </c>
      <c r="CX227" s="37">
        <f>(CU227*3+CV227*2+CW227*1)/(SUM(CU227:CW233)/3)</f>
        <v>0.94736842105263164</v>
      </c>
      <c r="CY227" s="14"/>
      <c r="CZ227" s="29"/>
      <c r="DA227" s="14"/>
      <c r="DB227" s="14"/>
      <c r="DC227" s="14"/>
      <c r="DD227" s="14"/>
      <c r="DE227" s="14"/>
      <c r="DF227" s="14"/>
      <c r="DG227" s="129"/>
      <c r="DH227" s="14"/>
      <c r="DI227" s="47"/>
      <c r="DJ227" s="14"/>
      <c r="DK227" s="19"/>
      <c r="DL227" s="19"/>
      <c r="DM227" s="14"/>
      <c r="DN227" s="14"/>
      <c r="DO227" s="14"/>
      <c r="DP227" s="14"/>
      <c r="DQ227" s="14"/>
      <c r="DR227" s="19"/>
      <c r="DS227" s="19"/>
      <c r="DT227" s="14"/>
      <c r="DU227" s="14"/>
      <c r="DV227" s="14"/>
      <c r="DW227" s="14"/>
      <c r="DX227" s="14"/>
      <c r="DY227" s="14"/>
      <c r="DZ227" s="14"/>
      <c r="EA227" s="14"/>
      <c r="EB227" s="14"/>
      <c r="EC227" s="14"/>
      <c r="ED227" s="14"/>
      <c r="EE227" s="14"/>
      <c r="EF227" s="14"/>
      <c r="EG227" s="14"/>
      <c r="EH227" s="14"/>
      <c r="EI227" s="14"/>
      <c r="EJ227" s="14"/>
      <c r="EK227" s="14"/>
      <c r="EL227" s="14"/>
    </row>
    <row r="228" spans="1:142" x14ac:dyDescent="0.25">
      <c r="A228" s="14"/>
      <c r="B228" s="19"/>
      <c r="C228" s="19"/>
      <c r="D228" s="21"/>
      <c r="E228" s="14"/>
      <c r="F228" s="14"/>
      <c r="G228" s="14"/>
      <c r="H228" s="21"/>
      <c r="I228" s="21"/>
      <c r="J228" s="14"/>
      <c r="K228" s="14"/>
      <c r="L228" s="14"/>
      <c r="M228" s="14"/>
      <c r="N228" s="14"/>
      <c r="O228" s="14"/>
      <c r="P228" s="14"/>
      <c r="Q228" s="47"/>
      <c r="R228" s="19"/>
      <c r="S228" s="14"/>
      <c r="T228" s="14"/>
      <c r="U228" s="14"/>
      <c r="V228" s="14"/>
      <c r="W228" s="14"/>
      <c r="X228" s="14"/>
      <c r="Y228" s="14"/>
      <c r="Z228" s="14"/>
      <c r="AA228" s="19"/>
      <c r="AB228" s="19"/>
      <c r="AC228" s="19"/>
      <c r="AD228" s="65"/>
      <c r="AE228" s="63"/>
      <c r="AF228" s="352"/>
      <c r="AG228" s="19"/>
      <c r="AH228" s="14"/>
      <c r="AI228" s="14"/>
      <c r="AJ228" s="14"/>
      <c r="AK228" s="14"/>
      <c r="AL228" s="14"/>
      <c r="AM228" s="14"/>
      <c r="AN228" s="14"/>
      <c r="AO228" s="14"/>
      <c r="AP228" s="19"/>
      <c r="AQ228" s="19"/>
      <c r="AR228" s="19"/>
      <c r="AS228" s="65"/>
      <c r="AT228" s="63"/>
      <c r="AU228" s="352"/>
      <c r="AV228" s="14"/>
      <c r="AW228" s="14"/>
      <c r="AX228" s="14"/>
      <c r="AY228" s="14"/>
      <c r="AZ228" s="14"/>
      <c r="BA228" s="14"/>
      <c r="BB228" s="14"/>
      <c r="BC228" s="14"/>
      <c r="BD228" s="14"/>
      <c r="BE228" s="19"/>
      <c r="BF228" s="19"/>
      <c r="BG228" s="19"/>
      <c r="BH228" s="65"/>
      <c r="BI228" s="63"/>
      <c r="BJ228" s="352"/>
      <c r="BK228" s="19"/>
      <c r="BL228" s="14"/>
      <c r="BM228" s="14"/>
      <c r="BN228" s="14"/>
      <c r="BO228" s="14"/>
      <c r="BP228" s="14"/>
      <c r="BQ228" s="14"/>
      <c r="BR228" s="14"/>
      <c r="BS228" s="14"/>
      <c r="BT228" s="19"/>
      <c r="BU228" s="19"/>
      <c r="BV228" s="19"/>
      <c r="BW228" s="65"/>
      <c r="BX228" s="63"/>
      <c r="BY228" s="352"/>
      <c r="BZ228" s="14"/>
      <c r="CA228" s="140" t="s">
        <v>146</v>
      </c>
      <c r="CB228" s="27">
        <f t="shared" si="166"/>
        <v>5</v>
      </c>
      <c r="CC228" s="37">
        <f t="shared" si="163"/>
        <v>0</v>
      </c>
      <c r="CD228" s="37">
        <f t="shared" si="163"/>
        <v>0</v>
      </c>
      <c r="CE228" s="37">
        <f t="shared" si="163"/>
        <v>5</v>
      </c>
      <c r="CF228" s="97">
        <f>IF(CB220=0,0,SUMPRODUCT(CC228:CE228,Rank_score)/$CB220)</f>
        <v>0.29411764705882354</v>
      </c>
      <c r="CG228" s="39"/>
      <c r="CH228" s="39"/>
      <c r="CI228" s="14"/>
      <c r="CJ228" s="14"/>
      <c r="CK228" s="14"/>
      <c r="CL228" s="14"/>
      <c r="CM228" s="14"/>
      <c r="CN228" s="14"/>
      <c r="CO228" s="129"/>
      <c r="CP228" s="14"/>
      <c r="CQ228" s="47"/>
      <c r="CR228" s="14"/>
      <c r="CS228" s="106" t="s">
        <v>339</v>
      </c>
      <c r="CT228" s="27">
        <f t="shared" si="164"/>
        <v>1</v>
      </c>
      <c r="CU228" s="37">
        <f t="shared" si="165"/>
        <v>0</v>
      </c>
      <c r="CV228" s="37">
        <f t="shared" si="165"/>
        <v>0</v>
      </c>
      <c r="CW228" s="37">
        <f t="shared" si="165"/>
        <v>1</v>
      </c>
      <c r="CX228" s="37">
        <f>(CU228*3+CV228*2+CW228*1)/(SUM(CU227:CW233)/3)</f>
        <v>0.15789473684210528</v>
      </c>
      <c r="CY228" s="14"/>
      <c r="CZ228" s="14"/>
      <c r="DA228" s="14"/>
      <c r="DB228" s="14"/>
      <c r="DC228" s="14"/>
      <c r="DD228" s="14"/>
      <c r="DE228" s="14"/>
      <c r="DF228" s="14"/>
      <c r="DG228" s="129"/>
      <c r="DH228" s="14"/>
      <c r="DI228" s="47"/>
      <c r="DJ228" s="14"/>
      <c r="DK228" s="56"/>
      <c r="DL228" s="29"/>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row>
    <row r="229" spans="1:142" x14ac:dyDescent="0.25">
      <c r="A229" s="14"/>
      <c r="B229" s="14"/>
      <c r="C229" s="19"/>
      <c r="D229" s="21"/>
      <c r="E229" s="14"/>
      <c r="F229" s="14"/>
      <c r="G229" s="14"/>
      <c r="H229" s="21"/>
      <c r="I229" s="21"/>
      <c r="J229" s="14"/>
      <c r="K229" s="14"/>
      <c r="L229" s="14"/>
      <c r="M229" s="14"/>
      <c r="N229" s="14"/>
      <c r="O229" s="14"/>
      <c r="P229" s="14"/>
      <c r="Q229" s="47"/>
      <c r="R229" s="19"/>
      <c r="S229" s="14"/>
      <c r="T229" s="14"/>
      <c r="U229" s="14"/>
      <c r="V229" s="14"/>
      <c r="W229" s="14"/>
      <c r="X229" s="14"/>
      <c r="Y229" s="14"/>
      <c r="Z229" s="14"/>
      <c r="AA229" s="14"/>
      <c r="AB229" s="14"/>
      <c r="AC229" s="14"/>
      <c r="AD229" s="65"/>
      <c r="AE229" s="63"/>
      <c r="AF229" s="352"/>
      <c r="AG229" s="19"/>
      <c r="AH229" s="14"/>
      <c r="AI229" s="14"/>
      <c r="AJ229" s="14"/>
      <c r="AK229" s="14"/>
      <c r="AL229" s="14"/>
      <c r="AM229" s="14"/>
      <c r="AN229" s="14"/>
      <c r="AO229" s="14"/>
      <c r="AP229" s="14"/>
      <c r="AQ229" s="14"/>
      <c r="AR229" s="14"/>
      <c r="AS229" s="65"/>
      <c r="AT229" s="63"/>
      <c r="AU229" s="352"/>
      <c r="AV229" s="14"/>
      <c r="AW229" s="14"/>
      <c r="AX229" s="14"/>
      <c r="AY229" s="14"/>
      <c r="AZ229" s="14"/>
      <c r="BA229" s="14"/>
      <c r="BB229" s="14"/>
      <c r="BC229" s="14"/>
      <c r="BD229" s="14"/>
      <c r="BE229" s="14"/>
      <c r="BF229" s="14"/>
      <c r="BG229" s="14"/>
      <c r="BH229" s="65"/>
      <c r="BI229" s="63"/>
      <c r="BJ229" s="352"/>
      <c r="BK229" s="19"/>
      <c r="BL229" s="14"/>
      <c r="BM229" s="14"/>
      <c r="BN229" s="14"/>
      <c r="BO229" s="14"/>
      <c r="BP229" s="14"/>
      <c r="BQ229" s="14"/>
      <c r="BR229" s="14"/>
      <c r="BS229" s="14"/>
      <c r="BT229" s="14"/>
      <c r="BU229" s="14"/>
      <c r="BV229" s="14"/>
      <c r="BW229" s="65"/>
      <c r="BX229" s="63"/>
      <c r="BY229" s="352"/>
      <c r="BZ229" s="14"/>
      <c r="CA229" s="140" t="s">
        <v>147</v>
      </c>
      <c r="CB229" s="27">
        <f t="shared" si="166"/>
        <v>10</v>
      </c>
      <c r="CC229" s="37">
        <f t="shared" si="163"/>
        <v>0</v>
      </c>
      <c r="CD229" s="37">
        <f t="shared" si="163"/>
        <v>6</v>
      </c>
      <c r="CE229" s="37">
        <f t="shared" si="163"/>
        <v>4</v>
      </c>
      <c r="CF229" s="97">
        <f>IF(CB220=0,0,SUMPRODUCT(CC229:CE229,Rank_score)/$CB220)</f>
        <v>0.94117647058823528</v>
      </c>
      <c r="CG229" s="29"/>
      <c r="CH229" s="29"/>
      <c r="CI229" s="14"/>
      <c r="CJ229" s="14"/>
      <c r="CK229" s="14"/>
      <c r="CL229" s="14"/>
      <c r="CM229" s="14"/>
      <c r="CN229" s="14"/>
      <c r="CO229" s="129"/>
      <c r="CP229" s="14"/>
      <c r="CQ229" s="47"/>
      <c r="CR229" s="14"/>
      <c r="CS229" s="106" t="s">
        <v>345</v>
      </c>
      <c r="CT229" s="27">
        <f t="shared" si="164"/>
        <v>2</v>
      </c>
      <c r="CU229" s="37">
        <f t="shared" si="165"/>
        <v>0</v>
      </c>
      <c r="CV229" s="37">
        <f t="shared" si="165"/>
        <v>1</v>
      </c>
      <c r="CW229" s="37">
        <f t="shared" si="165"/>
        <v>1</v>
      </c>
      <c r="CX229" s="37">
        <f>(CU229*3+CV229*2+CW229*1)/(SUM(CU227:CW233)/3)</f>
        <v>0.47368421052631582</v>
      </c>
      <c r="CY229" s="14"/>
      <c r="CZ229" s="14"/>
      <c r="DA229" s="14"/>
      <c r="DB229" s="14"/>
      <c r="DC229" s="14"/>
      <c r="DD229" s="14"/>
      <c r="DE229" s="14"/>
      <c r="DF229" s="14"/>
      <c r="DG229" s="129"/>
      <c r="DH229" s="14"/>
      <c r="DI229" s="47"/>
      <c r="DJ229" s="14"/>
      <c r="DK229" s="56"/>
      <c r="DL229" s="19"/>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row>
    <row r="230" spans="1:142" x14ac:dyDescent="0.25">
      <c r="A230" s="14"/>
      <c r="B230" s="14"/>
      <c r="C230" s="19"/>
      <c r="D230" s="21"/>
      <c r="E230" s="14"/>
      <c r="F230" s="14"/>
      <c r="G230" s="14"/>
      <c r="H230" s="21"/>
      <c r="I230" s="21"/>
      <c r="J230" s="19"/>
      <c r="K230" s="19"/>
      <c r="L230" s="19"/>
      <c r="M230" s="19"/>
      <c r="N230" s="19"/>
      <c r="O230" s="19"/>
      <c r="P230" s="19"/>
      <c r="Q230" s="47"/>
      <c r="R230" s="19"/>
      <c r="S230" s="14"/>
      <c r="T230" s="14"/>
      <c r="U230" s="14"/>
      <c r="V230" s="14"/>
      <c r="W230" s="14"/>
      <c r="X230" s="14"/>
      <c r="Y230" s="14"/>
      <c r="Z230" s="14"/>
      <c r="AA230" s="14"/>
      <c r="AB230" s="14"/>
      <c r="AC230" s="14"/>
      <c r="AD230" s="65"/>
      <c r="AE230" s="63"/>
      <c r="AF230" s="352"/>
      <c r="AG230" s="19"/>
      <c r="AH230" s="14"/>
      <c r="AI230" s="14"/>
      <c r="AJ230" s="14"/>
      <c r="AK230" s="14"/>
      <c r="AL230" s="14"/>
      <c r="AM230" s="14"/>
      <c r="AN230" s="14"/>
      <c r="AO230" s="14"/>
      <c r="AP230" s="14"/>
      <c r="AQ230" s="14"/>
      <c r="AR230" s="14"/>
      <c r="AS230" s="65"/>
      <c r="AT230" s="63"/>
      <c r="AU230" s="352"/>
      <c r="AV230" s="14"/>
      <c r="AW230" s="14"/>
      <c r="AX230" s="14"/>
      <c r="AY230" s="14"/>
      <c r="AZ230" s="14"/>
      <c r="BA230" s="14"/>
      <c r="BB230" s="14"/>
      <c r="BC230" s="14"/>
      <c r="BD230" s="14"/>
      <c r="BE230" s="14"/>
      <c r="BF230" s="14"/>
      <c r="BG230" s="14"/>
      <c r="BH230" s="65"/>
      <c r="BI230" s="63"/>
      <c r="BJ230" s="352"/>
      <c r="BK230" s="19"/>
      <c r="BL230" s="14"/>
      <c r="BM230" s="14"/>
      <c r="BN230" s="14"/>
      <c r="BO230" s="14"/>
      <c r="BP230" s="14"/>
      <c r="BQ230" s="14"/>
      <c r="BR230" s="14"/>
      <c r="BS230" s="14"/>
      <c r="BT230" s="14"/>
      <c r="BU230" s="14"/>
      <c r="BV230" s="14"/>
      <c r="BW230" s="65"/>
      <c r="BX230" s="63"/>
      <c r="BY230" s="352"/>
      <c r="BZ230" s="14"/>
      <c r="CA230" s="140" t="s">
        <v>341</v>
      </c>
      <c r="CB230" s="27">
        <f t="shared" si="166"/>
        <v>3</v>
      </c>
      <c r="CC230" s="37">
        <f t="shared" si="163"/>
        <v>1</v>
      </c>
      <c r="CD230" s="37">
        <f t="shared" si="163"/>
        <v>1</v>
      </c>
      <c r="CE230" s="37">
        <f t="shared" si="163"/>
        <v>1</v>
      </c>
      <c r="CF230" s="97">
        <f>IF(CB220=0,0,SUMPRODUCT(CC230:CE230,Rank_score)/$CB220)</f>
        <v>0.35294117647058826</v>
      </c>
      <c r="CG230" s="29"/>
      <c r="CH230" s="29"/>
      <c r="CI230" s="14"/>
      <c r="CJ230" s="14"/>
      <c r="CK230" s="14"/>
      <c r="CL230" s="14"/>
      <c r="CM230" s="14"/>
      <c r="CN230" s="14"/>
      <c r="CO230" s="129"/>
      <c r="CP230" s="14"/>
      <c r="CQ230" s="47"/>
      <c r="CR230" s="14"/>
      <c r="CS230" s="106" t="s">
        <v>561</v>
      </c>
      <c r="CT230" s="27">
        <f t="shared" si="164"/>
        <v>9</v>
      </c>
      <c r="CU230" s="37">
        <f t="shared" si="165"/>
        <v>4</v>
      </c>
      <c r="CV230" s="37">
        <f t="shared" si="165"/>
        <v>5</v>
      </c>
      <c r="CW230" s="37">
        <f t="shared" si="165"/>
        <v>0</v>
      </c>
      <c r="CX230" s="37">
        <f>(CU230*3+CV230*2+CW230*1)/(SUM(CU227:CW233)/3)</f>
        <v>3.4736842105263159</v>
      </c>
      <c r="CY230" s="14"/>
      <c r="CZ230" s="52"/>
      <c r="DA230" s="14"/>
      <c r="DB230" s="14"/>
      <c r="DC230" s="14"/>
      <c r="DD230" s="14"/>
      <c r="DE230" s="14"/>
      <c r="DF230" s="14"/>
      <c r="DG230" s="129"/>
      <c r="DH230" s="14"/>
      <c r="DI230" s="47"/>
      <c r="DJ230" s="14"/>
      <c r="DK230" s="14"/>
      <c r="DL230" s="19"/>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row>
    <row r="231" spans="1:142" x14ac:dyDescent="0.25">
      <c r="A231" s="14"/>
      <c r="B231" s="14"/>
      <c r="C231" s="19"/>
      <c r="D231" s="21"/>
      <c r="E231" s="14"/>
      <c r="F231" s="14"/>
      <c r="G231" s="19"/>
      <c r="H231" s="27"/>
      <c r="I231" s="41"/>
      <c r="J231" s="19"/>
      <c r="K231" s="19"/>
      <c r="L231" s="19"/>
      <c r="M231" s="19"/>
      <c r="N231" s="19"/>
      <c r="O231" s="19"/>
      <c r="P231" s="19"/>
      <c r="Q231" s="47"/>
      <c r="R231" s="19"/>
      <c r="S231" s="14"/>
      <c r="T231" s="14"/>
      <c r="U231" s="14"/>
      <c r="V231" s="14"/>
      <c r="W231" s="14"/>
      <c r="X231" s="14"/>
      <c r="Y231" s="14"/>
      <c r="Z231" s="14"/>
      <c r="AA231" s="14"/>
      <c r="AB231" s="14"/>
      <c r="AC231" s="14"/>
      <c r="AD231" s="65"/>
      <c r="AE231" s="63"/>
      <c r="AF231" s="352"/>
      <c r="AG231" s="19"/>
      <c r="AH231" s="14"/>
      <c r="AI231" s="14"/>
      <c r="AJ231" s="14"/>
      <c r="AK231" s="14"/>
      <c r="AL231" s="14"/>
      <c r="AM231" s="14"/>
      <c r="AN231" s="14"/>
      <c r="AO231" s="14"/>
      <c r="AP231" s="14"/>
      <c r="AQ231" s="14"/>
      <c r="AR231" s="14"/>
      <c r="AS231" s="65"/>
      <c r="AT231" s="63"/>
      <c r="AU231" s="352"/>
      <c r="AV231" s="14"/>
      <c r="AW231" s="14"/>
      <c r="AX231" s="14"/>
      <c r="AY231" s="14"/>
      <c r="AZ231" s="14"/>
      <c r="BA231" s="14"/>
      <c r="BB231" s="14"/>
      <c r="BC231" s="14"/>
      <c r="BD231" s="14"/>
      <c r="BE231" s="14"/>
      <c r="BF231" s="14"/>
      <c r="BG231" s="14"/>
      <c r="BH231" s="65"/>
      <c r="BI231" s="63"/>
      <c r="BJ231" s="352"/>
      <c r="BK231" s="19"/>
      <c r="BL231" s="14"/>
      <c r="BM231" s="14"/>
      <c r="BN231" s="14"/>
      <c r="BO231" s="14"/>
      <c r="BP231" s="14"/>
      <c r="BQ231" s="14"/>
      <c r="BR231" s="14"/>
      <c r="BS231" s="14"/>
      <c r="BT231" s="14"/>
      <c r="BU231" s="14"/>
      <c r="BV231" s="14"/>
      <c r="BW231" s="65"/>
      <c r="BX231" s="63"/>
      <c r="BY231" s="352"/>
      <c r="BZ231" s="14"/>
      <c r="CA231" s="106" t="s">
        <v>148</v>
      </c>
      <c r="CB231" s="27">
        <f t="shared" si="166"/>
        <v>1</v>
      </c>
      <c r="CC231" s="37">
        <f t="shared" si="163"/>
        <v>0</v>
      </c>
      <c r="CD231" s="37">
        <f t="shared" si="163"/>
        <v>0</v>
      </c>
      <c r="CE231" s="37">
        <f t="shared" si="163"/>
        <v>1</v>
      </c>
      <c r="CF231" s="97">
        <f>IF(CB220=0,0,SUMPRODUCT(CC231:CE231,Rank_score)/$CB220)</f>
        <v>5.8823529411764705E-2</v>
      </c>
      <c r="CG231" s="29"/>
      <c r="CH231" s="29"/>
      <c r="CI231" s="14"/>
      <c r="CJ231" s="14"/>
      <c r="CK231" s="14"/>
      <c r="CL231" s="14"/>
      <c r="CM231" s="14"/>
      <c r="CN231" s="14"/>
      <c r="CO231" s="129"/>
      <c r="CP231" s="14"/>
      <c r="CQ231" s="47"/>
      <c r="CR231" s="14"/>
      <c r="CS231" s="106" t="s">
        <v>49</v>
      </c>
      <c r="CT231" s="27">
        <f t="shared" si="164"/>
        <v>2</v>
      </c>
      <c r="CU231" s="37">
        <f t="shared" si="165"/>
        <v>1</v>
      </c>
      <c r="CV231" s="37">
        <f t="shared" si="165"/>
        <v>0</v>
      </c>
      <c r="CW231" s="37">
        <f t="shared" si="165"/>
        <v>1</v>
      </c>
      <c r="CX231" s="37">
        <f>(CU231*3+CV231*2+CW231*1)/(SUM(CU227:CW233)/3)</f>
        <v>0.63157894736842113</v>
      </c>
      <c r="CY231" s="14"/>
      <c r="CZ231" s="52"/>
      <c r="DA231" s="14"/>
      <c r="DB231" s="14"/>
      <c r="DC231" s="14"/>
      <c r="DD231" s="14"/>
      <c r="DE231" s="14"/>
      <c r="DF231" s="14"/>
      <c r="DG231" s="129"/>
      <c r="DH231" s="14"/>
      <c r="DI231" s="47"/>
      <c r="DJ231" s="14"/>
      <c r="DK231" s="14"/>
      <c r="DL231" s="19"/>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row>
    <row r="232" spans="1:142" x14ac:dyDescent="0.25">
      <c r="A232" s="14"/>
      <c r="B232" s="14"/>
      <c r="C232" s="19"/>
      <c r="D232" s="21"/>
      <c r="E232" s="14"/>
      <c r="F232" s="14"/>
      <c r="G232" s="19"/>
      <c r="H232" s="27"/>
      <c r="I232" s="41"/>
      <c r="J232" s="19"/>
      <c r="K232" s="19"/>
      <c r="L232" s="19"/>
      <c r="M232" s="19"/>
      <c r="N232" s="19"/>
      <c r="O232" s="19"/>
      <c r="P232" s="19"/>
      <c r="Q232" s="47"/>
      <c r="R232" s="19"/>
      <c r="S232" s="14"/>
      <c r="T232" s="14"/>
      <c r="U232" s="14"/>
      <c r="V232" s="14"/>
      <c r="W232" s="14"/>
      <c r="X232" s="14"/>
      <c r="Y232" s="14"/>
      <c r="Z232" s="14"/>
      <c r="AA232" s="14"/>
      <c r="AB232" s="14"/>
      <c r="AC232" s="14"/>
      <c r="AD232" s="65"/>
      <c r="AE232" s="63"/>
      <c r="AF232" s="352"/>
      <c r="AG232" s="19"/>
      <c r="AH232" s="14"/>
      <c r="AI232" s="14"/>
      <c r="AJ232" s="14"/>
      <c r="AK232" s="14"/>
      <c r="AL232" s="14"/>
      <c r="AM232" s="14"/>
      <c r="AN232" s="14"/>
      <c r="AO232" s="14"/>
      <c r="AP232" s="14"/>
      <c r="AQ232" s="14"/>
      <c r="AR232" s="14"/>
      <c r="AS232" s="65"/>
      <c r="AT232" s="63"/>
      <c r="AU232" s="352"/>
      <c r="AV232" s="14"/>
      <c r="AW232" s="14"/>
      <c r="AX232" s="14"/>
      <c r="AY232" s="14"/>
      <c r="AZ232" s="14"/>
      <c r="BA232" s="14"/>
      <c r="BB232" s="14"/>
      <c r="BC232" s="14"/>
      <c r="BD232" s="14"/>
      <c r="BE232" s="14"/>
      <c r="BF232" s="14"/>
      <c r="BG232" s="14"/>
      <c r="BH232" s="65"/>
      <c r="BI232" s="63"/>
      <c r="BJ232" s="352"/>
      <c r="BK232" s="19"/>
      <c r="BL232" s="14"/>
      <c r="BM232" s="14"/>
      <c r="BN232" s="14"/>
      <c r="BO232" s="14"/>
      <c r="BP232" s="14"/>
      <c r="BQ232" s="14"/>
      <c r="BR232" s="14"/>
      <c r="BS232" s="14"/>
      <c r="BT232" s="14"/>
      <c r="BU232" s="14"/>
      <c r="BV232" s="14"/>
      <c r="BW232" s="65"/>
      <c r="BX232" s="63"/>
      <c r="BY232" s="352"/>
      <c r="BZ232" s="14"/>
      <c r="CA232" s="107" t="s">
        <v>49</v>
      </c>
      <c r="CB232" s="27">
        <f t="shared" si="166"/>
        <v>3</v>
      </c>
      <c r="CC232" s="37">
        <f t="shared" si="163"/>
        <v>3</v>
      </c>
      <c r="CD232" s="37">
        <f t="shared" si="163"/>
        <v>0</v>
      </c>
      <c r="CE232" s="37">
        <f t="shared" si="163"/>
        <v>0</v>
      </c>
      <c r="CF232" s="97">
        <f>IF(CB220=0,0,SUMPRODUCT(CC232:CE232,Rank_score)/$CB220)</f>
        <v>0.52941176470588236</v>
      </c>
      <c r="CG232" s="29"/>
      <c r="CH232" s="29"/>
      <c r="CI232" s="14"/>
      <c r="CJ232" s="14"/>
      <c r="CK232" s="14"/>
      <c r="CL232" s="14"/>
      <c r="CM232" s="14"/>
      <c r="CN232" s="14"/>
      <c r="CO232" s="129"/>
      <c r="CP232" s="14"/>
      <c r="CQ232" s="47"/>
      <c r="CR232" s="14"/>
      <c r="CS232" s="107"/>
      <c r="CT232" s="27"/>
      <c r="CU232" s="37"/>
      <c r="CV232" s="37"/>
      <c r="CW232" s="37"/>
      <c r="CX232" s="37"/>
      <c r="CY232" s="14"/>
      <c r="CZ232" s="52"/>
      <c r="DA232" s="14"/>
      <c r="DB232" s="14"/>
      <c r="DC232" s="14"/>
      <c r="DD232" s="14"/>
      <c r="DE232" s="14"/>
      <c r="DF232" s="14"/>
      <c r="DG232" s="129"/>
      <c r="DH232" s="14"/>
      <c r="DI232" s="47"/>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row>
    <row r="233" spans="1:142" x14ac:dyDescent="0.25">
      <c r="A233" s="14"/>
      <c r="B233" s="14"/>
      <c r="C233" s="19"/>
      <c r="D233" s="21"/>
      <c r="E233" s="14"/>
      <c r="F233" s="14"/>
      <c r="G233" s="109" t="s">
        <v>14</v>
      </c>
      <c r="H233" s="110" t="s">
        <v>6</v>
      </c>
      <c r="I233" s="110" t="s">
        <v>7</v>
      </c>
      <c r="J233" s="19"/>
      <c r="K233" s="19"/>
      <c r="L233" s="19"/>
      <c r="M233" s="19"/>
      <c r="N233" s="19"/>
      <c r="O233" s="19"/>
      <c r="P233" s="19"/>
      <c r="Q233" s="47"/>
      <c r="R233" s="19"/>
      <c r="S233" s="14"/>
      <c r="T233" s="14"/>
      <c r="U233" s="14"/>
      <c r="V233" s="14"/>
      <c r="W233" s="14"/>
      <c r="X233" s="109" t="s">
        <v>14</v>
      </c>
      <c r="Y233" s="110" t="s">
        <v>6</v>
      </c>
      <c r="Z233" s="110" t="s">
        <v>7</v>
      </c>
      <c r="AA233" s="14"/>
      <c r="AB233" s="14"/>
      <c r="AC233" s="14"/>
      <c r="AD233" s="65"/>
      <c r="AE233" s="63"/>
      <c r="AF233" s="352"/>
      <c r="AG233" s="19"/>
      <c r="AH233" s="14"/>
      <c r="AI233" s="14"/>
      <c r="AJ233" s="14"/>
      <c r="AK233" s="14"/>
      <c r="AL233" s="14"/>
      <c r="AM233" s="109" t="s">
        <v>14</v>
      </c>
      <c r="AN233" s="110" t="s">
        <v>6</v>
      </c>
      <c r="AO233" s="110" t="s">
        <v>7</v>
      </c>
      <c r="AP233" s="14"/>
      <c r="AQ233" s="14"/>
      <c r="AR233" s="14"/>
      <c r="AS233" s="65"/>
      <c r="AT233" s="63"/>
      <c r="AU233" s="352"/>
      <c r="AV233" s="14"/>
      <c r="AW233" s="14"/>
      <c r="AX233" s="14"/>
      <c r="AY233" s="14"/>
      <c r="AZ233" s="14"/>
      <c r="BA233" s="14"/>
      <c r="BB233" s="109" t="s">
        <v>14</v>
      </c>
      <c r="BC233" s="110" t="s">
        <v>6</v>
      </c>
      <c r="BD233" s="110" t="s">
        <v>7</v>
      </c>
      <c r="BE233" s="14"/>
      <c r="BF233" s="14"/>
      <c r="BG233" s="14"/>
      <c r="BH233" s="65"/>
      <c r="BI233" s="63"/>
      <c r="BJ233" s="352"/>
      <c r="BK233" s="19"/>
      <c r="BL233" s="14"/>
      <c r="BM233" s="14"/>
      <c r="BN233" s="14"/>
      <c r="BO233" s="14"/>
      <c r="BP233" s="14"/>
      <c r="BQ233" s="109" t="s">
        <v>14</v>
      </c>
      <c r="BR233" s="110" t="s">
        <v>6</v>
      </c>
      <c r="BS233" s="110" t="s">
        <v>7</v>
      </c>
      <c r="BT233" s="14"/>
      <c r="BU233" s="14"/>
      <c r="BV233" s="14"/>
      <c r="BW233" s="65"/>
      <c r="BX233" s="63"/>
      <c r="BY233" s="352"/>
      <c r="BZ233" s="14"/>
      <c r="CA233" s="86"/>
      <c r="CB233" s="111"/>
      <c r="CC233" s="111"/>
      <c r="CD233" s="179"/>
      <c r="CE233" s="179"/>
      <c r="CF233" s="108"/>
      <c r="CG233" s="29"/>
      <c r="CH233" s="29"/>
      <c r="CI233" s="14"/>
      <c r="CJ233" s="14"/>
      <c r="CK233" s="14"/>
      <c r="CL233" s="14"/>
      <c r="CM233" s="14"/>
      <c r="CN233" s="14"/>
      <c r="CO233" s="129"/>
      <c r="CP233" s="14"/>
      <c r="CQ233" s="47"/>
      <c r="CR233" s="14"/>
      <c r="CS233" s="107"/>
      <c r="CT233" s="27"/>
      <c r="CU233" s="37"/>
      <c r="CV233" s="37"/>
      <c r="CW233" s="37"/>
      <c r="CX233" s="37"/>
      <c r="CY233" s="14"/>
      <c r="CZ233" s="52"/>
      <c r="DA233" s="14"/>
      <c r="DB233" s="14"/>
      <c r="DC233" s="14"/>
      <c r="DD233" s="14"/>
      <c r="DE233" s="14"/>
      <c r="DF233" s="14"/>
      <c r="DG233" s="129"/>
      <c r="DH233" s="14"/>
      <c r="DI233" s="47"/>
      <c r="DJ233" s="14"/>
      <c r="DK233" s="14"/>
      <c r="DL233" s="14"/>
      <c r="DM233" s="14"/>
      <c r="DN233" s="14"/>
      <c r="DO233" s="14"/>
      <c r="DP233" s="109" t="s">
        <v>14</v>
      </c>
      <c r="DQ233" s="110" t="s">
        <v>6</v>
      </c>
      <c r="DR233" s="110" t="s">
        <v>7</v>
      </c>
      <c r="DS233" s="14"/>
      <c r="DT233" s="14"/>
      <c r="DU233" s="14"/>
      <c r="DV233" s="14"/>
      <c r="DW233" s="14"/>
      <c r="DX233" s="14"/>
      <c r="DY233" s="14"/>
      <c r="DZ233" s="14"/>
      <c r="EA233" s="14"/>
      <c r="EB233" s="14"/>
      <c r="EC233" s="14"/>
      <c r="ED233" s="14"/>
      <c r="EE233" s="14"/>
      <c r="EF233" s="14"/>
      <c r="EG233" s="14"/>
      <c r="EH233" s="14"/>
      <c r="EI233" s="14"/>
      <c r="EJ233" s="14"/>
      <c r="EK233" s="14"/>
      <c r="EL233" s="14"/>
    </row>
    <row r="234" spans="1:142" x14ac:dyDescent="0.25">
      <c r="A234" s="14"/>
      <c r="B234" s="14"/>
      <c r="C234" s="19"/>
      <c r="D234" s="21"/>
      <c r="E234" s="14"/>
      <c r="F234" s="14"/>
      <c r="G234" s="107" t="s">
        <v>34</v>
      </c>
      <c r="H234" s="27">
        <f>SUM(H207,H180,H153,H126,H99,H72)</f>
        <v>3</v>
      </c>
      <c r="I234" s="41">
        <f>IFERROR(H234/H$239,"")</f>
        <v>0.16666666666666666</v>
      </c>
      <c r="J234" s="19"/>
      <c r="K234" s="19"/>
      <c r="L234" s="19"/>
      <c r="M234" s="19"/>
      <c r="N234" s="19"/>
      <c r="O234" s="19"/>
      <c r="P234" s="19"/>
      <c r="Q234" s="47"/>
      <c r="R234" s="19"/>
      <c r="S234" s="14"/>
      <c r="T234" s="14"/>
      <c r="U234" s="14"/>
      <c r="V234" s="14"/>
      <c r="W234" s="14"/>
      <c r="X234" s="107" t="s">
        <v>5</v>
      </c>
      <c r="Y234" s="27">
        <f t="shared" ref="Y234:Y241" si="167">SUM(Y207,Y180,Y153,Y126,Y99,Y72)</f>
        <v>3</v>
      </c>
      <c r="Z234" s="41">
        <f t="shared" ref="Z234:Z241" si="168">IFERROR(Y234/Y$241,0)</f>
        <v>0.17647058823529413</v>
      </c>
      <c r="AA234" s="14"/>
      <c r="AB234" s="14"/>
      <c r="AC234" s="14"/>
      <c r="AD234" s="65"/>
      <c r="AE234" s="63"/>
      <c r="AF234" s="352"/>
      <c r="AG234" s="19"/>
      <c r="AH234" s="14"/>
      <c r="AI234" s="14"/>
      <c r="AJ234" s="14"/>
      <c r="AK234" s="14"/>
      <c r="AL234" s="14"/>
      <c r="AM234" s="107" t="s">
        <v>5</v>
      </c>
      <c r="AN234" s="27">
        <f t="shared" ref="AN234:AN241" si="169">SUM(AN207,AN180,AN153,AN126,AN99,AN72)</f>
        <v>5</v>
      </c>
      <c r="AO234" s="41">
        <f>IFERROR(AN234/AN$241,0)</f>
        <v>0.33333333333333331</v>
      </c>
      <c r="AP234" s="14"/>
      <c r="AQ234" s="14"/>
      <c r="AR234" s="14"/>
      <c r="AS234" s="65"/>
      <c r="AT234" s="63"/>
      <c r="AU234" s="352"/>
      <c r="AV234" s="14"/>
      <c r="AW234" s="14"/>
      <c r="AX234" s="14"/>
      <c r="AY234" s="14"/>
      <c r="AZ234" s="14"/>
      <c r="BA234" s="14"/>
      <c r="BB234" s="107" t="s">
        <v>5</v>
      </c>
      <c r="BC234" s="27">
        <f t="shared" ref="BC234:BC241" si="170">SUM(BC207,BC180,BC153,BC126,BC99,BC72)</f>
        <v>4</v>
      </c>
      <c r="BD234" s="41">
        <f>IFERROR(BC234/BC$241,0)</f>
        <v>0.26666666666666666</v>
      </c>
      <c r="BE234" s="14"/>
      <c r="BF234" s="14"/>
      <c r="BG234" s="14"/>
      <c r="BH234" s="65"/>
      <c r="BI234" s="63"/>
      <c r="BJ234" s="352"/>
      <c r="BK234" s="19"/>
      <c r="BL234" s="14"/>
      <c r="BM234" s="14"/>
      <c r="BN234" s="14"/>
      <c r="BO234" s="14"/>
      <c r="BP234" s="14"/>
      <c r="BQ234" s="107" t="s">
        <v>5</v>
      </c>
      <c r="BR234" s="27">
        <f t="shared" ref="BR234:BR241" si="171">SUM(BR207,BR180,BR153,BR126,BR99,BR72)</f>
        <v>4</v>
      </c>
      <c r="BS234" s="41">
        <f>IFERROR(BR234/BR$241,0)</f>
        <v>0.26666666666666666</v>
      </c>
      <c r="BT234" s="14"/>
      <c r="BU234" s="14"/>
      <c r="BV234" s="14"/>
      <c r="BW234" s="65"/>
      <c r="BX234" s="63"/>
      <c r="BY234" s="352"/>
      <c r="BZ234" s="14"/>
      <c r="CA234" s="14"/>
      <c r="CB234" s="21"/>
      <c r="CC234" s="21"/>
      <c r="CD234" s="180"/>
      <c r="CE234" s="181"/>
      <c r="CF234" s="97"/>
      <c r="CG234" s="29"/>
      <c r="CH234" s="29"/>
      <c r="CI234" s="14"/>
      <c r="CJ234" s="14"/>
      <c r="CK234" s="14"/>
      <c r="CL234" s="14"/>
      <c r="CM234" s="14"/>
      <c r="CN234" s="14"/>
      <c r="CO234" s="129"/>
      <c r="CP234" s="14"/>
      <c r="CQ234" s="47"/>
      <c r="CR234" s="14"/>
      <c r="CS234" s="86"/>
      <c r="CT234" s="111"/>
      <c r="CU234" s="86"/>
      <c r="CV234" s="179"/>
      <c r="CW234" s="188"/>
      <c r="CX234" s="179"/>
      <c r="CY234" s="52"/>
      <c r="CZ234" s="52"/>
      <c r="DA234" s="14"/>
      <c r="DB234" s="14"/>
      <c r="DC234" s="14"/>
      <c r="DD234" s="14"/>
      <c r="DE234" s="14"/>
      <c r="DF234" s="14"/>
      <c r="DG234" s="129"/>
      <c r="DH234" s="14"/>
      <c r="DI234" s="47"/>
      <c r="DJ234" s="14"/>
      <c r="DK234" s="14"/>
      <c r="DL234" s="14"/>
      <c r="DM234" s="14"/>
      <c r="DN234" s="14"/>
      <c r="DO234" s="14"/>
      <c r="DP234" s="107" t="s">
        <v>34</v>
      </c>
      <c r="DQ234" s="27">
        <f t="shared" ref="DQ234:DQ239" si="172">SUM(DQ207,DQ180,DQ153,DQ126,DQ99,DQ72)</f>
        <v>3</v>
      </c>
      <c r="DR234" s="41">
        <f t="shared" ref="DR234:DR239" si="173">IF($DQ$239=0,"",DQ234/$DQ$239)</f>
        <v>0.16666666666666666</v>
      </c>
      <c r="DS234" s="14"/>
      <c r="DT234" s="14"/>
      <c r="DU234" s="14"/>
      <c r="DV234" s="14"/>
      <c r="DW234" s="14"/>
      <c r="DX234" s="14"/>
      <c r="DY234" s="14"/>
      <c r="DZ234" s="14"/>
      <c r="EA234" s="14"/>
      <c r="EB234" s="14"/>
      <c r="EC234" s="14"/>
      <c r="ED234" s="14"/>
      <c r="EE234" s="14"/>
      <c r="EF234" s="14"/>
      <c r="EG234" s="14"/>
      <c r="EH234" s="14"/>
      <c r="EI234" s="14"/>
      <c r="EJ234" s="14"/>
      <c r="EK234" s="14"/>
      <c r="EL234" s="14"/>
    </row>
    <row r="235" spans="1:142" x14ac:dyDescent="0.25">
      <c r="A235" s="14"/>
      <c r="B235" s="14"/>
      <c r="C235" s="19"/>
      <c r="D235" s="21"/>
      <c r="E235" s="14"/>
      <c r="F235" s="14"/>
      <c r="G235" s="107" t="s">
        <v>35</v>
      </c>
      <c r="H235" s="27">
        <f>SUM(H208,H181,H154,H127,H100,H73)</f>
        <v>9</v>
      </c>
      <c r="I235" s="41">
        <f t="shared" ref="I235:I239" si="174">IFERROR(H235/H$239,"")</f>
        <v>0.5</v>
      </c>
      <c r="J235" s="19"/>
      <c r="K235" s="19"/>
      <c r="L235" s="19"/>
      <c r="M235" s="19"/>
      <c r="N235" s="19"/>
      <c r="O235" s="19"/>
      <c r="P235" s="19"/>
      <c r="Q235" s="47"/>
      <c r="R235" s="19"/>
      <c r="S235" s="14"/>
      <c r="T235" s="14"/>
      <c r="U235" s="14"/>
      <c r="V235" s="14"/>
      <c r="W235" s="14"/>
      <c r="X235" s="107" t="s">
        <v>4</v>
      </c>
      <c r="Y235" s="27">
        <f t="shared" si="167"/>
        <v>0</v>
      </c>
      <c r="Z235" s="41">
        <f t="shared" si="168"/>
        <v>0</v>
      </c>
      <c r="AA235" s="14"/>
      <c r="AB235" s="14"/>
      <c r="AC235" s="14"/>
      <c r="AD235" s="65"/>
      <c r="AE235" s="63"/>
      <c r="AF235" s="352"/>
      <c r="AG235" s="19"/>
      <c r="AH235" s="14"/>
      <c r="AI235" s="14"/>
      <c r="AJ235" s="14"/>
      <c r="AK235" s="14"/>
      <c r="AL235" s="14"/>
      <c r="AM235" s="107" t="s">
        <v>4</v>
      </c>
      <c r="AN235" s="27">
        <f t="shared" si="169"/>
        <v>2</v>
      </c>
      <c r="AO235" s="41">
        <f t="shared" ref="AO235:AO241" si="175">IFERROR(AN235/AN$241,0)</f>
        <v>0.13333333333333333</v>
      </c>
      <c r="AP235" s="14"/>
      <c r="AQ235" s="14"/>
      <c r="AR235" s="14"/>
      <c r="AS235" s="65"/>
      <c r="AT235" s="63"/>
      <c r="AU235" s="352"/>
      <c r="AV235" s="14"/>
      <c r="AW235" s="14"/>
      <c r="AX235" s="14"/>
      <c r="AY235" s="14"/>
      <c r="AZ235" s="14"/>
      <c r="BA235" s="14"/>
      <c r="BB235" s="107" t="s">
        <v>4</v>
      </c>
      <c r="BC235" s="27">
        <f t="shared" si="170"/>
        <v>2</v>
      </c>
      <c r="BD235" s="41">
        <f t="shared" ref="BD235:BD241" si="176">IFERROR(BC235/BC$241,0)</f>
        <v>0.13333333333333333</v>
      </c>
      <c r="BE235" s="14"/>
      <c r="BF235" s="14"/>
      <c r="BG235" s="14"/>
      <c r="BH235" s="65"/>
      <c r="BI235" s="63"/>
      <c r="BJ235" s="352"/>
      <c r="BK235" s="19"/>
      <c r="BL235" s="14"/>
      <c r="BM235" s="14"/>
      <c r="BN235" s="14"/>
      <c r="BO235" s="14"/>
      <c r="BP235" s="14"/>
      <c r="BQ235" s="107" t="s">
        <v>4</v>
      </c>
      <c r="BR235" s="27">
        <f t="shared" si="171"/>
        <v>1</v>
      </c>
      <c r="BS235" s="41">
        <f t="shared" ref="BS235:BS241" si="177">IFERROR(BR235/BR$241,0)</f>
        <v>6.6666666666666666E-2</v>
      </c>
      <c r="BT235" s="14"/>
      <c r="BU235" s="14"/>
      <c r="BV235" s="14"/>
      <c r="BW235" s="65"/>
      <c r="BX235" s="63"/>
      <c r="BY235" s="352"/>
      <c r="BZ235" s="14"/>
      <c r="CA235" s="14"/>
      <c r="CB235" s="21"/>
      <c r="CC235" s="21"/>
      <c r="CD235" s="180"/>
      <c r="CE235" s="181"/>
      <c r="CF235" s="97"/>
      <c r="CG235" s="29"/>
      <c r="CH235" s="29"/>
      <c r="CI235" s="14"/>
      <c r="CJ235" s="14"/>
      <c r="CK235" s="14"/>
      <c r="CL235" s="14"/>
      <c r="CM235" s="14"/>
      <c r="CN235" s="14"/>
      <c r="CO235" s="129"/>
      <c r="CP235" s="14"/>
      <c r="CQ235" s="47"/>
      <c r="CR235" s="14"/>
      <c r="CS235" s="14"/>
      <c r="CT235" s="14"/>
      <c r="CU235" s="14"/>
      <c r="CV235" s="180"/>
      <c r="CW235" s="190"/>
      <c r="CX235" s="191"/>
      <c r="CY235" s="52"/>
      <c r="CZ235" s="52"/>
      <c r="DA235" s="14"/>
      <c r="DB235" s="14"/>
      <c r="DC235" s="14"/>
      <c r="DD235" s="14"/>
      <c r="DE235" s="14"/>
      <c r="DF235" s="14"/>
      <c r="DG235" s="129"/>
      <c r="DH235" s="14"/>
      <c r="DI235" s="47"/>
      <c r="DJ235" s="14"/>
      <c r="DK235" s="14"/>
      <c r="DL235" s="14"/>
      <c r="DM235" s="14"/>
      <c r="DN235" s="14"/>
      <c r="DO235" s="14"/>
      <c r="DP235" s="107" t="s">
        <v>35</v>
      </c>
      <c r="DQ235" s="27">
        <f t="shared" si="172"/>
        <v>9</v>
      </c>
      <c r="DR235" s="41">
        <f t="shared" si="173"/>
        <v>0.5</v>
      </c>
      <c r="DS235" s="14"/>
      <c r="DT235" s="14"/>
      <c r="DU235" s="14"/>
      <c r="DV235" s="14"/>
      <c r="DW235" s="14"/>
      <c r="DX235" s="14"/>
      <c r="DY235" s="14"/>
      <c r="DZ235" s="14"/>
      <c r="EA235" s="14"/>
      <c r="EB235" s="14"/>
      <c r="EC235" s="14"/>
      <c r="ED235" s="14"/>
      <c r="EE235" s="14"/>
      <c r="EF235" s="14"/>
      <c r="EG235" s="14"/>
      <c r="EH235" s="14"/>
      <c r="EI235" s="14"/>
      <c r="EJ235" s="14"/>
      <c r="EK235" s="14"/>
      <c r="EL235" s="14"/>
    </row>
    <row r="236" spans="1:142" x14ac:dyDescent="0.25">
      <c r="A236" s="14"/>
      <c r="B236" s="14"/>
      <c r="C236" s="19"/>
      <c r="D236" s="21"/>
      <c r="E236" s="14"/>
      <c r="F236" s="14"/>
      <c r="G236" s="107" t="s">
        <v>36</v>
      </c>
      <c r="H236" s="27">
        <f>SUM(H209,H182,H155,H128,H101,H74)</f>
        <v>4</v>
      </c>
      <c r="I236" s="41">
        <f t="shared" si="174"/>
        <v>0.22222222222222221</v>
      </c>
      <c r="J236" s="19"/>
      <c r="K236" s="19"/>
      <c r="L236" s="19"/>
      <c r="M236" s="19"/>
      <c r="N236" s="19"/>
      <c r="O236" s="19"/>
      <c r="P236" s="19"/>
      <c r="Q236" s="47"/>
      <c r="R236" s="19"/>
      <c r="S236" s="14"/>
      <c r="T236" s="14"/>
      <c r="U236" s="14"/>
      <c r="V236" s="14"/>
      <c r="W236" s="14"/>
      <c r="X236" s="107" t="s">
        <v>33</v>
      </c>
      <c r="Y236" s="27">
        <f t="shared" si="167"/>
        <v>0</v>
      </c>
      <c r="Z236" s="41">
        <f t="shared" si="168"/>
        <v>0</v>
      </c>
      <c r="AA236" s="14"/>
      <c r="AB236" s="14"/>
      <c r="AC236" s="14"/>
      <c r="AD236" s="65"/>
      <c r="AE236" s="63"/>
      <c r="AF236" s="352"/>
      <c r="AG236" s="19"/>
      <c r="AH236" s="14"/>
      <c r="AI236" s="14"/>
      <c r="AJ236" s="14"/>
      <c r="AK236" s="14"/>
      <c r="AL236" s="14"/>
      <c r="AM236" s="107" t="s">
        <v>33</v>
      </c>
      <c r="AN236" s="27">
        <f t="shared" si="169"/>
        <v>0</v>
      </c>
      <c r="AO236" s="41">
        <f t="shared" si="175"/>
        <v>0</v>
      </c>
      <c r="AP236" s="14"/>
      <c r="AQ236" s="14"/>
      <c r="AR236" s="14"/>
      <c r="AS236" s="65"/>
      <c r="AT236" s="63"/>
      <c r="AU236" s="352"/>
      <c r="AV236" s="14"/>
      <c r="AW236" s="14"/>
      <c r="AX236" s="14"/>
      <c r="AY236" s="14"/>
      <c r="AZ236" s="14"/>
      <c r="BA236" s="14"/>
      <c r="BB236" s="107" t="s">
        <v>33</v>
      </c>
      <c r="BC236" s="27">
        <f t="shared" si="170"/>
        <v>1</v>
      </c>
      <c r="BD236" s="41">
        <f t="shared" si="176"/>
        <v>6.6666666666666666E-2</v>
      </c>
      <c r="BE236" s="14"/>
      <c r="BF236" s="14"/>
      <c r="BG236" s="14"/>
      <c r="BH236" s="65"/>
      <c r="BI236" s="63"/>
      <c r="BJ236" s="352"/>
      <c r="BK236" s="19"/>
      <c r="BL236" s="14"/>
      <c r="BM236" s="14"/>
      <c r="BN236" s="14"/>
      <c r="BO236" s="14"/>
      <c r="BP236" s="14"/>
      <c r="BQ236" s="107" t="s">
        <v>33</v>
      </c>
      <c r="BR236" s="27">
        <f t="shared" si="171"/>
        <v>1</v>
      </c>
      <c r="BS236" s="41">
        <f t="shared" si="177"/>
        <v>6.6666666666666666E-2</v>
      </c>
      <c r="BT236" s="14"/>
      <c r="BU236" s="14"/>
      <c r="BV236" s="14"/>
      <c r="BW236" s="65"/>
      <c r="BX236" s="63"/>
      <c r="BY236" s="352"/>
      <c r="BZ236" s="14"/>
      <c r="CA236" s="14"/>
      <c r="CB236" s="21"/>
      <c r="CC236" s="21"/>
      <c r="CD236" s="180"/>
      <c r="CE236" s="181"/>
      <c r="CF236" s="97"/>
      <c r="CG236" s="29"/>
      <c r="CH236" s="29"/>
      <c r="CI236" s="14"/>
      <c r="CJ236" s="14"/>
      <c r="CK236" s="14"/>
      <c r="CL236" s="14"/>
      <c r="CM236" s="14"/>
      <c r="CN236" s="14"/>
      <c r="CO236" s="129"/>
      <c r="CP236" s="14"/>
      <c r="CQ236" s="47"/>
      <c r="CR236" s="14"/>
      <c r="CS236" s="14"/>
      <c r="CT236" s="14"/>
      <c r="CU236" s="14"/>
      <c r="CV236" s="180"/>
      <c r="CW236" s="190"/>
      <c r="CX236" s="191"/>
      <c r="CY236" s="52"/>
      <c r="CZ236" s="52"/>
      <c r="DA236" s="14"/>
      <c r="DB236" s="14"/>
      <c r="DC236" s="14"/>
      <c r="DD236" s="14"/>
      <c r="DE236" s="14"/>
      <c r="DF236" s="14"/>
      <c r="DG236" s="129"/>
      <c r="DH236" s="14"/>
      <c r="DI236" s="47"/>
      <c r="DJ236" s="14"/>
      <c r="DK236" s="14"/>
      <c r="DL236" s="14"/>
      <c r="DM236" s="14"/>
      <c r="DN236" s="14"/>
      <c r="DO236" s="14"/>
      <c r="DP236" s="107" t="s">
        <v>36</v>
      </c>
      <c r="DQ236" s="27">
        <f t="shared" si="172"/>
        <v>4</v>
      </c>
      <c r="DR236" s="41">
        <f t="shared" si="173"/>
        <v>0.22222222222222221</v>
      </c>
      <c r="DS236" s="14"/>
      <c r="DT236" s="14"/>
      <c r="DU236" s="14"/>
      <c r="DV236" s="14"/>
      <c r="DW236" s="14"/>
      <c r="DX236" s="14"/>
      <c r="DY236" s="14"/>
      <c r="DZ236" s="14"/>
      <c r="EA236" s="14"/>
      <c r="EB236" s="14"/>
      <c r="EC236" s="14"/>
      <c r="ED236" s="14"/>
      <c r="EE236" s="14"/>
      <c r="EF236" s="14"/>
      <c r="EG236" s="14"/>
      <c r="EH236" s="14"/>
      <c r="EI236" s="14"/>
      <c r="EJ236" s="14"/>
      <c r="EK236" s="14"/>
      <c r="EL236" s="14"/>
    </row>
    <row r="237" spans="1:142" x14ac:dyDescent="0.25">
      <c r="A237" s="14"/>
      <c r="B237" s="14"/>
      <c r="C237" s="19"/>
      <c r="D237" s="21"/>
      <c r="E237" s="14"/>
      <c r="F237" s="14"/>
      <c r="G237" s="107" t="s">
        <v>38</v>
      </c>
      <c r="H237" s="27">
        <f>SUM(H210,H183,H156,H129,H102,H75)</f>
        <v>0</v>
      </c>
      <c r="I237" s="41">
        <f t="shared" si="174"/>
        <v>0</v>
      </c>
      <c r="J237" s="19"/>
      <c r="K237" s="19"/>
      <c r="L237" s="19"/>
      <c r="M237" s="19"/>
      <c r="N237" s="19"/>
      <c r="O237" s="19"/>
      <c r="P237" s="19"/>
      <c r="Q237" s="47"/>
      <c r="R237" s="19"/>
      <c r="S237" s="14"/>
      <c r="T237" s="14"/>
      <c r="U237" s="14"/>
      <c r="V237" s="14"/>
      <c r="W237" s="14"/>
      <c r="X237" s="107" t="s">
        <v>29</v>
      </c>
      <c r="Y237" s="27">
        <f t="shared" si="167"/>
        <v>5</v>
      </c>
      <c r="Z237" s="41">
        <f t="shared" si="168"/>
        <v>0.29411764705882354</v>
      </c>
      <c r="AA237" s="14"/>
      <c r="AB237" s="14"/>
      <c r="AC237" s="14"/>
      <c r="AD237" s="65"/>
      <c r="AE237" s="63"/>
      <c r="AF237" s="352"/>
      <c r="AG237" s="19"/>
      <c r="AH237" s="14"/>
      <c r="AI237" s="14"/>
      <c r="AJ237" s="14"/>
      <c r="AK237" s="14"/>
      <c r="AL237" s="14"/>
      <c r="AM237" s="107" t="s">
        <v>29</v>
      </c>
      <c r="AN237" s="27">
        <f t="shared" si="169"/>
        <v>1</v>
      </c>
      <c r="AO237" s="41">
        <f t="shared" si="175"/>
        <v>6.6666666666666666E-2</v>
      </c>
      <c r="AP237" s="14"/>
      <c r="AQ237" s="14"/>
      <c r="AR237" s="14"/>
      <c r="AS237" s="65"/>
      <c r="AT237" s="63"/>
      <c r="AU237" s="352"/>
      <c r="AV237" s="14"/>
      <c r="AW237" s="14"/>
      <c r="AX237" s="14"/>
      <c r="AY237" s="14"/>
      <c r="AZ237" s="14"/>
      <c r="BA237" s="14"/>
      <c r="BB237" s="107" t="s">
        <v>29</v>
      </c>
      <c r="BC237" s="27">
        <f t="shared" si="170"/>
        <v>1</v>
      </c>
      <c r="BD237" s="41">
        <f t="shared" si="176"/>
        <v>6.6666666666666666E-2</v>
      </c>
      <c r="BE237" s="14"/>
      <c r="BF237" s="14"/>
      <c r="BG237" s="14"/>
      <c r="BH237" s="65"/>
      <c r="BI237" s="63"/>
      <c r="BJ237" s="352"/>
      <c r="BK237" s="19"/>
      <c r="BL237" s="14"/>
      <c r="BM237" s="14"/>
      <c r="BN237" s="14"/>
      <c r="BO237" s="14"/>
      <c r="BP237" s="14"/>
      <c r="BQ237" s="107" t="s">
        <v>29</v>
      </c>
      <c r="BR237" s="27">
        <f t="shared" si="171"/>
        <v>1</v>
      </c>
      <c r="BS237" s="41">
        <f t="shared" si="177"/>
        <v>6.6666666666666666E-2</v>
      </c>
      <c r="BT237" s="14"/>
      <c r="BU237" s="14"/>
      <c r="BV237" s="14"/>
      <c r="BW237" s="65"/>
      <c r="BX237" s="63"/>
      <c r="BY237" s="352"/>
      <c r="BZ237" s="14"/>
      <c r="CA237" s="14"/>
      <c r="CB237" s="21"/>
      <c r="CC237" s="21"/>
      <c r="CD237" s="180"/>
      <c r="CE237" s="181"/>
      <c r="CF237" s="97"/>
      <c r="CG237" s="29"/>
      <c r="CH237" s="29"/>
      <c r="CI237" s="14"/>
      <c r="CJ237" s="14"/>
      <c r="CK237" s="14"/>
      <c r="CL237" s="14"/>
      <c r="CM237" s="14"/>
      <c r="CN237" s="14"/>
      <c r="CO237" s="129"/>
      <c r="CP237" s="14"/>
      <c r="CQ237" s="47"/>
      <c r="CR237" s="14"/>
      <c r="CS237" s="14"/>
      <c r="CT237" s="14"/>
      <c r="CU237" s="14"/>
      <c r="CV237" s="180"/>
      <c r="CW237" s="190"/>
      <c r="CX237" s="191"/>
      <c r="CY237" s="52"/>
      <c r="CZ237" s="52"/>
      <c r="DA237" s="14"/>
      <c r="DB237" s="14"/>
      <c r="DC237" s="14"/>
      <c r="DD237" s="14"/>
      <c r="DE237" s="14"/>
      <c r="DF237" s="14"/>
      <c r="DG237" s="129"/>
      <c r="DH237" s="14"/>
      <c r="DI237" s="47"/>
      <c r="DJ237" s="14"/>
      <c r="DK237" s="14"/>
      <c r="DL237" s="14"/>
      <c r="DM237" s="14"/>
      <c r="DN237" s="14"/>
      <c r="DO237" s="14"/>
      <c r="DP237" s="107" t="s">
        <v>38</v>
      </c>
      <c r="DQ237" s="27">
        <f t="shared" si="172"/>
        <v>1</v>
      </c>
      <c r="DR237" s="41">
        <f t="shared" si="173"/>
        <v>5.5555555555555552E-2</v>
      </c>
      <c r="DS237" s="14"/>
      <c r="DT237" s="14"/>
      <c r="DU237" s="14"/>
      <c r="DV237" s="14"/>
      <c r="DW237" s="14"/>
      <c r="DX237" s="14"/>
      <c r="DY237" s="14"/>
      <c r="DZ237" s="14"/>
      <c r="EA237" s="14"/>
      <c r="EB237" s="14"/>
      <c r="EC237" s="14"/>
      <c r="ED237" s="14"/>
      <c r="EE237" s="14"/>
      <c r="EF237" s="14"/>
      <c r="EG237" s="14"/>
      <c r="EH237" s="14"/>
      <c r="EI237" s="14"/>
      <c r="EJ237" s="14"/>
      <c r="EK237" s="14"/>
      <c r="EL237" s="14"/>
    </row>
    <row r="238" spans="1:142" x14ac:dyDescent="0.25">
      <c r="A238" s="14"/>
      <c r="B238" s="14"/>
      <c r="C238" s="19"/>
      <c r="D238" s="21"/>
      <c r="E238" s="14"/>
      <c r="F238" s="14"/>
      <c r="G238" s="107" t="s">
        <v>39</v>
      </c>
      <c r="H238" s="27">
        <f>SUM(H211,H184,H157,H130,H103,H76)</f>
        <v>2</v>
      </c>
      <c r="I238" s="41">
        <f t="shared" si="174"/>
        <v>0.1111111111111111</v>
      </c>
      <c r="J238" s="19"/>
      <c r="K238" s="19"/>
      <c r="L238" s="19"/>
      <c r="M238" s="19"/>
      <c r="N238" s="19"/>
      <c r="O238" s="19"/>
      <c r="P238" s="19"/>
      <c r="Q238" s="47"/>
      <c r="R238" s="19"/>
      <c r="S238" s="14"/>
      <c r="T238" s="14"/>
      <c r="U238" s="14"/>
      <c r="V238" s="14"/>
      <c r="W238" s="14"/>
      <c r="X238" s="107" t="s">
        <v>3</v>
      </c>
      <c r="Y238" s="27">
        <f t="shared" si="167"/>
        <v>3</v>
      </c>
      <c r="Z238" s="41">
        <f t="shared" si="168"/>
        <v>0.17647058823529413</v>
      </c>
      <c r="AA238" s="14"/>
      <c r="AB238" s="14"/>
      <c r="AC238" s="14"/>
      <c r="AD238" s="65"/>
      <c r="AE238" s="63"/>
      <c r="AF238" s="352"/>
      <c r="AG238" s="19"/>
      <c r="AH238" s="14"/>
      <c r="AI238" s="14"/>
      <c r="AJ238" s="14"/>
      <c r="AK238" s="14"/>
      <c r="AL238" s="14"/>
      <c r="AM238" s="107" t="s">
        <v>3</v>
      </c>
      <c r="AN238" s="27">
        <f t="shared" si="169"/>
        <v>6</v>
      </c>
      <c r="AO238" s="41">
        <f t="shared" si="175"/>
        <v>0.4</v>
      </c>
      <c r="AP238" s="14"/>
      <c r="AQ238" s="14"/>
      <c r="AR238" s="14"/>
      <c r="AS238" s="65"/>
      <c r="AT238" s="63"/>
      <c r="AU238" s="352"/>
      <c r="AV238" s="14"/>
      <c r="AW238" s="14"/>
      <c r="AX238" s="14"/>
      <c r="AY238" s="14"/>
      <c r="AZ238" s="14"/>
      <c r="BA238" s="14"/>
      <c r="BB238" s="107" t="s">
        <v>3</v>
      </c>
      <c r="BC238" s="27">
        <f t="shared" si="170"/>
        <v>1</v>
      </c>
      <c r="BD238" s="41">
        <f t="shared" si="176"/>
        <v>6.6666666666666666E-2</v>
      </c>
      <c r="BE238" s="14"/>
      <c r="BF238" s="14"/>
      <c r="BG238" s="14"/>
      <c r="BH238" s="65"/>
      <c r="BI238" s="63"/>
      <c r="BJ238" s="352"/>
      <c r="BK238" s="19"/>
      <c r="BL238" s="14"/>
      <c r="BM238" s="14"/>
      <c r="BN238" s="14"/>
      <c r="BO238" s="14"/>
      <c r="BP238" s="14"/>
      <c r="BQ238" s="107" t="s">
        <v>3</v>
      </c>
      <c r="BR238" s="27">
        <f t="shared" si="171"/>
        <v>2</v>
      </c>
      <c r="BS238" s="41">
        <f t="shared" si="177"/>
        <v>0.13333333333333333</v>
      </c>
      <c r="BT238" s="14"/>
      <c r="BU238" s="14"/>
      <c r="BV238" s="14"/>
      <c r="BW238" s="65"/>
      <c r="BX238" s="63"/>
      <c r="BY238" s="352"/>
      <c r="BZ238" s="14"/>
      <c r="CA238" s="14"/>
      <c r="CB238" s="21"/>
      <c r="CC238" s="21"/>
      <c r="CD238" s="180"/>
      <c r="CE238" s="181"/>
      <c r="CF238" s="97"/>
      <c r="CG238" s="29"/>
      <c r="CH238" s="29"/>
      <c r="CI238" s="14"/>
      <c r="CJ238" s="14"/>
      <c r="CK238" s="14"/>
      <c r="CL238" s="14"/>
      <c r="CM238" s="14"/>
      <c r="CN238" s="14"/>
      <c r="CO238" s="129"/>
      <c r="CP238" s="14"/>
      <c r="CQ238" s="47"/>
      <c r="CR238" s="14"/>
      <c r="CS238" s="14"/>
      <c r="CT238" s="14"/>
      <c r="CU238" s="14"/>
      <c r="CV238" s="180"/>
      <c r="CW238" s="190"/>
      <c r="CX238" s="191"/>
      <c r="CY238" s="52"/>
      <c r="CZ238" s="52"/>
      <c r="DA238" s="14"/>
      <c r="DB238" s="14"/>
      <c r="DC238" s="14"/>
      <c r="DD238" s="14"/>
      <c r="DE238" s="14"/>
      <c r="DF238" s="14"/>
      <c r="DG238" s="129"/>
      <c r="DH238" s="14"/>
      <c r="DI238" s="47"/>
      <c r="DJ238" s="14"/>
      <c r="DK238" s="14"/>
      <c r="DL238" s="14"/>
      <c r="DM238" s="14"/>
      <c r="DN238" s="14"/>
      <c r="DO238" s="14"/>
      <c r="DP238" s="107" t="s">
        <v>39</v>
      </c>
      <c r="DQ238" s="27">
        <f t="shared" si="172"/>
        <v>1</v>
      </c>
      <c r="DR238" s="41">
        <f t="shared" si="173"/>
        <v>5.5555555555555552E-2</v>
      </c>
      <c r="DS238" s="14"/>
      <c r="DT238" s="14"/>
      <c r="DU238" s="14"/>
      <c r="DV238" s="14"/>
      <c r="DW238" s="14"/>
      <c r="DX238" s="14"/>
      <c r="DY238" s="14"/>
      <c r="DZ238" s="14"/>
      <c r="EA238" s="14"/>
      <c r="EB238" s="14"/>
      <c r="EC238" s="14"/>
      <c r="ED238" s="14"/>
      <c r="EE238" s="14"/>
      <c r="EF238" s="14"/>
      <c r="EG238" s="14"/>
      <c r="EH238" s="14"/>
      <c r="EI238" s="14"/>
      <c r="EJ238" s="14"/>
      <c r="EK238" s="14"/>
      <c r="EL238" s="14"/>
    </row>
    <row r="239" spans="1:142" x14ac:dyDescent="0.25">
      <c r="A239" s="14"/>
      <c r="B239" s="14"/>
      <c r="C239" s="19"/>
      <c r="D239" s="21"/>
      <c r="E239" s="14"/>
      <c r="F239" s="14"/>
      <c r="G239" s="86" t="s">
        <v>145</v>
      </c>
      <c r="H239" s="111">
        <f>SUM(H234:H238)</f>
        <v>18</v>
      </c>
      <c r="I239" s="119">
        <f t="shared" si="174"/>
        <v>1</v>
      </c>
      <c r="J239" s="19"/>
      <c r="K239" s="19"/>
      <c r="L239" s="19"/>
      <c r="M239" s="19"/>
      <c r="N239" s="19"/>
      <c r="O239" s="19"/>
      <c r="P239" s="19"/>
      <c r="Q239" s="47"/>
      <c r="R239" s="19"/>
      <c r="S239" s="14"/>
      <c r="T239" s="14"/>
      <c r="U239" s="14"/>
      <c r="V239" s="14"/>
      <c r="W239" s="14"/>
      <c r="X239" s="107" t="s">
        <v>54</v>
      </c>
      <c r="Y239" s="27">
        <f t="shared" si="167"/>
        <v>4</v>
      </c>
      <c r="Z239" s="41">
        <f t="shared" si="168"/>
        <v>0.23529411764705882</v>
      </c>
      <c r="AA239" s="14"/>
      <c r="AB239" s="14"/>
      <c r="AC239" s="14"/>
      <c r="AD239" s="65"/>
      <c r="AE239" s="63"/>
      <c r="AF239" s="352"/>
      <c r="AG239" s="19"/>
      <c r="AH239" s="14"/>
      <c r="AI239" s="14"/>
      <c r="AJ239" s="14"/>
      <c r="AK239" s="14"/>
      <c r="AL239" s="14"/>
      <c r="AM239" s="107" t="s">
        <v>54</v>
      </c>
      <c r="AN239" s="27">
        <f t="shared" si="169"/>
        <v>1</v>
      </c>
      <c r="AO239" s="41">
        <f t="shared" si="175"/>
        <v>6.6666666666666666E-2</v>
      </c>
      <c r="AP239" s="14"/>
      <c r="AQ239" s="14"/>
      <c r="AR239" s="14"/>
      <c r="AS239" s="65"/>
      <c r="AT239" s="63"/>
      <c r="AU239" s="352"/>
      <c r="AV239" s="14"/>
      <c r="AW239" s="14"/>
      <c r="AX239" s="14"/>
      <c r="AY239" s="14"/>
      <c r="AZ239" s="14"/>
      <c r="BA239" s="14"/>
      <c r="BB239" s="107" t="s">
        <v>54</v>
      </c>
      <c r="BC239" s="27">
        <f t="shared" si="170"/>
        <v>6</v>
      </c>
      <c r="BD239" s="41">
        <f t="shared" si="176"/>
        <v>0.4</v>
      </c>
      <c r="BE239" s="14"/>
      <c r="BF239" s="14"/>
      <c r="BG239" s="14"/>
      <c r="BH239" s="65"/>
      <c r="BI239" s="63"/>
      <c r="BJ239" s="352"/>
      <c r="BK239" s="19"/>
      <c r="BL239" s="14"/>
      <c r="BM239" s="14"/>
      <c r="BN239" s="14"/>
      <c r="BO239" s="14"/>
      <c r="BP239" s="14"/>
      <c r="BQ239" s="107" t="s">
        <v>54</v>
      </c>
      <c r="BR239" s="27">
        <f t="shared" si="171"/>
        <v>6</v>
      </c>
      <c r="BS239" s="41">
        <f t="shared" si="177"/>
        <v>0.4</v>
      </c>
      <c r="BT239" s="14"/>
      <c r="BU239" s="14"/>
      <c r="BV239" s="14"/>
      <c r="BW239" s="65"/>
      <c r="BX239" s="63"/>
      <c r="BY239" s="352"/>
      <c r="BZ239" s="14"/>
      <c r="CA239" s="14"/>
      <c r="CB239" s="21"/>
      <c r="CC239" s="21"/>
      <c r="CD239" s="180"/>
      <c r="CE239" s="181"/>
      <c r="CF239" s="97"/>
      <c r="CG239" s="29"/>
      <c r="CH239" s="29"/>
      <c r="CI239" s="14"/>
      <c r="CJ239" s="14"/>
      <c r="CK239" s="14"/>
      <c r="CL239" s="14"/>
      <c r="CM239" s="14"/>
      <c r="CN239" s="14"/>
      <c r="CO239" s="129"/>
      <c r="CP239" s="14"/>
      <c r="CQ239" s="47"/>
      <c r="CR239" s="14"/>
      <c r="CS239" s="14"/>
      <c r="CT239" s="14"/>
      <c r="CU239" s="14"/>
      <c r="CV239" s="180"/>
      <c r="CW239" s="190"/>
      <c r="CX239" s="191"/>
      <c r="CY239" s="52"/>
      <c r="CZ239" s="52"/>
      <c r="DA239" s="14"/>
      <c r="DB239" s="14"/>
      <c r="DC239" s="14"/>
      <c r="DD239" s="14"/>
      <c r="DE239" s="14"/>
      <c r="DF239" s="14"/>
      <c r="DG239" s="129"/>
      <c r="DH239" s="14"/>
      <c r="DI239" s="47"/>
      <c r="DJ239" s="14"/>
      <c r="DK239" s="14"/>
      <c r="DL239" s="14"/>
      <c r="DM239" s="14"/>
      <c r="DN239" s="14"/>
      <c r="DO239" s="14"/>
      <c r="DP239" s="86" t="s">
        <v>145</v>
      </c>
      <c r="DQ239" s="111">
        <f t="shared" si="172"/>
        <v>18</v>
      </c>
      <c r="DR239" s="119">
        <f t="shared" si="173"/>
        <v>1</v>
      </c>
      <c r="DS239" s="14"/>
      <c r="DT239" s="14"/>
      <c r="DU239" s="14"/>
      <c r="DV239" s="14"/>
      <c r="DW239" s="14"/>
      <c r="DX239" s="14"/>
      <c r="DY239" s="14"/>
      <c r="DZ239" s="14"/>
      <c r="EA239" s="14"/>
      <c r="EB239" s="14"/>
      <c r="EC239" s="14"/>
      <c r="ED239" s="14"/>
      <c r="EE239" s="14"/>
      <c r="EF239" s="14"/>
      <c r="EG239" s="14"/>
      <c r="EH239" s="14"/>
      <c r="EI239" s="14"/>
      <c r="EJ239" s="14"/>
      <c r="EK239" s="14"/>
      <c r="EL239" s="14"/>
    </row>
    <row r="240" spans="1:142" ht="13.5" customHeight="1" x14ac:dyDescent="0.25">
      <c r="A240" s="14"/>
      <c r="B240" s="14"/>
      <c r="C240" s="14"/>
      <c r="D240" s="21"/>
      <c r="E240" s="14"/>
      <c r="F240" s="14"/>
      <c r="G240" s="14"/>
      <c r="H240" s="21"/>
      <c r="I240" s="21"/>
      <c r="J240" s="14"/>
      <c r="K240" s="14"/>
      <c r="L240" s="14"/>
      <c r="M240" s="14"/>
      <c r="N240" s="14"/>
      <c r="O240" s="14"/>
      <c r="P240" s="14"/>
      <c r="Q240" s="47"/>
      <c r="R240" s="19"/>
      <c r="S240" s="14"/>
      <c r="T240" s="14"/>
      <c r="U240" s="14"/>
      <c r="V240" s="14"/>
      <c r="W240" s="14"/>
      <c r="X240" s="107" t="s">
        <v>39</v>
      </c>
      <c r="Y240" s="27">
        <f t="shared" si="167"/>
        <v>2</v>
      </c>
      <c r="Z240" s="41">
        <f t="shared" si="168"/>
        <v>0.11764705882352941</v>
      </c>
      <c r="AA240" s="14"/>
      <c r="AB240" s="14"/>
      <c r="AC240" s="14"/>
      <c r="AD240" s="65"/>
      <c r="AE240" s="63"/>
      <c r="AF240" s="352"/>
      <c r="AG240" s="19"/>
      <c r="AH240" s="14"/>
      <c r="AI240" s="14"/>
      <c r="AJ240" s="14"/>
      <c r="AK240" s="14"/>
      <c r="AL240" s="14"/>
      <c r="AM240" s="107" t="s">
        <v>39</v>
      </c>
      <c r="AN240" s="27">
        <f t="shared" si="169"/>
        <v>0</v>
      </c>
      <c r="AO240" s="41">
        <f t="shared" si="175"/>
        <v>0</v>
      </c>
      <c r="AP240" s="14"/>
      <c r="AQ240" s="14"/>
      <c r="AR240" s="14"/>
      <c r="AS240" s="65"/>
      <c r="AT240" s="63"/>
      <c r="AU240" s="352"/>
      <c r="AV240" s="14"/>
      <c r="AW240" s="14"/>
      <c r="AX240" s="14"/>
      <c r="AY240" s="14"/>
      <c r="AZ240" s="14"/>
      <c r="BA240" s="14"/>
      <c r="BB240" s="107" t="s">
        <v>39</v>
      </c>
      <c r="BC240" s="27">
        <f t="shared" si="170"/>
        <v>0</v>
      </c>
      <c r="BD240" s="41">
        <f t="shared" si="176"/>
        <v>0</v>
      </c>
      <c r="BE240" s="14"/>
      <c r="BF240" s="14"/>
      <c r="BG240" s="14"/>
      <c r="BH240" s="65"/>
      <c r="BI240" s="63"/>
      <c r="BJ240" s="352"/>
      <c r="BK240" s="19"/>
      <c r="BL240" s="14"/>
      <c r="BM240" s="14"/>
      <c r="BN240" s="14"/>
      <c r="BO240" s="14"/>
      <c r="BP240" s="14"/>
      <c r="BQ240" s="107" t="s">
        <v>39</v>
      </c>
      <c r="BR240" s="27">
        <f t="shared" si="171"/>
        <v>0</v>
      </c>
      <c r="BS240" s="41">
        <f t="shared" si="177"/>
        <v>0</v>
      </c>
      <c r="BT240" s="14"/>
      <c r="BU240" s="14"/>
      <c r="BV240" s="14"/>
      <c r="BW240" s="65"/>
      <c r="BX240" s="63"/>
      <c r="BY240" s="352"/>
      <c r="BZ240" s="14"/>
      <c r="CA240" s="14"/>
      <c r="CB240" s="21"/>
      <c r="CC240" s="21"/>
      <c r="CD240" s="180"/>
      <c r="CE240" s="181"/>
      <c r="CF240" s="97"/>
      <c r="CG240" s="29"/>
      <c r="CH240" s="29"/>
      <c r="CI240" s="14"/>
      <c r="CJ240" s="14"/>
      <c r="CK240" s="14"/>
      <c r="CL240" s="14"/>
      <c r="CM240" s="14"/>
      <c r="CN240" s="14"/>
      <c r="CO240" s="129"/>
      <c r="CP240" s="14"/>
      <c r="CQ240" s="47"/>
      <c r="CR240" s="14"/>
      <c r="CS240" s="14"/>
      <c r="CT240" s="14"/>
      <c r="CU240" s="14"/>
      <c r="CV240" s="180"/>
      <c r="CW240" s="190"/>
      <c r="CX240" s="191"/>
      <c r="CY240" s="52"/>
      <c r="CZ240" s="52"/>
      <c r="DA240" s="14"/>
      <c r="DB240" s="14"/>
      <c r="DC240" s="14"/>
      <c r="DD240" s="14"/>
      <c r="DE240" s="14"/>
      <c r="DF240" s="14"/>
      <c r="DG240" s="129"/>
      <c r="DH240" s="14"/>
      <c r="DI240" s="47"/>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row>
    <row r="241" spans="1:142" x14ac:dyDescent="0.25">
      <c r="A241" s="14"/>
      <c r="B241" s="14"/>
      <c r="C241" s="14"/>
      <c r="D241" s="21"/>
      <c r="E241" s="14"/>
      <c r="F241" s="14"/>
      <c r="G241" s="14"/>
      <c r="H241" s="21"/>
      <c r="I241" s="21"/>
      <c r="J241" s="14"/>
      <c r="K241" s="14"/>
      <c r="L241" s="14"/>
      <c r="M241" s="14"/>
      <c r="N241" s="14"/>
      <c r="O241" s="14"/>
      <c r="P241" s="14"/>
      <c r="Q241" s="47"/>
      <c r="R241" s="19"/>
      <c r="S241" s="14"/>
      <c r="T241" s="14"/>
      <c r="U241" s="14"/>
      <c r="V241" s="14"/>
      <c r="W241" s="14"/>
      <c r="X241" s="86" t="s">
        <v>145</v>
      </c>
      <c r="Y241" s="111">
        <f t="shared" si="167"/>
        <v>17</v>
      </c>
      <c r="Z241" s="119">
        <f t="shared" si="168"/>
        <v>1</v>
      </c>
      <c r="AA241" s="14"/>
      <c r="AB241" s="14"/>
      <c r="AC241" s="14"/>
      <c r="AD241" s="65"/>
      <c r="AE241" s="63"/>
      <c r="AF241" s="352"/>
      <c r="AG241" s="19"/>
      <c r="AH241" s="14"/>
      <c r="AI241" s="14"/>
      <c r="AJ241" s="14"/>
      <c r="AK241" s="14"/>
      <c r="AL241" s="14"/>
      <c r="AM241" s="86" t="s">
        <v>145</v>
      </c>
      <c r="AN241" s="111">
        <f t="shared" si="169"/>
        <v>15</v>
      </c>
      <c r="AO241" s="119">
        <f t="shared" si="175"/>
        <v>1</v>
      </c>
      <c r="AP241" s="14"/>
      <c r="AQ241" s="14"/>
      <c r="AR241" s="14"/>
      <c r="AS241" s="65"/>
      <c r="AT241" s="63"/>
      <c r="AU241" s="352"/>
      <c r="AV241" s="14"/>
      <c r="AW241" s="14"/>
      <c r="AX241" s="14"/>
      <c r="AY241" s="14"/>
      <c r="AZ241" s="14"/>
      <c r="BA241" s="14"/>
      <c r="BB241" s="86" t="s">
        <v>145</v>
      </c>
      <c r="BC241" s="111">
        <f t="shared" si="170"/>
        <v>15</v>
      </c>
      <c r="BD241" s="119">
        <f t="shared" si="176"/>
        <v>1</v>
      </c>
      <c r="BE241" s="14"/>
      <c r="BF241" s="14"/>
      <c r="BG241" s="14"/>
      <c r="BH241" s="65"/>
      <c r="BI241" s="63"/>
      <c r="BJ241" s="352"/>
      <c r="BK241" s="19"/>
      <c r="BL241" s="14"/>
      <c r="BM241" s="14"/>
      <c r="BN241" s="14"/>
      <c r="BO241" s="14"/>
      <c r="BP241" s="14"/>
      <c r="BQ241" s="86" t="s">
        <v>145</v>
      </c>
      <c r="BR241" s="111">
        <f t="shared" si="171"/>
        <v>15</v>
      </c>
      <c r="BS241" s="119">
        <f t="shared" si="177"/>
        <v>1</v>
      </c>
      <c r="BT241" s="14"/>
      <c r="BU241" s="14"/>
      <c r="BV241" s="14"/>
      <c r="BW241" s="65"/>
      <c r="BX241" s="63"/>
      <c r="BY241" s="352"/>
      <c r="BZ241" s="14"/>
      <c r="CA241" s="14"/>
      <c r="CB241" s="21"/>
      <c r="CC241" s="21"/>
      <c r="CD241" s="180"/>
      <c r="CE241" s="181"/>
      <c r="CF241" s="97"/>
      <c r="CG241" s="29"/>
      <c r="CH241" s="29"/>
      <c r="CI241" s="14"/>
      <c r="CJ241" s="14"/>
      <c r="CK241" s="14"/>
      <c r="CL241" s="14"/>
      <c r="CM241" s="14"/>
      <c r="CN241" s="14"/>
      <c r="CO241" s="129"/>
      <c r="CP241" s="14"/>
      <c r="CQ241" s="47"/>
      <c r="CR241" s="14"/>
      <c r="CS241" s="14"/>
      <c r="CT241" s="14"/>
      <c r="CU241" s="14"/>
      <c r="CV241" s="180"/>
      <c r="CW241" s="190"/>
      <c r="CX241" s="191"/>
      <c r="CY241" s="52"/>
      <c r="CZ241" s="52"/>
      <c r="DA241" s="14"/>
      <c r="DB241" s="14"/>
      <c r="DC241" s="14"/>
      <c r="DD241" s="14"/>
      <c r="DE241" s="14"/>
      <c r="DF241" s="14"/>
      <c r="DG241" s="129"/>
      <c r="DH241" s="14"/>
      <c r="DI241" s="47"/>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row>
    <row r="242" spans="1:142" x14ac:dyDescent="0.25">
      <c r="A242" s="14"/>
      <c r="B242" s="14"/>
      <c r="C242" s="14"/>
      <c r="D242" s="21"/>
      <c r="E242" s="14"/>
      <c r="F242" s="14"/>
      <c r="G242" s="14"/>
      <c r="H242" s="21"/>
      <c r="I242" s="21"/>
      <c r="J242" s="14"/>
      <c r="K242" s="14"/>
      <c r="L242" s="14"/>
      <c r="M242" s="14"/>
      <c r="N242" s="14"/>
      <c r="O242" s="14"/>
      <c r="P242" s="14"/>
      <c r="Q242" s="47"/>
      <c r="R242" s="19"/>
      <c r="S242" s="14"/>
      <c r="T242" s="14"/>
      <c r="U242" s="14"/>
      <c r="V242" s="14"/>
      <c r="W242" s="14"/>
      <c r="X242" s="14"/>
      <c r="Y242" s="14"/>
      <c r="Z242" s="14"/>
      <c r="AA242" s="14"/>
      <c r="AB242" s="14"/>
      <c r="AC242" s="14"/>
      <c r="AD242" s="65"/>
      <c r="AE242" s="63"/>
      <c r="AF242" s="352"/>
      <c r="AG242" s="19"/>
      <c r="AH242" s="14"/>
      <c r="AI242" s="14"/>
      <c r="AJ242" s="14"/>
      <c r="AK242" s="14"/>
      <c r="AL242" s="14"/>
      <c r="AM242" s="14"/>
      <c r="AN242" s="14"/>
      <c r="AO242" s="14"/>
      <c r="AP242" s="14"/>
      <c r="AQ242" s="14"/>
      <c r="AR242" s="14"/>
      <c r="AS242" s="65"/>
      <c r="AT242" s="63"/>
      <c r="AU242" s="352"/>
      <c r="AV242" s="14"/>
      <c r="AW242" s="14"/>
      <c r="AX242" s="14"/>
      <c r="AY242" s="14"/>
      <c r="AZ242" s="14"/>
      <c r="BA242" s="14"/>
      <c r="BB242" s="14"/>
      <c r="BC242" s="14"/>
      <c r="BD242" s="14"/>
      <c r="BE242" s="14"/>
      <c r="BF242" s="14"/>
      <c r="BG242" s="14"/>
      <c r="BH242" s="65"/>
      <c r="BI242" s="63"/>
      <c r="BJ242" s="352"/>
      <c r="BK242" s="19"/>
      <c r="BL242" s="14"/>
      <c r="BM242" s="14"/>
      <c r="BN242" s="14"/>
      <c r="BO242" s="14"/>
      <c r="BP242" s="14"/>
      <c r="BQ242" s="14"/>
      <c r="BR242" s="14"/>
      <c r="BS242" s="14"/>
      <c r="BT242" s="14"/>
      <c r="BU242" s="14"/>
      <c r="BV242" s="14"/>
      <c r="BW242" s="65"/>
      <c r="BX242" s="63"/>
      <c r="BY242" s="352"/>
      <c r="BZ242" s="14"/>
      <c r="CA242" s="14"/>
      <c r="CB242" s="21"/>
      <c r="CC242" s="21"/>
      <c r="CD242" s="180"/>
      <c r="CE242" s="181"/>
      <c r="CF242" s="97"/>
      <c r="CG242" s="29"/>
      <c r="CH242" s="29"/>
      <c r="CI242" s="14"/>
      <c r="CJ242" s="14"/>
      <c r="CK242" s="14"/>
      <c r="CL242" s="14"/>
      <c r="CM242" s="14"/>
      <c r="CN242" s="14"/>
      <c r="CO242" s="129"/>
      <c r="CP242" s="14"/>
      <c r="CQ242" s="47"/>
      <c r="CR242" s="14"/>
      <c r="CS242" s="14"/>
      <c r="CT242" s="14"/>
      <c r="CU242" s="14"/>
      <c r="CV242" s="180"/>
      <c r="CW242" s="190"/>
      <c r="CX242" s="191"/>
      <c r="CY242" s="31"/>
      <c r="CZ242" s="31"/>
      <c r="DA242" s="14"/>
      <c r="DB242" s="14"/>
      <c r="DC242" s="14"/>
      <c r="DD242" s="14"/>
      <c r="DE242" s="14"/>
      <c r="DF242" s="14"/>
      <c r="DG242" s="129"/>
      <c r="DH242" s="14"/>
      <c r="DI242" s="47"/>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row>
    <row r="243" spans="1:142" x14ac:dyDescent="0.25">
      <c r="A243" s="14"/>
      <c r="B243" s="14"/>
      <c r="C243" s="14"/>
      <c r="D243" s="21"/>
      <c r="E243" s="14"/>
      <c r="F243" s="14"/>
      <c r="G243" s="14"/>
      <c r="H243" s="21"/>
      <c r="I243" s="21"/>
      <c r="J243" s="14"/>
      <c r="K243" s="14"/>
      <c r="L243" s="14"/>
      <c r="M243" s="14"/>
      <c r="N243" s="14"/>
      <c r="O243" s="14"/>
      <c r="P243" s="14"/>
      <c r="Q243" s="47"/>
      <c r="R243" s="19"/>
      <c r="S243" s="14"/>
      <c r="T243" s="14"/>
      <c r="U243" s="14"/>
      <c r="V243" s="14"/>
      <c r="W243" s="14"/>
      <c r="X243" s="14"/>
      <c r="Y243" s="14"/>
      <c r="Z243" s="14"/>
      <c r="AA243" s="14"/>
      <c r="AB243" s="14"/>
      <c r="AC243" s="14"/>
      <c r="AD243" s="65"/>
      <c r="AE243" s="63"/>
      <c r="AF243" s="352"/>
      <c r="AG243" s="19"/>
      <c r="AH243" s="14"/>
      <c r="AI243" s="14"/>
      <c r="AJ243" s="14"/>
      <c r="AK243" s="14"/>
      <c r="AL243" s="14"/>
      <c r="AM243" s="14"/>
      <c r="AN243" s="14"/>
      <c r="AO243" s="14"/>
      <c r="AP243" s="14"/>
      <c r="AQ243" s="14"/>
      <c r="AR243" s="14"/>
      <c r="AS243" s="65"/>
      <c r="AT243" s="63"/>
      <c r="AU243" s="352"/>
      <c r="AV243" s="14"/>
      <c r="AW243" s="14"/>
      <c r="AX243" s="14"/>
      <c r="AY243" s="14"/>
      <c r="AZ243" s="14"/>
      <c r="BA243" s="14"/>
      <c r="BB243" s="14"/>
      <c r="BC243" s="14"/>
      <c r="BD243" s="14"/>
      <c r="BE243" s="14"/>
      <c r="BF243" s="14"/>
      <c r="BG243" s="14"/>
      <c r="BH243" s="65"/>
      <c r="BI243" s="63"/>
      <c r="BJ243" s="352"/>
      <c r="BK243" s="19"/>
      <c r="BL243" s="14"/>
      <c r="BM243" s="14"/>
      <c r="BN243" s="14"/>
      <c r="BO243" s="14"/>
      <c r="BP243" s="14"/>
      <c r="BQ243" s="14"/>
      <c r="BR243" s="14"/>
      <c r="BS243" s="14"/>
      <c r="BT243" s="14"/>
      <c r="BU243" s="14"/>
      <c r="BV243" s="14"/>
      <c r="BW243" s="65"/>
      <c r="BX243" s="63"/>
      <c r="BY243" s="352"/>
      <c r="BZ243" s="14"/>
      <c r="CA243" s="14"/>
      <c r="CB243" s="21"/>
      <c r="CC243" s="21"/>
      <c r="CD243" s="180"/>
      <c r="CE243" s="180"/>
      <c r="CF243" s="21"/>
      <c r="CG243" s="14"/>
      <c r="CH243" s="14"/>
      <c r="CI243" s="14"/>
      <c r="CJ243" s="14"/>
      <c r="CK243" s="14"/>
      <c r="CL243" s="14"/>
      <c r="CM243" s="14"/>
      <c r="CN243" s="14"/>
      <c r="CO243" s="129"/>
      <c r="CP243" s="14"/>
      <c r="CQ243" s="47"/>
      <c r="CR243" s="14"/>
      <c r="CS243" s="14"/>
      <c r="CT243" s="14"/>
      <c r="CU243" s="14"/>
      <c r="CV243" s="180"/>
      <c r="CW243" s="189"/>
      <c r="CX243" s="189"/>
      <c r="CY243" s="14"/>
      <c r="CZ243" s="14"/>
      <c r="DA243" s="14"/>
      <c r="DB243" s="14"/>
      <c r="DC243" s="14"/>
      <c r="DD243" s="14"/>
      <c r="DE243" s="14"/>
      <c r="DF243" s="14"/>
      <c r="DG243" s="129"/>
      <c r="DH243" s="14"/>
      <c r="DI243" s="47"/>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row>
    <row r="244" spans="1:142" x14ac:dyDescent="0.25">
      <c r="A244" s="14"/>
      <c r="B244" s="14"/>
      <c r="C244" s="14"/>
      <c r="D244" s="21"/>
      <c r="E244" s="14"/>
      <c r="F244" s="14"/>
      <c r="G244" s="14"/>
      <c r="H244" s="21"/>
      <c r="I244" s="21"/>
      <c r="J244" s="14"/>
      <c r="K244" s="14"/>
      <c r="L244" s="14"/>
      <c r="M244" s="14"/>
      <c r="N244" s="14"/>
      <c r="O244" s="14"/>
      <c r="P244" s="14"/>
      <c r="Q244" s="47"/>
      <c r="R244" s="19"/>
      <c r="S244" s="14"/>
      <c r="T244" s="14"/>
      <c r="U244" s="14"/>
      <c r="V244" s="14"/>
      <c r="W244" s="14"/>
      <c r="X244" s="14"/>
      <c r="Y244" s="14"/>
      <c r="Z244" s="14"/>
      <c r="AA244" s="14"/>
      <c r="AB244" s="14"/>
      <c r="AC244" s="14"/>
      <c r="AD244" s="65"/>
      <c r="AE244" s="63"/>
      <c r="AF244" s="352"/>
      <c r="AG244" s="19"/>
      <c r="AH244" s="14"/>
      <c r="AI244" s="14"/>
      <c r="AJ244" s="14"/>
      <c r="AK244" s="14"/>
      <c r="AL244" s="14"/>
      <c r="AM244" s="14"/>
      <c r="AN244" s="14"/>
      <c r="AO244" s="14"/>
      <c r="AP244" s="14"/>
      <c r="AQ244" s="14"/>
      <c r="AR244" s="14"/>
      <c r="AS244" s="65"/>
      <c r="AT244" s="63"/>
      <c r="AU244" s="352"/>
      <c r="AV244" s="14"/>
      <c r="AW244" s="14"/>
      <c r="AX244" s="14"/>
      <c r="AY244" s="14"/>
      <c r="AZ244" s="14"/>
      <c r="BA244" s="14"/>
      <c r="BB244" s="14"/>
      <c r="BC244" s="14"/>
      <c r="BD244" s="14"/>
      <c r="BE244" s="14"/>
      <c r="BF244" s="14"/>
      <c r="BG244" s="14"/>
      <c r="BH244" s="65"/>
      <c r="BI244" s="63"/>
      <c r="BJ244" s="352"/>
      <c r="BK244" s="19"/>
      <c r="BL244" s="14"/>
      <c r="BM244" s="14"/>
      <c r="BN244" s="14"/>
      <c r="BO244" s="14"/>
      <c r="BP244" s="14"/>
      <c r="BQ244" s="14"/>
      <c r="BR244" s="14"/>
      <c r="BS244" s="14"/>
      <c r="BT244" s="14"/>
      <c r="BU244" s="14"/>
      <c r="BV244" s="14"/>
      <c r="BW244" s="65"/>
      <c r="BX244" s="63"/>
      <c r="BY244" s="352"/>
      <c r="BZ244" s="14"/>
      <c r="CA244" s="14"/>
      <c r="CB244" s="21"/>
      <c r="CC244" s="21"/>
      <c r="CD244" s="180"/>
      <c r="CE244" s="180"/>
      <c r="CF244" s="21"/>
      <c r="CG244" s="14"/>
      <c r="CH244" s="14"/>
      <c r="CI244" s="14"/>
      <c r="CJ244" s="14"/>
      <c r="CK244" s="14"/>
      <c r="CL244" s="14"/>
      <c r="CM244" s="14"/>
      <c r="CN244" s="14"/>
      <c r="CO244" s="129"/>
      <c r="CP244" s="14"/>
      <c r="CQ244" s="47"/>
      <c r="CR244" s="14"/>
      <c r="CS244" s="14"/>
      <c r="CT244" s="14"/>
      <c r="CU244" s="14"/>
      <c r="CV244" s="180"/>
      <c r="CW244" s="189"/>
      <c r="CX244" s="189"/>
      <c r="CY244" s="14"/>
      <c r="CZ244" s="14"/>
      <c r="DA244" s="14"/>
      <c r="DB244" s="14"/>
      <c r="DC244" s="14"/>
      <c r="DD244" s="14"/>
      <c r="DE244" s="14"/>
      <c r="DF244" s="14"/>
      <c r="DG244" s="129"/>
      <c r="DH244" s="14"/>
      <c r="DI244" s="47"/>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row>
    <row r="245" spans="1:142" s="131" customFormat="1" x14ac:dyDescent="0.25">
      <c r="A245" s="78"/>
      <c r="B245" s="78" t="s">
        <v>156</v>
      </c>
      <c r="C245" s="78"/>
      <c r="D245" s="79"/>
      <c r="E245" s="78"/>
      <c r="F245" s="78"/>
      <c r="G245" s="78"/>
      <c r="H245" s="79"/>
      <c r="I245" s="79"/>
      <c r="J245" s="78"/>
      <c r="K245" s="78"/>
      <c r="L245" s="78"/>
      <c r="M245" s="78"/>
      <c r="N245" s="78"/>
      <c r="O245" s="78"/>
      <c r="P245" s="78"/>
      <c r="Q245" s="82"/>
      <c r="R245" s="83"/>
      <c r="S245" s="78" t="s">
        <v>156</v>
      </c>
      <c r="T245" s="78"/>
      <c r="U245" s="78"/>
      <c r="V245" s="78"/>
      <c r="W245" s="78"/>
      <c r="X245" s="78"/>
      <c r="Y245" s="78"/>
      <c r="Z245" s="78"/>
      <c r="AA245" s="78"/>
      <c r="AB245" s="78"/>
      <c r="AC245" s="78"/>
      <c r="AD245" s="80"/>
      <c r="AE245" s="81"/>
      <c r="AF245" s="373"/>
      <c r="AG245" s="83"/>
      <c r="AH245" s="78" t="s">
        <v>156</v>
      </c>
      <c r="AI245" s="78"/>
      <c r="AJ245" s="78"/>
      <c r="AK245" s="78"/>
      <c r="AL245" s="78"/>
      <c r="AM245" s="78"/>
      <c r="AN245" s="78"/>
      <c r="AO245" s="78"/>
      <c r="AP245" s="78"/>
      <c r="AQ245" s="78"/>
      <c r="AR245" s="78"/>
      <c r="AS245" s="80"/>
      <c r="AT245" s="81"/>
      <c r="AU245" s="373"/>
      <c r="AV245" s="78"/>
      <c r="AW245" s="78" t="s">
        <v>156</v>
      </c>
      <c r="AX245" s="78"/>
      <c r="AY245" s="78"/>
      <c r="AZ245" s="78"/>
      <c r="BA245" s="78"/>
      <c r="BB245" s="78"/>
      <c r="BC245" s="78"/>
      <c r="BD245" s="78"/>
      <c r="BE245" s="78"/>
      <c r="BF245" s="78"/>
      <c r="BG245" s="78"/>
      <c r="BH245" s="80"/>
      <c r="BI245" s="81"/>
      <c r="BJ245" s="373"/>
      <c r="BK245" s="83"/>
      <c r="BL245" s="78" t="s">
        <v>156</v>
      </c>
      <c r="BM245" s="78"/>
      <c r="BN245" s="78"/>
      <c r="BO245" s="78"/>
      <c r="BP245" s="78"/>
      <c r="BQ245" s="78"/>
      <c r="BR245" s="78"/>
      <c r="BS245" s="78"/>
      <c r="BT245" s="78"/>
      <c r="BU245" s="78"/>
      <c r="BV245" s="78"/>
      <c r="BW245" s="80"/>
      <c r="BX245" s="81"/>
      <c r="BY245" s="373"/>
      <c r="BZ245" s="78"/>
      <c r="CA245" s="78"/>
      <c r="CB245" s="79"/>
      <c r="CC245" s="79"/>
      <c r="CD245" s="182"/>
      <c r="CE245" s="182"/>
      <c r="CF245" s="79"/>
      <c r="CG245" s="78"/>
      <c r="CH245" s="78"/>
      <c r="CI245" s="78"/>
      <c r="CJ245" s="78"/>
      <c r="CK245" s="78"/>
      <c r="CL245" s="78"/>
      <c r="CM245" s="78"/>
      <c r="CN245" s="78"/>
      <c r="CO245" s="78"/>
      <c r="CP245" s="78"/>
      <c r="CQ245" s="82"/>
      <c r="CR245" s="78"/>
      <c r="CS245" s="78"/>
      <c r="CT245" s="78"/>
      <c r="CU245" s="78"/>
      <c r="CV245" s="182"/>
      <c r="CW245" s="192"/>
      <c r="CX245" s="192"/>
      <c r="CY245" s="78"/>
      <c r="CZ245" s="78"/>
      <c r="DA245" s="78"/>
      <c r="DB245" s="78"/>
      <c r="DC245" s="78"/>
      <c r="DD245" s="78"/>
      <c r="DE245" s="78"/>
      <c r="DF245" s="78"/>
      <c r="DG245" s="78"/>
      <c r="DH245" s="78"/>
      <c r="DI245" s="82"/>
      <c r="DJ245" s="78"/>
      <c r="DK245" s="78" t="s">
        <v>562</v>
      </c>
      <c r="DL245" s="78"/>
      <c r="DM245" s="78"/>
      <c r="DN245" s="78"/>
      <c r="DO245" s="78"/>
      <c r="DP245" s="78"/>
      <c r="DQ245" s="78"/>
      <c r="DR245" s="78"/>
      <c r="DS245" s="78"/>
      <c r="DT245" s="78"/>
      <c r="DU245" s="78"/>
      <c r="DV245" s="78"/>
      <c r="DW245" s="78"/>
      <c r="DX245" s="78"/>
      <c r="DY245" s="78"/>
      <c r="DZ245" s="78"/>
      <c r="EA245" s="78"/>
      <c r="EB245" s="78"/>
      <c r="EC245" s="78"/>
      <c r="ED245" s="78"/>
      <c r="EE245" s="78"/>
      <c r="EF245" s="78"/>
      <c r="EG245" s="78"/>
      <c r="EH245" s="78"/>
      <c r="EI245" s="78"/>
      <c r="EJ245" s="78"/>
      <c r="EK245" s="78"/>
      <c r="EL245" s="78"/>
    </row>
    <row r="246" spans="1:142" x14ac:dyDescent="0.25">
      <c r="A246" s="14"/>
      <c r="B246" s="14"/>
      <c r="C246" s="14"/>
      <c r="D246" s="21"/>
      <c r="E246" s="14"/>
      <c r="F246" s="14"/>
      <c r="G246" s="14"/>
      <c r="H246" s="21"/>
      <c r="I246" s="21"/>
      <c r="J246" s="14"/>
      <c r="K246" s="14"/>
      <c r="L246" s="14"/>
      <c r="M246" s="14"/>
      <c r="N246" s="14"/>
      <c r="O246" s="14"/>
      <c r="P246" s="14"/>
      <c r="Q246" s="47"/>
      <c r="R246" s="19"/>
      <c r="S246" s="14"/>
      <c r="T246" s="14"/>
      <c r="U246" s="14"/>
      <c r="V246" s="14"/>
      <c r="W246" s="14"/>
      <c r="X246" s="14"/>
      <c r="Y246" s="14"/>
      <c r="Z246" s="14"/>
      <c r="AA246" s="14"/>
      <c r="AB246" s="14"/>
      <c r="AC246" s="14"/>
      <c r="AD246" s="65"/>
      <c r="AE246" s="63"/>
      <c r="AF246" s="352"/>
      <c r="AG246" s="19"/>
      <c r="AH246" s="14"/>
      <c r="AI246" s="14"/>
      <c r="AJ246" s="14"/>
      <c r="AK246" s="14"/>
      <c r="AL246" s="14"/>
      <c r="AM246" s="14"/>
      <c r="AN246" s="14"/>
      <c r="AO246" s="14"/>
      <c r="AP246" s="14"/>
      <c r="AQ246" s="14"/>
      <c r="AR246" s="14"/>
      <c r="AS246" s="65"/>
      <c r="AT246" s="63"/>
      <c r="AU246" s="352"/>
      <c r="AV246" s="14"/>
      <c r="AW246" s="14"/>
      <c r="AX246" s="14"/>
      <c r="AY246" s="14"/>
      <c r="AZ246" s="14"/>
      <c r="BA246" s="14"/>
      <c r="BB246" s="14"/>
      <c r="BC246" s="14"/>
      <c r="BD246" s="14"/>
      <c r="BE246" s="14"/>
      <c r="BF246" s="14"/>
      <c r="BG246" s="14"/>
      <c r="BH246" s="65"/>
      <c r="BI246" s="63"/>
      <c r="BJ246" s="352"/>
      <c r="BK246" s="19"/>
      <c r="BL246" s="14"/>
      <c r="BM246" s="14"/>
      <c r="BN246" s="14"/>
      <c r="BO246" s="14"/>
      <c r="BP246" s="14"/>
      <c r="BQ246" s="14"/>
      <c r="BR246" s="14"/>
      <c r="BS246" s="14"/>
      <c r="BT246" s="14"/>
      <c r="BU246" s="14"/>
      <c r="BV246" s="14"/>
      <c r="BW246" s="65"/>
      <c r="BX246" s="63"/>
      <c r="BY246" s="352"/>
      <c r="BZ246" s="14"/>
      <c r="CA246" s="14"/>
      <c r="CB246" s="21"/>
      <c r="CC246" s="21"/>
      <c r="CD246" s="180"/>
      <c r="CE246" s="180"/>
      <c r="CF246" s="21"/>
      <c r="CG246" s="14"/>
      <c r="CH246" s="14"/>
      <c r="CI246" s="14"/>
      <c r="CJ246" s="14"/>
      <c r="CK246" s="14"/>
      <c r="CL246" s="14"/>
      <c r="CM246" s="14"/>
      <c r="CN246" s="14"/>
      <c r="CO246" s="129"/>
      <c r="CP246" s="14"/>
      <c r="CQ246" s="47"/>
      <c r="CR246" s="14"/>
      <c r="CS246" s="14"/>
      <c r="CT246" s="14"/>
      <c r="CU246" s="14"/>
      <c r="CV246" s="180"/>
      <c r="CW246" s="189"/>
      <c r="CX246" s="189"/>
      <c r="CY246" s="14"/>
      <c r="CZ246" s="14"/>
      <c r="DA246" s="14"/>
      <c r="DB246" s="14"/>
      <c r="DC246" s="14"/>
      <c r="DD246" s="14"/>
      <c r="DE246" s="14"/>
      <c r="DF246" s="14"/>
      <c r="DG246" s="129"/>
      <c r="DH246" s="14"/>
      <c r="DI246" s="47"/>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row>
    <row r="247" spans="1:142" ht="27.6" x14ac:dyDescent="0.25">
      <c r="A247" s="14"/>
      <c r="B247" s="109" t="s">
        <v>14</v>
      </c>
      <c r="C247" s="110" t="str">
        <f>B54</f>
        <v>Forest owners/managers</v>
      </c>
      <c r="D247" s="110" t="str">
        <f>B81</f>
        <v>Pellet producers</v>
      </c>
      <c r="E247" s="110" t="str">
        <f>B108</f>
        <v>Pellet users</v>
      </c>
      <c r="F247" s="110" t="str">
        <f>B135</f>
        <v>Non-bioenergy wood users</v>
      </c>
      <c r="G247" s="110" t="str">
        <f>B162</f>
        <v>Policy makers and academia</v>
      </c>
      <c r="H247" s="110" t="str">
        <f>B189</f>
        <v>NGOs</v>
      </c>
      <c r="I247" s="110" t="s">
        <v>8</v>
      </c>
      <c r="J247" s="14"/>
      <c r="K247" s="14"/>
      <c r="L247" s="14"/>
      <c r="M247" s="14"/>
      <c r="N247" s="14"/>
      <c r="O247" s="14"/>
      <c r="P247" s="14"/>
      <c r="Q247" s="47"/>
      <c r="R247" s="19"/>
      <c r="S247" s="109" t="s">
        <v>14</v>
      </c>
      <c r="T247" s="110" t="str">
        <f>S54</f>
        <v>Forest owners/managers</v>
      </c>
      <c r="U247" s="110" t="str">
        <f>S81</f>
        <v>Pellet producers</v>
      </c>
      <c r="V247" s="110" t="str">
        <f>S108</f>
        <v>Pellet users</v>
      </c>
      <c r="W247" s="110" t="str">
        <f>S135</f>
        <v>Non-bioenergy wood users</v>
      </c>
      <c r="X247" s="110" t="str">
        <f>S162</f>
        <v>Policy makers and academia</v>
      </c>
      <c r="Y247" s="110" t="str">
        <f>S189</f>
        <v>NGOs</v>
      </c>
      <c r="Z247" s="110" t="s">
        <v>8</v>
      </c>
      <c r="AA247" s="56"/>
      <c r="AB247" s="56"/>
      <c r="AC247" s="56"/>
      <c r="AD247" s="65"/>
      <c r="AE247" s="63"/>
      <c r="AF247" s="352"/>
      <c r="AG247" s="19"/>
      <c r="AH247" s="109" t="s">
        <v>14</v>
      </c>
      <c r="AI247" s="110" t="str">
        <f>AH54</f>
        <v>Forest owners/managers</v>
      </c>
      <c r="AJ247" s="110" t="str">
        <f>AH81</f>
        <v>Pellet producers</v>
      </c>
      <c r="AK247" s="110" t="str">
        <f>AH108</f>
        <v>Pellet users</v>
      </c>
      <c r="AL247" s="110" t="str">
        <f>AH135</f>
        <v>Non-bioenergy wood users</v>
      </c>
      <c r="AM247" s="110" t="str">
        <f>AH162</f>
        <v>Policy makers and academia</v>
      </c>
      <c r="AN247" s="110" t="str">
        <f>AH189</f>
        <v>NGOs</v>
      </c>
      <c r="AO247" s="110" t="s">
        <v>8</v>
      </c>
      <c r="AP247" s="56"/>
      <c r="AQ247" s="56"/>
      <c r="AR247" s="56"/>
      <c r="AS247" s="65"/>
      <c r="AT247" s="63"/>
      <c r="AU247" s="352"/>
      <c r="AV247" s="14"/>
      <c r="AW247" s="109" t="s">
        <v>14</v>
      </c>
      <c r="AX247" s="110" t="str">
        <f>AW54</f>
        <v>Forest owners/managers</v>
      </c>
      <c r="AY247" s="110" t="str">
        <f>AW81</f>
        <v>Pellet producers</v>
      </c>
      <c r="AZ247" s="110" t="str">
        <f>AW108</f>
        <v>Pellet users</v>
      </c>
      <c r="BA247" s="110" t="str">
        <f>AW135</f>
        <v>Non-bioenergy wood users</v>
      </c>
      <c r="BB247" s="110" t="str">
        <f>AW162</f>
        <v>Policy makers and academia</v>
      </c>
      <c r="BC247" s="110" t="str">
        <f>AW189</f>
        <v>NGOs</v>
      </c>
      <c r="BD247" s="110" t="s">
        <v>8</v>
      </c>
      <c r="BE247" s="56"/>
      <c r="BF247" s="56"/>
      <c r="BG247" s="56"/>
      <c r="BH247" s="65"/>
      <c r="BI247" s="63"/>
      <c r="BJ247" s="352"/>
      <c r="BK247" s="19"/>
      <c r="BL247" s="109" t="s">
        <v>14</v>
      </c>
      <c r="BM247" s="110" t="str">
        <f>BL54</f>
        <v>Forest owners/managers</v>
      </c>
      <c r="BN247" s="110" t="str">
        <f>BL81</f>
        <v>Pellet producers</v>
      </c>
      <c r="BO247" s="110" t="str">
        <f>BL108</f>
        <v>Pellet users</v>
      </c>
      <c r="BP247" s="110" t="str">
        <f>BL135</f>
        <v>Non-bioenergy wood users</v>
      </c>
      <c r="BQ247" s="110" t="str">
        <f>BL162</f>
        <v>Policy makers and academia</v>
      </c>
      <c r="BR247" s="110" t="str">
        <f>BL189</f>
        <v>NGOs</v>
      </c>
      <c r="BS247" s="110" t="s">
        <v>8</v>
      </c>
      <c r="BT247" s="56"/>
      <c r="BU247" s="56"/>
      <c r="BV247" s="56"/>
      <c r="BW247" s="65"/>
      <c r="BX247" s="63"/>
      <c r="BY247" s="352"/>
      <c r="BZ247" s="14"/>
      <c r="CA247" s="14"/>
      <c r="CB247" s="21"/>
      <c r="CC247" s="21"/>
      <c r="CD247" s="180"/>
      <c r="CE247" s="180"/>
      <c r="CF247" s="21"/>
      <c r="CG247" s="14"/>
      <c r="CH247" s="14"/>
      <c r="CI247" s="14"/>
      <c r="CJ247" s="14"/>
      <c r="CK247" s="14"/>
      <c r="CL247" s="14"/>
      <c r="CM247" s="14"/>
      <c r="CN247" s="14"/>
      <c r="CO247" s="129"/>
      <c r="CP247" s="14"/>
      <c r="CQ247" s="47"/>
      <c r="CR247" s="14"/>
      <c r="CS247" s="14"/>
      <c r="CT247" s="14"/>
      <c r="CU247" s="14"/>
      <c r="CV247" s="180"/>
      <c r="CW247" s="189"/>
      <c r="CX247" s="189"/>
      <c r="CY247" s="14"/>
      <c r="CZ247" s="14"/>
      <c r="DA247" s="14"/>
      <c r="DB247" s="14"/>
      <c r="DC247" s="14"/>
      <c r="DD247" s="14"/>
      <c r="DE247" s="14"/>
      <c r="DF247" s="14"/>
      <c r="DG247" s="129"/>
      <c r="DH247" s="14"/>
      <c r="DI247" s="47"/>
      <c r="DJ247" s="14"/>
      <c r="DK247" s="109" t="s">
        <v>14</v>
      </c>
      <c r="DL247" s="110" t="str">
        <f>DK54</f>
        <v>Forest owners/managers</v>
      </c>
      <c r="DM247" s="110" t="str">
        <f>DK81</f>
        <v>Pellet producers</v>
      </c>
      <c r="DN247" s="110" t="str">
        <f>DK108</f>
        <v>Pellet users</v>
      </c>
      <c r="DO247" s="110" t="str">
        <f>DK135</f>
        <v>Non-bioenergy wood users</v>
      </c>
      <c r="DP247" s="110" t="str">
        <f>DK162</f>
        <v>Policy makers and academia</v>
      </c>
      <c r="DQ247" s="110" t="str">
        <f>DK189</f>
        <v>NGOs</v>
      </c>
      <c r="DR247" s="110" t="s">
        <v>8</v>
      </c>
      <c r="DS247" s="14"/>
      <c r="DT247" s="14"/>
      <c r="DU247" s="14"/>
      <c r="DV247" s="14"/>
      <c r="DW247" s="14"/>
      <c r="DX247" s="14"/>
      <c r="DY247" s="14"/>
      <c r="DZ247" s="14"/>
      <c r="EA247" s="14"/>
      <c r="EB247" s="14"/>
      <c r="EC247" s="14"/>
      <c r="ED247" s="14"/>
      <c r="EE247" s="14"/>
      <c r="EF247" s="14"/>
      <c r="EG247" s="14"/>
      <c r="EH247" s="14"/>
      <c r="EI247" s="14"/>
      <c r="EJ247" s="14"/>
      <c r="EK247" s="14"/>
      <c r="EL247" s="14"/>
    </row>
    <row r="248" spans="1:142" x14ac:dyDescent="0.25">
      <c r="A248" s="14"/>
      <c r="B248" s="107" t="s">
        <v>34</v>
      </c>
      <c r="C248" s="33">
        <f>H72</f>
        <v>1</v>
      </c>
      <c r="D248" s="117">
        <f>H99</f>
        <v>0</v>
      </c>
      <c r="E248" s="116">
        <f>H126</f>
        <v>0</v>
      </c>
      <c r="F248" s="33">
        <f>H153</f>
        <v>0</v>
      </c>
      <c r="G248" s="117">
        <f>H180</f>
        <v>2</v>
      </c>
      <c r="H248" s="116">
        <f>H207</f>
        <v>0</v>
      </c>
      <c r="I248" s="27">
        <f t="shared" ref="I248:I253" si="178">SUM(C248:H248)</f>
        <v>3</v>
      </c>
      <c r="J248" s="14"/>
      <c r="K248" s="14"/>
      <c r="L248" s="14"/>
      <c r="M248" s="14"/>
      <c r="N248" s="14"/>
      <c r="O248" s="14"/>
      <c r="P248" s="14"/>
      <c r="Q248" s="47"/>
      <c r="R248" s="19"/>
      <c r="S248" s="107" t="s">
        <v>5</v>
      </c>
      <c r="T248" s="33">
        <f t="shared" ref="T248:T254" si="179">Y72</f>
        <v>2</v>
      </c>
      <c r="U248" s="117">
        <f t="shared" ref="U248:U254" si="180">Y99</f>
        <v>0</v>
      </c>
      <c r="V248" s="116">
        <f t="shared" ref="V248:V254" si="181">Y126</f>
        <v>0</v>
      </c>
      <c r="W248" s="33">
        <f t="shared" ref="W248:W254" si="182">Y153</f>
        <v>0</v>
      </c>
      <c r="X248" s="117">
        <f t="shared" ref="X248:X254" si="183">Y180</f>
        <v>1</v>
      </c>
      <c r="Y248" s="116">
        <f t="shared" ref="Y248:Y254" si="184">Y207</f>
        <v>0</v>
      </c>
      <c r="Z248" s="27">
        <f>SUM(T248:Y248)</f>
        <v>3</v>
      </c>
      <c r="AA248" s="19"/>
      <c r="AB248" s="19"/>
      <c r="AC248" s="19"/>
      <c r="AD248" s="65"/>
      <c r="AE248" s="63"/>
      <c r="AF248" s="352"/>
      <c r="AG248" s="19"/>
      <c r="AH248" s="107" t="s">
        <v>5</v>
      </c>
      <c r="AI248" s="33">
        <f t="shared" ref="AI248:AI254" si="185">AN72</f>
        <v>2</v>
      </c>
      <c r="AJ248" s="117">
        <f t="shared" ref="AJ248:AJ254" si="186">AN99</f>
        <v>2</v>
      </c>
      <c r="AK248" s="116">
        <f t="shared" ref="AK248:AK254" si="187">AN126</f>
        <v>1</v>
      </c>
      <c r="AL248" s="33">
        <f t="shared" ref="AL248:AL254" si="188">AN153</f>
        <v>0</v>
      </c>
      <c r="AM248" s="117">
        <f t="shared" ref="AM248:AM254" si="189">AN180</f>
        <v>0</v>
      </c>
      <c r="AN248" s="116">
        <f t="shared" ref="AN248:AN254" si="190">AN207</f>
        <v>0</v>
      </c>
      <c r="AO248" s="27">
        <f>SUM(AI248:AN248)</f>
        <v>5</v>
      </c>
      <c r="AP248" s="19"/>
      <c r="AQ248" s="19"/>
      <c r="AR248" s="19"/>
      <c r="AS248" s="65"/>
      <c r="AT248" s="63"/>
      <c r="AU248" s="352"/>
      <c r="AV248" s="14"/>
      <c r="AW248" s="107" t="s">
        <v>5</v>
      </c>
      <c r="AX248" s="33">
        <f t="shared" ref="AX248:AX254" si="191">BC72</f>
        <v>2</v>
      </c>
      <c r="AY248" s="117">
        <f t="shared" ref="AY248:AY254" si="192">BC99</f>
        <v>2</v>
      </c>
      <c r="AZ248" s="116">
        <f t="shared" ref="AZ248:AZ254" si="193">BC126</f>
        <v>0</v>
      </c>
      <c r="BA248" s="33">
        <f t="shared" ref="BA248:BA254" si="194">BC153</f>
        <v>0</v>
      </c>
      <c r="BB248" s="117">
        <f t="shared" ref="BB248:BB254" si="195">BC180</f>
        <v>0</v>
      </c>
      <c r="BC248" s="116">
        <f t="shared" ref="BC248:BC254" si="196">BC207</f>
        <v>0</v>
      </c>
      <c r="BD248" s="27">
        <f>SUM(AX248:BC248)</f>
        <v>4</v>
      </c>
      <c r="BE248" s="19"/>
      <c r="BF248" s="19"/>
      <c r="BG248" s="19"/>
      <c r="BH248" s="65"/>
      <c r="BI248" s="63"/>
      <c r="BJ248" s="352"/>
      <c r="BK248" s="19"/>
      <c r="BL248" s="107" t="s">
        <v>5</v>
      </c>
      <c r="BM248" s="33">
        <f t="shared" ref="BM248:BM254" si="197">BR72</f>
        <v>2</v>
      </c>
      <c r="BN248" s="117">
        <f t="shared" ref="BN248:BN254" si="198">BR99</f>
        <v>2</v>
      </c>
      <c r="BO248" s="116">
        <f t="shared" ref="BO248:BO254" si="199">BR126</f>
        <v>0</v>
      </c>
      <c r="BP248" s="33">
        <f t="shared" ref="BP248:BP254" si="200">BR153</f>
        <v>0</v>
      </c>
      <c r="BQ248" s="117">
        <f t="shared" ref="BQ248:BQ254" si="201">BR180</f>
        <v>0</v>
      </c>
      <c r="BR248" s="116">
        <f t="shared" ref="BR248:BR254" si="202">BR207</f>
        <v>0</v>
      </c>
      <c r="BS248" s="27">
        <f>SUM(BM248:BR248)</f>
        <v>4</v>
      </c>
      <c r="BT248" s="19"/>
      <c r="BU248" s="19"/>
      <c r="BV248" s="19"/>
      <c r="BW248" s="65"/>
      <c r="BX248" s="63"/>
      <c r="BY248" s="352"/>
      <c r="BZ248" s="14"/>
      <c r="CA248" s="14"/>
      <c r="CB248" s="21"/>
      <c r="CC248" s="21"/>
      <c r="CD248" s="180"/>
      <c r="CE248" s="180"/>
      <c r="CF248" s="21"/>
      <c r="CG248" s="14"/>
      <c r="CH248" s="14"/>
      <c r="CI248" s="14"/>
      <c r="CJ248" s="14"/>
      <c r="CK248" s="14"/>
      <c r="CL248" s="14"/>
      <c r="CM248" s="14"/>
      <c r="CN248" s="14"/>
      <c r="CO248" s="129"/>
      <c r="CP248" s="14"/>
      <c r="CQ248" s="47"/>
      <c r="CR248" s="14"/>
      <c r="CS248" s="14"/>
      <c r="CT248" s="14"/>
      <c r="CU248" s="14"/>
      <c r="CV248" s="180"/>
      <c r="CW248" s="189"/>
      <c r="CX248" s="189"/>
      <c r="CY248" s="14"/>
      <c r="CZ248" s="14"/>
      <c r="DA248" s="14"/>
      <c r="DB248" s="14"/>
      <c r="DC248" s="14"/>
      <c r="DD248" s="14"/>
      <c r="DE248" s="14"/>
      <c r="DF248" s="14"/>
      <c r="DG248" s="129"/>
      <c r="DH248" s="14"/>
      <c r="DI248" s="47"/>
      <c r="DJ248" s="14"/>
      <c r="DK248" s="107" t="s">
        <v>34</v>
      </c>
      <c r="DL248" s="33">
        <f>DQ72</f>
        <v>1</v>
      </c>
      <c r="DM248" s="117">
        <f>DQ99</f>
        <v>0</v>
      </c>
      <c r="DN248" s="116">
        <f>DQ126</f>
        <v>0</v>
      </c>
      <c r="DO248" s="33">
        <f>DQ153</f>
        <v>0</v>
      </c>
      <c r="DP248" s="117">
        <f>DQ180</f>
        <v>2</v>
      </c>
      <c r="DQ248" s="116">
        <f>DQ207</f>
        <v>0</v>
      </c>
      <c r="DR248" s="27">
        <f t="shared" ref="DR248:DR253" si="203">SUM(DL248:DQ248)</f>
        <v>3</v>
      </c>
      <c r="DS248" s="14"/>
      <c r="DT248" s="14"/>
      <c r="DU248" s="14"/>
      <c r="DV248" s="14"/>
      <c r="DW248" s="14"/>
      <c r="DX248" s="14"/>
      <c r="DY248" s="14"/>
      <c r="DZ248" s="14"/>
      <c r="EA248" s="14"/>
      <c r="EB248" s="14"/>
      <c r="EC248" s="14"/>
      <c r="ED248" s="14"/>
      <c r="EE248" s="14"/>
      <c r="EF248" s="14"/>
      <c r="EG248" s="14"/>
      <c r="EH248" s="14"/>
      <c r="EI248" s="14"/>
      <c r="EJ248" s="14"/>
      <c r="EK248" s="14"/>
      <c r="EL248" s="14"/>
    </row>
    <row r="249" spans="1:142" x14ac:dyDescent="0.25">
      <c r="A249" s="14"/>
      <c r="B249" s="107" t="s">
        <v>35</v>
      </c>
      <c r="C249" s="33">
        <f>H73</f>
        <v>1</v>
      </c>
      <c r="D249" s="117">
        <f>H100</f>
        <v>2</v>
      </c>
      <c r="E249" s="116">
        <f>H127</f>
        <v>2</v>
      </c>
      <c r="F249" s="33">
        <f>H154</f>
        <v>2</v>
      </c>
      <c r="G249" s="117">
        <f>H181</f>
        <v>1</v>
      </c>
      <c r="H249" s="116">
        <f>H208</f>
        <v>1</v>
      </c>
      <c r="I249" s="27">
        <f t="shared" si="178"/>
        <v>9</v>
      </c>
      <c r="J249" s="14"/>
      <c r="K249" s="14"/>
      <c r="L249" s="14"/>
      <c r="M249" s="14"/>
      <c r="N249" s="14"/>
      <c r="O249" s="14"/>
      <c r="P249" s="14"/>
      <c r="Q249" s="47"/>
      <c r="R249" s="19"/>
      <c r="S249" s="107" t="s">
        <v>4</v>
      </c>
      <c r="T249" s="33">
        <f t="shared" si="179"/>
        <v>0</v>
      </c>
      <c r="U249" s="117">
        <f t="shared" si="180"/>
        <v>0</v>
      </c>
      <c r="V249" s="116">
        <f t="shared" si="181"/>
        <v>0</v>
      </c>
      <c r="W249" s="33">
        <f t="shared" si="182"/>
        <v>0</v>
      </c>
      <c r="X249" s="117">
        <f t="shared" si="183"/>
        <v>0</v>
      </c>
      <c r="Y249" s="116">
        <f t="shared" si="184"/>
        <v>0</v>
      </c>
      <c r="Z249" s="27">
        <f t="shared" ref="Z249:Z255" si="204">SUM(T249:Y249)</f>
        <v>0</v>
      </c>
      <c r="AA249" s="19"/>
      <c r="AB249" s="19"/>
      <c r="AC249" s="19"/>
      <c r="AD249" s="65"/>
      <c r="AE249" s="63"/>
      <c r="AF249" s="352"/>
      <c r="AG249" s="19"/>
      <c r="AH249" s="107" t="s">
        <v>4</v>
      </c>
      <c r="AI249" s="33">
        <f t="shared" si="185"/>
        <v>1</v>
      </c>
      <c r="AJ249" s="117">
        <f t="shared" si="186"/>
        <v>0</v>
      </c>
      <c r="AK249" s="116">
        <f t="shared" si="187"/>
        <v>0</v>
      </c>
      <c r="AL249" s="33">
        <f t="shared" si="188"/>
        <v>1</v>
      </c>
      <c r="AM249" s="117">
        <f t="shared" si="189"/>
        <v>0</v>
      </c>
      <c r="AN249" s="116">
        <f t="shared" si="190"/>
        <v>0</v>
      </c>
      <c r="AO249" s="27">
        <f t="shared" ref="AO249:AO255" si="205">SUM(AI249:AN249)</f>
        <v>2</v>
      </c>
      <c r="AP249" s="19"/>
      <c r="AQ249" s="19"/>
      <c r="AR249" s="19"/>
      <c r="AS249" s="65"/>
      <c r="AT249" s="63"/>
      <c r="AU249" s="352"/>
      <c r="AV249" s="14"/>
      <c r="AW249" s="107" t="s">
        <v>4</v>
      </c>
      <c r="AX249" s="33">
        <f t="shared" si="191"/>
        <v>1</v>
      </c>
      <c r="AY249" s="117">
        <f t="shared" si="192"/>
        <v>0</v>
      </c>
      <c r="AZ249" s="116">
        <f t="shared" si="193"/>
        <v>1</v>
      </c>
      <c r="BA249" s="33">
        <f t="shared" si="194"/>
        <v>0</v>
      </c>
      <c r="BB249" s="117">
        <f t="shared" si="195"/>
        <v>0</v>
      </c>
      <c r="BC249" s="116">
        <f t="shared" si="196"/>
        <v>0</v>
      </c>
      <c r="BD249" s="27">
        <f t="shared" ref="BD249:BD255" si="206">SUM(AX249:BC249)</f>
        <v>2</v>
      </c>
      <c r="BE249" s="19"/>
      <c r="BF249" s="19"/>
      <c r="BG249" s="19"/>
      <c r="BH249" s="65"/>
      <c r="BI249" s="63"/>
      <c r="BJ249" s="352"/>
      <c r="BK249" s="19"/>
      <c r="BL249" s="107" t="s">
        <v>4</v>
      </c>
      <c r="BM249" s="33">
        <f t="shared" si="197"/>
        <v>1</v>
      </c>
      <c r="BN249" s="117">
        <f t="shared" si="198"/>
        <v>0</v>
      </c>
      <c r="BO249" s="116">
        <f t="shared" si="199"/>
        <v>0</v>
      </c>
      <c r="BP249" s="33">
        <f t="shared" si="200"/>
        <v>0</v>
      </c>
      <c r="BQ249" s="117">
        <f t="shared" si="201"/>
        <v>0</v>
      </c>
      <c r="BR249" s="116">
        <f t="shared" si="202"/>
        <v>0</v>
      </c>
      <c r="BS249" s="27">
        <f t="shared" ref="BS249:BS255" si="207">SUM(BM249:BR249)</f>
        <v>1</v>
      </c>
      <c r="BT249" s="19"/>
      <c r="BU249" s="19"/>
      <c r="BV249" s="19"/>
      <c r="BW249" s="65"/>
      <c r="BX249" s="63"/>
      <c r="BY249" s="352"/>
      <c r="BZ249" s="14"/>
      <c r="CA249" s="14"/>
      <c r="CB249" s="21"/>
      <c r="CC249" s="21"/>
      <c r="CD249" s="180"/>
      <c r="CE249" s="180"/>
      <c r="CF249" s="21"/>
      <c r="CG249" s="14"/>
      <c r="CH249" s="14"/>
      <c r="CI249" s="14"/>
      <c r="CJ249" s="14"/>
      <c r="CK249" s="14"/>
      <c r="CL249" s="14"/>
      <c r="CM249" s="14"/>
      <c r="CN249" s="14"/>
      <c r="CO249" s="129"/>
      <c r="CP249" s="14"/>
      <c r="CQ249" s="47"/>
      <c r="CR249" s="14"/>
      <c r="CS249" s="14"/>
      <c r="CT249" s="14"/>
      <c r="CU249" s="14"/>
      <c r="CV249" s="180"/>
      <c r="CW249" s="189"/>
      <c r="CX249" s="189"/>
      <c r="CY249" s="14"/>
      <c r="CZ249" s="14"/>
      <c r="DA249" s="14"/>
      <c r="DB249" s="14"/>
      <c r="DC249" s="14"/>
      <c r="DD249" s="14"/>
      <c r="DE249" s="14"/>
      <c r="DF249" s="14"/>
      <c r="DG249" s="129"/>
      <c r="DH249" s="14"/>
      <c r="DI249" s="47"/>
      <c r="DJ249" s="14"/>
      <c r="DK249" s="107" t="s">
        <v>35</v>
      </c>
      <c r="DL249" s="33">
        <f>DQ73</f>
        <v>2</v>
      </c>
      <c r="DM249" s="117">
        <f>DQ100</f>
        <v>1</v>
      </c>
      <c r="DN249" s="116">
        <f>DQ127</f>
        <v>1</v>
      </c>
      <c r="DO249" s="33">
        <f>DQ154</f>
        <v>0</v>
      </c>
      <c r="DP249" s="117">
        <f>DQ181</f>
        <v>1</v>
      </c>
      <c r="DQ249" s="116">
        <f>DQ208</f>
        <v>4</v>
      </c>
      <c r="DR249" s="27">
        <f t="shared" si="203"/>
        <v>9</v>
      </c>
      <c r="DS249" s="14"/>
      <c r="DT249" s="14"/>
      <c r="DU249" s="14"/>
      <c r="DV249" s="14"/>
      <c r="DW249" s="14"/>
      <c r="DX249" s="14"/>
      <c r="DY249" s="14"/>
      <c r="DZ249" s="14"/>
      <c r="EA249" s="14"/>
      <c r="EB249" s="14"/>
      <c r="EC249" s="14"/>
      <c r="ED249" s="14"/>
      <c r="EE249" s="14"/>
      <c r="EF249" s="14"/>
      <c r="EG249" s="14"/>
      <c r="EH249" s="14"/>
      <c r="EI249" s="14"/>
      <c r="EJ249" s="14"/>
      <c r="EK249" s="14"/>
      <c r="EL249" s="14"/>
    </row>
    <row r="250" spans="1:142" x14ac:dyDescent="0.25">
      <c r="A250" s="14"/>
      <c r="B250" s="107" t="s">
        <v>36</v>
      </c>
      <c r="C250" s="33">
        <f>H74</f>
        <v>1</v>
      </c>
      <c r="D250" s="117">
        <f>H101</f>
        <v>0</v>
      </c>
      <c r="E250" s="116">
        <f>H128</f>
        <v>0</v>
      </c>
      <c r="F250" s="33">
        <f>H155</f>
        <v>0</v>
      </c>
      <c r="G250" s="117">
        <f>H182</f>
        <v>0</v>
      </c>
      <c r="H250" s="116">
        <f>H209</f>
        <v>3</v>
      </c>
      <c r="I250" s="27">
        <f t="shared" si="178"/>
        <v>4</v>
      </c>
      <c r="J250" s="14"/>
      <c r="K250" s="14"/>
      <c r="L250" s="14"/>
      <c r="M250" s="14"/>
      <c r="N250" s="14"/>
      <c r="O250" s="14"/>
      <c r="P250" s="14"/>
      <c r="Q250" s="47"/>
      <c r="R250" s="19"/>
      <c r="S250" s="107" t="s">
        <v>33</v>
      </c>
      <c r="T250" s="33">
        <f t="shared" si="179"/>
        <v>0</v>
      </c>
      <c r="U250" s="117">
        <f t="shared" si="180"/>
        <v>0</v>
      </c>
      <c r="V250" s="116">
        <f t="shared" si="181"/>
        <v>0</v>
      </c>
      <c r="W250" s="33">
        <f t="shared" si="182"/>
        <v>0</v>
      </c>
      <c r="X250" s="117">
        <f t="shared" si="183"/>
        <v>0</v>
      </c>
      <c r="Y250" s="116">
        <f t="shared" si="184"/>
        <v>0</v>
      </c>
      <c r="Z250" s="27">
        <f t="shared" si="204"/>
        <v>0</v>
      </c>
      <c r="AA250" s="19"/>
      <c r="AB250" s="19"/>
      <c r="AC250" s="19"/>
      <c r="AD250" s="65"/>
      <c r="AE250" s="63"/>
      <c r="AF250" s="352"/>
      <c r="AG250" s="19"/>
      <c r="AH250" s="107" t="s">
        <v>33</v>
      </c>
      <c r="AI250" s="33">
        <f t="shared" si="185"/>
        <v>0</v>
      </c>
      <c r="AJ250" s="117">
        <f t="shared" si="186"/>
        <v>0</v>
      </c>
      <c r="AK250" s="116">
        <f t="shared" si="187"/>
        <v>0</v>
      </c>
      <c r="AL250" s="33">
        <f t="shared" si="188"/>
        <v>0</v>
      </c>
      <c r="AM250" s="117">
        <f t="shared" si="189"/>
        <v>0</v>
      </c>
      <c r="AN250" s="116">
        <f t="shared" si="190"/>
        <v>0</v>
      </c>
      <c r="AO250" s="27">
        <f t="shared" si="205"/>
        <v>0</v>
      </c>
      <c r="AP250" s="19"/>
      <c r="AQ250" s="19"/>
      <c r="AR250" s="19"/>
      <c r="AS250" s="65"/>
      <c r="AT250" s="63"/>
      <c r="AU250" s="352"/>
      <c r="AV250" s="14"/>
      <c r="AW250" s="107" t="s">
        <v>33</v>
      </c>
      <c r="AX250" s="33">
        <f t="shared" si="191"/>
        <v>0</v>
      </c>
      <c r="AY250" s="117">
        <f t="shared" si="192"/>
        <v>0</v>
      </c>
      <c r="AZ250" s="116">
        <f t="shared" si="193"/>
        <v>0</v>
      </c>
      <c r="BA250" s="33">
        <f t="shared" si="194"/>
        <v>1</v>
      </c>
      <c r="BB250" s="117">
        <f t="shared" si="195"/>
        <v>0</v>
      </c>
      <c r="BC250" s="116">
        <f t="shared" si="196"/>
        <v>0</v>
      </c>
      <c r="BD250" s="27">
        <f t="shared" si="206"/>
        <v>1</v>
      </c>
      <c r="BE250" s="19"/>
      <c r="BF250" s="19"/>
      <c r="BG250" s="19"/>
      <c r="BH250" s="65"/>
      <c r="BI250" s="63"/>
      <c r="BJ250" s="352"/>
      <c r="BK250" s="19"/>
      <c r="BL250" s="107" t="s">
        <v>33</v>
      </c>
      <c r="BM250" s="33">
        <f t="shared" si="197"/>
        <v>0</v>
      </c>
      <c r="BN250" s="117">
        <f t="shared" si="198"/>
        <v>0</v>
      </c>
      <c r="BO250" s="116">
        <f t="shared" si="199"/>
        <v>1</v>
      </c>
      <c r="BP250" s="33">
        <f t="shared" si="200"/>
        <v>0</v>
      </c>
      <c r="BQ250" s="117">
        <f t="shared" si="201"/>
        <v>0</v>
      </c>
      <c r="BR250" s="116">
        <f t="shared" si="202"/>
        <v>0</v>
      </c>
      <c r="BS250" s="27">
        <f t="shared" si="207"/>
        <v>1</v>
      </c>
      <c r="BT250" s="19"/>
      <c r="BU250" s="19"/>
      <c r="BV250" s="19"/>
      <c r="BW250" s="65"/>
      <c r="BX250" s="63"/>
      <c r="BY250" s="352"/>
      <c r="BZ250" s="14"/>
      <c r="CA250" s="14"/>
      <c r="CB250" s="21"/>
      <c r="CC250" s="21"/>
      <c r="CD250" s="180"/>
      <c r="CE250" s="180"/>
      <c r="CF250" s="21"/>
      <c r="CG250" s="14"/>
      <c r="CH250" s="14"/>
      <c r="CI250" s="14"/>
      <c r="CJ250" s="14"/>
      <c r="CK250" s="14"/>
      <c r="CL250" s="14"/>
      <c r="CM250" s="14"/>
      <c r="CN250" s="14"/>
      <c r="CO250" s="129"/>
      <c r="CP250" s="14"/>
      <c r="CQ250" s="47"/>
      <c r="CR250" s="14"/>
      <c r="CS250" s="14"/>
      <c r="CT250" s="14"/>
      <c r="CU250" s="14"/>
      <c r="CV250" s="180"/>
      <c r="CW250" s="189"/>
      <c r="CX250" s="189"/>
      <c r="CY250" s="14"/>
      <c r="CZ250" s="14"/>
      <c r="DA250" s="14"/>
      <c r="DB250" s="14"/>
      <c r="DC250" s="14"/>
      <c r="DD250" s="14"/>
      <c r="DE250" s="14"/>
      <c r="DF250" s="14"/>
      <c r="DG250" s="129"/>
      <c r="DH250" s="14"/>
      <c r="DI250" s="47"/>
      <c r="DJ250" s="14"/>
      <c r="DK250" s="107" t="s">
        <v>36</v>
      </c>
      <c r="DL250" s="33">
        <f>DQ74</f>
        <v>1</v>
      </c>
      <c r="DM250" s="117">
        <f>DQ101</f>
        <v>1</v>
      </c>
      <c r="DN250" s="116">
        <f>DQ128</f>
        <v>1</v>
      </c>
      <c r="DO250" s="33">
        <f>DQ155</f>
        <v>1</v>
      </c>
      <c r="DP250" s="117">
        <f>DQ182</f>
        <v>0</v>
      </c>
      <c r="DQ250" s="116">
        <f>DQ209</f>
        <v>0</v>
      </c>
      <c r="DR250" s="27">
        <f t="shared" si="203"/>
        <v>4</v>
      </c>
      <c r="DS250" s="14"/>
      <c r="DT250" s="14"/>
      <c r="DU250" s="14"/>
      <c r="DV250" s="14"/>
      <c r="DW250" s="14"/>
      <c r="DX250" s="14"/>
      <c r="DY250" s="14"/>
      <c r="DZ250" s="14"/>
      <c r="EA250" s="14"/>
      <c r="EB250" s="14"/>
      <c r="EC250" s="14"/>
      <c r="ED250" s="14"/>
      <c r="EE250" s="14"/>
      <c r="EF250" s="14"/>
      <c r="EG250" s="14"/>
      <c r="EH250" s="14"/>
      <c r="EI250" s="14"/>
      <c r="EJ250" s="14"/>
      <c r="EK250" s="14"/>
      <c r="EL250" s="14"/>
    </row>
    <row r="251" spans="1:142" x14ac:dyDescent="0.25">
      <c r="A251" s="14"/>
      <c r="B251" s="107" t="s">
        <v>38</v>
      </c>
      <c r="C251" s="33">
        <f>H75</f>
        <v>0</v>
      </c>
      <c r="D251" s="117">
        <f>H102</f>
        <v>0</v>
      </c>
      <c r="E251" s="116">
        <f>H129</f>
        <v>0</v>
      </c>
      <c r="F251" s="33">
        <f>H156</f>
        <v>0</v>
      </c>
      <c r="G251" s="117">
        <f>H183</f>
        <v>0</v>
      </c>
      <c r="H251" s="116">
        <f>H210</f>
        <v>0</v>
      </c>
      <c r="I251" s="27">
        <f t="shared" si="178"/>
        <v>0</v>
      </c>
      <c r="J251" s="14"/>
      <c r="K251" s="14"/>
      <c r="L251" s="14"/>
      <c r="M251" s="14"/>
      <c r="N251" s="14"/>
      <c r="O251" s="14"/>
      <c r="P251" s="14"/>
      <c r="Q251" s="47"/>
      <c r="R251" s="19"/>
      <c r="S251" s="107" t="s">
        <v>29</v>
      </c>
      <c r="T251" s="33">
        <f t="shared" si="179"/>
        <v>1</v>
      </c>
      <c r="U251" s="117">
        <f t="shared" si="180"/>
        <v>1</v>
      </c>
      <c r="V251" s="116">
        <f t="shared" si="181"/>
        <v>0</v>
      </c>
      <c r="W251" s="33">
        <f t="shared" si="182"/>
        <v>2</v>
      </c>
      <c r="X251" s="117">
        <f t="shared" si="183"/>
        <v>1</v>
      </c>
      <c r="Y251" s="116">
        <f t="shared" si="184"/>
        <v>0</v>
      </c>
      <c r="Z251" s="27">
        <f t="shared" si="204"/>
        <v>5</v>
      </c>
      <c r="AA251" s="19"/>
      <c r="AB251" s="19"/>
      <c r="AC251" s="19"/>
      <c r="AD251" s="65"/>
      <c r="AE251" s="63"/>
      <c r="AF251" s="352"/>
      <c r="AG251" s="19"/>
      <c r="AH251" s="107" t="s">
        <v>29</v>
      </c>
      <c r="AI251" s="33">
        <f t="shared" si="185"/>
        <v>1</v>
      </c>
      <c r="AJ251" s="117">
        <f t="shared" si="186"/>
        <v>0</v>
      </c>
      <c r="AK251" s="116">
        <f t="shared" si="187"/>
        <v>0</v>
      </c>
      <c r="AL251" s="33">
        <f t="shared" si="188"/>
        <v>0</v>
      </c>
      <c r="AM251" s="117">
        <f t="shared" si="189"/>
        <v>0</v>
      </c>
      <c r="AN251" s="116">
        <f t="shared" si="190"/>
        <v>0</v>
      </c>
      <c r="AO251" s="27">
        <f t="shared" si="205"/>
        <v>1</v>
      </c>
      <c r="AP251" s="19"/>
      <c r="AQ251" s="19"/>
      <c r="AR251" s="19"/>
      <c r="AS251" s="65"/>
      <c r="AT251" s="63"/>
      <c r="AU251" s="352"/>
      <c r="AV251" s="14"/>
      <c r="AW251" s="107" t="s">
        <v>29</v>
      </c>
      <c r="AX251" s="33">
        <f t="shared" si="191"/>
        <v>1</v>
      </c>
      <c r="AY251" s="117">
        <f t="shared" si="192"/>
        <v>0</v>
      </c>
      <c r="AZ251" s="116">
        <f t="shared" si="193"/>
        <v>0</v>
      </c>
      <c r="BA251" s="33">
        <f t="shared" si="194"/>
        <v>0</v>
      </c>
      <c r="BB251" s="117">
        <f t="shared" si="195"/>
        <v>0</v>
      </c>
      <c r="BC251" s="116">
        <f t="shared" si="196"/>
        <v>0</v>
      </c>
      <c r="BD251" s="27">
        <f t="shared" si="206"/>
        <v>1</v>
      </c>
      <c r="BE251" s="19"/>
      <c r="BF251" s="19"/>
      <c r="BG251" s="19"/>
      <c r="BH251" s="65"/>
      <c r="BI251" s="63"/>
      <c r="BJ251" s="352"/>
      <c r="BK251" s="19"/>
      <c r="BL251" s="107" t="s">
        <v>29</v>
      </c>
      <c r="BM251" s="33">
        <f t="shared" si="197"/>
        <v>0</v>
      </c>
      <c r="BN251" s="117">
        <f t="shared" si="198"/>
        <v>0</v>
      </c>
      <c r="BO251" s="116">
        <f t="shared" si="199"/>
        <v>0</v>
      </c>
      <c r="BP251" s="33">
        <f t="shared" si="200"/>
        <v>1</v>
      </c>
      <c r="BQ251" s="117">
        <f t="shared" si="201"/>
        <v>0</v>
      </c>
      <c r="BR251" s="116">
        <f t="shared" si="202"/>
        <v>0</v>
      </c>
      <c r="BS251" s="27">
        <f t="shared" si="207"/>
        <v>1</v>
      </c>
      <c r="BT251" s="19"/>
      <c r="BU251" s="19"/>
      <c r="BV251" s="19"/>
      <c r="BW251" s="65"/>
      <c r="BX251" s="63"/>
      <c r="BY251" s="352"/>
      <c r="BZ251" s="14"/>
      <c r="CA251" s="14"/>
      <c r="CB251" s="21"/>
      <c r="CC251" s="21"/>
      <c r="CD251" s="180"/>
      <c r="CE251" s="180"/>
      <c r="CF251" s="21"/>
      <c r="CG251" s="14"/>
      <c r="CH251" s="14"/>
      <c r="CI251" s="14"/>
      <c r="CJ251" s="14"/>
      <c r="CK251" s="14"/>
      <c r="CL251" s="14"/>
      <c r="CM251" s="14"/>
      <c r="CN251" s="14"/>
      <c r="CO251" s="129"/>
      <c r="CP251" s="14"/>
      <c r="CQ251" s="47"/>
      <c r="CR251" s="14"/>
      <c r="CS251" s="14"/>
      <c r="CT251" s="14"/>
      <c r="CU251" s="14"/>
      <c r="CV251" s="180"/>
      <c r="CW251" s="189"/>
      <c r="CX251" s="189"/>
      <c r="CY251" s="14"/>
      <c r="CZ251" s="14"/>
      <c r="DA251" s="14"/>
      <c r="DB251" s="14"/>
      <c r="DC251" s="14"/>
      <c r="DD251" s="14"/>
      <c r="DE251" s="14"/>
      <c r="DF251" s="14"/>
      <c r="DG251" s="129"/>
      <c r="DH251" s="14"/>
      <c r="DI251" s="47"/>
      <c r="DJ251" s="14"/>
      <c r="DK251" s="107" t="s">
        <v>38</v>
      </c>
      <c r="DL251" s="33">
        <f>DQ75</f>
        <v>0</v>
      </c>
      <c r="DM251" s="117">
        <f>DQ102</f>
        <v>0</v>
      </c>
      <c r="DN251" s="116">
        <f>DQ129</f>
        <v>0</v>
      </c>
      <c r="DO251" s="33">
        <f>DQ156</f>
        <v>1</v>
      </c>
      <c r="DP251" s="117">
        <f>DQ183</f>
        <v>0</v>
      </c>
      <c r="DQ251" s="116">
        <f>DQ210</f>
        <v>0</v>
      </c>
      <c r="DR251" s="27">
        <f t="shared" si="203"/>
        <v>1</v>
      </c>
      <c r="DS251" s="14"/>
      <c r="DT251" s="14"/>
      <c r="DU251" s="14"/>
      <c r="DV251" s="14"/>
      <c r="DW251" s="14"/>
      <c r="DX251" s="14"/>
      <c r="DY251" s="14"/>
      <c r="DZ251" s="14"/>
      <c r="EA251" s="14"/>
      <c r="EB251" s="14"/>
      <c r="EC251" s="14"/>
      <c r="ED251" s="14"/>
      <c r="EE251" s="14"/>
      <c r="EF251" s="14"/>
      <c r="EG251" s="14"/>
      <c r="EH251" s="14"/>
      <c r="EI251" s="14"/>
      <c r="EJ251" s="14"/>
      <c r="EK251" s="14"/>
      <c r="EL251" s="14"/>
    </row>
    <row r="252" spans="1:142" x14ac:dyDescent="0.25">
      <c r="A252" s="14"/>
      <c r="B252" s="107" t="s">
        <v>39</v>
      </c>
      <c r="C252" s="33">
        <f>H76</f>
        <v>2</v>
      </c>
      <c r="D252" s="117">
        <f>H103</f>
        <v>0</v>
      </c>
      <c r="E252" s="116">
        <f>H130</f>
        <v>0</v>
      </c>
      <c r="F252" s="33">
        <f>H157</f>
        <v>0</v>
      </c>
      <c r="G252" s="117">
        <f>H184</f>
        <v>0</v>
      </c>
      <c r="H252" s="116">
        <f>H211</f>
        <v>0</v>
      </c>
      <c r="I252" s="27">
        <f t="shared" si="178"/>
        <v>2</v>
      </c>
      <c r="J252" s="14"/>
      <c r="K252" s="14"/>
      <c r="L252" s="14"/>
      <c r="M252" s="14"/>
      <c r="N252" s="14"/>
      <c r="O252" s="14"/>
      <c r="P252" s="14"/>
      <c r="Q252" s="47"/>
      <c r="R252" s="19"/>
      <c r="S252" s="107" t="s">
        <v>3</v>
      </c>
      <c r="T252" s="33">
        <f t="shared" si="179"/>
        <v>0</v>
      </c>
      <c r="U252" s="117">
        <f t="shared" si="180"/>
        <v>1</v>
      </c>
      <c r="V252" s="116">
        <f t="shared" si="181"/>
        <v>2</v>
      </c>
      <c r="W252" s="33">
        <f t="shared" si="182"/>
        <v>0</v>
      </c>
      <c r="X252" s="117">
        <f t="shared" si="183"/>
        <v>0</v>
      </c>
      <c r="Y252" s="116">
        <f t="shared" si="184"/>
        <v>0</v>
      </c>
      <c r="Z252" s="27">
        <f t="shared" si="204"/>
        <v>3</v>
      </c>
      <c r="AA252" s="19"/>
      <c r="AB252" s="19"/>
      <c r="AC252" s="19"/>
      <c r="AD252" s="65"/>
      <c r="AE252" s="63"/>
      <c r="AF252" s="352"/>
      <c r="AG252" s="19"/>
      <c r="AH252" s="107" t="s">
        <v>3</v>
      </c>
      <c r="AI252" s="33">
        <f t="shared" si="185"/>
        <v>0</v>
      </c>
      <c r="AJ252" s="117">
        <f t="shared" si="186"/>
        <v>0</v>
      </c>
      <c r="AK252" s="116">
        <f t="shared" si="187"/>
        <v>1</v>
      </c>
      <c r="AL252" s="33">
        <f t="shared" si="188"/>
        <v>1</v>
      </c>
      <c r="AM252" s="117">
        <f t="shared" si="189"/>
        <v>0</v>
      </c>
      <c r="AN252" s="116">
        <f t="shared" si="190"/>
        <v>4</v>
      </c>
      <c r="AO252" s="27">
        <f t="shared" si="205"/>
        <v>6</v>
      </c>
      <c r="AP252" s="19"/>
      <c r="AQ252" s="19"/>
      <c r="AR252" s="19"/>
      <c r="AS252" s="65"/>
      <c r="AT252" s="63"/>
      <c r="AU252" s="352"/>
      <c r="AV252" s="14"/>
      <c r="AW252" s="107" t="s">
        <v>3</v>
      </c>
      <c r="AX252" s="33">
        <f t="shared" si="191"/>
        <v>0</v>
      </c>
      <c r="AY252" s="117">
        <f t="shared" si="192"/>
        <v>0</v>
      </c>
      <c r="AZ252" s="116">
        <f t="shared" si="193"/>
        <v>1</v>
      </c>
      <c r="BA252" s="33">
        <f t="shared" si="194"/>
        <v>0</v>
      </c>
      <c r="BB252" s="117">
        <f t="shared" si="195"/>
        <v>0</v>
      </c>
      <c r="BC252" s="116">
        <f t="shared" si="196"/>
        <v>0</v>
      </c>
      <c r="BD252" s="27">
        <f t="shared" si="206"/>
        <v>1</v>
      </c>
      <c r="BE252" s="19"/>
      <c r="BF252" s="19"/>
      <c r="BG252" s="19"/>
      <c r="BH252" s="65"/>
      <c r="BI252" s="63"/>
      <c r="BJ252" s="352"/>
      <c r="BK252" s="19"/>
      <c r="BL252" s="107" t="s">
        <v>3</v>
      </c>
      <c r="BM252" s="33">
        <f t="shared" si="197"/>
        <v>1</v>
      </c>
      <c r="BN252" s="117">
        <f t="shared" si="198"/>
        <v>0</v>
      </c>
      <c r="BO252" s="116">
        <f t="shared" si="199"/>
        <v>1</v>
      </c>
      <c r="BP252" s="33">
        <f t="shared" si="200"/>
        <v>0</v>
      </c>
      <c r="BQ252" s="117">
        <f t="shared" si="201"/>
        <v>0</v>
      </c>
      <c r="BR252" s="116">
        <f t="shared" si="202"/>
        <v>0</v>
      </c>
      <c r="BS252" s="27">
        <f t="shared" si="207"/>
        <v>2</v>
      </c>
      <c r="BT252" s="19"/>
      <c r="BU252" s="19"/>
      <c r="BV252" s="19"/>
      <c r="BW252" s="65"/>
      <c r="BX252" s="63"/>
      <c r="BY252" s="352"/>
      <c r="BZ252" s="14"/>
      <c r="CA252" s="14"/>
      <c r="CB252" s="21"/>
      <c r="CC252" s="21"/>
      <c r="CD252" s="180"/>
      <c r="CE252" s="180"/>
      <c r="CF252" s="21"/>
      <c r="CG252" s="14"/>
      <c r="CH252" s="14"/>
      <c r="CI252" s="14"/>
      <c r="CJ252" s="14"/>
      <c r="CK252" s="14"/>
      <c r="CL252" s="14"/>
      <c r="CM252" s="14"/>
      <c r="CN252" s="14"/>
      <c r="CO252" s="129"/>
      <c r="CP252" s="14"/>
      <c r="CQ252" s="47"/>
      <c r="CR252" s="14"/>
      <c r="CS252" s="14"/>
      <c r="CT252" s="14"/>
      <c r="CU252" s="14"/>
      <c r="CV252" s="180"/>
      <c r="CW252" s="189"/>
      <c r="CX252" s="189"/>
      <c r="CY252" s="14"/>
      <c r="CZ252" s="14"/>
      <c r="DA252" s="14"/>
      <c r="DB252" s="14"/>
      <c r="DC252" s="14"/>
      <c r="DD252" s="14"/>
      <c r="DE252" s="14"/>
      <c r="DF252" s="14"/>
      <c r="DG252" s="129"/>
      <c r="DH252" s="14"/>
      <c r="DI252" s="47"/>
      <c r="DJ252" s="14"/>
      <c r="DK252" s="107" t="s">
        <v>39</v>
      </c>
      <c r="DL252" s="33">
        <f>DQ76</f>
        <v>1</v>
      </c>
      <c r="DM252" s="117">
        <f>DQ103</f>
        <v>0</v>
      </c>
      <c r="DN252" s="116">
        <f>DQ130</f>
        <v>0</v>
      </c>
      <c r="DO252" s="33">
        <f>DQ157</f>
        <v>0</v>
      </c>
      <c r="DP252" s="117">
        <f>DQ184</f>
        <v>0</v>
      </c>
      <c r="DQ252" s="116">
        <f>DQ211</f>
        <v>0</v>
      </c>
      <c r="DR252" s="27">
        <f t="shared" si="203"/>
        <v>1</v>
      </c>
      <c r="DS252" s="14"/>
      <c r="DT252" s="14"/>
      <c r="DU252" s="14"/>
      <c r="DV252" s="14"/>
      <c r="DW252" s="14"/>
      <c r="DX252" s="14"/>
      <c r="DY252" s="14"/>
      <c r="DZ252" s="14"/>
      <c r="EA252" s="14"/>
      <c r="EB252" s="14"/>
      <c r="EC252" s="14"/>
      <c r="ED252" s="14"/>
      <c r="EE252" s="14"/>
      <c r="EF252" s="14"/>
      <c r="EG252" s="14"/>
      <c r="EH252" s="14"/>
      <c r="EI252" s="14"/>
      <c r="EJ252" s="14"/>
      <c r="EK252" s="14"/>
      <c r="EL252" s="14"/>
    </row>
    <row r="253" spans="1:142" x14ac:dyDescent="0.25">
      <c r="A253" s="14"/>
      <c r="B253" s="86" t="s">
        <v>8</v>
      </c>
      <c r="C253" s="111">
        <f t="shared" ref="C253:H253" si="208">SUM(C248:C252)</f>
        <v>5</v>
      </c>
      <c r="D253" s="111">
        <f t="shared" si="208"/>
        <v>2</v>
      </c>
      <c r="E253" s="111">
        <f t="shared" si="208"/>
        <v>2</v>
      </c>
      <c r="F253" s="111">
        <f t="shared" si="208"/>
        <v>2</v>
      </c>
      <c r="G253" s="111">
        <f t="shared" si="208"/>
        <v>3</v>
      </c>
      <c r="H253" s="111">
        <f t="shared" si="208"/>
        <v>4</v>
      </c>
      <c r="I253" s="111">
        <f t="shared" si="178"/>
        <v>18</v>
      </c>
      <c r="J253" s="14"/>
      <c r="K253" s="14"/>
      <c r="L253" s="14"/>
      <c r="M253" s="14"/>
      <c r="N253" s="14"/>
      <c r="O253" s="14"/>
      <c r="P253" s="14"/>
      <c r="Q253" s="47"/>
      <c r="R253" s="19"/>
      <c r="S253" s="107" t="s">
        <v>54</v>
      </c>
      <c r="T253" s="33">
        <f t="shared" si="179"/>
        <v>0</v>
      </c>
      <c r="U253" s="117">
        <f t="shared" si="180"/>
        <v>0</v>
      </c>
      <c r="V253" s="116">
        <f t="shared" si="181"/>
        <v>0</v>
      </c>
      <c r="W253" s="33">
        <f t="shared" si="182"/>
        <v>0</v>
      </c>
      <c r="X253" s="117">
        <f t="shared" si="183"/>
        <v>0</v>
      </c>
      <c r="Y253" s="116">
        <f t="shared" si="184"/>
        <v>4</v>
      </c>
      <c r="Z253" s="27">
        <f t="shared" si="204"/>
        <v>4</v>
      </c>
      <c r="AA253" s="19"/>
      <c r="AB253" s="19"/>
      <c r="AC253" s="19"/>
      <c r="AD253" s="65"/>
      <c r="AE253" s="63"/>
      <c r="AF253" s="352"/>
      <c r="AG253" s="19"/>
      <c r="AH253" s="107" t="s">
        <v>54</v>
      </c>
      <c r="AI253" s="33">
        <f t="shared" si="185"/>
        <v>0</v>
      </c>
      <c r="AJ253" s="117">
        <f t="shared" si="186"/>
        <v>1</v>
      </c>
      <c r="AK253" s="116">
        <f t="shared" si="187"/>
        <v>0</v>
      </c>
      <c r="AL253" s="33">
        <f t="shared" si="188"/>
        <v>0</v>
      </c>
      <c r="AM253" s="117">
        <f t="shared" si="189"/>
        <v>0</v>
      </c>
      <c r="AN253" s="116">
        <f t="shared" si="190"/>
        <v>0</v>
      </c>
      <c r="AO253" s="27">
        <f t="shared" si="205"/>
        <v>1</v>
      </c>
      <c r="AP253" s="19"/>
      <c r="AQ253" s="19"/>
      <c r="AR253" s="19"/>
      <c r="AS253" s="65"/>
      <c r="AT253" s="63"/>
      <c r="AU253" s="352"/>
      <c r="AV253" s="14"/>
      <c r="AW253" s="107" t="s">
        <v>54</v>
      </c>
      <c r="AX253" s="33">
        <f t="shared" si="191"/>
        <v>0</v>
      </c>
      <c r="AY253" s="117">
        <f t="shared" si="192"/>
        <v>1</v>
      </c>
      <c r="AZ253" s="116">
        <f t="shared" si="193"/>
        <v>0</v>
      </c>
      <c r="BA253" s="33">
        <f t="shared" si="194"/>
        <v>1</v>
      </c>
      <c r="BB253" s="117">
        <f t="shared" si="195"/>
        <v>0</v>
      </c>
      <c r="BC253" s="116">
        <f t="shared" si="196"/>
        <v>4</v>
      </c>
      <c r="BD253" s="27">
        <f t="shared" si="206"/>
        <v>6</v>
      </c>
      <c r="BE253" s="19"/>
      <c r="BF253" s="19"/>
      <c r="BG253" s="19"/>
      <c r="BH253" s="65"/>
      <c r="BI253" s="63"/>
      <c r="BJ253" s="352"/>
      <c r="BK253" s="19"/>
      <c r="BL253" s="107" t="s">
        <v>54</v>
      </c>
      <c r="BM253" s="33">
        <f t="shared" si="197"/>
        <v>0</v>
      </c>
      <c r="BN253" s="117">
        <f t="shared" si="198"/>
        <v>1</v>
      </c>
      <c r="BO253" s="116">
        <f t="shared" si="199"/>
        <v>0</v>
      </c>
      <c r="BP253" s="33">
        <f t="shared" si="200"/>
        <v>1</v>
      </c>
      <c r="BQ253" s="117">
        <f t="shared" si="201"/>
        <v>0</v>
      </c>
      <c r="BR253" s="116">
        <f t="shared" si="202"/>
        <v>4</v>
      </c>
      <c r="BS253" s="27">
        <f t="shared" si="207"/>
        <v>6</v>
      </c>
      <c r="BT253" s="19"/>
      <c r="BU253" s="19"/>
      <c r="BV253" s="19"/>
      <c r="BW253" s="65"/>
      <c r="BX253" s="63"/>
      <c r="BY253" s="352"/>
      <c r="BZ253" s="14"/>
      <c r="CA253" s="14"/>
      <c r="CB253" s="21"/>
      <c r="CC253" s="21"/>
      <c r="CD253" s="180"/>
      <c r="CE253" s="180"/>
      <c r="CF253" s="21"/>
      <c r="CG253" s="14"/>
      <c r="CH253" s="14"/>
      <c r="CI253" s="14"/>
      <c r="CJ253" s="14"/>
      <c r="CK253" s="14"/>
      <c r="CL253" s="14"/>
      <c r="CM253" s="14"/>
      <c r="CN253" s="14"/>
      <c r="CO253" s="129"/>
      <c r="CP253" s="14"/>
      <c r="CQ253" s="47"/>
      <c r="CR253" s="14"/>
      <c r="CS253" s="14"/>
      <c r="CT253" s="14"/>
      <c r="CU253" s="14"/>
      <c r="CV253" s="180"/>
      <c r="CW253" s="189"/>
      <c r="CX253" s="189"/>
      <c r="CY253" s="14"/>
      <c r="CZ253" s="14"/>
      <c r="DA253" s="14"/>
      <c r="DB253" s="14"/>
      <c r="DC253" s="14"/>
      <c r="DD253" s="14"/>
      <c r="DE253" s="14"/>
      <c r="DF253" s="14"/>
      <c r="DG253" s="129"/>
      <c r="DH253" s="14"/>
      <c r="DI253" s="47"/>
      <c r="DJ253" s="14"/>
      <c r="DK253" s="86" t="s">
        <v>8</v>
      </c>
      <c r="DL253" s="111">
        <f t="shared" ref="DL253:DQ253" si="209">SUM(DL248:DL252)</f>
        <v>5</v>
      </c>
      <c r="DM253" s="111">
        <f t="shared" si="209"/>
        <v>2</v>
      </c>
      <c r="DN253" s="111">
        <f t="shared" si="209"/>
        <v>2</v>
      </c>
      <c r="DO253" s="111">
        <f t="shared" si="209"/>
        <v>2</v>
      </c>
      <c r="DP253" s="111">
        <f t="shared" si="209"/>
        <v>3</v>
      </c>
      <c r="DQ253" s="111">
        <f t="shared" si="209"/>
        <v>4</v>
      </c>
      <c r="DR253" s="111">
        <f t="shared" si="203"/>
        <v>18</v>
      </c>
      <c r="DS253" s="14"/>
      <c r="DT253" s="14"/>
      <c r="DU253" s="14"/>
      <c r="DV253" s="14"/>
      <c r="DW253" s="14"/>
      <c r="DX253" s="14"/>
      <c r="DY253" s="14"/>
      <c r="DZ253" s="14"/>
      <c r="EA253" s="14"/>
      <c r="EB253" s="14"/>
      <c r="EC253" s="14"/>
      <c r="ED253" s="14"/>
      <c r="EE253" s="14"/>
      <c r="EF253" s="14"/>
      <c r="EG253" s="14"/>
      <c r="EH253" s="14"/>
      <c r="EI253" s="14"/>
      <c r="EJ253" s="14"/>
      <c r="EK253" s="14"/>
      <c r="EL253" s="14"/>
    </row>
    <row r="254" spans="1:142" x14ac:dyDescent="0.25">
      <c r="A254" s="14"/>
      <c r="B254" s="107"/>
      <c r="C254" s="33"/>
      <c r="D254" s="117"/>
      <c r="E254" s="116"/>
      <c r="F254" s="33"/>
      <c r="G254" s="117"/>
      <c r="H254" s="116"/>
      <c r="I254" s="27"/>
      <c r="J254" s="14"/>
      <c r="K254" s="14"/>
      <c r="L254" s="14"/>
      <c r="M254" s="14"/>
      <c r="N254" s="14"/>
      <c r="O254" s="14"/>
      <c r="P254" s="14"/>
      <c r="Q254" s="47"/>
      <c r="R254" s="19"/>
      <c r="S254" s="107" t="s">
        <v>39</v>
      </c>
      <c r="T254" s="33">
        <f t="shared" si="179"/>
        <v>2</v>
      </c>
      <c r="U254" s="117">
        <f t="shared" si="180"/>
        <v>0</v>
      </c>
      <c r="V254" s="116">
        <f t="shared" si="181"/>
        <v>0</v>
      </c>
      <c r="W254" s="33">
        <f t="shared" si="182"/>
        <v>0</v>
      </c>
      <c r="X254" s="117">
        <f t="shared" si="183"/>
        <v>0</v>
      </c>
      <c r="Y254" s="116">
        <f t="shared" si="184"/>
        <v>0</v>
      </c>
      <c r="Z254" s="27">
        <f t="shared" si="204"/>
        <v>2</v>
      </c>
      <c r="AA254" s="19"/>
      <c r="AB254" s="19"/>
      <c r="AC254" s="19"/>
      <c r="AD254" s="65"/>
      <c r="AE254" s="63"/>
      <c r="AF254" s="352"/>
      <c r="AG254" s="19"/>
      <c r="AH254" s="107" t="s">
        <v>39</v>
      </c>
      <c r="AI254" s="33">
        <f t="shared" si="185"/>
        <v>0</v>
      </c>
      <c r="AJ254" s="117">
        <f t="shared" si="186"/>
        <v>0</v>
      </c>
      <c r="AK254" s="116">
        <f t="shared" si="187"/>
        <v>0</v>
      </c>
      <c r="AL254" s="33">
        <f t="shared" si="188"/>
        <v>0</v>
      </c>
      <c r="AM254" s="117">
        <f t="shared" si="189"/>
        <v>0</v>
      </c>
      <c r="AN254" s="116">
        <f t="shared" si="190"/>
        <v>0</v>
      </c>
      <c r="AO254" s="27">
        <f t="shared" si="205"/>
        <v>0</v>
      </c>
      <c r="AP254" s="19"/>
      <c r="AQ254" s="19"/>
      <c r="AR254" s="19"/>
      <c r="AS254" s="65"/>
      <c r="AT254" s="63"/>
      <c r="AU254" s="352"/>
      <c r="AV254" s="14"/>
      <c r="AW254" s="107" t="s">
        <v>39</v>
      </c>
      <c r="AX254" s="33">
        <f t="shared" si="191"/>
        <v>0</v>
      </c>
      <c r="AY254" s="117">
        <f t="shared" si="192"/>
        <v>0</v>
      </c>
      <c r="AZ254" s="116">
        <f t="shared" si="193"/>
        <v>0</v>
      </c>
      <c r="BA254" s="33">
        <f t="shared" si="194"/>
        <v>0</v>
      </c>
      <c r="BB254" s="117">
        <f t="shared" si="195"/>
        <v>0</v>
      </c>
      <c r="BC254" s="116">
        <f t="shared" si="196"/>
        <v>0</v>
      </c>
      <c r="BD254" s="27">
        <f t="shared" si="206"/>
        <v>0</v>
      </c>
      <c r="BE254" s="19"/>
      <c r="BF254" s="19"/>
      <c r="BG254" s="19"/>
      <c r="BH254" s="65"/>
      <c r="BI254" s="63"/>
      <c r="BJ254" s="352"/>
      <c r="BK254" s="19"/>
      <c r="BL254" s="107" t="s">
        <v>39</v>
      </c>
      <c r="BM254" s="33">
        <f t="shared" si="197"/>
        <v>0</v>
      </c>
      <c r="BN254" s="117">
        <f t="shared" si="198"/>
        <v>0</v>
      </c>
      <c r="BO254" s="116">
        <f t="shared" si="199"/>
        <v>0</v>
      </c>
      <c r="BP254" s="33">
        <f t="shared" si="200"/>
        <v>0</v>
      </c>
      <c r="BQ254" s="117">
        <f t="shared" si="201"/>
        <v>0</v>
      </c>
      <c r="BR254" s="116">
        <f t="shared" si="202"/>
        <v>0</v>
      </c>
      <c r="BS254" s="27">
        <f t="shared" si="207"/>
        <v>0</v>
      </c>
      <c r="BT254" s="19"/>
      <c r="BU254" s="19"/>
      <c r="BV254" s="19"/>
      <c r="BW254" s="65"/>
      <c r="BX254" s="63"/>
      <c r="BY254" s="352"/>
      <c r="BZ254" s="14"/>
      <c r="CA254" s="14"/>
      <c r="CB254" s="21"/>
      <c r="CC254" s="21"/>
      <c r="CD254" s="180"/>
      <c r="CE254" s="180"/>
      <c r="CF254" s="21"/>
      <c r="CG254" s="14"/>
      <c r="CH254" s="14"/>
      <c r="CI254" s="14"/>
      <c r="CJ254" s="14"/>
      <c r="CK254" s="14"/>
      <c r="CL254" s="14"/>
      <c r="CM254" s="14"/>
      <c r="CN254" s="14"/>
      <c r="CO254" s="129"/>
      <c r="CP254" s="14"/>
      <c r="CQ254" s="47"/>
      <c r="CR254" s="14"/>
      <c r="CS254" s="14"/>
      <c r="CT254" s="14"/>
      <c r="CU254" s="14"/>
      <c r="CV254" s="180"/>
      <c r="CW254" s="189"/>
      <c r="CX254" s="189"/>
      <c r="CY254" s="14"/>
      <c r="CZ254" s="14"/>
      <c r="DA254" s="14"/>
      <c r="DB254" s="14"/>
      <c r="DC254" s="14"/>
      <c r="DD254" s="14"/>
      <c r="DE254" s="14"/>
      <c r="DF254" s="14"/>
      <c r="DG254" s="129"/>
      <c r="DH254" s="14"/>
      <c r="DI254" s="47"/>
      <c r="DJ254" s="14"/>
      <c r="DK254" s="107"/>
      <c r="DL254" s="33"/>
      <c r="DM254" s="117"/>
      <c r="DN254" s="116"/>
      <c r="DO254" s="33"/>
      <c r="DP254" s="117"/>
      <c r="DQ254" s="116"/>
      <c r="DR254" s="27"/>
      <c r="DS254" s="14"/>
      <c r="DT254" s="14"/>
      <c r="DU254" s="14"/>
      <c r="DV254" s="14"/>
      <c r="DW254" s="14"/>
      <c r="DX254" s="14"/>
      <c r="DY254" s="14"/>
      <c r="DZ254" s="14"/>
      <c r="EA254" s="14"/>
      <c r="EB254" s="14"/>
      <c r="EC254" s="14"/>
      <c r="ED254" s="14"/>
      <c r="EE254" s="14"/>
      <c r="EF254" s="14"/>
      <c r="EG254" s="14"/>
      <c r="EH254" s="14"/>
      <c r="EI254" s="14"/>
      <c r="EJ254" s="14"/>
      <c r="EK254" s="14"/>
      <c r="EL254" s="14"/>
    </row>
    <row r="255" spans="1:142" x14ac:dyDescent="0.25">
      <c r="A255" s="14"/>
      <c r="B255" s="103"/>
      <c r="C255" s="114"/>
      <c r="D255" s="114"/>
      <c r="E255" s="114"/>
      <c r="F255" s="114"/>
      <c r="G255" s="114"/>
      <c r="H255" s="114"/>
      <c r="I255" s="114"/>
      <c r="J255" s="14"/>
      <c r="K255" s="14"/>
      <c r="L255" s="14"/>
      <c r="M255" s="14"/>
      <c r="N255" s="14"/>
      <c r="O255" s="14"/>
      <c r="P255" s="14"/>
      <c r="Q255" s="47"/>
      <c r="R255" s="19"/>
      <c r="S255" s="86" t="s">
        <v>8</v>
      </c>
      <c r="T255" s="111">
        <f t="shared" ref="T255:Y255" si="210">SUM(T248:T254)</f>
        <v>5</v>
      </c>
      <c r="U255" s="111">
        <f t="shared" si="210"/>
        <v>2</v>
      </c>
      <c r="V255" s="111">
        <f t="shared" si="210"/>
        <v>2</v>
      </c>
      <c r="W255" s="111">
        <f t="shared" si="210"/>
        <v>2</v>
      </c>
      <c r="X255" s="111">
        <f t="shared" si="210"/>
        <v>2</v>
      </c>
      <c r="Y255" s="111">
        <f t="shared" si="210"/>
        <v>4</v>
      </c>
      <c r="Z255" s="111">
        <f t="shared" si="204"/>
        <v>17</v>
      </c>
      <c r="AA255" s="19"/>
      <c r="AB255" s="19"/>
      <c r="AC255" s="19"/>
      <c r="AD255" s="65"/>
      <c r="AE255" s="63"/>
      <c r="AF255" s="352"/>
      <c r="AG255" s="19"/>
      <c r="AH255" s="86" t="s">
        <v>8</v>
      </c>
      <c r="AI255" s="111">
        <f t="shared" ref="AI255:AN255" si="211">SUM(AI248:AI254)</f>
        <v>4</v>
      </c>
      <c r="AJ255" s="111">
        <f t="shared" si="211"/>
        <v>3</v>
      </c>
      <c r="AK255" s="111">
        <f t="shared" si="211"/>
        <v>2</v>
      </c>
      <c r="AL255" s="111">
        <f t="shared" si="211"/>
        <v>2</v>
      </c>
      <c r="AM255" s="111">
        <f t="shared" si="211"/>
        <v>0</v>
      </c>
      <c r="AN255" s="111">
        <f t="shared" si="211"/>
        <v>4</v>
      </c>
      <c r="AO255" s="111">
        <f t="shared" si="205"/>
        <v>15</v>
      </c>
      <c r="AP255" s="19"/>
      <c r="AQ255" s="19"/>
      <c r="AR255" s="19"/>
      <c r="AS255" s="65"/>
      <c r="AT255" s="63"/>
      <c r="AU255" s="352"/>
      <c r="AV255" s="14"/>
      <c r="AW255" s="86" t="s">
        <v>8</v>
      </c>
      <c r="AX255" s="111">
        <f t="shared" ref="AX255:BC255" si="212">SUM(AX248:AX254)</f>
        <v>4</v>
      </c>
      <c r="AY255" s="111">
        <f t="shared" si="212"/>
        <v>3</v>
      </c>
      <c r="AZ255" s="111">
        <f t="shared" si="212"/>
        <v>2</v>
      </c>
      <c r="BA255" s="111">
        <f t="shared" si="212"/>
        <v>2</v>
      </c>
      <c r="BB255" s="111">
        <f t="shared" si="212"/>
        <v>0</v>
      </c>
      <c r="BC255" s="111">
        <f t="shared" si="212"/>
        <v>4</v>
      </c>
      <c r="BD255" s="111">
        <f t="shared" si="206"/>
        <v>15</v>
      </c>
      <c r="BE255" s="19"/>
      <c r="BF255" s="19"/>
      <c r="BG255" s="19"/>
      <c r="BH255" s="65"/>
      <c r="BI255" s="63"/>
      <c r="BJ255" s="352"/>
      <c r="BK255" s="19"/>
      <c r="BL255" s="86" t="s">
        <v>8</v>
      </c>
      <c r="BM255" s="111">
        <f t="shared" ref="BM255:BR255" si="213">SUM(BM248:BM254)</f>
        <v>4</v>
      </c>
      <c r="BN255" s="111">
        <f t="shared" si="213"/>
        <v>3</v>
      </c>
      <c r="BO255" s="111">
        <f t="shared" si="213"/>
        <v>2</v>
      </c>
      <c r="BP255" s="111">
        <f t="shared" si="213"/>
        <v>2</v>
      </c>
      <c r="BQ255" s="111">
        <f t="shared" si="213"/>
        <v>0</v>
      </c>
      <c r="BR255" s="111">
        <f t="shared" si="213"/>
        <v>4</v>
      </c>
      <c r="BS255" s="111">
        <f t="shared" si="207"/>
        <v>15</v>
      </c>
      <c r="BT255" s="19"/>
      <c r="BU255" s="19"/>
      <c r="BV255" s="19"/>
      <c r="BW255" s="65"/>
      <c r="BX255" s="63"/>
      <c r="BY255" s="352"/>
      <c r="BZ255" s="14"/>
      <c r="CA255" s="14"/>
      <c r="CB255" s="21"/>
      <c r="CC255" s="21"/>
      <c r="CD255" s="180"/>
      <c r="CE255" s="180"/>
      <c r="CF255" s="21"/>
      <c r="CG255" s="14"/>
      <c r="CH255" s="14"/>
      <c r="CI255" s="14"/>
      <c r="CJ255" s="14"/>
      <c r="CK255" s="14"/>
      <c r="CL255" s="14"/>
      <c r="CM255" s="14"/>
      <c r="CN255" s="14"/>
      <c r="CO255" s="129"/>
      <c r="CP255" s="14"/>
      <c r="CQ255" s="47"/>
      <c r="CR255" s="14"/>
      <c r="CS255" s="14"/>
      <c r="CT255" s="14"/>
      <c r="CU255" s="14"/>
      <c r="CV255" s="180"/>
      <c r="CW255" s="189"/>
      <c r="CX255" s="189"/>
      <c r="CY255" s="14"/>
      <c r="CZ255" s="14"/>
      <c r="DA255" s="14"/>
      <c r="DB255" s="14"/>
      <c r="DC255" s="14"/>
      <c r="DD255" s="14"/>
      <c r="DE255" s="14"/>
      <c r="DF255" s="14"/>
      <c r="DG255" s="129"/>
      <c r="DH255" s="14"/>
      <c r="DI255" s="47"/>
      <c r="DJ255" s="14"/>
      <c r="DK255" s="103"/>
      <c r="DL255" s="114"/>
      <c r="DM255" s="114"/>
      <c r="DN255" s="114"/>
      <c r="DO255" s="114"/>
      <c r="DP255" s="114"/>
      <c r="DQ255" s="114"/>
      <c r="DR255" s="114"/>
      <c r="DS255" s="14"/>
      <c r="DT255" s="14"/>
      <c r="DU255" s="14"/>
      <c r="DV255" s="14"/>
      <c r="DW255" s="14"/>
      <c r="DX255" s="14"/>
      <c r="DY255" s="14"/>
      <c r="DZ255" s="14"/>
      <c r="EA255" s="14"/>
      <c r="EB255" s="14"/>
      <c r="EC255" s="14"/>
      <c r="ED255" s="14"/>
      <c r="EE255" s="14"/>
      <c r="EF255" s="14"/>
      <c r="EG255" s="14"/>
      <c r="EH255" s="14"/>
      <c r="EI255" s="14"/>
      <c r="EJ255" s="14"/>
      <c r="EK255" s="14"/>
      <c r="EL255" s="14"/>
    </row>
    <row r="256" spans="1:142" x14ac:dyDescent="0.25">
      <c r="A256" s="14"/>
      <c r="B256" s="19"/>
      <c r="C256" s="40"/>
      <c r="D256" s="41"/>
      <c r="E256" s="40"/>
      <c r="F256" s="40"/>
      <c r="G256" s="40"/>
      <c r="H256" s="41"/>
      <c r="I256" s="72"/>
      <c r="J256" s="14"/>
      <c r="K256" s="14"/>
      <c r="L256" s="14"/>
      <c r="M256" s="14"/>
      <c r="N256" s="14"/>
      <c r="O256" s="14"/>
      <c r="P256" s="14"/>
      <c r="Q256" s="47"/>
      <c r="R256" s="19"/>
      <c r="S256" s="19"/>
      <c r="T256" s="14"/>
      <c r="U256" s="14"/>
      <c r="V256" s="14"/>
      <c r="W256" s="14"/>
      <c r="X256" s="14"/>
      <c r="Y256" s="14"/>
      <c r="Z256" s="14"/>
      <c r="AA256" s="14"/>
      <c r="AB256" s="14"/>
      <c r="AC256" s="14"/>
      <c r="AD256" s="65"/>
      <c r="AE256" s="63"/>
      <c r="AF256" s="352"/>
      <c r="AG256" s="19"/>
      <c r="AH256" s="19"/>
      <c r="AI256" s="14"/>
      <c r="AJ256" s="14"/>
      <c r="AK256" s="14"/>
      <c r="AL256" s="14"/>
      <c r="AM256" s="14"/>
      <c r="AN256" s="14"/>
      <c r="AO256" s="14"/>
      <c r="AP256" s="14"/>
      <c r="AQ256" s="14"/>
      <c r="AR256" s="14"/>
      <c r="AS256" s="65"/>
      <c r="AT256" s="63"/>
      <c r="AU256" s="352"/>
      <c r="AV256" s="14"/>
      <c r="AW256" s="19"/>
      <c r="AX256" s="14"/>
      <c r="AY256" s="14"/>
      <c r="AZ256" s="14"/>
      <c r="BA256" s="14"/>
      <c r="BB256" s="14"/>
      <c r="BC256" s="14"/>
      <c r="BD256" s="14"/>
      <c r="BE256" s="14"/>
      <c r="BF256" s="14"/>
      <c r="BG256" s="14"/>
      <c r="BH256" s="65"/>
      <c r="BI256" s="63"/>
      <c r="BJ256" s="352"/>
      <c r="BK256" s="19"/>
      <c r="BL256" s="19"/>
      <c r="BM256" s="14"/>
      <c r="BN256" s="14"/>
      <c r="BO256" s="14"/>
      <c r="BP256" s="14"/>
      <c r="BQ256" s="14"/>
      <c r="BR256" s="14"/>
      <c r="BS256" s="14"/>
      <c r="BT256" s="14"/>
      <c r="BU256" s="14"/>
      <c r="BV256" s="14"/>
      <c r="BW256" s="65"/>
      <c r="BX256" s="63"/>
      <c r="BY256" s="352"/>
      <c r="BZ256" s="14"/>
      <c r="CA256" s="14"/>
      <c r="CB256" s="21"/>
      <c r="CC256" s="21"/>
      <c r="CD256" s="180"/>
      <c r="CE256" s="180"/>
      <c r="CF256" s="21"/>
      <c r="CG256" s="14"/>
      <c r="CH256" s="14"/>
      <c r="CI256" s="14"/>
      <c r="CJ256" s="14"/>
      <c r="CK256" s="14"/>
      <c r="CL256" s="14"/>
      <c r="CM256" s="14"/>
      <c r="CN256" s="14"/>
      <c r="CO256" s="129"/>
      <c r="CP256" s="14"/>
      <c r="CQ256" s="47"/>
      <c r="CR256" s="14"/>
      <c r="CS256" s="14"/>
      <c r="CT256" s="14"/>
      <c r="CU256" s="14"/>
      <c r="CV256" s="180"/>
      <c r="CW256" s="189"/>
      <c r="CX256" s="189"/>
      <c r="CY256" s="14"/>
      <c r="CZ256" s="14"/>
      <c r="DA256" s="14"/>
      <c r="DB256" s="14"/>
      <c r="DC256" s="14"/>
      <c r="DD256" s="14"/>
      <c r="DE256" s="14"/>
      <c r="DF256" s="14"/>
      <c r="DG256" s="129"/>
      <c r="DH256" s="14"/>
      <c r="DI256" s="47"/>
      <c r="DJ256" s="14"/>
      <c r="DK256" s="19"/>
      <c r="DL256" s="40"/>
      <c r="DM256" s="41"/>
      <c r="DN256" s="40"/>
      <c r="DO256" s="40"/>
      <c r="DP256" s="40"/>
      <c r="DQ256" s="41"/>
      <c r="DR256" s="72"/>
      <c r="DS256" s="14"/>
      <c r="DT256" s="14"/>
      <c r="DU256" s="14"/>
      <c r="DV256" s="14"/>
      <c r="DW256" s="14"/>
      <c r="DX256" s="14"/>
      <c r="DY256" s="14"/>
      <c r="DZ256" s="14"/>
      <c r="EA256" s="14"/>
      <c r="EB256" s="14"/>
      <c r="EC256" s="14"/>
      <c r="ED256" s="14"/>
      <c r="EE256" s="14"/>
      <c r="EF256" s="14"/>
      <c r="EG256" s="14"/>
      <c r="EH256" s="14"/>
      <c r="EI256" s="14"/>
      <c r="EJ256" s="14"/>
      <c r="EK256" s="14"/>
      <c r="EL256" s="14"/>
    </row>
    <row r="257" spans="1:142" x14ac:dyDescent="0.25">
      <c r="A257" s="14"/>
      <c r="B257" s="19"/>
      <c r="C257" s="40"/>
      <c r="D257" s="41"/>
      <c r="E257" s="40"/>
      <c r="F257" s="40"/>
      <c r="G257" s="40"/>
      <c r="H257" s="41"/>
      <c r="I257" s="72"/>
      <c r="J257" s="14"/>
      <c r="K257" s="14"/>
      <c r="L257" s="14"/>
      <c r="M257" s="14"/>
      <c r="N257" s="14"/>
      <c r="O257" s="14"/>
      <c r="P257" s="14"/>
      <c r="Q257" s="47"/>
      <c r="R257" s="19"/>
      <c r="S257" s="19"/>
      <c r="T257" s="14"/>
      <c r="U257" s="14"/>
      <c r="V257" s="14"/>
      <c r="W257" s="14"/>
      <c r="X257" s="14"/>
      <c r="Y257" s="14"/>
      <c r="Z257" s="14"/>
      <c r="AA257" s="14"/>
      <c r="AB257" s="14"/>
      <c r="AC257" s="14"/>
      <c r="AD257" s="65"/>
      <c r="AE257" s="63"/>
      <c r="AF257" s="352"/>
      <c r="AG257" s="19"/>
      <c r="AH257" s="19"/>
      <c r="AI257" s="14"/>
      <c r="AJ257" s="14"/>
      <c r="AK257" s="14"/>
      <c r="AL257" s="14"/>
      <c r="AM257" s="14"/>
      <c r="AN257" s="14"/>
      <c r="AO257" s="14"/>
      <c r="AP257" s="14"/>
      <c r="AQ257" s="14"/>
      <c r="AR257" s="14"/>
      <c r="AS257" s="65"/>
      <c r="AT257" s="63"/>
      <c r="AU257" s="352"/>
      <c r="AV257" s="14"/>
      <c r="AW257" s="19"/>
      <c r="AX257" s="14"/>
      <c r="AY257" s="14"/>
      <c r="AZ257" s="14"/>
      <c r="BA257" s="14"/>
      <c r="BB257" s="14"/>
      <c r="BC257" s="14"/>
      <c r="BD257" s="14"/>
      <c r="BE257" s="14"/>
      <c r="BF257" s="14"/>
      <c r="BG257" s="14"/>
      <c r="BH257" s="65"/>
      <c r="BI257" s="63"/>
      <c r="BJ257" s="352"/>
      <c r="BK257" s="19"/>
      <c r="BL257" s="19"/>
      <c r="BM257" s="14"/>
      <c r="BN257" s="14"/>
      <c r="BO257" s="14"/>
      <c r="BP257" s="14"/>
      <c r="BQ257" s="14"/>
      <c r="BR257" s="14"/>
      <c r="BS257" s="14"/>
      <c r="BT257" s="14"/>
      <c r="BU257" s="14"/>
      <c r="BV257" s="14"/>
      <c r="BW257" s="65"/>
      <c r="BX257" s="63"/>
      <c r="BY257" s="352"/>
      <c r="BZ257" s="14"/>
      <c r="CA257" s="14"/>
      <c r="CB257" s="21"/>
      <c r="CC257" s="21"/>
      <c r="CD257" s="180"/>
      <c r="CE257" s="180"/>
      <c r="CF257" s="21"/>
      <c r="CG257" s="14"/>
      <c r="CH257" s="14"/>
      <c r="CI257" s="14"/>
      <c r="CJ257" s="14"/>
      <c r="CK257" s="14"/>
      <c r="CL257" s="14"/>
      <c r="CM257" s="14"/>
      <c r="CN257" s="14"/>
      <c r="CO257" s="129"/>
      <c r="CP257" s="14"/>
      <c r="CQ257" s="47"/>
      <c r="CR257" s="14"/>
      <c r="CS257" s="14"/>
      <c r="CT257" s="14"/>
      <c r="CU257" s="14"/>
      <c r="CV257" s="180"/>
      <c r="CW257" s="189"/>
      <c r="CX257" s="189"/>
      <c r="CY257" s="14"/>
      <c r="CZ257" s="14"/>
      <c r="DA257" s="14"/>
      <c r="DB257" s="14"/>
      <c r="DC257" s="14"/>
      <c r="DD257" s="14"/>
      <c r="DE257" s="14"/>
      <c r="DF257" s="14"/>
      <c r="DG257" s="129"/>
      <c r="DH257" s="14"/>
      <c r="DI257" s="47"/>
      <c r="DJ257" s="14"/>
      <c r="DK257" s="19"/>
      <c r="DL257" s="40"/>
      <c r="DM257" s="41"/>
      <c r="DN257" s="40"/>
      <c r="DO257" s="40"/>
      <c r="DP257" s="40"/>
      <c r="DQ257" s="41"/>
      <c r="DR257" s="72"/>
      <c r="DS257" s="14"/>
      <c r="DT257" s="14"/>
      <c r="DU257" s="14"/>
      <c r="DV257" s="14"/>
      <c r="DW257" s="14"/>
      <c r="DX257" s="14"/>
      <c r="DY257" s="14"/>
      <c r="DZ257" s="14"/>
      <c r="EA257" s="14"/>
      <c r="EB257" s="14"/>
      <c r="EC257" s="14"/>
      <c r="ED257" s="14"/>
      <c r="EE257" s="14"/>
      <c r="EF257" s="14"/>
      <c r="EG257" s="14"/>
      <c r="EH257" s="14"/>
      <c r="EI257" s="14"/>
      <c r="EJ257" s="14"/>
      <c r="EK257" s="14"/>
      <c r="EL257" s="14"/>
    </row>
    <row r="258" spans="1:142" x14ac:dyDescent="0.25">
      <c r="A258" s="14"/>
      <c r="B258" s="19"/>
      <c r="C258" s="40"/>
      <c r="D258" s="41"/>
      <c r="E258" s="40"/>
      <c r="F258" s="40"/>
      <c r="G258" s="40"/>
      <c r="H258" s="41"/>
      <c r="I258" s="72"/>
      <c r="J258" s="14"/>
      <c r="K258" s="14"/>
      <c r="L258" s="14"/>
      <c r="M258" s="14"/>
      <c r="N258" s="14"/>
      <c r="O258" s="14"/>
      <c r="P258" s="14"/>
      <c r="Q258" s="47"/>
      <c r="R258" s="19"/>
      <c r="S258" s="19"/>
      <c r="T258" s="14"/>
      <c r="U258" s="14"/>
      <c r="V258" s="14"/>
      <c r="W258" s="14"/>
      <c r="X258" s="14"/>
      <c r="Y258" s="14"/>
      <c r="Z258" s="14"/>
      <c r="AA258" s="14"/>
      <c r="AB258" s="14"/>
      <c r="AC258" s="14"/>
      <c r="AD258" s="65"/>
      <c r="AE258" s="63"/>
      <c r="AF258" s="352"/>
      <c r="AG258" s="19"/>
      <c r="AH258" s="19"/>
      <c r="AI258" s="14"/>
      <c r="AJ258" s="14"/>
      <c r="AK258" s="14"/>
      <c r="AL258" s="14"/>
      <c r="AM258" s="14"/>
      <c r="AN258" s="14"/>
      <c r="AO258" s="14"/>
      <c r="AP258" s="14"/>
      <c r="AQ258" s="14"/>
      <c r="AR258" s="14"/>
      <c r="AS258" s="65"/>
      <c r="AT258" s="63"/>
      <c r="AU258" s="352"/>
      <c r="AV258" s="14"/>
      <c r="AW258" s="19"/>
      <c r="AX258" s="14"/>
      <c r="AY258" s="14"/>
      <c r="AZ258" s="14"/>
      <c r="BA258" s="14"/>
      <c r="BB258" s="14"/>
      <c r="BC258" s="14"/>
      <c r="BD258" s="14"/>
      <c r="BE258" s="14"/>
      <c r="BF258" s="14"/>
      <c r="BG258" s="14"/>
      <c r="BH258" s="65"/>
      <c r="BI258" s="63"/>
      <c r="BJ258" s="352"/>
      <c r="BK258" s="19"/>
      <c r="BL258" s="19"/>
      <c r="BM258" s="14"/>
      <c r="BN258" s="14"/>
      <c r="BO258" s="14"/>
      <c r="BP258" s="14"/>
      <c r="BQ258" s="14"/>
      <c r="BR258" s="14"/>
      <c r="BS258" s="14"/>
      <c r="BT258" s="14"/>
      <c r="BU258" s="14"/>
      <c r="BV258" s="14"/>
      <c r="BW258" s="65"/>
      <c r="BX258" s="63"/>
      <c r="BY258" s="352"/>
      <c r="BZ258" s="14"/>
      <c r="CA258" s="14"/>
      <c r="CB258" s="21"/>
      <c r="CC258" s="21"/>
      <c r="CD258" s="180"/>
      <c r="CE258" s="180"/>
      <c r="CF258" s="21"/>
      <c r="CG258" s="14"/>
      <c r="CH258" s="14"/>
      <c r="CI258" s="14"/>
      <c r="CJ258" s="14"/>
      <c r="CK258" s="14"/>
      <c r="CL258" s="14"/>
      <c r="CM258" s="14"/>
      <c r="CN258" s="14"/>
      <c r="CO258" s="129"/>
      <c r="CP258" s="14"/>
      <c r="CQ258" s="47"/>
      <c r="CR258" s="14"/>
      <c r="CS258" s="14"/>
      <c r="CT258" s="14"/>
      <c r="CU258" s="14"/>
      <c r="CV258" s="180"/>
      <c r="CW258" s="189"/>
      <c r="CX258" s="189"/>
      <c r="CY258" s="14"/>
      <c r="CZ258" s="14"/>
      <c r="DA258" s="14"/>
      <c r="DB258" s="14"/>
      <c r="DC258" s="14"/>
      <c r="DD258" s="14"/>
      <c r="DE258" s="14"/>
      <c r="DF258" s="14"/>
      <c r="DG258" s="129"/>
      <c r="DH258" s="14"/>
      <c r="DI258" s="47"/>
      <c r="DJ258" s="14"/>
      <c r="DK258" s="19"/>
      <c r="DL258" s="40"/>
      <c r="DM258" s="41"/>
      <c r="DN258" s="40"/>
      <c r="DO258" s="40"/>
      <c r="DP258" s="40"/>
      <c r="DQ258" s="41"/>
      <c r="DR258" s="72"/>
      <c r="DS258" s="14"/>
      <c r="DT258" s="14"/>
      <c r="DU258" s="14"/>
      <c r="DV258" s="14"/>
      <c r="DW258" s="14"/>
      <c r="DX258" s="14"/>
      <c r="DY258" s="14"/>
      <c r="DZ258" s="14"/>
      <c r="EA258" s="14"/>
      <c r="EB258" s="14"/>
      <c r="EC258" s="14"/>
      <c r="ED258" s="14"/>
      <c r="EE258" s="14"/>
      <c r="EF258" s="14"/>
      <c r="EG258" s="14"/>
      <c r="EH258" s="14"/>
      <c r="EI258" s="14"/>
      <c r="EJ258" s="14"/>
      <c r="EK258" s="14"/>
      <c r="EL258" s="14"/>
    </row>
    <row r="259" spans="1:142" x14ac:dyDescent="0.25">
      <c r="A259" s="14"/>
      <c r="B259" s="19"/>
      <c r="C259" s="40"/>
      <c r="D259" s="41"/>
      <c r="E259" s="40"/>
      <c r="F259" s="40"/>
      <c r="G259" s="40"/>
      <c r="H259" s="41"/>
      <c r="I259" s="72"/>
      <c r="J259" s="14"/>
      <c r="K259" s="14"/>
      <c r="L259" s="14"/>
      <c r="M259" s="14"/>
      <c r="N259" s="14"/>
      <c r="O259" s="14"/>
      <c r="P259" s="14"/>
      <c r="Q259" s="47"/>
      <c r="R259" s="19"/>
      <c r="S259" s="19"/>
      <c r="T259" s="14"/>
      <c r="U259" s="14"/>
      <c r="V259" s="14"/>
      <c r="W259" s="14"/>
      <c r="X259" s="14"/>
      <c r="Y259" s="14"/>
      <c r="Z259" s="14"/>
      <c r="AA259" s="14"/>
      <c r="AB259" s="14"/>
      <c r="AC259" s="14"/>
      <c r="AD259" s="65"/>
      <c r="AE259" s="63"/>
      <c r="AF259" s="352"/>
      <c r="AG259" s="19"/>
      <c r="AH259" s="19"/>
      <c r="AI259" s="14"/>
      <c r="AJ259" s="14"/>
      <c r="AK259" s="14"/>
      <c r="AL259" s="14"/>
      <c r="AM259" s="14"/>
      <c r="AN259" s="14"/>
      <c r="AO259" s="14"/>
      <c r="AP259" s="14"/>
      <c r="AQ259" s="14"/>
      <c r="AR259" s="14"/>
      <c r="AS259" s="65"/>
      <c r="AT259" s="63"/>
      <c r="AU259" s="352"/>
      <c r="AV259" s="14"/>
      <c r="AW259" s="19"/>
      <c r="AX259" s="14"/>
      <c r="AY259" s="14"/>
      <c r="AZ259" s="14"/>
      <c r="BA259" s="14"/>
      <c r="BB259" s="14"/>
      <c r="BC259" s="14"/>
      <c r="BD259" s="14"/>
      <c r="BE259" s="14"/>
      <c r="BF259" s="14"/>
      <c r="BG259" s="14"/>
      <c r="BH259" s="65"/>
      <c r="BI259" s="63"/>
      <c r="BJ259" s="352"/>
      <c r="BK259" s="19"/>
      <c r="BL259" s="19"/>
      <c r="BM259" s="14"/>
      <c r="BN259" s="14"/>
      <c r="BO259" s="14"/>
      <c r="BP259" s="14"/>
      <c r="BQ259" s="14"/>
      <c r="BR259" s="14"/>
      <c r="BS259" s="14"/>
      <c r="BT259" s="14"/>
      <c r="BU259" s="14"/>
      <c r="BV259" s="14"/>
      <c r="BW259" s="65"/>
      <c r="BX259" s="63"/>
      <c r="BY259" s="352"/>
      <c r="BZ259" s="14"/>
      <c r="CA259" s="14"/>
      <c r="CB259" s="21"/>
      <c r="CC259" s="21"/>
      <c r="CD259" s="180"/>
      <c r="CE259" s="180"/>
      <c r="CF259" s="21"/>
      <c r="CG259" s="14"/>
      <c r="CH259" s="14"/>
      <c r="CI259" s="14"/>
      <c r="CJ259" s="14"/>
      <c r="CK259" s="14"/>
      <c r="CL259" s="14"/>
      <c r="CM259" s="14"/>
      <c r="CN259" s="14"/>
      <c r="CO259" s="129"/>
      <c r="CP259" s="14"/>
      <c r="CQ259" s="47"/>
      <c r="CR259" s="14"/>
      <c r="CS259" s="14"/>
      <c r="CT259" s="14"/>
      <c r="CU259" s="14"/>
      <c r="CV259" s="180"/>
      <c r="CW259" s="189"/>
      <c r="CX259" s="189"/>
      <c r="CY259" s="14"/>
      <c r="CZ259" s="14"/>
      <c r="DA259" s="14"/>
      <c r="DB259" s="14"/>
      <c r="DC259" s="14"/>
      <c r="DD259" s="14"/>
      <c r="DE259" s="14"/>
      <c r="DF259" s="14"/>
      <c r="DG259" s="129"/>
      <c r="DH259" s="14"/>
      <c r="DI259" s="47"/>
      <c r="DJ259" s="14"/>
      <c r="DK259" s="19"/>
      <c r="DL259" s="40"/>
      <c r="DM259" s="41"/>
      <c r="DN259" s="40"/>
      <c r="DO259" s="40"/>
      <c r="DP259" s="40"/>
      <c r="DQ259" s="41"/>
      <c r="DR259" s="72"/>
      <c r="DS259" s="14"/>
      <c r="DT259" s="14"/>
      <c r="DU259" s="14"/>
      <c r="DV259" s="14"/>
      <c r="DW259" s="14"/>
      <c r="DX259" s="14"/>
      <c r="DY259" s="14"/>
      <c r="DZ259" s="14"/>
      <c r="EA259" s="14"/>
      <c r="EB259" s="14"/>
      <c r="EC259" s="14"/>
      <c r="ED259" s="14"/>
      <c r="EE259" s="14"/>
      <c r="EF259" s="14"/>
      <c r="EG259" s="14"/>
      <c r="EH259" s="14"/>
      <c r="EI259" s="14"/>
      <c r="EJ259" s="14"/>
      <c r="EK259" s="14"/>
      <c r="EL259" s="14"/>
    </row>
    <row r="260" spans="1:142" x14ac:dyDescent="0.25">
      <c r="A260" s="14"/>
      <c r="B260" s="19"/>
      <c r="C260" s="40"/>
      <c r="D260" s="41"/>
      <c r="E260" s="40"/>
      <c r="F260" s="40"/>
      <c r="G260" s="40"/>
      <c r="H260" s="41"/>
      <c r="I260" s="72"/>
      <c r="J260" s="14"/>
      <c r="K260" s="14"/>
      <c r="L260" s="14"/>
      <c r="M260" s="14"/>
      <c r="N260" s="14"/>
      <c r="O260" s="14"/>
      <c r="P260" s="14"/>
      <c r="Q260" s="47"/>
      <c r="R260" s="19"/>
      <c r="S260" s="19"/>
      <c r="T260" s="14"/>
      <c r="U260" s="14"/>
      <c r="V260" s="14"/>
      <c r="W260" s="14"/>
      <c r="X260" s="14"/>
      <c r="Y260" s="14"/>
      <c r="Z260" s="14"/>
      <c r="AA260" s="14"/>
      <c r="AB260" s="14"/>
      <c r="AC260" s="14"/>
      <c r="AD260" s="65"/>
      <c r="AE260" s="63"/>
      <c r="AF260" s="352"/>
      <c r="AG260" s="19"/>
      <c r="AH260" s="19"/>
      <c r="AI260" s="14"/>
      <c r="AJ260" s="14"/>
      <c r="AK260" s="14"/>
      <c r="AL260" s="14"/>
      <c r="AM260" s="14"/>
      <c r="AN260" s="14"/>
      <c r="AO260" s="14"/>
      <c r="AP260" s="14"/>
      <c r="AQ260" s="14"/>
      <c r="AR260" s="14"/>
      <c r="AS260" s="65"/>
      <c r="AT260" s="63"/>
      <c r="AU260" s="352"/>
      <c r="AV260" s="14"/>
      <c r="AW260" s="19"/>
      <c r="AX260" s="14"/>
      <c r="AY260" s="14"/>
      <c r="AZ260" s="14"/>
      <c r="BA260" s="14"/>
      <c r="BB260" s="14"/>
      <c r="BC260" s="14"/>
      <c r="BD260" s="14"/>
      <c r="BE260" s="14"/>
      <c r="BF260" s="14"/>
      <c r="BG260" s="14"/>
      <c r="BH260" s="65"/>
      <c r="BI260" s="63"/>
      <c r="BJ260" s="352"/>
      <c r="BK260" s="19"/>
      <c r="BL260" s="19"/>
      <c r="BM260" s="14"/>
      <c r="BN260" s="14"/>
      <c r="BO260" s="14"/>
      <c r="BP260" s="14"/>
      <c r="BQ260" s="14"/>
      <c r="BR260" s="14"/>
      <c r="BS260" s="14"/>
      <c r="BT260" s="14"/>
      <c r="BU260" s="14"/>
      <c r="BV260" s="14"/>
      <c r="BW260" s="65"/>
      <c r="BX260" s="63"/>
      <c r="BY260" s="352"/>
      <c r="BZ260" s="14"/>
      <c r="CA260" s="14"/>
      <c r="CB260" s="21"/>
      <c r="CC260" s="21"/>
      <c r="CD260" s="180"/>
      <c r="CE260" s="180"/>
      <c r="CF260" s="21"/>
      <c r="CG260" s="14"/>
      <c r="CH260" s="14"/>
      <c r="CI260" s="14"/>
      <c r="CJ260" s="14"/>
      <c r="CK260" s="14"/>
      <c r="CL260" s="14"/>
      <c r="CM260" s="14"/>
      <c r="CN260" s="14"/>
      <c r="CO260" s="129"/>
      <c r="CP260" s="14"/>
      <c r="CQ260" s="47"/>
      <c r="CR260" s="14"/>
      <c r="CS260" s="14"/>
      <c r="CT260" s="14"/>
      <c r="CU260" s="14"/>
      <c r="CV260" s="180"/>
      <c r="CW260" s="189"/>
      <c r="CX260" s="189"/>
      <c r="CY260" s="14"/>
      <c r="CZ260" s="14"/>
      <c r="DA260" s="14"/>
      <c r="DB260" s="14"/>
      <c r="DC260" s="14"/>
      <c r="DD260" s="14"/>
      <c r="DE260" s="14"/>
      <c r="DF260" s="14"/>
      <c r="DG260" s="129"/>
      <c r="DH260" s="14"/>
      <c r="DI260" s="47"/>
      <c r="DJ260" s="14"/>
      <c r="DK260" s="19"/>
      <c r="DL260" s="40"/>
      <c r="DM260" s="41"/>
      <c r="DN260" s="40"/>
      <c r="DO260" s="40"/>
      <c r="DP260" s="40"/>
      <c r="DQ260" s="41"/>
      <c r="DR260" s="72"/>
      <c r="DS260" s="14"/>
      <c r="DT260" s="14"/>
      <c r="DU260" s="14"/>
      <c r="DV260" s="14"/>
      <c r="DW260" s="14"/>
      <c r="DX260" s="14"/>
      <c r="DY260" s="14"/>
      <c r="DZ260" s="14"/>
      <c r="EA260" s="14"/>
      <c r="EB260" s="14"/>
      <c r="EC260" s="14"/>
      <c r="ED260" s="14"/>
      <c r="EE260" s="14"/>
      <c r="EF260" s="14"/>
      <c r="EG260" s="14"/>
      <c r="EH260" s="14"/>
      <c r="EI260" s="14"/>
      <c r="EJ260" s="14"/>
      <c r="EK260" s="14"/>
      <c r="EL260" s="14"/>
    </row>
    <row r="261" spans="1:142" x14ac:dyDescent="0.25">
      <c r="A261" s="14"/>
      <c r="B261" s="19"/>
      <c r="C261" s="40"/>
      <c r="D261" s="41"/>
      <c r="E261" s="40"/>
      <c r="F261" s="40"/>
      <c r="G261" s="40"/>
      <c r="H261" s="41"/>
      <c r="I261" s="72"/>
      <c r="J261" s="14"/>
      <c r="K261" s="14"/>
      <c r="L261" s="14"/>
      <c r="M261" s="14"/>
      <c r="N261" s="14"/>
      <c r="O261" s="14"/>
      <c r="P261" s="14"/>
      <c r="Q261" s="47"/>
      <c r="R261" s="19"/>
      <c r="S261" s="19"/>
      <c r="T261" s="14"/>
      <c r="U261" s="14"/>
      <c r="V261" s="14"/>
      <c r="W261" s="14"/>
      <c r="X261" s="14"/>
      <c r="Y261" s="14"/>
      <c r="Z261" s="14"/>
      <c r="AA261" s="14"/>
      <c r="AB261" s="14"/>
      <c r="AC261" s="14"/>
      <c r="AD261" s="65"/>
      <c r="AE261" s="63"/>
      <c r="AF261" s="352"/>
      <c r="AG261" s="19"/>
      <c r="AH261" s="19"/>
      <c r="AI261" s="14"/>
      <c r="AJ261" s="14"/>
      <c r="AK261" s="14"/>
      <c r="AL261" s="14"/>
      <c r="AM261" s="14"/>
      <c r="AN261" s="14"/>
      <c r="AO261" s="14"/>
      <c r="AP261" s="14"/>
      <c r="AQ261" s="14"/>
      <c r="AR261" s="14"/>
      <c r="AS261" s="65"/>
      <c r="AT261" s="63"/>
      <c r="AU261" s="352"/>
      <c r="AV261" s="14"/>
      <c r="AW261" s="19"/>
      <c r="AX261" s="14"/>
      <c r="AY261" s="14"/>
      <c r="AZ261" s="14"/>
      <c r="BA261" s="14"/>
      <c r="BB261" s="14"/>
      <c r="BC261" s="14"/>
      <c r="BD261" s="14"/>
      <c r="BE261" s="14"/>
      <c r="BF261" s="14"/>
      <c r="BG261" s="14"/>
      <c r="BH261" s="65"/>
      <c r="BI261" s="63"/>
      <c r="BJ261" s="352"/>
      <c r="BK261" s="19"/>
      <c r="BL261" s="19"/>
      <c r="BM261" s="14"/>
      <c r="BN261" s="14"/>
      <c r="BO261" s="14"/>
      <c r="BP261" s="14"/>
      <c r="BQ261" s="14"/>
      <c r="BR261" s="14"/>
      <c r="BS261" s="14"/>
      <c r="BT261" s="14"/>
      <c r="BU261" s="14"/>
      <c r="BV261" s="14"/>
      <c r="BW261" s="65"/>
      <c r="BX261" s="63"/>
      <c r="BY261" s="352"/>
      <c r="BZ261" s="14"/>
      <c r="CA261" s="14"/>
      <c r="CB261" s="21"/>
      <c r="CC261" s="21"/>
      <c r="CD261" s="180"/>
      <c r="CE261" s="180"/>
      <c r="CF261" s="21"/>
      <c r="CG261" s="14"/>
      <c r="CH261" s="14"/>
      <c r="CI261" s="14"/>
      <c r="CJ261" s="14"/>
      <c r="CK261" s="14"/>
      <c r="CL261" s="14"/>
      <c r="CM261" s="14"/>
      <c r="CN261" s="14"/>
      <c r="CO261" s="129"/>
      <c r="CP261" s="14"/>
      <c r="CQ261" s="47"/>
      <c r="CR261" s="14"/>
      <c r="CS261" s="14"/>
      <c r="CT261" s="14"/>
      <c r="CU261" s="14"/>
      <c r="CV261" s="180"/>
      <c r="CW261" s="189"/>
      <c r="CX261" s="189"/>
      <c r="CY261" s="14"/>
      <c r="CZ261" s="14"/>
      <c r="DA261" s="14"/>
      <c r="DB261" s="14"/>
      <c r="DC261" s="14"/>
      <c r="DD261" s="14"/>
      <c r="DE261" s="14"/>
      <c r="DF261" s="14"/>
      <c r="DG261" s="129"/>
      <c r="DH261" s="14"/>
      <c r="DI261" s="47"/>
      <c r="DJ261" s="14"/>
      <c r="DK261" s="19"/>
      <c r="DL261" s="40"/>
      <c r="DM261" s="41"/>
      <c r="DN261" s="40"/>
      <c r="DO261" s="40"/>
      <c r="DP261" s="40"/>
      <c r="DQ261" s="41"/>
      <c r="DR261" s="72"/>
      <c r="DS261" s="14"/>
      <c r="DT261" s="14"/>
      <c r="DU261" s="14"/>
      <c r="DV261" s="14"/>
      <c r="DW261" s="14"/>
      <c r="DX261" s="14"/>
      <c r="DY261" s="14"/>
      <c r="DZ261" s="14"/>
      <c r="EA261" s="14"/>
      <c r="EB261" s="14"/>
      <c r="EC261" s="14"/>
      <c r="ED261" s="14"/>
      <c r="EE261" s="14"/>
      <c r="EF261" s="14"/>
      <c r="EG261" s="14"/>
      <c r="EH261" s="14"/>
      <c r="EI261" s="14"/>
      <c r="EJ261" s="14"/>
      <c r="EK261" s="14"/>
      <c r="EL261" s="14"/>
    </row>
    <row r="262" spans="1:142" x14ac:dyDescent="0.25">
      <c r="A262" s="14"/>
      <c r="B262" s="19"/>
      <c r="C262" s="40"/>
      <c r="D262" s="41"/>
      <c r="E262" s="40"/>
      <c r="F262" s="40"/>
      <c r="G262" s="40"/>
      <c r="H262" s="41"/>
      <c r="I262" s="72"/>
      <c r="J262" s="14"/>
      <c r="K262" s="14"/>
      <c r="L262" s="14"/>
      <c r="M262" s="14"/>
      <c r="N262" s="14"/>
      <c r="O262" s="14"/>
      <c r="P262" s="14"/>
      <c r="Q262" s="47"/>
      <c r="R262" s="19"/>
      <c r="S262" s="19"/>
      <c r="T262" s="14"/>
      <c r="U262" s="14"/>
      <c r="V262" s="14"/>
      <c r="W262" s="14"/>
      <c r="X262" s="14"/>
      <c r="Y262" s="14"/>
      <c r="Z262" s="14"/>
      <c r="AA262" s="14"/>
      <c r="AB262" s="14"/>
      <c r="AC262" s="14"/>
      <c r="AD262" s="65"/>
      <c r="AE262" s="63"/>
      <c r="AF262" s="352"/>
      <c r="AG262" s="19"/>
      <c r="AH262" s="19"/>
      <c r="AI262" s="14"/>
      <c r="AJ262" s="14"/>
      <c r="AK262" s="14"/>
      <c r="AL262" s="14"/>
      <c r="AM262" s="14"/>
      <c r="AN262" s="14"/>
      <c r="AO262" s="14"/>
      <c r="AP262" s="14"/>
      <c r="AQ262" s="14"/>
      <c r="AR262" s="14"/>
      <c r="AS262" s="65"/>
      <c r="AT262" s="63"/>
      <c r="AU262" s="352"/>
      <c r="AV262" s="14"/>
      <c r="AW262" s="19"/>
      <c r="AX262" s="14"/>
      <c r="AY262" s="14"/>
      <c r="AZ262" s="14"/>
      <c r="BA262" s="14"/>
      <c r="BB262" s="14"/>
      <c r="BC262" s="14"/>
      <c r="BD262" s="14"/>
      <c r="BE262" s="14"/>
      <c r="BF262" s="14"/>
      <c r="BG262" s="14"/>
      <c r="BH262" s="65"/>
      <c r="BI262" s="63"/>
      <c r="BJ262" s="352"/>
      <c r="BK262" s="19"/>
      <c r="BL262" s="19"/>
      <c r="BM262" s="14"/>
      <c r="BN262" s="14"/>
      <c r="BO262" s="14"/>
      <c r="BP262" s="14"/>
      <c r="BQ262" s="14"/>
      <c r="BR262" s="14"/>
      <c r="BS262" s="14"/>
      <c r="BT262" s="14"/>
      <c r="BU262" s="14"/>
      <c r="BV262" s="14"/>
      <c r="BW262" s="65"/>
      <c r="BX262" s="63"/>
      <c r="BY262" s="352"/>
      <c r="BZ262" s="14"/>
      <c r="CA262" s="14"/>
      <c r="CB262" s="21"/>
      <c r="CC262" s="21"/>
      <c r="CD262" s="180"/>
      <c r="CE262" s="180"/>
      <c r="CF262" s="21"/>
      <c r="CG262" s="14"/>
      <c r="CH262" s="14"/>
      <c r="CI262" s="14"/>
      <c r="CJ262" s="14"/>
      <c r="CK262" s="14"/>
      <c r="CL262" s="14"/>
      <c r="CM262" s="14"/>
      <c r="CN262" s="14"/>
      <c r="CO262" s="129"/>
      <c r="CP262" s="14"/>
      <c r="CQ262" s="47"/>
      <c r="CR262" s="14"/>
      <c r="CS262" s="14"/>
      <c r="CT262" s="14"/>
      <c r="CU262" s="14"/>
      <c r="CV262" s="180"/>
      <c r="CW262" s="189"/>
      <c r="CX262" s="189"/>
      <c r="CY262" s="14"/>
      <c r="CZ262" s="14"/>
      <c r="DA262" s="14"/>
      <c r="DB262" s="14"/>
      <c r="DC262" s="14"/>
      <c r="DD262" s="14"/>
      <c r="DE262" s="14"/>
      <c r="DF262" s="14"/>
      <c r="DG262" s="129"/>
      <c r="DH262" s="14"/>
      <c r="DI262" s="47"/>
      <c r="DJ262" s="14"/>
      <c r="DK262" s="19"/>
      <c r="DL262" s="40"/>
      <c r="DM262" s="41"/>
      <c r="DN262" s="40"/>
      <c r="DO262" s="40"/>
      <c r="DP262" s="40"/>
      <c r="DQ262" s="41"/>
      <c r="DR262" s="72"/>
      <c r="DS262" s="14"/>
      <c r="DT262" s="14"/>
      <c r="DU262" s="14"/>
      <c r="DV262" s="14"/>
      <c r="DW262" s="14"/>
      <c r="DX262" s="14"/>
      <c r="DY262" s="14"/>
      <c r="DZ262" s="14"/>
      <c r="EA262" s="14"/>
      <c r="EB262" s="14"/>
      <c r="EC262" s="14"/>
      <c r="ED262" s="14"/>
      <c r="EE262" s="14"/>
      <c r="EF262" s="14"/>
      <c r="EG262" s="14"/>
      <c r="EH262" s="14"/>
      <c r="EI262" s="14"/>
      <c r="EJ262" s="14"/>
      <c r="EK262" s="14"/>
      <c r="EL262" s="14"/>
    </row>
    <row r="263" spans="1:142" x14ac:dyDescent="0.25">
      <c r="A263" s="14"/>
      <c r="B263" s="19"/>
      <c r="C263" s="40"/>
      <c r="D263" s="41"/>
      <c r="E263" s="40"/>
      <c r="F263" s="40"/>
      <c r="G263" s="40"/>
      <c r="H263" s="41"/>
      <c r="I263" s="72"/>
      <c r="J263" s="14"/>
      <c r="K263" s="14"/>
      <c r="L263" s="14"/>
      <c r="M263" s="14"/>
      <c r="N263" s="14"/>
      <c r="O263" s="14"/>
      <c r="P263" s="14"/>
      <c r="Q263" s="47"/>
      <c r="R263" s="19"/>
      <c r="S263" s="19"/>
      <c r="T263" s="14"/>
      <c r="U263" s="14"/>
      <c r="V263" s="14"/>
      <c r="W263" s="14"/>
      <c r="X263" s="14"/>
      <c r="Y263" s="14"/>
      <c r="Z263" s="14"/>
      <c r="AA263" s="14"/>
      <c r="AB263" s="14"/>
      <c r="AC263" s="14"/>
      <c r="AD263" s="65"/>
      <c r="AE263" s="63"/>
      <c r="AF263" s="352"/>
      <c r="AG263" s="19"/>
      <c r="AH263" s="19"/>
      <c r="AI263" s="14"/>
      <c r="AJ263" s="14"/>
      <c r="AK263" s="14"/>
      <c r="AL263" s="14"/>
      <c r="AM263" s="14"/>
      <c r="AN263" s="14"/>
      <c r="AO263" s="14"/>
      <c r="AP263" s="14"/>
      <c r="AQ263" s="14"/>
      <c r="AR263" s="14"/>
      <c r="AS263" s="65"/>
      <c r="AT263" s="63"/>
      <c r="AU263" s="352"/>
      <c r="AV263" s="14"/>
      <c r="AW263" s="19"/>
      <c r="AX263" s="14"/>
      <c r="AY263" s="14"/>
      <c r="AZ263" s="14"/>
      <c r="BA263" s="14"/>
      <c r="BB263" s="14"/>
      <c r="BC263" s="14"/>
      <c r="BD263" s="14"/>
      <c r="BE263" s="14"/>
      <c r="BF263" s="14"/>
      <c r="BG263" s="14"/>
      <c r="BH263" s="65"/>
      <c r="BI263" s="63"/>
      <c r="BJ263" s="352"/>
      <c r="BK263" s="19"/>
      <c r="BL263" s="19"/>
      <c r="BM263" s="14"/>
      <c r="BN263" s="14"/>
      <c r="BO263" s="14"/>
      <c r="BP263" s="14"/>
      <c r="BQ263" s="14"/>
      <c r="BR263" s="14"/>
      <c r="BS263" s="14"/>
      <c r="BT263" s="14"/>
      <c r="BU263" s="14"/>
      <c r="BV263" s="14"/>
      <c r="BW263" s="65"/>
      <c r="BX263" s="63"/>
      <c r="BY263" s="352"/>
      <c r="BZ263" s="14"/>
      <c r="CA263" s="14"/>
      <c r="CB263" s="21"/>
      <c r="CC263" s="21"/>
      <c r="CD263" s="180"/>
      <c r="CE263" s="180"/>
      <c r="CF263" s="21"/>
      <c r="CG263" s="14"/>
      <c r="CH263" s="14"/>
      <c r="CI263" s="14"/>
      <c r="CJ263" s="14"/>
      <c r="CK263" s="14"/>
      <c r="CL263" s="14"/>
      <c r="CM263" s="14"/>
      <c r="CN263" s="14"/>
      <c r="CO263" s="129"/>
      <c r="CP263" s="14"/>
      <c r="CQ263" s="47"/>
      <c r="CR263" s="14"/>
      <c r="CS263" s="14"/>
      <c r="CT263" s="14"/>
      <c r="CU263" s="14"/>
      <c r="CV263" s="180"/>
      <c r="CW263" s="189"/>
      <c r="CX263" s="189"/>
      <c r="CY263" s="14"/>
      <c r="CZ263" s="14"/>
      <c r="DA263" s="14"/>
      <c r="DB263" s="14"/>
      <c r="DC263" s="14"/>
      <c r="DD263" s="14"/>
      <c r="DE263" s="14"/>
      <c r="DF263" s="14"/>
      <c r="DG263" s="129"/>
      <c r="DH263" s="14"/>
      <c r="DI263" s="47"/>
      <c r="DJ263" s="14"/>
      <c r="DK263" s="19"/>
      <c r="DL263" s="40"/>
      <c r="DM263" s="41"/>
      <c r="DN263" s="40"/>
      <c r="DO263" s="40"/>
      <c r="DP263" s="40"/>
      <c r="DQ263" s="41"/>
      <c r="DR263" s="72"/>
      <c r="DS263" s="14"/>
      <c r="DT263" s="14"/>
      <c r="DU263" s="14"/>
      <c r="DV263" s="14"/>
      <c r="DW263" s="14"/>
      <c r="DX263" s="14"/>
      <c r="DY263" s="14"/>
      <c r="DZ263" s="14"/>
      <c r="EA263" s="14"/>
      <c r="EB263" s="14"/>
      <c r="EC263" s="14"/>
      <c r="ED263" s="14"/>
      <c r="EE263" s="14"/>
      <c r="EF263" s="14"/>
      <c r="EG263" s="14"/>
      <c r="EH263" s="14"/>
      <c r="EI263" s="14"/>
      <c r="EJ263" s="14"/>
      <c r="EK263" s="14"/>
      <c r="EL263" s="14"/>
    </row>
    <row r="264" spans="1:142" x14ac:dyDescent="0.25">
      <c r="A264" s="14"/>
      <c r="B264" s="19"/>
      <c r="C264" s="40"/>
      <c r="D264" s="41"/>
      <c r="E264" s="40"/>
      <c r="F264" s="40"/>
      <c r="G264" s="40"/>
      <c r="H264" s="41"/>
      <c r="I264" s="72"/>
      <c r="J264" s="14"/>
      <c r="K264" s="14"/>
      <c r="L264" s="14"/>
      <c r="M264" s="14"/>
      <c r="N264" s="14"/>
      <c r="O264" s="14"/>
      <c r="P264" s="14"/>
      <c r="Q264" s="47"/>
      <c r="R264" s="19"/>
      <c r="S264" s="19"/>
      <c r="T264" s="14"/>
      <c r="U264" s="14"/>
      <c r="V264" s="14"/>
      <c r="W264" s="14"/>
      <c r="X264" s="14"/>
      <c r="Y264" s="14"/>
      <c r="Z264" s="14"/>
      <c r="AA264" s="14"/>
      <c r="AB264" s="14"/>
      <c r="AC264" s="14"/>
      <c r="AD264" s="65"/>
      <c r="AE264" s="63"/>
      <c r="AF264" s="352"/>
      <c r="AG264" s="19"/>
      <c r="AH264" s="19"/>
      <c r="AI264" s="14"/>
      <c r="AJ264" s="14"/>
      <c r="AK264" s="14"/>
      <c r="AL264" s="14"/>
      <c r="AM264" s="14"/>
      <c r="AN264" s="14"/>
      <c r="AO264" s="14"/>
      <c r="AP264" s="14"/>
      <c r="AQ264" s="14"/>
      <c r="AR264" s="14"/>
      <c r="AS264" s="65"/>
      <c r="AT264" s="63"/>
      <c r="AU264" s="352"/>
      <c r="AV264" s="14"/>
      <c r="AW264" s="19"/>
      <c r="AX264" s="14"/>
      <c r="AY264" s="14"/>
      <c r="AZ264" s="14"/>
      <c r="BA264" s="14"/>
      <c r="BB264" s="14"/>
      <c r="BC264" s="14"/>
      <c r="BD264" s="14"/>
      <c r="BE264" s="14"/>
      <c r="BF264" s="14"/>
      <c r="BG264" s="14"/>
      <c r="BH264" s="65"/>
      <c r="BI264" s="63"/>
      <c r="BJ264" s="352"/>
      <c r="BK264" s="19"/>
      <c r="BL264" s="19"/>
      <c r="BM264" s="14"/>
      <c r="BN264" s="14"/>
      <c r="BO264" s="14"/>
      <c r="BP264" s="14"/>
      <c r="BQ264" s="14"/>
      <c r="BR264" s="14"/>
      <c r="BS264" s="14"/>
      <c r="BT264" s="14"/>
      <c r="BU264" s="14"/>
      <c r="BV264" s="14"/>
      <c r="BW264" s="65"/>
      <c r="BX264" s="63"/>
      <c r="BY264" s="352"/>
      <c r="BZ264" s="14"/>
      <c r="CA264" s="14"/>
      <c r="CB264" s="21"/>
      <c r="CC264" s="21"/>
      <c r="CD264" s="180"/>
      <c r="CE264" s="180"/>
      <c r="CF264" s="21"/>
      <c r="CG264" s="14"/>
      <c r="CH264" s="14"/>
      <c r="CI264" s="14"/>
      <c r="CJ264" s="14"/>
      <c r="CK264" s="14"/>
      <c r="CL264" s="14"/>
      <c r="CM264" s="14"/>
      <c r="CN264" s="14"/>
      <c r="CO264" s="129"/>
      <c r="CP264" s="14"/>
      <c r="CQ264" s="47"/>
      <c r="CR264" s="14"/>
      <c r="CS264" s="14"/>
      <c r="CT264" s="14"/>
      <c r="CU264" s="14"/>
      <c r="CV264" s="180"/>
      <c r="CW264" s="189"/>
      <c r="CX264" s="189"/>
      <c r="CY264" s="14"/>
      <c r="CZ264" s="14"/>
      <c r="DA264" s="14"/>
      <c r="DB264" s="14"/>
      <c r="DC264" s="14"/>
      <c r="DD264" s="14"/>
      <c r="DE264" s="14"/>
      <c r="DF264" s="14"/>
      <c r="DG264" s="129"/>
      <c r="DH264" s="14"/>
      <c r="DI264" s="47"/>
      <c r="DJ264" s="14"/>
      <c r="DK264" s="19"/>
      <c r="DL264" s="40"/>
      <c r="DM264" s="41"/>
      <c r="DN264" s="40"/>
      <c r="DO264" s="40"/>
      <c r="DP264" s="40"/>
      <c r="DQ264" s="41"/>
      <c r="DR264" s="72"/>
      <c r="DS264" s="14"/>
      <c r="DT264" s="14"/>
      <c r="DU264" s="14"/>
      <c r="DV264" s="14"/>
      <c r="DW264" s="14"/>
      <c r="DX264" s="14"/>
      <c r="DY264" s="14"/>
      <c r="DZ264" s="14"/>
      <c r="EA264" s="14"/>
      <c r="EB264" s="14"/>
      <c r="EC264" s="14"/>
      <c r="ED264" s="14"/>
      <c r="EE264" s="14"/>
      <c r="EF264" s="14"/>
      <c r="EG264" s="14"/>
      <c r="EH264" s="14"/>
      <c r="EI264" s="14"/>
      <c r="EJ264" s="14"/>
      <c r="EK264" s="14"/>
      <c r="EL264" s="14"/>
    </row>
    <row r="265" spans="1:142" x14ac:dyDescent="0.25">
      <c r="A265" s="14"/>
      <c r="B265" s="19"/>
      <c r="C265" s="40"/>
      <c r="D265" s="41"/>
      <c r="E265" s="40"/>
      <c r="F265" s="40"/>
      <c r="G265" s="40"/>
      <c r="H265" s="41"/>
      <c r="I265" s="72"/>
      <c r="J265" s="14"/>
      <c r="K265" s="14"/>
      <c r="L265" s="14"/>
      <c r="M265" s="14"/>
      <c r="N265" s="14"/>
      <c r="O265" s="14"/>
      <c r="P265" s="14"/>
      <c r="Q265" s="47"/>
      <c r="R265" s="19"/>
      <c r="S265" s="19"/>
      <c r="T265" s="14"/>
      <c r="U265" s="14"/>
      <c r="V265" s="14"/>
      <c r="W265" s="14"/>
      <c r="X265" s="14"/>
      <c r="Y265" s="14"/>
      <c r="Z265" s="14"/>
      <c r="AA265" s="14"/>
      <c r="AB265" s="14"/>
      <c r="AC265" s="14"/>
      <c r="AD265" s="65"/>
      <c r="AE265" s="63"/>
      <c r="AF265" s="352"/>
      <c r="AG265" s="19"/>
      <c r="AH265" s="19"/>
      <c r="AI265" s="14"/>
      <c r="AJ265" s="14"/>
      <c r="AK265" s="14"/>
      <c r="AL265" s="14"/>
      <c r="AM265" s="14"/>
      <c r="AN265" s="14"/>
      <c r="AO265" s="14"/>
      <c r="AP265" s="14"/>
      <c r="AQ265" s="14"/>
      <c r="AR265" s="14"/>
      <c r="AS265" s="65"/>
      <c r="AT265" s="63"/>
      <c r="AU265" s="352"/>
      <c r="AV265" s="14"/>
      <c r="AW265" s="19"/>
      <c r="AX265" s="14"/>
      <c r="AY265" s="14"/>
      <c r="AZ265" s="14"/>
      <c r="BA265" s="14"/>
      <c r="BB265" s="14"/>
      <c r="BC265" s="14"/>
      <c r="BD265" s="14"/>
      <c r="BE265" s="14"/>
      <c r="BF265" s="14"/>
      <c r="BG265" s="14"/>
      <c r="BH265" s="65"/>
      <c r="BI265" s="63"/>
      <c r="BJ265" s="352"/>
      <c r="BK265" s="19"/>
      <c r="BL265" s="19"/>
      <c r="BM265" s="14"/>
      <c r="BN265" s="14"/>
      <c r="BO265" s="14"/>
      <c r="BP265" s="14"/>
      <c r="BQ265" s="14"/>
      <c r="BR265" s="14"/>
      <c r="BS265" s="14"/>
      <c r="BT265" s="14"/>
      <c r="BU265" s="14"/>
      <c r="BV265" s="14"/>
      <c r="BW265" s="65"/>
      <c r="BX265" s="63"/>
      <c r="BY265" s="352"/>
      <c r="BZ265" s="14"/>
      <c r="CA265" s="14"/>
      <c r="CB265" s="21"/>
      <c r="CC265" s="21"/>
      <c r="CD265" s="180"/>
      <c r="CE265" s="180"/>
      <c r="CF265" s="21"/>
      <c r="CG265" s="14"/>
      <c r="CH265" s="14"/>
      <c r="CI265" s="14"/>
      <c r="CJ265" s="14"/>
      <c r="CK265" s="14"/>
      <c r="CL265" s="14"/>
      <c r="CM265" s="14"/>
      <c r="CN265" s="14"/>
      <c r="CO265" s="129"/>
      <c r="CP265" s="14"/>
      <c r="CQ265" s="47"/>
      <c r="CR265" s="14"/>
      <c r="CS265" s="14"/>
      <c r="CT265" s="14"/>
      <c r="CU265" s="14"/>
      <c r="CV265" s="180"/>
      <c r="CW265" s="189"/>
      <c r="CX265" s="189"/>
      <c r="CY265" s="14"/>
      <c r="CZ265" s="14"/>
      <c r="DA265" s="14"/>
      <c r="DB265" s="14"/>
      <c r="DC265" s="14"/>
      <c r="DD265" s="14"/>
      <c r="DE265" s="14"/>
      <c r="DF265" s="14"/>
      <c r="DG265" s="129"/>
      <c r="DH265" s="14"/>
      <c r="DI265" s="47"/>
      <c r="DJ265" s="14"/>
      <c r="DK265" s="19"/>
      <c r="DL265" s="40"/>
      <c r="DM265" s="41"/>
      <c r="DN265" s="40"/>
      <c r="DO265" s="40"/>
      <c r="DP265" s="40"/>
      <c r="DQ265" s="41"/>
      <c r="DR265" s="72"/>
      <c r="DS265" s="14"/>
      <c r="DT265" s="14"/>
      <c r="DU265" s="14"/>
      <c r="DV265" s="14"/>
      <c r="DW265" s="14"/>
      <c r="DX265" s="14"/>
      <c r="DY265" s="14"/>
      <c r="DZ265" s="14"/>
      <c r="EA265" s="14"/>
      <c r="EB265" s="14"/>
      <c r="EC265" s="14"/>
      <c r="ED265" s="14"/>
      <c r="EE265" s="14"/>
      <c r="EF265" s="14"/>
      <c r="EG265" s="14"/>
      <c r="EH265" s="14"/>
      <c r="EI265" s="14"/>
      <c r="EJ265" s="14"/>
      <c r="EK265" s="14"/>
      <c r="EL265" s="14"/>
    </row>
    <row r="266" spans="1:142" x14ac:dyDescent="0.25">
      <c r="A266" s="14"/>
      <c r="B266" s="19"/>
      <c r="C266" s="40"/>
      <c r="D266" s="41"/>
      <c r="E266" s="40"/>
      <c r="F266" s="40"/>
      <c r="G266" s="40"/>
      <c r="H266" s="41"/>
      <c r="I266" s="72"/>
      <c r="J266" s="14"/>
      <c r="K266" s="14"/>
      <c r="L266" s="14"/>
      <c r="M266" s="14"/>
      <c r="N266" s="14"/>
      <c r="O266" s="14"/>
      <c r="P266" s="14"/>
      <c r="Q266" s="47"/>
      <c r="R266" s="19"/>
      <c r="S266" s="19"/>
      <c r="T266" s="14"/>
      <c r="U266" s="14"/>
      <c r="V266" s="14"/>
      <c r="W266" s="14"/>
      <c r="X266" s="14"/>
      <c r="Y266" s="14"/>
      <c r="Z266" s="14"/>
      <c r="AA266" s="14"/>
      <c r="AB266" s="14"/>
      <c r="AC266" s="14"/>
      <c r="AD266" s="65"/>
      <c r="AE266" s="63"/>
      <c r="AF266" s="352"/>
      <c r="AG266" s="19"/>
      <c r="AH266" s="19"/>
      <c r="AI266" s="14"/>
      <c r="AJ266" s="14"/>
      <c r="AK266" s="14"/>
      <c r="AL266" s="14"/>
      <c r="AM266" s="14"/>
      <c r="AN266" s="14"/>
      <c r="AO266" s="14"/>
      <c r="AP266" s="14"/>
      <c r="AQ266" s="14"/>
      <c r="AR266" s="14"/>
      <c r="AS266" s="65"/>
      <c r="AT266" s="63"/>
      <c r="AU266" s="352"/>
      <c r="AV266" s="14"/>
      <c r="AW266" s="19"/>
      <c r="AX266" s="14"/>
      <c r="AY266" s="14"/>
      <c r="AZ266" s="14"/>
      <c r="BA266" s="14"/>
      <c r="BB266" s="14"/>
      <c r="BC266" s="14"/>
      <c r="BD266" s="14"/>
      <c r="BE266" s="14"/>
      <c r="BF266" s="14"/>
      <c r="BG266" s="14"/>
      <c r="BH266" s="65"/>
      <c r="BI266" s="63"/>
      <c r="BJ266" s="352"/>
      <c r="BK266" s="19"/>
      <c r="BL266" s="19"/>
      <c r="BM266" s="14"/>
      <c r="BN266" s="14"/>
      <c r="BO266" s="14"/>
      <c r="BP266" s="14"/>
      <c r="BQ266" s="14"/>
      <c r="BR266" s="14"/>
      <c r="BS266" s="14"/>
      <c r="BT266" s="14"/>
      <c r="BU266" s="14"/>
      <c r="BV266" s="14"/>
      <c r="BW266" s="65"/>
      <c r="BX266" s="63"/>
      <c r="BY266" s="352"/>
      <c r="BZ266" s="14"/>
      <c r="CA266" s="14"/>
      <c r="CB266" s="21"/>
      <c r="CC266" s="21"/>
      <c r="CD266" s="180"/>
      <c r="CE266" s="180"/>
      <c r="CF266" s="21"/>
      <c r="CG266" s="14"/>
      <c r="CH266" s="14"/>
      <c r="CI266" s="14"/>
      <c r="CJ266" s="14"/>
      <c r="CK266" s="14"/>
      <c r="CL266" s="14"/>
      <c r="CM266" s="14"/>
      <c r="CN266" s="14"/>
      <c r="CO266" s="129"/>
      <c r="CP266" s="14"/>
      <c r="CQ266" s="47"/>
      <c r="CR266" s="14"/>
      <c r="CS266" s="14"/>
      <c r="CT266" s="14"/>
      <c r="CU266" s="14"/>
      <c r="CV266" s="180"/>
      <c r="CW266" s="189"/>
      <c r="CX266" s="189"/>
      <c r="CY266" s="14"/>
      <c r="CZ266" s="14"/>
      <c r="DA266" s="14"/>
      <c r="DB266" s="14"/>
      <c r="DC266" s="14"/>
      <c r="DD266" s="14"/>
      <c r="DE266" s="14"/>
      <c r="DF266" s="14"/>
      <c r="DG266" s="129"/>
      <c r="DH266" s="14"/>
      <c r="DI266" s="47"/>
      <c r="DJ266" s="14"/>
      <c r="DK266" s="19"/>
      <c r="DL266" s="40"/>
      <c r="DM266" s="41"/>
      <c r="DN266" s="40"/>
      <c r="DO266" s="40"/>
      <c r="DP266" s="40"/>
      <c r="DQ266" s="41"/>
      <c r="DR266" s="72"/>
      <c r="DS266" s="14"/>
      <c r="DT266" s="14"/>
      <c r="DU266" s="14"/>
      <c r="DV266" s="14"/>
      <c r="DW266" s="14"/>
      <c r="DX266" s="14"/>
      <c r="DY266" s="14"/>
      <c r="DZ266" s="14"/>
      <c r="EA266" s="14"/>
      <c r="EB266" s="14"/>
      <c r="EC266" s="14"/>
      <c r="ED266" s="14"/>
      <c r="EE266" s="14"/>
      <c r="EF266" s="14"/>
      <c r="EG266" s="14"/>
      <c r="EH266" s="14"/>
      <c r="EI266" s="14"/>
      <c r="EJ266" s="14"/>
      <c r="EK266" s="14"/>
      <c r="EL266" s="14"/>
    </row>
    <row r="267" spans="1:142" x14ac:dyDescent="0.25">
      <c r="A267" s="14"/>
      <c r="B267" s="19"/>
      <c r="C267" s="40"/>
      <c r="D267" s="41"/>
      <c r="E267" s="40"/>
      <c r="F267" s="40"/>
      <c r="G267" s="40"/>
      <c r="H267" s="41"/>
      <c r="I267" s="72"/>
      <c r="J267" s="14"/>
      <c r="K267" s="14"/>
      <c r="L267" s="14"/>
      <c r="M267" s="14"/>
      <c r="N267" s="14"/>
      <c r="O267" s="14"/>
      <c r="P267" s="14"/>
      <c r="Q267" s="47"/>
      <c r="R267" s="19"/>
      <c r="S267" s="19"/>
      <c r="T267" s="14"/>
      <c r="U267" s="14"/>
      <c r="V267" s="14"/>
      <c r="W267" s="14"/>
      <c r="X267" s="14"/>
      <c r="Y267" s="14"/>
      <c r="Z267" s="14"/>
      <c r="AA267" s="14"/>
      <c r="AB267" s="14"/>
      <c r="AC267" s="14"/>
      <c r="AD267" s="65"/>
      <c r="AE267" s="63"/>
      <c r="AF267" s="352"/>
      <c r="AG267" s="19"/>
      <c r="AH267" s="19"/>
      <c r="AI267" s="14"/>
      <c r="AJ267" s="14"/>
      <c r="AK267" s="14"/>
      <c r="AL267" s="14"/>
      <c r="AM267" s="14"/>
      <c r="AN267" s="14"/>
      <c r="AO267" s="14"/>
      <c r="AP267" s="14"/>
      <c r="AQ267" s="14"/>
      <c r="AR267" s="14"/>
      <c r="AS267" s="65"/>
      <c r="AT267" s="63"/>
      <c r="AU267" s="352"/>
      <c r="AV267" s="14"/>
      <c r="AW267" s="19"/>
      <c r="AX267" s="14"/>
      <c r="AY267" s="14"/>
      <c r="AZ267" s="14"/>
      <c r="BA267" s="14"/>
      <c r="BB267" s="14"/>
      <c r="BC267" s="14"/>
      <c r="BD267" s="14"/>
      <c r="BE267" s="14"/>
      <c r="BF267" s="14"/>
      <c r="BG267" s="14"/>
      <c r="BH267" s="65"/>
      <c r="BI267" s="63"/>
      <c r="BJ267" s="352"/>
      <c r="BK267" s="19"/>
      <c r="BL267" s="19"/>
      <c r="BM267" s="14"/>
      <c r="BN267" s="14"/>
      <c r="BO267" s="14"/>
      <c r="BP267" s="14"/>
      <c r="BQ267" s="14"/>
      <c r="BR267" s="14"/>
      <c r="BS267" s="14"/>
      <c r="BT267" s="14"/>
      <c r="BU267" s="14"/>
      <c r="BV267" s="14"/>
      <c r="BW267" s="65"/>
      <c r="BX267" s="63"/>
      <c r="BY267" s="352"/>
      <c r="BZ267" s="14"/>
      <c r="CA267" s="14"/>
      <c r="CB267" s="21"/>
      <c r="CC267" s="21"/>
      <c r="CD267" s="180"/>
      <c r="CE267" s="180"/>
      <c r="CF267" s="21"/>
      <c r="CG267" s="14"/>
      <c r="CH267" s="14"/>
      <c r="CI267" s="14"/>
      <c r="CJ267" s="14"/>
      <c r="CK267" s="14"/>
      <c r="CL267" s="14"/>
      <c r="CM267" s="14"/>
      <c r="CN267" s="14"/>
      <c r="CO267" s="129"/>
      <c r="CP267" s="14"/>
      <c r="CQ267" s="47"/>
      <c r="CR267" s="14"/>
      <c r="CS267" s="14"/>
      <c r="CT267" s="14"/>
      <c r="CU267" s="14"/>
      <c r="CV267" s="180"/>
      <c r="CW267" s="189"/>
      <c r="CX267" s="189"/>
      <c r="CY267" s="14"/>
      <c r="CZ267" s="14"/>
      <c r="DA267" s="14"/>
      <c r="DB267" s="14"/>
      <c r="DC267" s="14"/>
      <c r="DD267" s="14"/>
      <c r="DE267" s="14"/>
      <c r="DF267" s="14"/>
      <c r="DG267" s="129"/>
      <c r="DH267" s="14"/>
      <c r="DI267" s="47"/>
      <c r="DJ267" s="14"/>
      <c r="DK267" s="19"/>
      <c r="DL267" s="40"/>
      <c r="DM267" s="41"/>
      <c r="DN267" s="40"/>
      <c r="DO267" s="40"/>
      <c r="DP267" s="40"/>
      <c r="DQ267" s="41"/>
      <c r="DR267" s="72"/>
      <c r="DS267" s="14"/>
      <c r="DT267" s="14"/>
      <c r="DU267" s="14"/>
      <c r="DV267" s="14"/>
      <c r="DW267" s="14"/>
      <c r="DX267" s="14"/>
      <c r="DY267" s="14"/>
      <c r="DZ267" s="14"/>
      <c r="EA267" s="14"/>
      <c r="EB267" s="14"/>
      <c r="EC267" s="14"/>
      <c r="ED267" s="14"/>
      <c r="EE267" s="14"/>
      <c r="EF267" s="14"/>
      <c r="EG267" s="14"/>
      <c r="EH267" s="14"/>
      <c r="EI267" s="14"/>
      <c r="EJ267" s="14"/>
      <c r="EK267" s="14"/>
      <c r="EL267" s="14"/>
    </row>
    <row r="268" spans="1:142" x14ac:dyDescent="0.25">
      <c r="A268" s="14"/>
      <c r="B268" s="19"/>
      <c r="C268" s="40"/>
      <c r="D268" s="41"/>
      <c r="E268" s="40"/>
      <c r="F268" s="40"/>
      <c r="G268" s="40"/>
      <c r="H268" s="41"/>
      <c r="I268" s="72"/>
      <c r="J268" s="14"/>
      <c r="K268" s="14"/>
      <c r="L268" s="14"/>
      <c r="M268" s="14"/>
      <c r="N268" s="14"/>
      <c r="O268" s="14"/>
      <c r="P268" s="14"/>
      <c r="Q268" s="47"/>
      <c r="R268" s="19"/>
      <c r="S268" s="19"/>
      <c r="T268" s="14"/>
      <c r="U268" s="14"/>
      <c r="V268" s="14"/>
      <c r="W268" s="14"/>
      <c r="X268" s="14"/>
      <c r="Y268" s="14"/>
      <c r="Z268" s="14"/>
      <c r="AA268" s="14"/>
      <c r="AB268" s="14"/>
      <c r="AC268" s="14"/>
      <c r="AD268" s="65"/>
      <c r="AE268" s="63"/>
      <c r="AF268" s="352"/>
      <c r="AG268" s="19"/>
      <c r="AH268" s="19"/>
      <c r="AI268" s="14"/>
      <c r="AJ268" s="14"/>
      <c r="AK268" s="14"/>
      <c r="AL268" s="14"/>
      <c r="AM268" s="14"/>
      <c r="AN268" s="14"/>
      <c r="AO268" s="14"/>
      <c r="AP268" s="14"/>
      <c r="AQ268" s="14"/>
      <c r="AR268" s="14"/>
      <c r="AS268" s="65"/>
      <c r="AT268" s="63"/>
      <c r="AU268" s="352"/>
      <c r="AV268" s="14"/>
      <c r="AW268" s="19"/>
      <c r="AX268" s="14"/>
      <c r="AY268" s="14"/>
      <c r="AZ268" s="14"/>
      <c r="BA268" s="14"/>
      <c r="BB268" s="14"/>
      <c r="BC268" s="14"/>
      <c r="BD268" s="14"/>
      <c r="BE268" s="14"/>
      <c r="BF268" s="14"/>
      <c r="BG268" s="14"/>
      <c r="BH268" s="65"/>
      <c r="BI268" s="63"/>
      <c r="BJ268" s="352"/>
      <c r="BK268" s="19"/>
      <c r="BL268" s="19"/>
      <c r="BM268" s="14"/>
      <c r="BN268" s="14"/>
      <c r="BO268" s="14"/>
      <c r="BP268" s="14"/>
      <c r="BQ268" s="14"/>
      <c r="BR268" s="14"/>
      <c r="BS268" s="14"/>
      <c r="BT268" s="14"/>
      <c r="BU268" s="14"/>
      <c r="BV268" s="14"/>
      <c r="BW268" s="65"/>
      <c r="BX268" s="63"/>
      <c r="BY268" s="352"/>
      <c r="BZ268" s="14"/>
      <c r="CA268" s="14"/>
      <c r="CB268" s="21"/>
      <c r="CC268" s="21"/>
      <c r="CD268" s="180"/>
      <c r="CE268" s="180"/>
      <c r="CF268" s="21"/>
      <c r="CG268" s="14"/>
      <c r="CH268" s="14"/>
      <c r="CI268" s="14"/>
      <c r="CJ268" s="14"/>
      <c r="CK268" s="14"/>
      <c r="CL268" s="14"/>
      <c r="CM268" s="14"/>
      <c r="CN268" s="14"/>
      <c r="CO268" s="129"/>
      <c r="CP268" s="14"/>
      <c r="CQ268" s="47"/>
      <c r="CR268" s="14"/>
      <c r="CS268" s="14"/>
      <c r="CT268" s="14"/>
      <c r="CU268" s="14"/>
      <c r="CV268" s="180"/>
      <c r="CW268" s="189"/>
      <c r="CX268" s="189"/>
      <c r="CY268" s="14"/>
      <c r="CZ268" s="14"/>
      <c r="DA268" s="14"/>
      <c r="DB268" s="14"/>
      <c r="DC268" s="14"/>
      <c r="DD268" s="14"/>
      <c r="DE268" s="14"/>
      <c r="DF268" s="14"/>
      <c r="DG268" s="129"/>
      <c r="DH268" s="14"/>
      <c r="DI268" s="47"/>
      <c r="DJ268" s="14"/>
      <c r="DK268" s="19"/>
      <c r="DL268" s="40"/>
      <c r="DM268" s="41"/>
      <c r="DN268" s="40"/>
      <c r="DO268" s="40"/>
      <c r="DP268" s="40"/>
      <c r="DQ268" s="41"/>
      <c r="DR268" s="72"/>
      <c r="DS268" s="14"/>
      <c r="DT268" s="14"/>
      <c r="DU268" s="14"/>
      <c r="DV268" s="14"/>
      <c r="DW268" s="14"/>
      <c r="DX268" s="14"/>
      <c r="DY268" s="14"/>
      <c r="DZ268" s="14"/>
      <c r="EA268" s="14"/>
      <c r="EB268" s="14"/>
      <c r="EC268" s="14"/>
      <c r="ED268" s="14"/>
      <c r="EE268" s="14"/>
      <c r="EF268" s="14"/>
      <c r="EG268" s="14"/>
      <c r="EH268" s="14"/>
      <c r="EI268" s="14"/>
      <c r="EJ268" s="14"/>
      <c r="EK268" s="14"/>
      <c r="EL268" s="14"/>
    </row>
    <row r="269" spans="1:142" x14ac:dyDescent="0.25">
      <c r="A269" s="14"/>
      <c r="B269" s="19"/>
      <c r="C269" s="40"/>
      <c r="D269" s="41"/>
      <c r="E269" s="40"/>
      <c r="F269" s="40"/>
      <c r="G269" s="40"/>
      <c r="H269" s="41"/>
      <c r="I269" s="72"/>
      <c r="J269" s="14"/>
      <c r="K269" s="14"/>
      <c r="L269" s="14"/>
      <c r="M269" s="14"/>
      <c r="N269" s="14"/>
      <c r="O269" s="14"/>
      <c r="P269" s="14"/>
      <c r="Q269" s="47"/>
      <c r="R269" s="19"/>
      <c r="S269" s="19"/>
      <c r="T269" s="14"/>
      <c r="U269" s="14"/>
      <c r="V269" s="14"/>
      <c r="W269" s="14"/>
      <c r="X269" s="14"/>
      <c r="Y269" s="14"/>
      <c r="Z269" s="14"/>
      <c r="AA269" s="14"/>
      <c r="AB269" s="14"/>
      <c r="AC269" s="14"/>
      <c r="AD269" s="65"/>
      <c r="AE269" s="63"/>
      <c r="AF269" s="352"/>
      <c r="AG269" s="19"/>
      <c r="AH269" s="19"/>
      <c r="AI269" s="14"/>
      <c r="AJ269" s="14"/>
      <c r="AK269" s="14"/>
      <c r="AL269" s="14"/>
      <c r="AM269" s="14"/>
      <c r="AN269" s="14"/>
      <c r="AO269" s="14"/>
      <c r="AP269" s="14"/>
      <c r="AQ269" s="14"/>
      <c r="AR269" s="14"/>
      <c r="AS269" s="65"/>
      <c r="AT269" s="63"/>
      <c r="AU269" s="352"/>
      <c r="AV269" s="14"/>
      <c r="AW269" s="19"/>
      <c r="AX269" s="14"/>
      <c r="AY269" s="14"/>
      <c r="AZ269" s="14"/>
      <c r="BA269" s="14"/>
      <c r="BB269" s="14"/>
      <c r="BC269" s="14"/>
      <c r="BD269" s="14"/>
      <c r="BE269" s="14"/>
      <c r="BF269" s="14"/>
      <c r="BG269" s="14"/>
      <c r="BH269" s="65"/>
      <c r="BI269" s="63"/>
      <c r="BJ269" s="352"/>
      <c r="BK269" s="19"/>
      <c r="BL269" s="19"/>
      <c r="BM269" s="14"/>
      <c r="BN269" s="14"/>
      <c r="BO269" s="14"/>
      <c r="BP269" s="14"/>
      <c r="BQ269" s="14"/>
      <c r="BR269" s="14"/>
      <c r="BS269" s="14"/>
      <c r="BT269" s="14"/>
      <c r="BU269" s="14"/>
      <c r="BV269" s="14"/>
      <c r="BW269" s="65"/>
      <c r="BX269" s="63"/>
      <c r="BY269" s="352"/>
      <c r="BZ269" s="14"/>
      <c r="CA269" s="14"/>
      <c r="CB269" s="21"/>
      <c r="CC269" s="21"/>
      <c r="CD269" s="180"/>
      <c r="CE269" s="180"/>
      <c r="CF269" s="21"/>
      <c r="CG269" s="14"/>
      <c r="CH269" s="14"/>
      <c r="CI269" s="14"/>
      <c r="CJ269" s="14"/>
      <c r="CK269" s="14"/>
      <c r="CL269" s="14"/>
      <c r="CM269" s="14"/>
      <c r="CN269" s="14"/>
      <c r="CO269" s="129"/>
      <c r="CP269" s="14"/>
      <c r="CQ269" s="47"/>
      <c r="CR269" s="14"/>
      <c r="CS269" s="14"/>
      <c r="CT269" s="14"/>
      <c r="CU269" s="14"/>
      <c r="CV269" s="180"/>
      <c r="CW269" s="189"/>
      <c r="CX269" s="189"/>
      <c r="CY269" s="14"/>
      <c r="CZ269" s="14"/>
      <c r="DA269" s="14"/>
      <c r="DB269" s="14"/>
      <c r="DC269" s="14"/>
      <c r="DD269" s="14"/>
      <c r="DE269" s="14"/>
      <c r="DF269" s="14"/>
      <c r="DG269" s="129"/>
      <c r="DH269" s="14"/>
      <c r="DI269" s="47"/>
      <c r="DJ269" s="14"/>
      <c r="DK269" s="19"/>
      <c r="DL269" s="40"/>
      <c r="DM269" s="41"/>
      <c r="DN269" s="40"/>
      <c r="DO269" s="40"/>
      <c r="DP269" s="40"/>
      <c r="DQ269" s="41"/>
      <c r="DR269" s="72"/>
      <c r="DS269" s="14"/>
      <c r="DT269" s="14"/>
      <c r="DU269" s="14"/>
      <c r="DV269" s="14"/>
      <c r="DW269" s="14"/>
      <c r="DX269" s="14"/>
      <c r="DY269" s="14"/>
      <c r="DZ269" s="14"/>
      <c r="EA269" s="14"/>
      <c r="EB269" s="14"/>
      <c r="EC269" s="14"/>
      <c r="ED269" s="14"/>
      <c r="EE269" s="14"/>
      <c r="EF269" s="14"/>
      <c r="EG269" s="14"/>
      <c r="EH269" s="14"/>
      <c r="EI269" s="14"/>
      <c r="EJ269" s="14"/>
      <c r="EK269" s="14"/>
      <c r="EL269" s="14"/>
    </row>
    <row r="270" spans="1:142" x14ac:dyDescent="0.25">
      <c r="A270" s="14"/>
      <c r="B270" s="19"/>
      <c r="C270" s="40"/>
      <c r="D270" s="41"/>
      <c r="E270" s="40"/>
      <c r="F270" s="40"/>
      <c r="G270" s="40"/>
      <c r="H270" s="41"/>
      <c r="I270" s="72"/>
      <c r="J270" s="14"/>
      <c r="K270" s="14"/>
      <c r="L270" s="14"/>
      <c r="M270" s="14"/>
      <c r="N270" s="14"/>
      <c r="O270" s="14"/>
      <c r="P270" s="14"/>
      <c r="Q270" s="47"/>
      <c r="R270" s="19"/>
      <c r="S270" s="19"/>
      <c r="T270" s="14"/>
      <c r="U270" s="14"/>
      <c r="V270" s="14"/>
      <c r="W270" s="14"/>
      <c r="X270" s="14"/>
      <c r="Y270" s="14"/>
      <c r="Z270" s="14"/>
      <c r="AA270" s="14"/>
      <c r="AB270" s="14"/>
      <c r="AC270" s="14"/>
      <c r="AD270" s="65"/>
      <c r="AE270" s="63"/>
      <c r="AF270" s="352"/>
      <c r="AG270" s="19"/>
      <c r="AH270" s="19"/>
      <c r="AI270" s="14"/>
      <c r="AJ270" s="14"/>
      <c r="AK270" s="14"/>
      <c r="AL270" s="14"/>
      <c r="AM270" s="14"/>
      <c r="AN270" s="14"/>
      <c r="AO270" s="14"/>
      <c r="AP270" s="14"/>
      <c r="AQ270" s="14"/>
      <c r="AR270" s="14"/>
      <c r="AS270" s="65"/>
      <c r="AT270" s="63"/>
      <c r="AU270" s="352"/>
      <c r="AV270" s="14"/>
      <c r="AW270" s="19"/>
      <c r="AX270" s="14"/>
      <c r="AY270" s="14"/>
      <c r="AZ270" s="14"/>
      <c r="BA270" s="14"/>
      <c r="BB270" s="14"/>
      <c r="BC270" s="14"/>
      <c r="BD270" s="14"/>
      <c r="BE270" s="14"/>
      <c r="BF270" s="14"/>
      <c r="BG270" s="14"/>
      <c r="BH270" s="65"/>
      <c r="BI270" s="63"/>
      <c r="BJ270" s="352"/>
      <c r="BK270" s="19"/>
      <c r="BL270" s="19"/>
      <c r="BM270" s="14"/>
      <c r="BN270" s="14"/>
      <c r="BO270" s="14"/>
      <c r="BP270" s="14"/>
      <c r="BQ270" s="14"/>
      <c r="BR270" s="14"/>
      <c r="BS270" s="14"/>
      <c r="BT270" s="14"/>
      <c r="BU270" s="14"/>
      <c r="BV270" s="14"/>
      <c r="BW270" s="65"/>
      <c r="BX270" s="63"/>
      <c r="BY270" s="352"/>
      <c r="BZ270" s="14"/>
      <c r="CA270" s="14"/>
      <c r="CB270" s="21"/>
      <c r="CC270" s="21"/>
      <c r="CD270" s="180"/>
      <c r="CE270" s="180"/>
      <c r="CF270" s="21"/>
      <c r="CG270" s="14"/>
      <c r="CH270" s="14"/>
      <c r="CI270" s="14"/>
      <c r="CJ270" s="14"/>
      <c r="CK270" s="14"/>
      <c r="CL270" s="14"/>
      <c r="CM270" s="14"/>
      <c r="CN270" s="14"/>
      <c r="CO270" s="129"/>
      <c r="CP270" s="14"/>
      <c r="CQ270" s="47"/>
      <c r="CR270" s="14"/>
      <c r="CS270" s="14"/>
      <c r="CT270" s="14"/>
      <c r="CU270" s="14"/>
      <c r="CV270" s="180"/>
      <c r="CW270" s="189"/>
      <c r="CX270" s="189"/>
      <c r="CY270" s="14"/>
      <c r="CZ270" s="14"/>
      <c r="DA270" s="14"/>
      <c r="DB270" s="14"/>
      <c r="DC270" s="14"/>
      <c r="DD270" s="14"/>
      <c r="DE270" s="14"/>
      <c r="DF270" s="14"/>
      <c r="DG270" s="129"/>
      <c r="DH270" s="14"/>
      <c r="DI270" s="47"/>
      <c r="DJ270" s="14"/>
      <c r="DK270" s="19"/>
      <c r="DL270" s="40"/>
      <c r="DM270" s="41"/>
      <c r="DN270" s="40"/>
      <c r="DO270" s="40"/>
      <c r="DP270" s="40"/>
      <c r="DQ270" s="41"/>
      <c r="DR270" s="72"/>
      <c r="DS270" s="14"/>
      <c r="DT270" s="14"/>
      <c r="DU270" s="14"/>
      <c r="DV270" s="14"/>
      <c r="DW270" s="14"/>
      <c r="DX270" s="14"/>
      <c r="DY270" s="14"/>
      <c r="DZ270" s="14"/>
      <c r="EA270" s="14"/>
      <c r="EB270" s="14"/>
      <c r="EC270" s="14"/>
      <c r="ED270" s="14"/>
      <c r="EE270" s="14"/>
      <c r="EF270" s="14"/>
      <c r="EG270" s="14"/>
      <c r="EH270" s="14"/>
      <c r="EI270" s="14"/>
      <c r="EJ270" s="14"/>
      <c r="EK270" s="14"/>
      <c r="EL270" s="14"/>
    </row>
    <row r="271" spans="1:142" x14ac:dyDescent="0.25">
      <c r="A271" s="14"/>
      <c r="B271" s="19"/>
      <c r="C271" s="40"/>
      <c r="D271" s="41"/>
      <c r="E271" s="40"/>
      <c r="F271" s="40"/>
      <c r="G271" s="40"/>
      <c r="H271" s="41"/>
      <c r="I271" s="72"/>
      <c r="J271" s="14"/>
      <c r="K271" s="14"/>
      <c r="L271" s="14"/>
      <c r="M271" s="14"/>
      <c r="N271" s="14"/>
      <c r="O271" s="14"/>
      <c r="P271" s="14"/>
      <c r="Q271" s="47"/>
      <c r="R271" s="19"/>
      <c r="S271" s="19"/>
      <c r="T271" s="14"/>
      <c r="U271" s="14"/>
      <c r="V271" s="14"/>
      <c r="W271" s="14"/>
      <c r="X271" s="14"/>
      <c r="Y271" s="14"/>
      <c r="Z271" s="14"/>
      <c r="AA271" s="14"/>
      <c r="AB271" s="14"/>
      <c r="AC271" s="14"/>
      <c r="AD271" s="65"/>
      <c r="AE271" s="63"/>
      <c r="AF271" s="352"/>
      <c r="AG271" s="19"/>
      <c r="AH271" s="19"/>
      <c r="AI271" s="14"/>
      <c r="AJ271" s="14"/>
      <c r="AK271" s="14"/>
      <c r="AL271" s="14"/>
      <c r="AM271" s="14"/>
      <c r="AN271" s="14"/>
      <c r="AO271" s="14"/>
      <c r="AP271" s="14"/>
      <c r="AQ271" s="14"/>
      <c r="AR271" s="14"/>
      <c r="AS271" s="65"/>
      <c r="AT271" s="63"/>
      <c r="AU271" s="352"/>
      <c r="AV271" s="14"/>
      <c r="AW271" s="19"/>
      <c r="AX271" s="14"/>
      <c r="AY271" s="14"/>
      <c r="AZ271" s="14"/>
      <c r="BA271" s="14"/>
      <c r="BB271" s="14"/>
      <c r="BC271" s="14"/>
      <c r="BD271" s="14"/>
      <c r="BE271" s="14"/>
      <c r="BF271" s="14"/>
      <c r="BG271" s="14"/>
      <c r="BH271" s="65"/>
      <c r="BI271" s="63"/>
      <c r="BJ271" s="352"/>
      <c r="BK271" s="19"/>
      <c r="BL271" s="19"/>
      <c r="BM271" s="14"/>
      <c r="BN271" s="14"/>
      <c r="BO271" s="14"/>
      <c r="BP271" s="14"/>
      <c r="BQ271" s="14"/>
      <c r="BR271" s="14"/>
      <c r="BS271" s="14"/>
      <c r="BT271" s="14"/>
      <c r="BU271" s="14"/>
      <c r="BV271" s="14"/>
      <c r="BW271" s="65"/>
      <c r="BX271" s="63"/>
      <c r="BY271" s="352"/>
      <c r="BZ271" s="14"/>
      <c r="CA271" s="14"/>
      <c r="CB271" s="21"/>
      <c r="CC271" s="21"/>
      <c r="CD271" s="180"/>
      <c r="CE271" s="180"/>
      <c r="CF271" s="21"/>
      <c r="CG271" s="14"/>
      <c r="CH271" s="14"/>
      <c r="CI271" s="14"/>
      <c r="CJ271" s="14"/>
      <c r="CK271" s="14"/>
      <c r="CL271" s="14"/>
      <c r="CM271" s="14"/>
      <c r="CN271" s="14"/>
      <c r="CO271" s="129"/>
      <c r="CP271" s="14"/>
      <c r="CQ271" s="47"/>
      <c r="CR271" s="14"/>
      <c r="CS271" s="14"/>
      <c r="CT271" s="14"/>
      <c r="CU271" s="14"/>
      <c r="CV271" s="180"/>
      <c r="CW271" s="189"/>
      <c r="CX271" s="189"/>
      <c r="CY271" s="14"/>
      <c r="CZ271" s="14"/>
      <c r="DA271" s="14"/>
      <c r="DB271" s="14"/>
      <c r="DC271" s="14"/>
      <c r="DD271" s="14"/>
      <c r="DE271" s="14"/>
      <c r="DF271" s="14"/>
      <c r="DG271" s="129"/>
      <c r="DH271" s="14"/>
      <c r="DI271" s="47"/>
      <c r="DJ271" s="14"/>
      <c r="DK271" s="19"/>
      <c r="DL271" s="40"/>
      <c r="DM271" s="41"/>
      <c r="DN271" s="40"/>
      <c r="DO271" s="40"/>
      <c r="DP271" s="40"/>
      <c r="DQ271" s="41"/>
      <c r="DR271" s="72"/>
      <c r="DS271" s="14"/>
      <c r="DT271" s="14"/>
      <c r="DU271" s="14"/>
      <c r="DV271" s="14"/>
      <c r="DW271" s="14"/>
      <c r="DX271" s="14"/>
      <c r="DY271" s="14"/>
      <c r="DZ271" s="14"/>
      <c r="EA271" s="14"/>
      <c r="EB271" s="14"/>
      <c r="EC271" s="14"/>
      <c r="ED271" s="14"/>
      <c r="EE271" s="14"/>
      <c r="EF271" s="14"/>
      <c r="EG271" s="14"/>
      <c r="EH271" s="14"/>
      <c r="EI271" s="14"/>
      <c r="EJ271" s="14"/>
      <c r="EK271" s="14"/>
      <c r="EL271" s="14"/>
    </row>
    <row r="272" spans="1:142" x14ac:dyDescent="0.25">
      <c r="A272" s="14"/>
      <c r="B272" s="19"/>
      <c r="C272" s="40"/>
      <c r="D272" s="41"/>
      <c r="E272" s="40"/>
      <c r="F272" s="40"/>
      <c r="G272" s="40"/>
      <c r="H272" s="41"/>
      <c r="I272" s="72"/>
      <c r="J272" s="14"/>
      <c r="K272" s="14"/>
      <c r="L272" s="14"/>
      <c r="M272" s="14"/>
      <c r="N272" s="14"/>
      <c r="O272" s="14"/>
      <c r="P272" s="14"/>
      <c r="Q272" s="47"/>
      <c r="R272" s="19"/>
      <c r="S272" s="19"/>
      <c r="T272" s="14"/>
      <c r="U272" s="14"/>
      <c r="V272" s="14"/>
      <c r="W272" s="14"/>
      <c r="X272" s="14"/>
      <c r="Y272" s="14"/>
      <c r="Z272" s="14"/>
      <c r="AA272" s="14"/>
      <c r="AB272" s="14"/>
      <c r="AC272" s="14"/>
      <c r="AD272" s="65"/>
      <c r="AE272" s="63"/>
      <c r="AF272" s="352"/>
      <c r="AG272" s="19"/>
      <c r="AH272" s="19"/>
      <c r="AI272" s="14"/>
      <c r="AJ272" s="14"/>
      <c r="AK272" s="14"/>
      <c r="AL272" s="14"/>
      <c r="AM272" s="14"/>
      <c r="AN272" s="14"/>
      <c r="AO272" s="14"/>
      <c r="AP272" s="14"/>
      <c r="AQ272" s="14"/>
      <c r="AR272" s="14"/>
      <c r="AS272" s="65"/>
      <c r="AT272" s="63"/>
      <c r="AU272" s="352"/>
      <c r="AV272" s="14"/>
      <c r="AW272" s="19"/>
      <c r="AX272" s="14"/>
      <c r="AY272" s="14"/>
      <c r="AZ272" s="14"/>
      <c r="BA272" s="14"/>
      <c r="BB272" s="14"/>
      <c r="BC272" s="14"/>
      <c r="BD272" s="14"/>
      <c r="BE272" s="14"/>
      <c r="BF272" s="14"/>
      <c r="BG272" s="14"/>
      <c r="BH272" s="65"/>
      <c r="BI272" s="63"/>
      <c r="BJ272" s="352"/>
      <c r="BK272" s="19"/>
      <c r="BL272" s="19"/>
      <c r="BM272" s="14"/>
      <c r="BN272" s="14"/>
      <c r="BO272" s="14"/>
      <c r="BP272" s="14"/>
      <c r="BQ272" s="14"/>
      <c r="BR272" s="14"/>
      <c r="BS272" s="14"/>
      <c r="BT272" s="14"/>
      <c r="BU272" s="14"/>
      <c r="BV272" s="14"/>
      <c r="BW272" s="65"/>
      <c r="BX272" s="63"/>
      <c r="BY272" s="352"/>
      <c r="BZ272" s="14"/>
      <c r="CA272" s="14"/>
      <c r="CB272" s="21"/>
      <c r="CC272" s="21"/>
      <c r="CD272" s="180"/>
      <c r="CE272" s="180"/>
      <c r="CF272" s="21"/>
      <c r="CG272" s="14"/>
      <c r="CH272" s="14"/>
      <c r="CI272" s="14"/>
      <c r="CJ272" s="14"/>
      <c r="CK272" s="14"/>
      <c r="CL272" s="14"/>
      <c r="CM272" s="14"/>
      <c r="CN272" s="14"/>
      <c r="CO272" s="129"/>
      <c r="CP272" s="14"/>
      <c r="CQ272" s="47"/>
      <c r="CR272" s="14"/>
      <c r="CS272" s="14"/>
      <c r="CT272" s="14"/>
      <c r="CU272" s="14"/>
      <c r="CV272" s="180"/>
      <c r="CW272" s="189"/>
      <c r="CX272" s="189"/>
      <c r="CY272" s="14"/>
      <c r="CZ272" s="14"/>
      <c r="DA272" s="14"/>
      <c r="DB272" s="14"/>
      <c r="DC272" s="14"/>
      <c r="DD272" s="14"/>
      <c r="DE272" s="14"/>
      <c r="DF272" s="14"/>
      <c r="DG272" s="129"/>
      <c r="DH272" s="14"/>
      <c r="DI272" s="47"/>
      <c r="DJ272" s="14"/>
      <c r="DK272" s="19"/>
      <c r="DL272" s="40"/>
      <c r="DM272" s="41"/>
      <c r="DN272" s="40"/>
      <c r="DO272" s="40"/>
      <c r="DP272" s="40"/>
      <c r="DQ272" s="41"/>
      <c r="DR272" s="72"/>
      <c r="DS272" s="14"/>
      <c r="DT272" s="14"/>
      <c r="DU272" s="14"/>
      <c r="DV272" s="14"/>
      <c r="DW272" s="14"/>
      <c r="DX272" s="14"/>
      <c r="DY272" s="14"/>
      <c r="DZ272" s="14"/>
      <c r="EA272" s="14"/>
      <c r="EB272" s="14"/>
      <c r="EC272" s="14"/>
      <c r="ED272" s="14"/>
      <c r="EE272" s="14"/>
      <c r="EF272" s="14"/>
      <c r="EG272" s="14"/>
      <c r="EH272" s="14"/>
      <c r="EI272" s="14"/>
      <c r="EJ272" s="14"/>
      <c r="EK272" s="14"/>
      <c r="EL272" s="14"/>
    </row>
    <row r="273" spans="1:142" x14ac:dyDescent="0.25">
      <c r="A273" s="14"/>
      <c r="B273" s="19"/>
      <c r="C273" s="40"/>
      <c r="D273" s="41"/>
      <c r="E273" s="40"/>
      <c r="F273" s="40"/>
      <c r="G273" s="40"/>
      <c r="H273" s="41"/>
      <c r="I273" s="72"/>
      <c r="J273" s="14"/>
      <c r="K273" s="14"/>
      <c r="L273" s="14"/>
      <c r="M273" s="14"/>
      <c r="N273" s="14"/>
      <c r="O273" s="14"/>
      <c r="P273" s="14"/>
      <c r="Q273" s="47"/>
      <c r="R273" s="19"/>
      <c r="S273" s="19"/>
      <c r="T273" s="14"/>
      <c r="U273" s="14"/>
      <c r="V273" s="14"/>
      <c r="W273" s="14"/>
      <c r="X273" s="14"/>
      <c r="Y273" s="14"/>
      <c r="Z273" s="14"/>
      <c r="AA273" s="14"/>
      <c r="AB273" s="14"/>
      <c r="AC273" s="14"/>
      <c r="AD273" s="65"/>
      <c r="AE273" s="63"/>
      <c r="AF273" s="352"/>
      <c r="AG273" s="19"/>
      <c r="AH273" s="19"/>
      <c r="AI273" s="14"/>
      <c r="AJ273" s="14"/>
      <c r="AK273" s="14"/>
      <c r="AL273" s="14"/>
      <c r="AM273" s="14"/>
      <c r="AN273" s="14"/>
      <c r="AO273" s="14"/>
      <c r="AP273" s="14"/>
      <c r="AQ273" s="14"/>
      <c r="AR273" s="14"/>
      <c r="AS273" s="65"/>
      <c r="AT273" s="63"/>
      <c r="AU273" s="352"/>
      <c r="AV273" s="14"/>
      <c r="AW273" s="19"/>
      <c r="AX273" s="14"/>
      <c r="AY273" s="14"/>
      <c r="AZ273" s="14"/>
      <c r="BA273" s="14"/>
      <c r="BB273" s="14"/>
      <c r="BC273" s="14"/>
      <c r="BD273" s="14"/>
      <c r="BE273" s="14"/>
      <c r="BF273" s="14"/>
      <c r="BG273" s="14"/>
      <c r="BH273" s="65"/>
      <c r="BI273" s="63"/>
      <c r="BJ273" s="352"/>
      <c r="BK273" s="19"/>
      <c r="BL273" s="19"/>
      <c r="BM273" s="14"/>
      <c r="BN273" s="14"/>
      <c r="BO273" s="14"/>
      <c r="BP273" s="14"/>
      <c r="BQ273" s="14"/>
      <c r="BR273" s="14"/>
      <c r="BS273" s="14"/>
      <c r="BT273" s="14"/>
      <c r="BU273" s="14"/>
      <c r="BV273" s="14"/>
      <c r="BW273" s="65"/>
      <c r="BX273" s="63"/>
      <c r="BY273" s="352"/>
      <c r="BZ273" s="14"/>
      <c r="CA273" s="14"/>
      <c r="CB273" s="21"/>
      <c r="CC273" s="21"/>
      <c r="CD273" s="180"/>
      <c r="CE273" s="180"/>
      <c r="CF273" s="21"/>
      <c r="CG273" s="14"/>
      <c r="CH273" s="14"/>
      <c r="CI273" s="14"/>
      <c r="CJ273" s="14"/>
      <c r="CK273" s="14"/>
      <c r="CL273" s="14"/>
      <c r="CM273" s="14"/>
      <c r="CN273" s="14"/>
      <c r="CO273" s="129"/>
      <c r="CP273" s="14"/>
      <c r="CQ273" s="47"/>
      <c r="CR273" s="14"/>
      <c r="CS273" s="14"/>
      <c r="CT273" s="14"/>
      <c r="CU273" s="14"/>
      <c r="CV273" s="180"/>
      <c r="CW273" s="189"/>
      <c r="CX273" s="189"/>
      <c r="CY273" s="14"/>
      <c r="CZ273" s="14"/>
      <c r="DA273" s="14"/>
      <c r="DB273" s="14"/>
      <c r="DC273" s="14"/>
      <c r="DD273" s="14"/>
      <c r="DE273" s="14"/>
      <c r="DF273" s="14"/>
      <c r="DG273" s="129"/>
      <c r="DH273" s="14"/>
      <c r="DI273" s="47"/>
      <c r="DJ273" s="14"/>
      <c r="DK273" s="19"/>
      <c r="DL273" s="40"/>
      <c r="DM273" s="41"/>
      <c r="DN273" s="40"/>
      <c r="DO273" s="40"/>
      <c r="DP273" s="40"/>
      <c r="DQ273" s="41"/>
      <c r="DR273" s="72"/>
      <c r="DS273" s="14"/>
      <c r="DT273" s="14"/>
      <c r="DU273" s="14"/>
      <c r="DV273" s="14"/>
      <c r="DW273" s="14"/>
      <c r="DX273" s="14"/>
      <c r="DY273" s="14"/>
      <c r="DZ273" s="14"/>
      <c r="EA273" s="14"/>
      <c r="EB273" s="14"/>
      <c r="EC273" s="14"/>
      <c r="ED273" s="14"/>
      <c r="EE273" s="14"/>
      <c r="EF273" s="14"/>
      <c r="EG273" s="14"/>
      <c r="EH273" s="14"/>
      <c r="EI273" s="14"/>
      <c r="EJ273" s="14"/>
      <c r="EK273" s="14"/>
      <c r="EL273" s="14"/>
    </row>
    <row r="274" spans="1:142" x14ac:dyDescent="0.25">
      <c r="A274" s="14"/>
      <c r="B274" s="19"/>
      <c r="C274" s="40"/>
      <c r="D274" s="41"/>
      <c r="E274" s="40"/>
      <c r="F274" s="40"/>
      <c r="G274" s="40"/>
      <c r="H274" s="41"/>
      <c r="I274" s="72"/>
      <c r="J274" s="14"/>
      <c r="K274" s="14"/>
      <c r="L274" s="14"/>
      <c r="M274" s="14"/>
      <c r="N274" s="14"/>
      <c r="O274" s="14"/>
      <c r="P274" s="14"/>
      <c r="Q274" s="47"/>
      <c r="R274" s="19"/>
      <c r="S274" s="19"/>
      <c r="T274" s="14"/>
      <c r="U274" s="14"/>
      <c r="V274" s="14"/>
      <c r="W274" s="14"/>
      <c r="X274" s="14"/>
      <c r="Y274" s="14"/>
      <c r="Z274" s="14"/>
      <c r="AA274" s="14"/>
      <c r="AB274" s="14"/>
      <c r="AC274" s="14"/>
      <c r="AD274" s="65"/>
      <c r="AE274" s="63"/>
      <c r="AF274" s="352"/>
      <c r="AG274" s="19"/>
      <c r="AH274" s="19"/>
      <c r="AI274" s="14"/>
      <c r="AJ274" s="14"/>
      <c r="AK274" s="14"/>
      <c r="AL274" s="14"/>
      <c r="AM274" s="14"/>
      <c r="AN274" s="14"/>
      <c r="AO274" s="14"/>
      <c r="AP274" s="14"/>
      <c r="AQ274" s="14"/>
      <c r="AR274" s="14"/>
      <c r="AS274" s="65"/>
      <c r="AT274" s="63"/>
      <c r="AU274" s="352"/>
      <c r="AV274" s="14"/>
      <c r="AW274" s="19"/>
      <c r="AX274" s="14"/>
      <c r="AY274" s="14"/>
      <c r="AZ274" s="14"/>
      <c r="BA274" s="14"/>
      <c r="BB274" s="14"/>
      <c r="BC274" s="14"/>
      <c r="BD274" s="14"/>
      <c r="BE274" s="14"/>
      <c r="BF274" s="14"/>
      <c r="BG274" s="14"/>
      <c r="BH274" s="65"/>
      <c r="BI274" s="63"/>
      <c r="BJ274" s="352"/>
      <c r="BK274" s="19"/>
      <c r="BL274" s="19"/>
      <c r="BM274" s="14"/>
      <c r="BN274" s="14"/>
      <c r="BO274" s="14"/>
      <c r="BP274" s="14"/>
      <c r="BQ274" s="14"/>
      <c r="BR274" s="14"/>
      <c r="BS274" s="14"/>
      <c r="BT274" s="14"/>
      <c r="BU274" s="14"/>
      <c r="BV274" s="14"/>
      <c r="BW274" s="65"/>
      <c r="BX274" s="63"/>
      <c r="BY274" s="352"/>
      <c r="BZ274" s="14"/>
      <c r="CA274" s="14"/>
      <c r="CB274" s="21"/>
      <c r="CC274" s="21"/>
      <c r="CD274" s="180"/>
      <c r="CE274" s="180"/>
      <c r="CF274" s="21"/>
      <c r="CG274" s="14"/>
      <c r="CH274" s="14"/>
      <c r="CI274" s="14"/>
      <c r="CJ274" s="14"/>
      <c r="CK274" s="14"/>
      <c r="CL274" s="14"/>
      <c r="CM274" s="14"/>
      <c r="CN274" s="14"/>
      <c r="CO274" s="129"/>
      <c r="CP274" s="14"/>
      <c r="CQ274" s="47"/>
      <c r="CR274" s="14"/>
      <c r="CS274" s="14"/>
      <c r="CT274" s="14"/>
      <c r="CU274" s="14"/>
      <c r="CV274" s="180"/>
      <c r="CW274" s="189"/>
      <c r="CX274" s="189"/>
      <c r="CY274" s="14"/>
      <c r="CZ274" s="14"/>
      <c r="DA274" s="14"/>
      <c r="DB274" s="14"/>
      <c r="DC274" s="14"/>
      <c r="DD274" s="14"/>
      <c r="DE274" s="14"/>
      <c r="DF274" s="14"/>
      <c r="DG274" s="129"/>
      <c r="DH274" s="14"/>
      <c r="DI274" s="47"/>
      <c r="DJ274" s="14"/>
      <c r="DK274" s="19"/>
      <c r="DL274" s="40"/>
      <c r="DM274" s="41"/>
      <c r="DN274" s="40"/>
      <c r="DO274" s="40"/>
      <c r="DP274" s="40"/>
      <c r="DQ274" s="41"/>
      <c r="DR274" s="72"/>
      <c r="DS274" s="14"/>
      <c r="DT274" s="14"/>
      <c r="DU274" s="14"/>
      <c r="DV274" s="14"/>
      <c r="DW274" s="14"/>
      <c r="DX274" s="14"/>
      <c r="DY274" s="14"/>
      <c r="DZ274" s="14"/>
      <c r="EA274" s="14"/>
      <c r="EB274" s="14"/>
      <c r="EC274" s="14"/>
      <c r="ED274" s="14"/>
      <c r="EE274" s="14"/>
      <c r="EF274" s="14"/>
      <c r="EG274" s="14"/>
      <c r="EH274" s="14"/>
      <c r="EI274" s="14"/>
      <c r="EJ274" s="14"/>
      <c r="EK274" s="14"/>
      <c r="EL274" s="14"/>
    </row>
    <row r="275" spans="1:142" x14ac:dyDescent="0.25">
      <c r="A275" s="14"/>
      <c r="B275" s="19"/>
      <c r="C275" s="40"/>
      <c r="D275" s="41"/>
      <c r="E275" s="40"/>
      <c r="F275" s="40"/>
      <c r="G275" s="40"/>
      <c r="H275" s="41"/>
      <c r="I275" s="72"/>
      <c r="J275" s="14"/>
      <c r="K275" s="14"/>
      <c r="L275" s="14"/>
      <c r="M275" s="14"/>
      <c r="N275" s="14"/>
      <c r="O275" s="14"/>
      <c r="P275" s="14"/>
      <c r="Q275" s="47"/>
      <c r="R275" s="19"/>
      <c r="S275" s="19"/>
      <c r="T275" s="14"/>
      <c r="U275" s="14"/>
      <c r="V275" s="14"/>
      <c r="W275" s="14"/>
      <c r="X275" s="14"/>
      <c r="Y275" s="14"/>
      <c r="Z275" s="14"/>
      <c r="AA275" s="14"/>
      <c r="AB275" s="14"/>
      <c r="AC275" s="14"/>
      <c r="AD275" s="65"/>
      <c r="AE275" s="63"/>
      <c r="AF275" s="352"/>
      <c r="AG275" s="19"/>
      <c r="AH275" s="19"/>
      <c r="AI275" s="14"/>
      <c r="AJ275" s="14"/>
      <c r="AK275" s="14"/>
      <c r="AL275" s="14"/>
      <c r="AM275" s="14"/>
      <c r="AN275" s="14"/>
      <c r="AO275" s="14"/>
      <c r="AP275" s="14"/>
      <c r="AQ275" s="14"/>
      <c r="AR275" s="14"/>
      <c r="AS275" s="65"/>
      <c r="AT275" s="63"/>
      <c r="AU275" s="352"/>
      <c r="AV275" s="14"/>
      <c r="AW275" s="19"/>
      <c r="AX275" s="14"/>
      <c r="AY275" s="14"/>
      <c r="AZ275" s="14"/>
      <c r="BA275" s="14"/>
      <c r="BB275" s="14"/>
      <c r="BC275" s="14"/>
      <c r="BD275" s="14"/>
      <c r="BE275" s="14"/>
      <c r="BF275" s="14"/>
      <c r="BG275" s="14"/>
      <c r="BH275" s="65"/>
      <c r="BI275" s="63"/>
      <c r="BJ275" s="352"/>
      <c r="BK275" s="19"/>
      <c r="BL275" s="19"/>
      <c r="BM275" s="14"/>
      <c r="BN275" s="14"/>
      <c r="BO275" s="14"/>
      <c r="BP275" s="14"/>
      <c r="BQ275" s="14"/>
      <c r="BR275" s="14"/>
      <c r="BS275" s="14"/>
      <c r="BT275" s="14"/>
      <c r="BU275" s="14"/>
      <c r="BV275" s="14"/>
      <c r="BW275" s="65"/>
      <c r="BX275" s="63"/>
      <c r="BY275" s="352"/>
      <c r="BZ275" s="14"/>
      <c r="CA275" s="14"/>
      <c r="CB275" s="21"/>
      <c r="CC275" s="21"/>
      <c r="CD275" s="180"/>
      <c r="CE275" s="180"/>
      <c r="CF275" s="21"/>
      <c r="CG275" s="14"/>
      <c r="CH275" s="14"/>
      <c r="CI275" s="14"/>
      <c r="CJ275" s="14"/>
      <c r="CK275" s="14"/>
      <c r="CL275" s="14"/>
      <c r="CM275" s="14"/>
      <c r="CN275" s="14"/>
      <c r="CO275" s="129"/>
      <c r="CP275" s="14"/>
      <c r="CQ275" s="47"/>
      <c r="CR275" s="14"/>
      <c r="CS275" s="14"/>
      <c r="CT275" s="14"/>
      <c r="CU275" s="14"/>
      <c r="CV275" s="180"/>
      <c r="CW275" s="189"/>
      <c r="CX275" s="189"/>
      <c r="CY275" s="14"/>
      <c r="CZ275" s="14"/>
      <c r="DA275" s="14"/>
      <c r="DB275" s="14"/>
      <c r="DC275" s="14"/>
      <c r="DD275" s="14"/>
      <c r="DE275" s="14"/>
      <c r="DF275" s="14"/>
      <c r="DG275" s="129"/>
      <c r="DH275" s="14"/>
      <c r="DI275" s="47"/>
      <c r="DJ275" s="14"/>
      <c r="DK275" s="19"/>
      <c r="DL275" s="40"/>
      <c r="DM275" s="41"/>
      <c r="DN275" s="40"/>
      <c r="DO275" s="40"/>
      <c r="DP275" s="40"/>
      <c r="DQ275" s="41"/>
      <c r="DR275" s="72"/>
      <c r="DS275" s="14"/>
      <c r="DT275" s="14"/>
      <c r="DU275" s="14"/>
      <c r="DV275" s="14"/>
      <c r="DW275" s="14"/>
      <c r="DX275" s="14"/>
      <c r="DY275" s="14"/>
      <c r="DZ275" s="14"/>
      <c r="EA275" s="14"/>
      <c r="EB275" s="14"/>
      <c r="EC275" s="14"/>
      <c r="ED275" s="14"/>
      <c r="EE275" s="14"/>
      <c r="EF275" s="14"/>
      <c r="EG275" s="14"/>
      <c r="EH275" s="14"/>
      <c r="EI275" s="14"/>
      <c r="EJ275" s="14"/>
      <c r="EK275" s="14"/>
      <c r="EL275" s="14"/>
    </row>
    <row r="276" spans="1:142" x14ac:dyDescent="0.25">
      <c r="A276" s="14"/>
      <c r="B276" s="14"/>
      <c r="C276" s="14"/>
      <c r="D276" s="21"/>
      <c r="E276" s="14"/>
      <c r="F276" s="14"/>
      <c r="G276" s="14"/>
      <c r="H276" s="21"/>
      <c r="I276" s="21"/>
      <c r="J276" s="14"/>
      <c r="K276" s="14"/>
      <c r="L276" s="14"/>
      <c r="M276" s="14"/>
      <c r="N276" s="14"/>
      <c r="O276" s="14"/>
      <c r="P276" s="14"/>
      <c r="Q276" s="47"/>
      <c r="R276" s="19"/>
      <c r="S276" s="19"/>
      <c r="T276" s="19"/>
      <c r="U276" s="14"/>
      <c r="V276" s="14"/>
      <c r="W276" s="14"/>
      <c r="X276" s="14"/>
      <c r="Y276" s="14"/>
      <c r="Z276" s="14"/>
      <c r="AA276" s="14"/>
      <c r="AB276" s="14"/>
      <c r="AC276" s="14"/>
      <c r="AD276" s="65"/>
      <c r="AE276" s="63"/>
      <c r="AF276" s="352"/>
      <c r="AG276" s="19"/>
      <c r="AH276" s="19"/>
      <c r="AI276" s="19"/>
      <c r="AJ276" s="14"/>
      <c r="AK276" s="14"/>
      <c r="AL276" s="14"/>
      <c r="AM276" s="14"/>
      <c r="AN276" s="14"/>
      <c r="AO276" s="14"/>
      <c r="AP276" s="14"/>
      <c r="AQ276" s="14"/>
      <c r="AR276" s="14"/>
      <c r="AS276" s="65"/>
      <c r="AT276" s="63"/>
      <c r="AU276" s="352"/>
      <c r="AV276" s="14"/>
      <c r="AW276" s="19"/>
      <c r="AX276" s="19"/>
      <c r="AY276" s="14"/>
      <c r="AZ276" s="14"/>
      <c r="BA276" s="14"/>
      <c r="BB276" s="14"/>
      <c r="BC276" s="14"/>
      <c r="BD276" s="14"/>
      <c r="BE276" s="14"/>
      <c r="BF276" s="14"/>
      <c r="BG276" s="14"/>
      <c r="BH276" s="65"/>
      <c r="BI276" s="63"/>
      <c r="BJ276" s="352"/>
      <c r="BK276" s="19"/>
      <c r="BL276" s="42"/>
      <c r="BM276" s="19"/>
      <c r="BN276" s="14"/>
      <c r="BO276" s="14"/>
      <c r="BP276" s="14"/>
      <c r="BQ276" s="14"/>
      <c r="BR276" s="14"/>
      <c r="BS276" s="14"/>
      <c r="BT276" s="14"/>
      <c r="BU276" s="14"/>
      <c r="BV276" s="14"/>
      <c r="BW276" s="65"/>
      <c r="BX276" s="63"/>
      <c r="BY276" s="352"/>
      <c r="BZ276" s="14"/>
      <c r="CA276" s="14"/>
      <c r="CB276" s="21"/>
      <c r="CC276" s="21"/>
      <c r="CD276" s="180"/>
      <c r="CE276" s="180"/>
      <c r="CF276" s="21"/>
      <c r="CG276" s="14"/>
      <c r="CH276" s="14"/>
      <c r="CI276" s="14"/>
      <c r="CJ276" s="14"/>
      <c r="CK276" s="14"/>
      <c r="CL276" s="14"/>
      <c r="CM276" s="14"/>
      <c r="CN276" s="14"/>
      <c r="CO276" s="129"/>
      <c r="CP276" s="14"/>
      <c r="CQ276" s="47"/>
      <c r="CR276" s="14"/>
      <c r="CS276" s="14"/>
      <c r="CT276" s="14"/>
      <c r="CU276" s="14"/>
      <c r="CV276" s="180"/>
      <c r="CW276" s="189"/>
      <c r="CX276" s="189"/>
      <c r="CY276" s="14"/>
      <c r="CZ276" s="14"/>
      <c r="DA276" s="14"/>
      <c r="DB276" s="14"/>
      <c r="DC276" s="14"/>
      <c r="DD276" s="14"/>
      <c r="DE276" s="14"/>
      <c r="DF276" s="14"/>
      <c r="DG276" s="129"/>
      <c r="DH276" s="14"/>
      <c r="DI276" s="47"/>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row>
    <row r="277" spans="1:142" s="131" customFormat="1" x14ac:dyDescent="0.25">
      <c r="A277" s="78"/>
      <c r="B277" s="78" t="s">
        <v>157</v>
      </c>
      <c r="C277" s="78"/>
      <c r="D277" s="79"/>
      <c r="E277" s="78"/>
      <c r="F277" s="78"/>
      <c r="G277" s="78"/>
      <c r="H277" s="79"/>
      <c r="I277" s="79"/>
      <c r="J277" s="78"/>
      <c r="K277" s="78"/>
      <c r="L277" s="78"/>
      <c r="M277" s="78"/>
      <c r="N277" s="78"/>
      <c r="O277" s="78"/>
      <c r="P277" s="78"/>
      <c r="Q277" s="82"/>
      <c r="R277" s="83"/>
      <c r="S277" s="83" t="s">
        <v>157</v>
      </c>
      <c r="T277" s="78"/>
      <c r="U277" s="78"/>
      <c r="V277" s="78"/>
      <c r="W277" s="78"/>
      <c r="X277" s="78"/>
      <c r="Y277" s="78"/>
      <c r="Z277" s="78"/>
      <c r="AA277" s="78"/>
      <c r="AB277" s="78"/>
      <c r="AC277" s="78"/>
      <c r="AD277" s="80"/>
      <c r="AE277" s="81"/>
      <c r="AF277" s="373"/>
      <c r="AG277" s="83"/>
      <c r="AH277" s="83" t="s">
        <v>157</v>
      </c>
      <c r="AI277" s="78"/>
      <c r="AJ277" s="78"/>
      <c r="AK277" s="78"/>
      <c r="AL277" s="78"/>
      <c r="AM277" s="78"/>
      <c r="AN277" s="78"/>
      <c r="AO277" s="78"/>
      <c r="AP277" s="78"/>
      <c r="AQ277" s="78"/>
      <c r="AR277" s="78"/>
      <c r="AS277" s="80"/>
      <c r="AT277" s="81"/>
      <c r="AU277" s="373"/>
      <c r="AV277" s="78"/>
      <c r="AW277" s="83" t="s">
        <v>157</v>
      </c>
      <c r="AX277" s="78"/>
      <c r="AY277" s="78"/>
      <c r="AZ277" s="78"/>
      <c r="BA277" s="78"/>
      <c r="BB277" s="78"/>
      <c r="BC277" s="78"/>
      <c r="BD277" s="78"/>
      <c r="BE277" s="78"/>
      <c r="BF277" s="78"/>
      <c r="BG277" s="78"/>
      <c r="BH277" s="80"/>
      <c r="BI277" s="81"/>
      <c r="BJ277" s="373"/>
      <c r="BK277" s="83"/>
      <c r="BL277" s="78" t="s">
        <v>157</v>
      </c>
      <c r="BM277" s="78"/>
      <c r="BN277" s="78"/>
      <c r="BO277" s="78"/>
      <c r="BP277" s="78"/>
      <c r="BQ277" s="78"/>
      <c r="BR277" s="78"/>
      <c r="BS277" s="78"/>
      <c r="BT277" s="78"/>
      <c r="BU277" s="78"/>
      <c r="BV277" s="78"/>
      <c r="BW277" s="80"/>
      <c r="BX277" s="81"/>
      <c r="BY277" s="373"/>
      <c r="BZ277" s="78"/>
      <c r="CA277" s="78"/>
      <c r="CB277" s="79"/>
      <c r="CC277" s="79"/>
      <c r="CD277" s="182"/>
      <c r="CE277" s="182"/>
      <c r="CF277" s="79"/>
      <c r="CG277" s="78"/>
      <c r="CH277" s="78"/>
      <c r="CI277" s="78"/>
      <c r="CJ277" s="78"/>
      <c r="CK277" s="78"/>
      <c r="CL277" s="78"/>
      <c r="CM277" s="78"/>
      <c r="CN277" s="78"/>
      <c r="CO277" s="78"/>
      <c r="CP277" s="78"/>
      <c r="CQ277" s="82"/>
      <c r="CR277" s="78"/>
      <c r="CS277" s="78"/>
      <c r="CT277" s="78"/>
      <c r="CU277" s="78"/>
      <c r="CV277" s="182"/>
      <c r="CW277" s="192"/>
      <c r="CX277" s="192"/>
      <c r="CY277" s="78"/>
      <c r="CZ277" s="78"/>
      <c r="DA277" s="78"/>
      <c r="DB277" s="78"/>
      <c r="DC277" s="78"/>
      <c r="DD277" s="78"/>
      <c r="DE277" s="78"/>
      <c r="DF277" s="78"/>
      <c r="DG277" s="78"/>
      <c r="DH277" s="78"/>
      <c r="DI277" s="82"/>
      <c r="DJ277" s="78"/>
      <c r="DK277" s="78" t="s">
        <v>157</v>
      </c>
      <c r="DL277" s="78"/>
      <c r="DM277" s="78"/>
      <c r="DN277" s="78"/>
      <c r="DO277" s="78"/>
      <c r="DP277" s="78"/>
      <c r="DQ277" s="78"/>
      <c r="DR277" s="78"/>
      <c r="DS277" s="78"/>
      <c r="DT277" s="78"/>
      <c r="DU277" s="78"/>
      <c r="DV277" s="78"/>
      <c r="DW277" s="78"/>
      <c r="DX277" s="78"/>
      <c r="DY277" s="78"/>
      <c r="DZ277" s="78"/>
      <c r="EA277" s="78"/>
      <c r="EB277" s="78"/>
      <c r="EC277" s="78"/>
      <c r="ED277" s="78"/>
      <c r="EE277" s="78"/>
      <c r="EF277" s="78"/>
      <c r="EG277" s="78"/>
      <c r="EH277" s="78"/>
      <c r="EI277" s="78"/>
      <c r="EJ277" s="78"/>
      <c r="EK277" s="78"/>
      <c r="EL277" s="78"/>
    </row>
    <row r="278" spans="1:142" x14ac:dyDescent="0.25">
      <c r="A278" s="14"/>
      <c r="B278" s="14"/>
      <c r="C278" s="14"/>
      <c r="D278" s="21"/>
      <c r="E278" s="14"/>
      <c r="F278" s="14"/>
      <c r="G278" s="14"/>
      <c r="H278" s="21"/>
      <c r="I278" s="21"/>
      <c r="J278" s="14"/>
      <c r="K278" s="14"/>
      <c r="L278" s="14"/>
      <c r="M278" s="14"/>
      <c r="N278" s="14"/>
      <c r="O278" s="14"/>
      <c r="P278" s="14"/>
      <c r="Q278" s="47"/>
      <c r="R278" s="19"/>
      <c r="S278" s="19"/>
      <c r="T278" s="19"/>
      <c r="U278" s="14"/>
      <c r="V278" s="14"/>
      <c r="W278" s="14"/>
      <c r="X278" s="14"/>
      <c r="Y278" s="14"/>
      <c r="Z278" s="14"/>
      <c r="AA278" s="14"/>
      <c r="AB278" s="14"/>
      <c r="AC278" s="14"/>
      <c r="AD278" s="65"/>
      <c r="AE278" s="63"/>
      <c r="AF278" s="352"/>
      <c r="AG278" s="19"/>
      <c r="AH278" s="19"/>
      <c r="AI278" s="19"/>
      <c r="AJ278" s="14"/>
      <c r="AK278" s="14"/>
      <c r="AL278" s="14"/>
      <c r="AM278" s="14"/>
      <c r="AN278" s="14"/>
      <c r="AO278" s="14"/>
      <c r="AP278" s="14"/>
      <c r="AQ278" s="14"/>
      <c r="AR278" s="14"/>
      <c r="AS278" s="65"/>
      <c r="AT278" s="63"/>
      <c r="AU278" s="352"/>
      <c r="AV278" s="14"/>
      <c r="AW278" s="19"/>
      <c r="AX278" s="19"/>
      <c r="AY278" s="14"/>
      <c r="AZ278" s="14"/>
      <c r="BA278" s="14"/>
      <c r="BB278" s="14"/>
      <c r="BC278" s="14"/>
      <c r="BD278" s="14"/>
      <c r="BE278" s="14"/>
      <c r="BF278" s="14"/>
      <c r="BG278" s="14"/>
      <c r="BH278" s="65"/>
      <c r="BI278" s="63"/>
      <c r="BJ278" s="352"/>
      <c r="BK278" s="19"/>
      <c r="BL278" s="19"/>
      <c r="BM278" s="19"/>
      <c r="BN278" s="19"/>
      <c r="BO278" s="19"/>
      <c r="BP278" s="19"/>
      <c r="BQ278" s="19"/>
      <c r="BR278" s="19"/>
      <c r="BS278" s="19"/>
      <c r="BT278" s="14"/>
      <c r="BU278" s="14"/>
      <c r="BV278" s="14"/>
      <c r="BW278" s="65"/>
      <c r="BX278" s="63"/>
      <c r="BY278" s="352"/>
      <c r="BZ278" s="14"/>
      <c r="CA278" s="14"/>
      <c r="CB278" s="21"/>
      <c r="CC278" s="21"/>
      <c r="CD278" s="180"/>
      <c r="CE278" s="180"/>
      <c r="CF278" s="21"/>
      <c r="CG278" s="14"/>
      <c r="CH278" s="14"/>
      <c r="CI278" s="14"/>
      <c r="CJ278" s="14"/>
      <c r="CK278" s="14"/>
      <c r="CL278" s="14"/>
      <c r="CM278" s="14"/>
      <c r="CN278" s="14"/>
      <c r="CO278" s="129"/>
      <c r="CP278" s="14"/>
      <c r="CQ278" s="47"/>
      <c r="CR278" s="14"/>
      <c r="CS278" s="14"/>
      <c r="CT278" s="14"/>
      <c r="CU278" s="14"/>
      <c r="CV278" s="180"/>
      <c r="CW278" s="189"/>
      <c r="CX278" s="189"/>
      <c r="CY278" s="14"/>
      <c r="CZ278" s="14"/>
      <c r="DA278" s="14"/>
      <c r="DB278" s="14"/>
      <c r="DC278" s="14"/>
      <c r="DD278" s="14"/>
      <c r="DE278" s="14"/>
      <c r="DF278" s="14"/>
      <c r="DG278" s="129"/>
      <c r="DH278" s="14"/>
      <c r="DI278" s="47"/>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row>
    <row r="279" spans="1:142" s="134" customFormat="1" ht="24.75" customHeight="1" x14ac:dyDescent="0.25">
      <c r="A279" s="8"/>
      <c r="B279" s="109"/>
      <c r="C279" s="110" t="str">
        <f t="shared" ref="C279:H279" si="214">C247</f>
        <v>Forest owners/managers</v>
      </c>
      <c r="D279" s="110" t="str">
        <f t="shared" si="214"/>
        <v>Pellet producers</v>
      </c>
      <c r="E279" s="110" t="str">
        <f t="shared" si="214"/>
        <v>Pellet users</v>
      </c>
      <c r="F279" s="110" t="str">
        <f t="shared" si="214"/>
        <v>Non-bioenergy wood users</v>
      </c>
      <c r="G279" s="110" t="str">
        <f t="shared" si="214"/>
        <v>Policy makers and academia</v>
      </c>
      <c r="H279" s="110" t="str">
        <f t="shared" si="214"/>
        <v>NGOs</v>
      </c>
      <c r="I279" s="110" t="s">
        <v>8</v>
      </c>
      <c r="J279" s="8"/>
      <c r="K279" s="8"/>
      <c r="L279" s="8"/>
      <c r="M279" s="8"/>
      <c r="N279" s="8"/>
      <c r="O279" s="8"/>
      <c r="P279" s="8"/>
      <c r="Q279" s="48"/>
      <c r="R279" s="44"/>
      <c r="S279" s="109"/>
      <c r="T279" s="110" t="str">
        <f t="shared" ref="T279:Y279" si="215">T247</f>
        <v>Forest owners/managers</v>
      </c>
      <c r="U279" s="110" t="str">
        <f t="shared" si="215"/>
        <v>Pellet producers</v>
      </c>
      <c r="V279" s="110" t="str">
        <f t="shared" si="215"/>
        <v>Pellet users</v>
      </c>
      <c r="W279" s="110" t="str">
        <f t="shared" si="215"/>
        <v>Non-bioenergy wood users</v>
      </c>
      <c r="X279" s="110" t="str">
        <f t="shared" si="215"/>
        <v>Policy makers and academia</v>
      </c>
      <c r="Y279" s="110" t="str">
        <f t="shared" si="215"/>
        <v>NGOs</v>
      </c>
      <c r="Z279" s="110" t="s">
        <v>8</v>
      </c>
      <c r="AA279" s="17"/>
      <c r="AB279" s="17"/>
      <c r="AC279" s="17"/>
      <c r="AD279" s="102"/>
      <c r="AE279" s="101"/>
      <c r="AF279" s="371"/>
      <c r="AG279" s="44"/>
      <c r="AH279" s="109"/>
      <c r="AI279" s="110" t="str">
        <f t="shared" ref="AI279:AN279" si="216">AI247</f>
        <v>Forest owners/managers</v>
      </c>
      <c r="AJ279" s="110" t="str">
        <f t="shared" si="216"/>
        <v>Pellet producers</v>
      </c>
      <c r="AK279" s="110" t="str">
        <f t="shared" si="216"/>
        <v>Pellet users</v>
      </c>
      <c r="AL279" s="110" t="str">
        <f t="shared" si="216"/>
        <v>Non-bioenergy wood users</v>
      </c>
      <c r="AM279" s="110" t="str">
        <f t="shared" si="216"/>
        <v>Policy makers and academia</v>
      </c>
      <c r="AN279" s="110" t="str">
        <f t="shared" si="216"/>
        <v>NGOs</v>
      </c>
      <c r="AO279" s="110" t="s">
        <v>8</v>
      </c>
      <c r="AP279" s="17"/>
      <c r="AQ279" s="17"/>
      <c r="AR279" s="17"/>
      <c r="AS279" s="102"/>
      <c r="AT279" s="101"/>
      <c r="AU279" s="371"/>
      <c r="AV279" s="8"/>
      <c r="AW279" s="109"/>
      <c r="AX279" s="110" t="str">
        <f t="shared" ref="AX279:BC279" si="217">AX247</f>
        <v>Forest owners/managers</v>
      </c>
      <c r="AY279" s="110" t="str">
        <f t="shared" si="217"/>
        <v>Pellet producers</v>
      </c>
      <c r="AZ279" s="110" t="str">
        <f t="shared" si="217"/>
        <v>Pellet users</v>
      </c>
      <c r="BA279" s="110" t="str">
        <f t="shared" si="217"/>
        <v>Non-bioenergy wood users</v>
      </c>
      <c r="BB279" s="110" t="str">
        <f t="shared" si="217"/>
        <v>Policy makers and academia</v>
      </c>
      <c r="BC279" s="110" t="str">
        <f t="shared" si="217"/>
        <v>NGOs</v>
      </c>
      <c r="BD279" s="110" t="s">
        <v>8</v>
      </c>
      <c r="BE279" s="17"/>
      <c r="BF279" s="17"/>
      <c r="BG279" s="17"/>
      <c r="BH279" s="102"/>
      <c r="BI279" s="101"/>
      <c r="BJ279" s="371"/>
      <c r="BK279" s="44"/>
      <c r="BL279" s="109"/>
      <c r="BM279" s="110" t="str">
        <f t="shared" ref="BM279:BR279" si="218">BM247</f>
        <v>Forest owners/managers</v>
      </c>
      <c r="BN279" s="110" t="str">
        <f t="shared" si="218"/>
        <v>Pellet producers</v>
      </c>
      <c r="BO279" s="110" t="str">
        <f t="shared" si="218"/>
        <v>Pellet users</v>
      </c>
      <c r="BP279" s="110" t="str">
        <f t="shared" si="218"/>
        <v>Non-bioenergy wood users</v>
      </c>
      <c r="BQ279" s="110" t="str">
        <f t="shared" si="218"/>
        <v>Policy makers and academia</v>
      </c>
      <c r="BR279" s="110" t="str">
        <f t="shared" si="218"/>
        <v>NGOs</v>
      </c>
      <c r="BS279" s="110" t="s">
        <v>8</v>
      </c>
      <c r="BT279" s="17"/>
      <c r="BU279" s="17"/>
      <c r="BV279" s="17"/>
      <c r="BW279" s="102"/>
      <c r="BX279" s="101"/>
      <c r="BY279" s="371"/>
      <c r="BZ279" s="8"/>
      <c r="CA279" s="8"/>
      <c r="CB279" s="77"/>
      <c r="CC279" s="77"/>
      <c r="CD279" s="187"/>
      <c r="CE279" s="187"/>
      <c r="CF279" s="77"/>
      <c r="CG279" s="8"/>
      <c r="CH279" s="8"/>
      <c r="CI279" s="8"/>
      <c r="CJ279" s="8"/>
      <c r="CK279" s="8"/>
      <c r="CL279" s="8"/>
      <c r="CM279" s="8"/>
      <c r="CN279" s="8"/>
      <c r="CO279" s="315"/>
      <c r="CP279" s="8"/>
      <c r="CQ279" s="48"/>
      <c r="CR279" s="8"/>
      <c r="CS279" s="8"/>
      <c r="CT279" s="8"/>
      <c r="CU279" s="8"/>
      <c r="CV279" s="187"/>
      <c r="CW279" s="195"/>
      <c r="CX279" s="195"/>
      <c r="CY279" s="8"/>
      <c r="CZ279" s="8"/>
      <c r="DA279" s="8"/>
      <c r="DB279" s="8"/>
      <c r="DC279" s="8"/>
      <c r="DD279" s="8"/>
      <c r="DE279" s="8"/>
      <c r="DF279" s="8"/>
      <c r="DG279" s="315"/>
      <c r="DH279" s="8"/>
      <c r="DI279" s="48"/>
      <c r="DJ279" s="8"/>
      <c r="DK279" s="109"/>
      <c r="DL279" s="110" t="str">
        <f t="shared" ref="DL279:DQ279" si="219">DL247</f>
        <v>Forest owners/managers</v>
      </c>
      <c r="DM279" s="110" t="str">
        <f t="shared" si="219"/>
        <v>Pellet producers</v>
      </c>
      <c r="DN279" s="110" t="str">
        <f t="shared" si="219"/>
        <v>Pellet users</v>
      </c>
      <c r="DO279" s="110" t="str">
        <f t="shared" si="219"/>
        <v>Non-bioenergy wood users</v>
      </c>
      <c r="DP279" s="110" t="str">
        <f t="shared" si="219"/>
        <v>Policy makers and academia</v>
      </c>
      <c r="DQ279" s="110" t="str">
        <f t="shared" si="219"/>
        <v>NGOs</v>
      </c>
      <c r="DR279" s="110" t="s">
        <v>8</v>
      </c>
      <c r="DS279" s="8"/>
      <c r="DT279" s="8"/>
      <c r="DU279" s="8"/>
      <c r="DV279" s="8"/>
      <c r="DW279" s="8"/>
      <c r="DX279" s="8"/>
      <c r="DY279" s="8"/>
      <c r="DZ279" s="8"/>
      <c r="EA279" s="8"/>
      <c r="EB279" s="8"/>
      <c r="EC279" s="8"/>
      <c r="ED279" s="8"/>
      <c r="EE279" s="8"/>
      <c r="EF279" s="8"/>
      <c r="EG279" s="8"/>
      <c r="EH279" s="8"/>
      <c r="EI279" s="8"/>
      <c r="EJ279" s="8"/>
      <c r="EK279" s="8"/>
      <c r="EL279" s="8"/>
    </row>
    <row r="280" spans="1:142" x14ac:dyDescent="0.25">
      <c r="A280" s="14"/>
      <c r="B280" s="107" t="s">
        <v>34</v>
      </c>
      <c r="C280" s="41">
        <f t="shared" ref="C280:H284" si="220">IF(OR(C$253=0,C248=0),"",C248/C$253/6)</f>
        <v>3.3333333333333333E-2</v>
      </c>
      <c r="D280" s="41" t="str">
        <f t="shared" si="220"/>
        <v/>
      </c>
      <c r="E280" s="118" t="str">
        <f t="shared" si="220"/>
        <v/>
      </c>
      <c r="F280" s="41" t="str">
        <f t="shared" si="220"/>
        <v/>
      </c>
      <c r="G280" s="41">
        <f t="shared" si="220"/>
        <v>0.1111111111111111</v>
      </c>
      <c r="H280" s="118" t="str">
        <f t="shared" si="220"/>
        <v/>
      </c>
      <c r="I280" s="41">
        <f>SUM(C280:H280)</f>
        <v>0.14444444444444443</v>
      </c>
      <c r="J280" s="14"/>
      <c r="K280" s="14"/>
      <c r="L280" s="14"/>
      <c r="M280" s="14"/>
      <c r="N280" s="14"/>
      <c r="O280" s="14"/>
      <c r="P280" s="14"/>
      <c r="Q280" s="47"/>
      <c r="R280" s="19"/>
      <c r="S280" s="107" t="s">
        <v>5</v>
      </c>
      <c r="T280" s="41">
        <f t="shared" ref="T280:Y286" si="221">IF(OR(T$255=0,T248=0),"",T248/T$255/6)</f>
        <v>6.6666666666666666E-2</v>
      </c>
      <c r="U280" s="41" t="str">
        <f t="shared" si="221"/>
        <v/>
      </c>
      <c r="V280" s="118" t="str">
        <f t="shared" si="221"/>
        <v/>
      </c>
      <c r="W280" s="41" t="str">
        <f t="shared" si="221"/>
        <v/>
      </c>
      <c r="X280" s="41">
        <f t="shared" si="221"/>
        <v>8.3333333333333329E-2</v>
      </c>
      <c r="Y280" s="118" t="str">
        <f t="shared" si="221"/>
        <v/>
      </c>
      <c r="Z280" s="41">
        <f>SUM(T280:Y280)</f>
        <v>0.15</v>
      </c>
      <c r="AA280" s="35"/>
      <c r="AB280" s="35"/>
      <c r="AC280" s="35"/>
      <c r="AD280" s="65"/>
      <c r="AE280" s="63"/>
      <c r="AF280" s="352"/>
      <c r="AG280" s="19"/>
      <c r="AH280" s="107" t="s">
        <v>5</v>
      </c>
      <c r="AI280" s="41">
        <f t="shared" ref="AI280:AN286" si="222">IF(OR(AI$255=0,AI248=0),"",AI248/AI$255/6)</f>
        <v>8.3333333333333329E-2</v>
      </c>
      <c r="AJ280" s="41">
        <f t="shared" si="222"/>
        <v>0.1111111111111111</v>
      </c>
      <c r="AK280" s="118">
        <f t="shared" si="222"/>
        <v>8.3333333333333329E-2</v>
      </c>
      <c r="AL280" s="41" t="str">
        <f t="shared" si="222"/>
        <v/>
      </c>
      <c r="AM280" s="41" t="str">
        <f t="shared" si="222"/>
        <v/>
      </c>
      <c r="AN280" s="118" t="str">
        <f t="shared" si="222"/>
        <v/>
      </c>
      <c r="AO280" s="41">
        <f>SUM(AI280:AN280)</f>
        <v>0.27777777777777773</v>
      </c>
      <c r="AP280" s="35"/>
      <c r="AQ280" s="35"/>
      <c r="AR280" s="35"/>
      <c r="AS280" s="65"/>
      <c r="AT280" s="63"/>
      <c r="AU280" s="352"/>
      <c r="AV280" s="14"/>
      <c r="AW280" s="107" t="s">
        <v>5</v>
      </c>
      <c r="AX280" s="41">
        <f t="shared" ref="AX280:BC286" si="223">IF(OR(AX$255=0,AX248=0),"",AX248/AX$255/6)</f>
        <v>8.3333333333333329E-2</v>
      </c>
      <c r="AY280" s="41">
        <f t="shared" si="223"/>
        <v>0.1111111111111111</v>
      </c>
      <c r="AZ280" s="118" t="str">
        <f t="shared" si="223"/>
        <v/>
      </c>
      <c r="BA280" s="41" t="str">
        <f t="shared" si="223"/>
        <v/>
      </c>
      <c r="BB280" s="41" t="str">
        <f t="shared" si="223"/>
        <v/>
      </c>
      <c r="BC280" s="118" t="str">
        <f t="shared" si="223"/>
        <v/>
      </c>
      <c r="BD280" s="41">
        <f>SUM(AX280:BC280)</f>
        <v>0.19444444444444442</v>
      </c>
      <c r="BE280" s="35"/>
      <c r="BF280" s="35"/>
      <c r="BG280" s="35"/>
      <c r="BH280" s="65"/>
      <c r="BI280" s="63"/>
      <c r="BJ280" s="352"/>
      <c r="BK280" s="19"/>
      <c r="BL280" s="107" t="s">
        <v>5</v>
      </c>
      <c r="BM280" s="41">
        <f t="shared" ref="BM280:BR286" si="224">IF(OR(BM$255=0,BM248=0),"",BM248/BM$255/6)</f>
        <v>8.3333333333333329E-2</v>
      </c>
      <c r="BN280" s="41">
        <f t="shared" si="224"/>
        <v>0.1111111111111111</v>
      </c>
      <c r="BO280" s="118" t="str">
        <f t="shared" si="224"/>
        <v/>
      </c>
      <c r="BP280" s="41" t="str">
        <f t="shared" si="224"/>
        <v/>
      </c>
      <c r="BQ280" s="41" t="str">
        <f t="shared" si="224"/>
        <v/>
      </c>
      <c r="BR280" s="118" t="str">
        <f t="shared" si="224"/>
        <v/>
      </c>
      <c r="BS280" s="41">
        <f>SUM(BM280:BR280)</f>
        <v>0.19444444444444442</v>
      </c>
      <c r="BT280" s="35"/>
      <c r="BU280" s="35"/>
      <c r="BV280" s="35"/>
      <c r="BW280" s="65"/>
      <c r="BX280" s="63"/>
      <c r="BY280" s="352"/>
      <c r="BZ280" s="14"/>
      <c r="CA280" s="14"/>
      <c r="CB280" s="21"/>
      <c r="CC280" s="21"/>
      <c r="CD280" s="180"/>
      <c r="CE280" s="180"/>
      <c r="CF280" s="21"/>
      <c r="CG280" s="14"/>
      <c r="CH280" s="14"/>
      <c r="CI280" s="14"/>
      <c r="CJ280" s="14"/>
      <c r="CK280" s="14"/>
      <c r="CL280" s="14"/>
      <c r="CM280" s="14"/>
      <c r="CN280" s="14"/>
      <c r="CO280" s="129"/>
      <c r="CP280" s="14"/>
      <c r="CQ280" s="47"/>
      <c r="CR280" s="14"/>
      <c r="CS280" s="14"/>
      <c r="CT280" s="14"/>
      <c r="CU280" s="14"/>
      <c r="CV280" s="180"/>
      <c r="CW280" s="189"/>
      <c r="CX280" s="189"/>
      <c r="CY280" s="14"/>
      <c r="CZ280" s="14"/>
      <c r="DA280" s="14"/>
      <c r="DB280" s="14"/>
      <c r="DC280" s="14"/>
      <c r="DD280" s="14"/>
      <c r="DE280" s="14"/>
      <c r="DF280" s="14"/>
      <c r="DG280" s="129"/>
      <c r="DH280" s="14"/>
      <c r="DI280" s="47"/>
      <c r="DJ280" s="14"/>
      <c r="DK280" s="107" t="s">
        <v>34</v>
      </c>
      <c r="DL280" s="41">
        <f t="shared" ref="DL280:DQ280" si="225">IF(OR(DL$253=0,DL248=0),"",DL248/DL$253/6)</f>
        <v>3.3333333333333333E-2</v>
      </c>
      <c r="DM280" s="41" t="str">
        <f t="shared" si="225"/>
        <v/>
      </c>
      <c r="DN280" s="118" t="str">
        <f t="shared" si="225"/>
        <v/>
      </c>
      <c r="DO280" s="41" t="str">
        <f t="shared" si="225"/>
        <v/>
      </c>
      <c r="DP280" s="41">
        <f t="shared" si="225"/>
        <v>0.1111111111111111</v>
      </c>
      <c r="DQ280" s="118" t="str">
        <f t="shared" si="225"/>
        <v/>
      </c>
      <c r="DR280" s="41">
        <f>SUM(DL280:DQ280)</f>
        <v>0.14444444444444443</v>
      </c>
      <c r="DS280" s="14"/>
      <c r="DT280" s="14"/>
      <c r="DU280" s="14"/>
      <c r="DV280" s="14"/>
      <c r="DW280" s="14"/>
      <c r="DX280" s="14"/>
      <c r="DY280" s="14"/>
      <c r="DZ280" s="14"/>
      <c r="EA280" s="14"/>
      <c r="EB280" s="14"/>
      <c r="EC280" s="14"/>
      <c r="ED280" s="14"/>
      <c r="EE280" s="14"/>
      <c r="EF280" s="14"/>
      <c r="EG280" s="14"/>
      <c r="EH280" s="14"/>
      <c r="EI280" s="14"/>
      <c r="EJ280" s="14"/>
      <c r="EK280" s="14"/>
      <c r="EL280" s="14"/>
    </row>
    <row r="281" spans="1:142" x14ac:dyDescent="0.25">
      <c r="A281" s="14"/>
      <c r="B281" s="107" t="s">
        <v>35</v>
      </c>
      <c r="C281" s="41">
        <f t="shared" si="220"/>
        <v>3.3333333333333333E-2</v>
      </c>
      <c r="D281" s="41">
        <f t="shared" si="220"/>
        <v>0.16666666666666666</v>
      </c>
      <c r="E281" s="118">
        <f t="shared" si="220"/>
        <v>0.16666666666666666</v>
      </c>
      <c r="F281" s="41">
        <f t="shared" si="220"/>
        <v>0.16666666666666666</v>
      </c>
      <c r="G281" s="41">
        <f t="shared" si="220"/>
        <v>5.5555555555555552E-2</v>
      </c>
      <c r="H281" s="118">
        <f t="shared" si="220"/>
        <v>4.1666666666666664E-2</v>
      </c>
      <c r="I281" s="41">
        <f>SUM(C281:H281)</f>
        <v>0.63055555555555554</v>
      </c>
      <c r="J281" s="14"/>
      <c r="K281" s="14"/>
      <c r="L281" s="14"/>
      <c r="M281" s="14"/>
      <c r="N281" s="14"/>
      <c r="O281" s="14"/>
      <c r="P281" s="14"/>
      <c r="Q281" s="47"/>
      <c r="R281" s="19"/>
      <c r="S281" s="107" t="s">
        <v>4</v>
      </c>
      <c r="T281" s="41" t="str">
        <f t="shared" si="221"/>
        <v/>
      </c>
      <c r="U281" s="41" t="str">
        <f t="shared" si="221"/>
        <v/>
      </c>
      <c r="V281" s="118" t="str">
        <f t="shared" si="221"/>
        <v/>
      </c>
      <c r="W281" s="41" t="str">
        <f t="shared" si="221"/>
        <v/>
      </c>
      <c r="X281" s="41" t="str">
        <f t="shared" si="221"/>
        <v/>
      </c>
      <c r="Y281" s="118" t="str">
        <f t="shared" si="221"/>
        <v/>
      </c>
      <c r="Z281" s="41">
        <f t="shared" ref="Z281:Z286" si="226">SUM(T281:Y281)</f>
        <v>0</v>
      </c>
      <c r="AA281" s="35"/>
      <c r="AB281" s="35"/>
      <c r="AC281" s="35"/>
      <c r="AD281" s="65"/>
      <c r="AE281" s="63"/>
      <c r="AF281" s="352"/>
      <c r="AG281" s="19"/>
      <c r="AH281" s="107" t="s">
        <v>4</v>
      </c>
      <c r="AI281" s="41">
        <f t="shared" si="222"/>
        <v>4.1666666666666664E-2</v>
      </c>
      <c r="AJ281" s="41" t="str">
        <f t="shared" si="222"/>
        <v/>
      </c>
      <c r="AK281" s="118" t="str">
        <f t="shared" si="222"/>
        <v/>
      </c>
      <c r="AL281" s="41">
        <f t="shared" si="222"/>
        <v>8.3333333333333329E-2</v>
      </c>
      <c r="AM281" s="41" t="str">
        <f t="shared" si="222"/>
        <v/>
      </c>
      <c r="AN281" s="118" t="str">
        <f t="shared" si="222"/>
        <v/>
      </c>
      <c r="AO281" s="41">
        <f t="shared" ref="AO281:AO286" si="227">SUM(AI281:AN281)</f>
        <v>0.125</v>
      </c>
      <c r="AP281" s="35"/>
      <c r="AQ281" s="35"/>
      <c r="AR281" s="35"/>
      <c r="AS281" s="65"/>
      <c r="AT281" s="63"/>
      <c r="AU281" s="352"/>
      <c r="AV281" s="14"/>
      <c r="AW281" s="107" t="s">
        <v>4</v>
      </c>
      <c r="AX281" s="41">
        <f t="shared" si="223"/>
        <v>4.1666666666666664E-2</v>
      </c>
      <c r="AY281" s="41" t="str">
        <f t="shared" si="223"/>
        <v/>
      </c>
      <c r="AZ281" s="118">
        <f t="shared" si="223"/>
        <v>8.3333333333333329E-2</v>
      </c>
      <c r="BA281" s="41" t="str">
        <f t="shared" si="223"/>
        <v/>
      </c>
      <c r="BB281" s="41" t="str">
        <f t="shared" si="223"/>
        <v/>
      </c>
      <c r="BC281" s="118" t="str">
        <f t="shared" si="223"/>
        <v/>
      </c>
      <c r="BD281" s="41">
        <f t="shared" ref="BD281:BD286" si="228">SUM(AX281:BC281)</f>
        <v>0.125</v>
      </c>
      <c r="BE281" s="35"/>
      <c r="BF281" s="35"/>
      <c r="BG281" s="35"/>
      <c r="BH281" s="65"/>
      <c r="BI281" s="63"/>
      <c r="BJ281" s="352"/>
      <c r="BK281" s="19"/>
      <c r="BL281" s="107" t="s">
        <v>4</v>
      </c>
      <c r="BM281" s="41">
        <f t="shared" si="224"/>
        <v>4.1666666666666664E-2</v>
      </c>
      <c r="BN281" s="41" t="str">
        <f t="shared" si="224"/>
        <v/>
      </c>
      <c r="BO281" s="118" t="str">
        <f t="shared" si="224"/>
        <v/>
      </c>
      <c r="BP281" s="41" t="str">
        <f t="shared" si="224"/>
        <v/>
      </c>
      <c r="BQ281" s="41" t="str">
        <f t="shared" si="224"/>
        <v/>
      </c>
      <c r="BR281" s="118" t="str">
        <f t="shared" si="224"/>
        <v/>
      </c>
      <c r="BS281" s="41">
        <f t="shared" ref="BS281:BS286" si="229">SUM(BM281:BR281)</f>
        <v>4.1666666666666664E-2</v>
      </c>
      <c r="BT281" s="35"/>
      <c r="BU281" s="35"/>
      <c r="BV281" s="35"/>
      <c r="BW281" s="65"/>
      <c r="BX281" s="63"/>
      <c r="BY281" s="352"/>
      <c r="BZ281" s="14"/>
      <c r="CA281" s="14"/>
      <c r="CB281" s="21"/>
      <c r="CC281" s="21"/>
      <c r="CD281" s="180"/>
      <c r="CE281" s="180"/>
      <c r="CF281" s="21"/>
      <c r="CG281" s="14"/>
      <c r="CH281" s="14"/>
      <c r="CI281" s="14"/>
      <c r="CJ281" s="14"/>
      <c r="CK281" s="14"/>
      <c r="CL281" s="14"/>
      <c r="CM281" s="14"/>
      <c r="CN281" s="14"/>
      <c r="CO281" s="129"/>
      <c r="CP281" s="14"/>
      <c r="CQ281" s="47"/>
      <c r="CR281" s="14"/>
      <c r="CS281" s="14"/>
      <c r="CT281" s="14"/>
      <c r="CU281" s="14"/>
      <c r="CV281" s="180"/>
      <c r="CW281" s="189"/>
      <c r="CX281" s="189"/>
      <c r="CY281" s="14"/>
      <c r="CZ281" s="14"/>
      <c r="DA281" s="14"/>
      <c r="DB281" s="14"/>
      <c r="DC281" s="14"/>
      <c r="DD281" s="14"/>
      <c r="DE281" s="14"/>
      <c r="DF281" s="14"/>
      <c r="DG281" s="129"/>
      <c r="DH281" s="14"/>
      <c r="DI281" s="47"/>
      <c r="DJ281" s="14"/>
      <c r="DK281" s="107" t="s">
        <v>35</v>
      </c>
      <c r="DL281" s="41">
        <f t="shared" ref="DL281:DP281" si="230">IF(OR(DL$253=0,DL249=0),"",DL249/DL$253/6)</f>
        <v>6.6666666666666666E-2</v>
      </c>
      <c r="DM281" s="41">
        <f t="shared" si="230"/>
        <v>8.3333333333333329E-2</v>
      </c>
      <c r="DN281" s="118">
        <f t="shared" si="230"/>
        <v>8.3333333333333329E-2</v>
      </c>
      <c r="DO281" s="41" t="str">
        <f t="shared" si="230"/>
        <v/>
      </c>
      <c r="DP281" s="41">
        <f t="shared" si="230"/>
        <v>5.5555555555555552E-2</v>
      </c>
      <c r="DQ281" s="118">
        <f>IF(OR(DQ$253=0,DQ249=0),"",DQ249/DQ$253/6)</f>
        <v>0.16666666666666666</v>
      </c>
      <c r="DR281" s="41">
        <f>SUM(DL281:DQ281)</f>
        <v>0.45555555555555549</v>
      </c>
      <c r="DS281" s="14"/>
      <c r="DT281" s="14"/>
      <c r="DU281" s="14"/>
      <c r="DV281" s="14"/>
      <c r="DW281" s="14"/>
      <c r="DX281" s="14"/>
      <c r="DY281" s="14"/>
      <c r="DZ281" s="14"/>
      <c r="EA281" s="14"/>
      <c r="EB281" s="14"/>
      <c r="EC281" s="14"/>
      <c r="ED281" s="14"/>
      <c r="EE281" s="14"/>
      <c r="EF281" s="14"/>
      <c r="EG281" s="14"/>
      <c r="EH281" s="14"/>
      <c r="EI281" s="14"/>
      <c r="EJ281" s="14"/>
      <c r="EK281" s="14"/>
      <c r="EL281" s="14"/>
    </row>
    <row r="282" spans="1:142" x14ac:dyDescent="0.25">
      <c r="A282" s="14"/>
      <c r="B282" s="107" t="s">
        <v>36</v>
      </c>
      <c r="C282" s="41">
        <f t="shared" si="220"/>
        <v>3.3333333333333333E-2</v>
      </c>
      <c r="D282" s="41" t="str">
        <f t="shared" si="220"/>
        <v/>
      </c>
      <c r="E282" s="118" t="str">
        <f t="shared" si="220"/>
        <v/>
      </c>
      <c r="F282" s="41" t="str">
        <f t="shared" si="220"/>
        <v/>
      </c>
      <c r="G282" s="41" t="str">
        <f t="shared" si="220"/>
        <v/>
      </c>
      <c r="H282" s="118">
        <f t="shared" si="220"/>
        <v>0.125</v>
      </c>
      <c r="I282" s="41">
        <f>SUM(C282:H282)</f>
        <v>0.15833333333333333</v>
      </c>
      <c r="J282" s="14"/>
      <c r="K282" s="14"/>
      <c r="L282" s="14"/>
      <c r="M282" s="14"/>
      <c r="N282" s="14"/>
      <c r="O282" s="14"/>
      <c r="P282" s="14"/>
      <c r="Q282" s="47"/>
      <c r="R282" s="14"/>
      <c r="S282" s="107" t="s">
        <v>33</v>
      </c>
      <c r="T282" s="41" t="str">
        <f t="shared" si="221"/>
        <v/>
      </c>
      <c r="U282" s="41" t="str">
        <f t="shared" si="221"/>
        <v/>
      </c>
      <c r="V282" s="118" t="str">
        <f t="shared" si="221"/>
        <v/>
      </c>
      <c r="W282" s="41" t="str">
        <f t="shared" si="221"/>
        <v/>
      </c>
      <c r="X282" s="41" t="str">
        <f t="shared" si="221"/>
        <v/>
      </c>
      <c r="Y282" s="118" t="str">
        <f t="shared" si="221"/>
        <v/>
      </c>
      <c r="Z282" s="41">
        <f t="shared" si="226"/>
        <v>0</v>
      </c>
      <c r="AA282" s="35"/>
      <c r="AB282" s="35"/>
      <c r="AC282" s="35"/>
      <c r="AD282" s="65"/>
      <c r="AE282" s="63"/>
      <c r="AF282" s="352"/>
      <c r="AG282" s="14"/>
      <c r="AH282" s="107" t="s">
        <v>33</v>
      </c>
      <c r="AI282" s="41" t="str">
        <f t="shared" si="222"/>
        <v/>
      </c>
      <c r="AJ282" s="41" t="str">
        <f t="shared" si="222"/>
        <v/>
      </c>
      <c r="AK282" s="118" t="str">
        <f t="shared" si="222"/>
        <v/>
      </c>
      <c r="AL282" s="41" t="str">
        <f t="shared" si="222"/>
        <v/>
      </c>
      <c r="AM282" s="41" t="str">
        <f t="shared" si="222"/>
        <v/>
      </c>
      <c r="AN282" s="118" t="str">
        <f t="shared" si="222"/>
        <v/>
      </c>
      <c r="AO282" s="41">
        <f t="shared" si="227"/>
        <v>0</v>
      </c>
      <c r="AP282" s="35"/>
      <c r="AQ282" s="35"/>
      <c r="AR282" s="35"/>
      <c r="AS282" s="65"/>
      <c r="AT282" s="63"/>
      <c r="AU282" s="352"/>
      <c r="AV282" s="14"/>
      <c r="AW282" s="107" t="s">
        <v>33</v>
      </c>
      <c r="AX282" s="41" t="str">
        <f t="shared" si="223"/>
        <v/>
      </c>
      <c r="AY282" s="41" t="str">
        <f t="shared" si="223"/>
        <v/>
      </c>
      <c r="AZ282" s="118" t="str">
        <f t="shared" si="223"/>
        <v/>
      </c>
      <c r="BA282" s="41">
        <f t="shared" si="223"/>
        <v>8.3333333333333329E-2</v>
      </c>
      <c r="BB282" s="41" t="str">
        <f t="shared" si="223"/>
        <v/>
      </c>
      <c r="BC282" s="118" t="str">
        <f t="shared" si="223"/>
        <v/>
      </c>
      <c r="BD282" s="41">
        <f t="shared" si="228"/>
        <v>8.3333333333333329E-2</v>
      </c>
      <c r="BE282" s="35"/>
      <c r="BF282" s="35"/>
      <c r="BG282" s="35"/>
      <c r="BH282" s="65"/>
      <c r="BI282" s="63"/>
      <c r="BJ282" s="352"/>
      <c r="BK282" s="14"/>
      <c r="BL282" s="107" t="s">
        <v>33</v>
      </c>
      <c r="BM282" s="41" t="str">
        <f t="shared" si="224"/>
        <v/>
      </c>
      <c r="BN282" s="41" t="str">
        <f t="shared" si="224"/>
        <v/>
      </c>
      <c r="BO282" s="118">
        <f t="shared" si="224"/>
        <v>8.3333333333333329E-2</v>
      </c>
      <c r="BP282" s="41" t="str">
        <f t="shared" si="224"/>
        <v/>
      </c>
      <c r="BQ282" s="41" t="str">
        <f t="shared" si="224"/>
        <v/>
      </c>
      <c r="BR282" s="118" t="str">
        <f t="shared" si="224"/>
        <v/>
      </c>
      <c r="BS282" s="41">
        <f t="shared" si="229"/>
        <v>8.3333333333333329E-2</v>
      </c>
      <c r="BT282" s="35"/>
      <c r="BU282" s="35"/>
      <c r="BV282" s="35"/>
      <c r="BW282" s="65"/>
      <c r="BX282" s="63"/>
      <c r="BY282" s="352"/>
      <c r="BZ282" s="14"/>
      <c r="CA282" s="14"/>
      <c r="CB282" s="21"/>
      <c r="CC282" s="21"/>
      <c r="CD282" s="180"/>
      <c r="CE282" s="180"/>
      <c r="CF282" s="21"/>
      <c r="CG282" s="14"/>
      <c r="CH282" s="14"/>
      <c r="CI282" s="14"/>
      <c r="CJ282" s="14"/>
      <c r="CK282" s="14"/>
      <c r="CL282" s="14"/>
      <c r="CM282" s="14"/>
      <c r="CN282" s="14"/>
      <c r="CO282" s="129"/>
      <c r="CP282" s="14"/>
      <c r="CQ282" s="47"/>
      <c r="CR282" s="14"/>
      <c r="CS282" s="14"/>
      <c r="CT282" s="14"/>
      <c r="CU282" s="14"/>
      <c r="CV282" s="180"/>
      <c r="CW282" s="189"/>
      <c r="CX282" s="189"/>
      <c r="CY282" s="14"/>
      <c r="CZ282" s="14"/>
      <c r="DA282" s="14"/>
      <c r="DB282" s="14"/>
      <c r="DC282" s="14"/>
      <c r="DD282" s="14"/>
      <c r="DE282" s="14"/>
      <c r="DF282" s="14"/>
      <c r="DG282" s="129"/>
      <c r="DH282" s="14"/>
      <c r="DI282" s="47"/>
      <c r="DJ282" s="14"/>
      <c r="DK282" s="107" t="s">
        <v>36</v>
      </c>
      <c r="DL282" s="41">
        <f t="shared" ref="DL282:DQ282" si="231">IF(OR(DL$253=0,DL250=0),"",DL250/DL$253/6)</f>
        <v>3.3333333333333333E-2</v>
      </c>
      <c r="DM282" s="41">
        <f t="shared" si="231"/>
        <v>8.3333333333333329E-2</v>
      </c>
      <c r="DN282" s="118">
        <f t="shared" si="231"/>
        <v>8.3333333333333329E-2</v>
      </c>
      <c r="DO282" s="41">
        <f t="shared" si="231"/>
        <v>8.3333333333333329E-2</v>
      </c>
      <c r="DP282" s="41" t="str">
        <f t="shared" si="231"/>
        <v/>
      </c>
      <c r="DQ282" s="118" t="str">
        <f t="shared" si="231"/>
        <v/>
      </c>
      <c r="DR282" s="41">
        <f>SUM(DL282:DQ282)</f>
        <v>0.28333333333333333</v>
      </c>
      <c r="DS282" s="14"/>
      <c r="DT282" s="14"/>
      <c r="DU282" s="14"/>
      <c r="DV282" s="14"/>
      <c r="DW282" s="14"/>
      <c r="DX282" s="14"/>
      <c r="DY282" s="14"/>
      <c r="DZ282" s="14"/>
      <c r="EA282" s="14"/>
      <c r="EB282" s="14"/>
      <c r="EC282" s="14"/>
      <c r="ED282" s="14"/>
      <c r="EE282" s="14"/>
      <c r="EF282" s="14"/>
      <c r="EG282" s="14"/>
      <c r="EH282" s="14"/>
      <c r="EI282" s="14"/>
      <c r="EJ282" s="14"/>
      <c r="EK282" s="14"/>
      <c r="EL282" s="14"/>
    </row>
    <row r="283" spans="1:142" x14ac:dyDescent="0.25">
      <c r="A283" s="14"/>
      <c r="B283" s="107" t="s">
        <v>38</v>
      </c>
      <c r="C283" s="41" t="str">
        <f t="shared" si="220"/>
        <v/>
      </c>
      <c r="D283" s="41" t="str">
        <f t="shared" si="220"/>
        <v/>
      </c>
      <c r="E283" s="118" t="str">
        <f t="shared" si="220"/>
        <v/>
      </c>
      <c r="F283" s="41" t="str">
        <f t="shared" si="220"/>
        <v/>
      </c>
      <c r="G283" s="41" t="str">
        <f t="shared" si="220"/>
        <v/>
      </c>
      <c r="H283" s="118" t="str">
        <f t="shared" si="220"/>
        <v/>
      </c>
      <c r="I283" s="41">
        <f>SUM(C283:H283)</f>
        <v>0</v>
      </c>
      <c r="J283" s="14"/>
      <c r="K283" s="14"/>
      <c r="L283" s="14"/>
      <c r="M283" s="14"/>
      <c r="N283" s="14"/>
      <c r="O283" s="14"/>
      <c r="P283" s="14"/>
      <c r="Q283" s="47"/>
      <c r="R283" s="14"/>
      <c r="S283" s="107" t="s">
        <v>29</v>
      </c>
      <c r="T283" s="41">
        <f t="shared" si="221"/>
        <v>3.3333333333333333E-2</v>
      </c>
      <c r="U283" s="41">
        <f t="shared" si="221"/>
        <v>8.3333333333333329E-2</v>
      </c>
      <c r="V283" s="118" t="str">
        <f t="shared" si="221"/>
        <v/>
      </c>
      <c r="W283" s="41">
        <f t="shared" si="221"/>
        <v>0.16666666666666666</v>
      </c>
      <c r="X283" s="41">
        <f t="shared" si="221"/>
        <v>8.3333333333333329E-2</v>
      </c>
      <c r="Y283" s="118" t="str">
        <f t="shared" si="221"/>
        <v/>
      </c>
      <c r="Z283" s="41">
        <f t="shared" si="226"/>
        <v>0.36666666666666664</v>
      </c>
      <c r="AA283" s="35"/>
      <c r="AB283" s="35"/>
      <c r="AC283" s="35"/>
      <c r="AD283" s="65"/>
      <c r="AE283" s="63"/>
      <c r="AF283" s="352"/>
      <c r="AG283" s="14"/>
      <c r="AH283" s="107" t="s">
        <v>29</v>
      </c>
      <c r="AI283" s="41">
        <f t="shared" si="222"/>
        <v>4.1666666666666664E-2</v>
      </c>
      <c r="AJ283" s="41" t="str">
        <f t="shared" si="222"/>
        <v/>
      </c>
      <c r="AK283" s="118" t="str">
        <f t="shared" si="222"/>
        <v/>
      </c>
      <c r="AL283" s="41" t="str">
        <f t="shared" si="222"/>
        <v/>
      </c>
      <c r="AM283" s="41" t="str">
        <f t="shared" si="222"/>
        <v/>
      </c>
      <c r="AN283" s="118" t="str">
        <f t="shared" si="222"/>
        <v/>
      </c>
      <c r="AO283" s="41">
        <f t="shared" si="227"/>
        <v>4.1666666666666664E-2</v>
      </c>
      <c r="AP283" s="35"/>
      <c r="AQ283" s="35"/>
      <c r="AR283" s="35"/>
      <c r="AS283" s="65"/>
      <c r="AT283" s="63"/>
      <c r="AU283" s="352"/>
      <c r="AV283" s="14"/>
      <c r="AW283" s="107" t="s">
        <v>29</v>
      </c>
      <c r="AX283" s="41">
        <f t="shared" si="223"/>
        <v>4.1666666666666664E-2</v>
      </c>
      <c r="AY283" s="41" t="str">
        <f t="shared" si="223"/>
        <v/>
      </c>
      <c r="AZ283" s="118" t="str">
        <f t="shared" si="223"/>
        <v/>
      </c>
      <c r="BA283" s="41" t="str">
        <f t="shared" si="223"/>
        <v/>
      </c>
      <c r="BB283" s="41" t="str">
        <f t="shared" si="223"/>
        <v/>
      </c>
      <c r="BC283" s="118" t="str">
        <f t="shared" si="223"/>
        <v/>
      </c>
      <c r="BD283" s="41">
        <f t="shared" si="228"/>
        <v>4.1666666666666664E-2</v>
      </c>
      <c r="BE283" s="35"/>
      <c r="BF283" s="35"/>
      <c r="BG283" s="35"/>
      <c r="BH283" s="65"/>
      <c r="BI283" s="63"/>
      <c r="BJ283" s="352"/>
      <c r="BK283" s="14"/>
      <c r="BL283" s="107" t="s">
        <v>29</v>
      </c>
      <c r="BM283" s="41" t="str">
        <f t="shared" si="224"/>
        <v/>
      </c>
      <c r="BN283" s="41" t="str">
        <f t="shared" si="224"/>
        <v/>
      </c>
      <c r="BO283" s="118" t="str">
        <f t="shared" si="224"/>
        <v/>
      </c>
      <c r="BP283" s="41">
        <f t="shared" si="224"/>
        <v>8.3333333333333329E-2</v>
      </c>
      <c r="BQ283" s="41" t="str">
        <f t="shared" si="224"/>
        <v/>
      </c>
      <c r="BR283" s="118" t="str">
        <f t="shared" si="224"/>
        <v/>
      </c>
      <c r="BS283" s="41">
        <f t="shared" si="229"/>
        <v>8.3333333333333329E-2</v>
      </c>
      <c r="BT283" s="35"/>
      <c r="BU283" s="35"/>
      <c r="BV283" s="35"/>
      <c r="BW283" s="65"/>
      <c r="BX283" s="63"/>
      <c r="BY283" s="352"/>
      <c r="BZ283" s="14"/>
      <c r="CA283" s="14"/>
      <c r="CB283" s="21"/>
      <c r="CC283" s="21"/>
      <c r="CD283" s="180"/>
      <c r="CE283" s="180"/>
      <c r="CF283" s="21"/>
      <c r="CG283" s="14"/>
      <c r="CH283" s="14"/>
      <c r="CI283" s="14"/>
      <c r="CJ283" s="14"/>
      <c r="CK283" s="14"/>
      <c r="CL283" s="14"/>
      <c r="CM283" s="14"/>
      <c r="CN283" s="14"/>
      <c r="CO283" s="129"/>
      <c r="CP283" s="14"/>
      <c r="CQ283" s="47"/>
      <c r="CR283" s="14"/>
      <c r="CS283" s="14"/>
      <c r="CT283" s="14"/>
      <c r="CU283" s="14"/>
      <c r="CV283" s="180"/>
      <c r="CW283" s="189"/>
      <c r="CX283" s="189"/>
      <c r="CY283" s="14"/>
      <c r="CZ283" s="14"/>
      <c r="DA283" s="14"/>
      <c r="DB283" s="14"/>
      <c r="DC283" s="14"/>
      <c r="DD283" s="14"/>
      <c r="DE283" s="14"/>
      <c r="DF283" s="14"/>
      <c r="DG283" s="129"/>
      <c r="DH283" s="14"/>
      <c r="DI283" s="47"/>
      <c r="DJ283" s="14"/>
      <c r="DK283" s="107" t="s">
        <v>38</v>
      </c>
      <c r="DL283" s="41" t="str">
        <f t="shared" ref="DL283:DQ283" si="232">IF(OR(DL$253=0,DL251=0),"",DL251/DL$253/6)</f>
        <v/>
      </c>
      <c r="DM283" s="41" t="str">
        <f t="shared" si="232"/>
        <v/>
      </c>
      <c r="DN283" s="118" t="str">
        <f t="shared" si="232"/>
        <v/>
      </c>
      <c r="DO283" s="41">
        <f t="shared" si="232"/>
        <v>8.3333333333333329E-2</v>
      </c>
      <c r="DP283" s="41" t="str">
        <f t="shared" si="232"/>
        <v/>
      </c>
      <c r="DQ283" s="118" t="str">
        <f t="shared" si="232"/>
        <v/>
      </c>
      <c r="DR283" s="41">
        <f>SUM(DL283:DQ283)</f>
        <v>8.3333333333333329E-2</v>
      </c>
      <c r="DS283" s="14"/>
      <c r="DT283" s="14"/>
      <c r="DU283" s="14"/>
      <c r="DV283" s="14"/>
      <c r="DW283" s="14"/>
      <c r="DX283" s="14"/>
      <c r="DY283" s="14"/>
      <c r="DZ283" s="14"/>
      <c r="EA283" s="14"/>
      <c r="EB283" s="14"/>
      <c r="EC283" s="14"/>
      <c r="ED283" s="14"/>
      <c r="EE283" s="14"/>
      <c r="EF283" s="14"/>
      <c r="EG283" s="14"/>
      <c r="EH283" s="14"/>
      <c r="EI283" s="14"/>
      <c r="EJ283" s="14"/>
      <c r="EK283" s="14"/>
      <c r="EL283" s="14"/>
    </row>
    <row r="284" spans="1:142" x14ac:dyDescent="0.25">
      <c r="A284" s="14"/>
      <c r="B284" s="107" t="s">
        <v>39</v>
      </c>
      <c r="C284" s="41">
        <f t="shared" si="220"/>
        <v>6.6666666666666666E-2</v>
      </c>
      <c r="D284" s="41" t="str">
        <f t="shared" si="220"/>
        <v/>
      </c>
      <c r="E284" s="118" t="str">
        <f t="shared" si="220"/>
        <v/>
      </c>
      <c r="F284" s="41" t="str">
        <f t="shared" si="220"/>
        <v/>
      </c>
      <c r="G284" s="41" t="str">
        <f t="shared" si="220"/>
        <v/>
      </c>
      <c r="H284" s="118" t="str">
        <f t="shared" si="220"/>
        <v/>
      </c>
      <c r="I284" s="41">
        <f>SUM(C284:H284)</f>
        <v>6.6666666666666666E-2</v>
      </c>
      <c r="J284" s="14"/>
      <c r="K284" s="14"/>
      <c r="L284" s="14"/>
      <c r="M284" s="14"/>
      <c r="N284" s="14"/>
      <c r="O284" s="14"/>
      <c r="P284" s="14"/>
      <c r="Q284" s="47"/>
      <c r="R284" s="14"/>
      <c r="S284" s="107" t="s">
        <v>3</v>
      </c>
      <c r="T284" s="41" t="str">
        <f t="shared" si="221"/>
        <v/>
      </c>
      <c r="U284" s="41">
        <f t="shared" si="221"/>
        <v>8.3333333333333329E-2</v>
      </c>
      <c r="V284" s="118">
        <f t="shared" si="221"/>
        <v>0.16666666666666666</v>
      </c>
      <c r="W284" s="41" t="str">
        <f t="shared" si="221"/>
        <v/>
      </c>
      <c r="X284" s="41" t="str">
        <f t="shared" si="221"/>
        <v/>
      </c>
      <c r="Y284" s="118" t="str">
        <f t="shared" si="221"/>
        <v/>
      </c>
      <c r="Z284" s="41">
        <f t="shared" si="226"/>
        <v>0.25</v>
      </c>
      <c r="AA284" s="35"/>
      <c r="AB284" s="35"/>
      <c r="AC284" s="35"/>
      <c r="AD284" s="65"/>
      <c r="AE284" s="63"/>
      <c r="AF284" s="352"/>
      <c r="AG284" s="14"/>
      <c r="AH284" s="107" t="s">
        <v>3</v>
      </c>
      <c r="AI284" s="41" t="str">
        <f t="shared" si="222"/>
        <v/>
      </c>
      <c r="AJ284" s="41" t="str">
        <f t="shared" si="222"/>
        <v/>
      </c>
      <c r="AK284" s="118">
        <f t="shared" si="222"/>
        <v>8.3333333333333329E-2</v>
      </c>
      <c r="AL284" s="41">
        <f t="shared" si="222"/>
        <v>8.3333333333333329E-2</v>
      </c>
      <c r="AM284" s="41" t="str">
        <f t="shared" si="222"/>
        <v/>
      </c>
      <c r="AN284" s="118">
        <f t="shared" si="222"/>
        <v>0.16666666666666666</v>
      </c>
      <c r="AO284" s="41">
        <f t="shared" si="227"/>
        <v>0.33333333333333331</v>
      </c>
      <c r="AP284" s="35"/>
      <c r="AQ284" s="35"/>
      <c r="AR284" s="35"/>
      <c r="AS284" s="65"/>
      <c r="AT284" s="63"/>
      <c r="AU284" s="352"/>
      <c r="AV284" s="14"/>
      <c r="AW284" s="107" t="s">
        <v>3</v>
      </c>
      <c r="AX284" s="41" t="str">
        <f t="shared" si="223"/>
        <v/>
      </c>
      <c r="AY284" s="41" t="str">
        <f t="shared" si="223"/>
        <v/>
      </c>
      <c r="AZ284" s="118">
        <f t="shared" si="223"/>
        <v>8.3333333333333329E-2</v>
      </c>
      <c r="BA284" s="41" t="str">
        <f t="shared" si="223"/>
        <v/>
      </c>
      <c r="BB284" s="41" t="str">
        <f t="shared" si="223"/>
        <v/>
      </c>
      <c r="BC284" s="118" t="str">
        <f t="shared" si="223"/>
        <v/>
      </c>
      <c r="BD284" s="41">
        <f t="shared" si="228"/>
        <v>8.3333333333333329E-2</v>
      </c>
      <c r="BE284" s="35"/>
      <c r="BF284" s="35"/>
      <c r="BG284" s="35"/>
      <c r="BH284" s="65"/>
      <c r="BI284" s="63"/>
      <c r="BJ284" s="352"/>
      <c r="BK284" s="14"/>
      <c r="BL284" s="107" t="s">
        <v>3</v>
      </c>
      <c r="BM284" s="41">
        <f t="shared" si="224"/>
        <v>4.1666666666666664E-2</v>
      </c>
      <c r="BN284" s="41" t="str">
        <f t="shared" si="224"/>
        <v/>
      </c>
      <c r="BO284" s="118">
        <f t="shared" si="224"/>
        <v>8.3333333333333329E-2</v>
      </c>
      <c r="BP284" s="41" t="str">
        <f t="shared" si="224"/>
        <v/>
      </c>
      <c r="BQ284" s="41" t="str">
        <f t="shared" si="224"/>
        <v/>
      </c>
      <c r="BR284" s="118" t="str">
        <f t="shared" si="224"/>
        <v/>
      </c>
      <c r="BS284" s="41">
        <f t="shared" si="229"/>
        <v>0.125</v>
      </c>
      <c r="BT284" s="35"/>
      <c r="BU284" s="35"/>
      <c r="BV284" s="35"/>
      <c r="BW284" s="65"/>
      <c r="BX284" s="63"/>
      <c r="BY284" s="352"/>
      <c r="BZ284" s="14"/>
      <c r="CA284" s="14"/>
      <c r="CB284" s="21"/>
      <c r="CC284" s="21"/>
      <c r="CD284" s="180"/>
      <c r="CE284" s="180"/>
      <c r="CF284" s="21"/>
      <c r="CG284" s="14"/>
      <c r="CH284" s="14"/>
      <c r="CI284" s="14"/>
      <c r="CJ284" s="14"/>
      <c r="CK284" s="14"/>
      <c r="CL284" s="14"/>
      <c r="CM284" s="14"/>
      <c r="CN284" s="14"/>
      <c r="CO284" s="129"/>
      <c r="CP284" s="14"/>
      <c r="CQ284" s="47"/>
      <c r="CR284" s="14"/>
      <c r="CS284" s="14"/>
      <c r="CT284" s="14"/>
      <c r="CU284" s="14"/>
      <c r="CV284" s="180"/>
      <c r="CW284" s="189"/>
      <c r="CX284" s="189"/>
      <c r="CY284" s="14"/>
      <c r="CZ284" s="14"/>
      <c r="DA284" s="14"/>
      <c r="DB284" s="14"/>
      <c r="DC284" s="14"/>
      <c r="DD284" s="14"/>
      <c r="DE284" s="14"/>
      <c r="DF284" s="14"/>
      <c r="DG284" s="129"/>
      <c r="DH284" s="14"/>
      <c r="DI284" s="47"/>
      <c r="DJ284" s="14"/>
      <c r="DK284" s="107" t="s">
        <v>39</v>
      </c>
      <c r="DL284" s="41">
        <f t="shared" ref="DL284:DQ284" si="233">IF(OR(DL$253=0,DL252=0),"",DL252/DL$253/6)</f>
        <v>3.3333333333333333E-2</v>
      </c>
      <c r="DM284" s="41" t="str">
        <f t="shared" si="233"/>
        <v/>
      </c>
      <c r="DN284" s="118" t="str">
        <f t="shared" si="233"/>
        <v/>
      </c>
      <c r="DO284" s="41" t="str">
        <f t="shared" si="233"/>
        <v/>
      </c>
      <c r="DP284" s="41" t="str">
        <f t="shared" si="233"/>
        <v/>
      </c>
      <c r="DQ284" s="118" t="str">
        <f t="shared" si="233"/>
        <v/>
      </c>
      <c r="DR284" s="41">
        <f>SUM(DL284:DQ284)</f>
        <v>3.3333333333333333E-2</v>
      </c>
      <c r="DS284" s="14"/>
      <c r="DT284" s="14"/>
      <c r="DU284" s="14"/>
      <c r="DV284" s="14"/>
      <c r="DW284" s="14"/>
      <c r="DX284" s="14"/>
      <c r="DY284" s="14"/>
      <c r="DZ284" s="14"/>
      <c r="EA284" s="14"/>
      <c r="EB284" s="14"/>
      <c r="EC284" s="14"/>
      <c r="ED284" s="14"/>
      <c r="EE284" s="14"/>
      <c r="EF284" s="14"/>
      <c r="EG284" s="14"/>
      <c r="EH284" s="14"/>
      <c r="EI284" s="14"/>
      <c r="EJ284" s="14"/>
      <c r="EK284" s="14"/>
      <c r="EL284" s="14"/>
    </row>
    <row r="285" spans="1:142" x14ac:dyDescent="0.25">
      <c r="A285" s="14"/>
      <c r="B285" s="86" t="s">
        <v>8</v>
      </c>
      <c r="C285" s="119">
        <f t="shared" ref="C285:I285" si="234">SUM(C280:C284)</f>
        <v>0.16666666666666669</v>
      </c>
      <c r="D285" s="119">
        <f t="shared" si="234"/>
        <v>0.16666666666666666</v>
      </c>
      <c r="E285" s="119">
        <f t="shared" si="234"/>
        <v>0.16666666666666666</v>
      </c>
      <c r="F285" s="119">
        <f t="shared" si="234"/>
        <v>0.16666666666666666</v>
      </c>
      <c r="G285" s="119">
        <f t="shared" si="234"/>
        <v>0.16666666666666666</v>
      </c>
      <c r="H285" s="119">
        <f t="shared" si="234"/>
        <v>0.16666666666666666</v>
      </c>
      <c r="I285" s="119">
        <f t="shared" si="234"/>
        <v>0.99999999999999989</v>
      </c>
      <c r="J285" s="14"/>
      <c r="K285" s="14"/>
      <c r="L285" s="14"/>
      <c r="M285" s="14"/>
      <c r="N285" s="14"/>
      <c r="O285" s="14"/>
      <c r="P285" s="14"/>
      <c r="Q285" s="47"/>
      <c r="R285" s="14"/>
      <c r="S285" s="107" t="s">
        <v>54</v>
      </c>
      <c r="T285" s="41" t="str">
        <f t="shared" si="221"/>
        <v/>
      </c>
      <c r="U285" s="41" t="str">
        <f t="shared" si="221"/>
        <v/>
      </c>
      <c r="V285" s="118" t="str">
        <f t="shared" si="221"/>
        <v/>
      </c>
      <c r="W285" s="41" t="str">
        <f t="shared" si="221"/>
        <v/>
      </c>
      <c r="X285" s="41" t="str">
        <f t="shared" si="221"/>
        <v/>
      </c>
      <c r="Y285" s="118">
        <f t="shared" si="221"/>
        <v>0.16666666666666666</v>
      </c>
      <c r="Z285" s="41">
        <f t="shared" si="226"/>
        <v>0.16666666666666666</v>
      </c>
      <c r="AA285" s="35"/>
      <c r="AB285" s="35"/>
      <c r="AC285" s="35"/>
      <c r="AD285" s="65"/>
      <c r="AE285" s="63"/>
      <c r="AF285" s="352"/>
      <c r="AG285" s="14"/>
      <c r="AH285" s="107" t="s">
        <v>54</v>
      </c>
      <c r="AI285" s="41" t="str">
        <f t="shared" si="222"/>
        <v/>
      </c>
      <c r="AJ285" s="41">
        <f t="shared" si="222"/>
        <v>5.5555555555555552E-2</v>
      </c>
      <c r="AK285" s="118" t="str">
        <f t="shared" si="222"/>
        <v/>
      </c>
      <c r="AL285" s="41" t="str">
        <f t="shared" si="222"/>
        <v/>
      </c>
      <c r="AM285" s="41" t="str">
        <f t="shared" si="222"/>
        <v/>
      </c>
      <c r="AN285" s="118" t="str">
        <f t="shared" si="222"/>
        <v/>
      </c>
      <c r="AO285" s="41">
        <f t="shared" si="227"/>
        <v>5.5555555555555552E-2</v>
      </c>
      <c r="AP285" s="35"/>
      <c r="AQ285" s="35"/>
      <c r="AR285" s="35"/>
      <c r="AS285" s="65"/>
      <c r="AT285" s="63"/>
      <c r="AU285" s="352"/>
      <c r="AV285" s="14"/>
      <c r="AW285" s="107" t="s">
        <v>54</v>
      </c>
      <c r="AX285" s="41" t="str">
        <f t="shared" si="223"/>
        <v/>
      </c>
      <c r="AY285" s="41">
        <f t="shared" si="223"/>
        <v>5.5555555555555552E-2</v>
      </c>
      <c r="AZ285" s="118" t="str">
        <f t="shared" si="223"/>
        <v/>
      </c>
      <c r="BA285" s="41">
        <f t="shared" si="223"/>
        <v>8.3333333333333329E-2</v>
      </c>
      <c r="BB285" s="41" t="str">
        <f t="shared" si="223"/>
        <v/>
      </c>
      <c r="BC285" s="118">
        <f t="shared" si="223"/>
        <v>0.16666666666666666</v>
      </c>
      <c r="BD285" s="41">
        <f t="shared" si="228"/>
        <v>0.30555555555555558</v>
      </c>
      <c r="BE285" s="35"/>
      <c r="BF285" s="35"/>
      <c r="BG285" s="35"/>
      <c r="BH285" s="65"/>
      <c r="BI285" s="63"/>
      <c r="BJ285" s="352"/>
      <c r="BK285" s="14"/>
      <c r="BL285" s="107" t="s">
        <v>54</v>
      </c>
      <c r="BM285" s="41" t="str">
        <f t="shared" si="224"/>
        <v/>
      </c>
      <c r="BN285" s="41">
        <f t="shared" si="224"/>
        <v>5.5555555555555552E-2</v>
      </c>
      <c r="BO285" s="118" t="str">
        <f t="shared" si="224"/>
        <v/>
      </c>
      <c r="BP285" s="41">
        <f t="shared" si="224"/>
        <v>8.3333333333333329E-2</v>
      </c>
      <c r="BQ285" s="41" t="str">
        <f t="shared" si="224"/>
        <v/>
      </c>
      <c r="BR285" s="118">
        <f t="shared" si="224"/>
        <v>0.16666666666666666</v>
      </c>
      <c r="BS285" s="41">
        <f t="shared" si="229"/>
        <v>0.30555555555555558</v>
      </c>
      <c r="BT285" s="35"/>
      <c r="BU285" s="35"/>
      <c r="BV285" s="35"/>
      <c r="BW285" s="65"/>
      <c r="BX285" s="63"/>
      <c r="BY285" s="352"/>
      <c r="BZ285" s="14"/>
      <c r="CA285" s="14"/>
      <c r="CB285" s="21"/>
      <c r="CC285" s="21"/>
      <c r="CD285" s="180"/>
      <c r="CE285" s="180"/>
      <c r="CF285" s="21"/>
      <c r="CG285" s="14"/>
      <c r="CH285" s="14"/>
      <c r="CI285" s="14"/>
      <c r="CJ285" s="14"/>
      <c r="CK285" s="14"/>
      <c r="CL285" s="14"/>
      <c r="CM285" s="14"/>
      <c r="CN285" s="14"/>
      <c r="CO285" s="129"/>
      <c r="CP285" s="14"/>
      <c r="CQ285" s="47"/>
      <c r="CR285" s="14"/>
      <c r="CS285" s="14"/>
      <c r="CT285" s="14"/>
      <c r="CU285" s="14"/>
      <c r="CV285" s="180"/>
      <c r="CW285" s="189"/>
      <c r="CX285" s="189"/>
      <c r="CY285" s="14"/>
      <c r="CZ285" s="14"/>
      <c r="DA285" s="14"/>
      <c r="DB285" s="14"/>
      <c r="DC285" s="14"/>
      <c r="DD285" s="14"/>
      <c r="DE285" s="14"/>
      <c r="DF285" s="14"/>
      <c r="DG285" s="129"/>
      <c r="DH285" s="14"/>
      <c r="DI285" s="47"/>
      <c r="DJ285" s="14"/>
      <c r="DK285" s="86" t="s">
        <v>8</v>
      </c>
      <c r="DL285" s="119">
        <f t="shared" ref="DL285:DR285" si="235">SUM(DL280:DL284)</f>
        <v>0.16666666666666666</v>
      </c>
      <c r="DM285" s="119">
        <f t="shared" si="235"/>
        <v>0.16666666666666666</v>
      </c>
      <c r="DN285" s="119">
        <f t="shared" si="235"/>
        <v>0.16666666666666666</v>
      </c>
      <c r="DO285" s="119">
        <f t="shared" si="235"/>
        <v>0.16666666666666666</v>
      </c>
      <c r="DP285" s="119">
        <f t="shared" si="235"/>
        <v>0.16666666666666666</v>
      </c>
      <c r="DQ285" s="119">
        <f t="shared" si="235"/>
        <v>0.16666666666666666</v>
      </c>
      <c r="DR285" s="119">
        <f t="shared" si="235"/>
        <v>0.99999999999999989</v>
      </c>
      <c r="DS285" s="14"/>
      <c r="DT285" s="14"/>
      <c r="DU285" s="14"/>
      <c r="DV285" s="14"/>
      <c r="DW285" s="14"/>
      <c r="DX285" s="14"/>
      <c r="DY285" s="14"/>
      <c r="DZ285" s="14"/>
      <c r="EA285" s="14"/>
      <c r="EB285" s="14"/>
      <c r="EC285" s="14"/>
      <c r="ED285" s="14"/>
      <c r="EE285" s="14"/>
      <c r="EF285" s="14"/>
      <c r="EG285" s="14"/>
      <c r="EH285" s="14"/>
      <c r="EI285" s="14"/>
      <c r="EJ285" s="14"/>
      <c r="EK285" s="14"/>
      <c r="EL285" s="14"/>
    </row>
    <row r="286" spans="1:142" x14ac:dyDescent="0.25">
      <c r="A286" s="14"/>
      <c r="B286" s="107"/>
      <c r="C286" s="41"/>
      <c r="D286" s="41"/>
      <c r="E286" s="118"/>
      <c r="F286" s="41"/>
      <c r="G286" s="41"/>
      <c r="H286" s="118"/>
      <c r="I286" s="41"/>
      <c r="J286" s="14"/>
      <c r="K286" s="14"/>
      <c r="L286" s="14"/>
      <c r="M286" s="14"/>
      <c r="N286" s="14"/>
      <c r="O286" s="14"/>
      <c r="P286" s="14"/>
      <c r="Q286" s="47"/>
      <c r="R286" s="14"/>
      <c r="S286" s="107" t="s">
        <v>39</v>
      </c>
      <c r="T286" s="41">
        <f t="shared" si="221"/>
        <v>6.6666666666666666E-2</v>
      </c>
      <c r="U286" s="41" t="str">
        <f t="shared" si="221"/>
        <v/>
      </c>
      <c r="V286" s="118" t="str">
        <f t="shared" si="221"/>
        <v/>
      </c>
      <c r="W286" s="41" t="str">
        <f t="shared" si="221"/>
        <v/>
      </c>
      <c r="X286" s="41" t="str">
        <f t="shared" si="221"/>
        <v/>
      </c>
      <c r="Y286" s="118" t="str">
        <f t="shared" si="221"/>
        <v/>
      </c>
      <c r="Z286" s="41">
        <f t="shared" si="226"/>
        <v>6.6666666666666666E-2</v>
      </c>
      <c r="AA286" s="35"/>
      <c r="AB286" s="35"/>
      <c r="AC286" s="35"/>
      <c r="AD286" s="65"/>
      <c r="AE286" s="63"/>
      <c r="AF286" s="352"/>
      <c r="AG286" s="14"/>
      <c r="AH286" s="107" t="s">
        <v>39</v>
      </c>
      <c r="AI286" s="41" t="str">
        <f t="shared" si="222"/>
        <v/>
      </c>
      <c r="AJ286" s="41" t="str">
        <f t="shared" si="222"/>
        <v/>
      </c>
      <c r="AK286" s="118" t="str">
        <f t="shared" si="222"/>
        <v/>
      </c>
      <c r="AL286" s="41" t="str">
        <f t="shared" si="222"/>
        <v/>
      </c>
      <c r="AM286" s="41" t="str">
        <f t="shared" si="222"/>
        <v/>
      </c>
      <c r="AN286" s="118" t="str">
        <f t="shared" si="222"/>
        <v/>
      </c>
      <c r="AO286" s="41">
        <f t="shared" si="227"/>
        <v>0</v>
      </c>
      <c r="AP286" s="35"/>
      <c r="AQ286" s="35"/>
      <c r="AR286" s="35"/>
      <c r="AS286" s="65"/>
      <c r="AT286" s="63"/>
      <c r="AU286" s="352"/>
      <c r="AV286" s="14"/>
      <c r="AW286" s="107" t="s">
        <v>39</v>
      </c>
      <c r="AX286" s="41" t="str">
        <f t="shared" si="223"/>
        <v/>
      </c>
      <c r="AY286" s="41" t="str">
        <f t="shared" si="223"/>
        <v/>
      </c>
      <c r="AZ286" s="118" t="str">
        <f t="shared" si="223"/>
        <v/>
      </c>
      <c r="BA286" s="41" t="str">
        <f t="shared" si="223"/>
        <v/>
      </c>
      <c r="BB286" s="41" t="str">
        <f t="shared" si="223"/>
        <v/>
      </c>
      <c r="BC286" s="118" t="str">
        <f t="shared" si="223"/>
        <v/>
      </c>
      <c r="BD286" s="41">
        <f t="shared" si="228"/>
        <v>0</v>
      </c>
      <c r="BE286" s="35"/>
      <c r="BF286" s="35"/>
      <c r="BG286" s="35"/>
      <c r="BH286" s="65"/>
      <c r="BI286" s="63"/>
      <c r="BJ286" s="352"/>
      <c r="BK286" s="14"/>
      <c r="BL286" s="107" t="s">
        <v>39</v>
      </c>
      <c r="BM286" s="41" t="str">
        <f t="shared" si="224"/>
        <v/>
      </c>
      <c r="BN286" s="41" t="str">
        <f t="shared" si="224"/>
        <v/>
      </c>
      <c r="BO286" s="118" t="str">
        <f t="shared" si="224"/>
        <v/>
      </c>
      <c r="BP286" s="41" t="str">
        <f t="shared" si="224"/>
        <v/>
      </c>
      <c r="BQ286" s="41" t="str">
        <f t="shared" si="224"/>
        <v/>
      </c>
      <c r="BR286" s="118" t="str">
        <f t="shared" si="224"/>
        <v/>
      </c>
      <c r="BS286" s="41">
        <f t="shared" si="229"/>
        <v>0</v>
      </c>
      <c r="BT286" s="35"/>
      <c r="BU286" s="35"/>
      <c r="BV286" s="35"/>
      <c r="BW286" s="65"/>
      <c r="BX286" s="63"/>
      <c r="BY286" s="352"/>
      <c r="BZ286" s="14"/>
      <c r="CA286" s="14"/>
      <c r="CB286" s="21"/>
      <c r="CC286" s="21"/>
      <c r="CD286" s="180"/>
      <c r="CE286" s="180"/>
      <c r="CF286" s="21"/>
      <c r="CG286" s="14"/>
      <c r="CH286" s="14"/>
      <c r="CI286" s="14"/>
      <c r="CJ286" s="14"/>
      <c r="CK286" s="14"/>
      <c r="CL286" s="14"/>
      <c r="CM286" s="14"/>
      <c r="CN286" s="14"/>
      <c r="CO286" s="129"/>
      <c r="CP286" s="14"/>
      <c r="CQ286" s="47"/>
      <c r="CR286" s="14"/>
      <c r="CS286" s="14"/>
      <c r="CT286" s="14"/>
      <c r="CU286" s="14"/>
      <c r="CV286" s="180"/>
      <c r="CW286" s="189"/>
      <c r="CX286" s="189"/>
      <c r="CY286" s="14"/>
      <c r="CZ286" s="14"/>
      <c r="DA286" s="14"/>
      <c r="DB286" s="14"/>
      <c r="DC286" s="14"/>
      <c r="DD286" s="14"/>
      <c r="DE286" s="14"/>
      <c r="DF286" s="14"/>
      <c r="DG286" s="129"/>
      <c r="DH286" s="14"/>
      <c r="DI286" s="47"/>
      <c r="DJ286" s="14"/>
      <c r="DK286" s="107"/>
      <c r="DL286" s="41"/>
      <c r="DM286" s="41"/>
      <c r="DN286" s="118"/>
      <c r="DO286" s="41"/>
      <c r="DP286" s="41"/>
      <c r="DQ286" s="118"/>
      <c r="DR286" s="41"/>
      <c r="DS286" s="14"/>
      <c r="DT286" s="14"/>
      <c r="DU286" s="14"/>
      <c r="DV286" s="14"/>
      <c r="DW286" s="14"/>
      <c r="DX286" s="14"/>
      <c r="DY286" s="14"/>
      <c r="DZ286" s="14"/>
      <c r="EA286" s="14"/>
      <c r="EB286" s="14"/>
      <c r="EC286" s="14"/>
      <c r="ED286" s="14"/>
      <c r="EE286" s="14"/>
      <c r="EF286" s="14"/>
      <c r="EG286" s="14"/>
      <c r="EH286" s="14"/>
      <c r="EI286" s="14"/>
      <c r="EJ286" s="14"/>
      <c r="EK286" s="14"/>
      <c r="EL286" s="14"/>
    </row>
    <row r="287" spans="1:142" x14ac:dyDescent="0.25">
      <c r="A287" s="14"/>
      <c r="B287" s="103"/>
      <c r="C287" s="120"/>
      <c r="D287" s="120"/>
      <c r="E287" s="120"/>
      <c r="F287" s="120"/>
      <c r="G287" s="120"/>
      <c r="H287" s="120"/>
      <c r="I287" s="120"/>
      <c r="J287" s="14"/>
      <c r="K287" s="14"/>
      <c r="L287" s="14"/>
      <c r="M287" s="14"/>
      <c r="N287" s="14"/>
      <c r="O287" s="14"/>
      <c r="P287" s="14"/>
      <c r="Q287" s="47"/>
      <c r="R287" s="14"/>
      <c r="S287" s="86" t="s">
        <v>8</v>
      </c>
      <c r="T287" s="119">
        <f t="shared" ref="T287:Y287" si="236">SUM(T280:T286)</f>
        <v>0.16666666666666669</v>
      </c>
      <c r="U287" s="119">
        <f t="shared" si="236"/>
        <v>0.16666666666666666</v>
      </c>
      <c r="V287" s="119">
        <f t="shared" si="236"/>
        <v>0.16666666666666666</v>
      </c>
      <c r="W287" s="119">
        <f t="shared" si="236"/>
        <v>0.16666666666666666</v>
      </c>
      <c r="X287" s="119">
        <f t="shared" si="236"/>
        <v>0.16666666666666666</v>
      </c>
      <c r="Y287" s="119">
        <f t="shared" si="236"/>
        <v>0.16666666666666666</v>
      </c>
      <c r="Z287" s="119">
        <f>SUM(T287:Y287)</f>
        <v>0.99999999999999989</v>
      </c>
      <c r="AA287" s="35"/>
      <c r="AB287" s="35"/>
      <c r="AC287" s="35"/>
      <c r="AD287" s="65"/>
      <c r="AE287" s="63"/>
      <c r="AF287" s="352"/>
      <c r="AG287" s="14"/>
      <c r="AH287" s="86" t="s">
        <v>8</v>
      </c>
      <c r="AI287" s="119">
        <f t="shared" ref="AI287:AN287" si="237">SUM(AI280:AI286)</f>
        <v>0.16666666666666666</v>
      </c>
      <c r="AJ287" s="119">
        <f t="shared" si="237"/>
        <v>0.16666666666666666</v>
      </c>
      <c r="AK287" s="119">
        <f t="shared" si="237"/>
        <v>0.16666666666666666</v>
      </c>
      <c r="AL287" s="119">
        <f t="shared" si="237"/>
        <v>0.16666666666666666</v>
      </c>
      <c r="AM287" s="119">
        <f t="shared" si="237"/>
        <v>0</v>
      </c>
      <c r="AN287" s="119">
        <f t="shared" si="237"/>
        <v>0.16666666666666666</v>
      </c>
      <c r="AO287" s="119">
        <f>SUM(AI287:AN287)</f>
        <v>0.83333333333333326</v>
      </c>
      <c r="AP287" s="35"/>
      <c r="AQ287" s="35"/>
      <c r="AR287" s="35"/>
      <c r="AS287" s="65"/>
      <c r="AT287" s="63"/>
      <c r="AU287" s="352"/>
      <c r="AV287" s="14"/>
      <c r="AW287" s="86" t="s">
        <v>8</v>
      </c>
      <c r="AX287" s="119">
        <f t="shared" ref="AX287:BC287" si="238">SUM(AX280:AX286)</f>
        <v>0.16666666666666666</v>
      </c>
      <c r="AY287" s="119">
        <f t="shared" si="238"/>
        <v>0.16666666666666666</v>
      </c>
      <c r="AZ287" s="119">
        <f t="shared" si="238"/>
        <v>0.16666666666666666</v>
      </c>
      <c r="BA287" s="119">
        <f t="shared" si="238"/>
        <v>0.16666666666666666</v>
      </c>
      <c r="BB287" s="119">
        <f t="shared" si="238"/>
        <v>0</v>
      </c>
      <c r="BC287" s="119">
        <f t="shared" si="238"/>
        <v>0.16666666666666666</v>
      </c>
      <c r="BD287" s="119">
        <f>SUM(AX287:BC287)</f>
        <v>0.83333333333333326</v>
      </c>
      <c r="BE287" s="35"/>
      <c r="BF287" s="35"/>
      <c r="BG287" s="35"/>
      <c r="BH287" s="65"/>
      <c r="BI287" s="63"/>
      <c r="BJ287" s="352"/>
      <c r="BK287" s="14"/>
      <c r="BL287" s="86" t="s">
        <v>8</v>
      </c>
      <c r="BM287" s="119">
        <f t="shared" ref="BM287:BR287" si="239">SUM(BM280:BM286)</f>
        <v>0.16666666666666666</v>
      </c>
      <c r="BN287" s="119">
        <f t="shared" si="239"/>
        <v>0.16666666666666666</v>
      </c>
      <c r="BO287" s="119">
        <f t="shared" si="239"/>
        <v>0.16666666666666666</v>
      </c>
      <c r="BP287" s="119">
        <f t="shared" si="239"/>
        <v>0.16666666666666666</v>
      </c>
      <c r="BQ287" s="119">
        <f t="shared" si="239"/>
        <v>0</v>
      </c>
      <c r="BR287" s="119">
        <f t="shared" si="239"/>
        <v>0.16666666666666666</v>
      </c>
      <c r="BS287" s="119">
        <f>SUM(BM287:BR287)</f>
        <v>0.83333333333333326</v>
      </c>
      <c r="BT287" s="35"/>
      <c r="BU287" s="35"/>
      <c r="BV287" s="35"/>
      <c r="BW287" s="65"/>
      <c r="BX287" s="63"/>
      <c r="BY287" s="352"/>
      <c r="BZ287" s="14"/>
      <c r="CA287" s="14"/>
      <c r="CB287" s="21"/>
      <c r="CC287" s="21"/>
      <c r="CD287" s="180"/>
      <c r="CE287" s="180"/>
      <c r="CF287" s="21"/>
      <c r="CG287" s="14"/>
      <c r="CH287" s="14"/>
      <c r="CI287" s="14"/>
      <c r="CJ287" s="14"/>
      <c r="CK287" s="14"/>
      <c r="CL287" s="14"/>
      <c r="CM287" s="14"/>
      <c r="CN287" s="14"/>
      <c r="CO287" s="129"/>
      <c r="CP287" s="14"/>
      <c r="CQ287" s="47"/>
      <c r="CR287" s="14"/>
      <c r="CS287" s="14"/>
      <c r="CT287" s="14"/>
      <c r="CU287" s="14"/>
      <c r="CV287" s="180"/>
      <c r="CW287" s="189"/>
      <c r="CX287" s="189"/>
      <c r="CY287" s="14"/>
      <c r="CZ287" s="14"/>
      <c r="DA287" s="14"/>
      <c r="DB287" s="14"/>
      <c r="DC287" s="14"/>
      <c r="DD287" s="14"/>
      <c r="DE287" s="14"/>
      <c r="DF287" s="14"/>
      <c r="DG287" s="129"/>
      <c r="DH287" s="14"/>
      <c r="DI287" s="47"/>
      <c r="DJ287" s="14"/>
      <c r="DK287" s="103"/>
      <c r="DL287" s="120"/>
      <c r="DM287" s="120"/>
      <c r="DN287" s="120"/>
      <c r="DO287" s="120"/>
      <c r="DP287" s="120"/>
      <c r="DQ287" s="120"/>
      <c r="DR287" s="120"/>
      <c r="DS287" s="14"/>
      <c r="DT287" s="14"/>
      <c r="DU287" s="14"/>
      <c r="DV287" s="14"/>
      <c r="DW287" s="14"/>
      <c r="DX287" s="14"/>
      <c r="DY287" s="14"/>
      <c r="DZ287" s="14"/>
      <c r="EA287" s="14"/>
      <c r="EB287" s="14"/>
      <c r="EC287" s="14"/>
      <c r="ED287" s="14"/>
      <c r="EE287" s="14"/>
      <c r="EF287" s="14"/>
      <c r="EG287" s="14"/>
      <c r="EH287" s="14"/>
      <c r="EI287" s="14"/>
      <c r="EJ287" s="14"/>
      <c r="EK287" s="14"/>
      <c r="EL287" s="14"/>
    </row>
    <row r="288" spans="1:142" x14ac:dyDescent="0.25">
      <c r="A288" s="14"/>
      <c r="B288" s="19"/>
      <c r="C288" s="19"/>
      <c r="D288" s="19"/>
      <c r="E288" s="19"/>
      <c r="F288" s="19"/>
      <c r="G288" s="19"/>
      <c r="H288" s="19"/>
      <c r="I288" s="19"/>
      <c r="J288" s="14"/>
      <c r="K288" s="14"/>
      <c r="L288" s="14"/>
      <c r="M288" s="14"/>
      <c r="N288" s="14"/>
      <c r="O288" s="14"/>
      <c r="P288" s="14"/>
      <c r="Q288" s="47"/>
      <c r="R288" s="14"/>
      <c r="S288" s="19"/>
      <c r="T288" s="14"/>
      <c r="U288" s="14"/>
      <c r="V288" s="14"/>
      <c r="W288" s="14"/>
      <c r="X288" s="14"/>
      <c r="Y288" s="14"/>
      <c r="Z288" s="14"/>
      <c r="AA288" s="14"/>
      <c r="AB288" s="14"/>
      <c r="AC288" s="14"/>
      <c r="AD288" s="65"/>
      <c r="AE288" s="63"/>
      <c r="AF288" s="352"/>
      <c r="AG288" s="14"/>
      <c r="AH288" s="19"/>
      <c r="AI288" s="19"/>
      <c r="AJ288" s="19"/>
      <c r="AK288" s="19"/>
      <c r="AL288" s="19"/>
      <c r="AM288" s="19"/>
      <c r="AN288" s="19"/>
      <c r="AO288" s="19"/>
      <c r="AP288" s="14"/>
      <c r="AQ288" s="14"/>
      <c r="AR288" s="14"/>
      <c r="AS288" s="65"/>
      <c r="AT288" s="63"/>
      <c r="AU288" s="352"/>
      <c r="AV288" s="14"/>
      <c r="AW288" s="19"/>
      <c r="AX288" s="14"/>
      <c r="AY288" s="14"/>
      <c r="AZ288" s="14"/>
      <c r="BA288" s="14"/>
      <c r="BB288" s="14"/>
      <c r="BC288" s="14"/>
      <c r="BD288" s="14"/>
      <c r="BE288" s="14"/>
      <c r="BF288" s="14"/>
      <c r="BG288" s="14"/>
      <c r="BH288" s="65"/>
      <c r="BI288" s="63"/>
      <c r="BJ288" s="352"/>
      <c r="BK288" s="14"/>
      <c r="BL288" s="19"/>
      <c r="BM288" s="14"/>
      <c r="BN288" s="14"/>
      <c r="BO288" s="14"/>
      <c r="BP288" s="14"/>
      <c r="BQ288" s="14"/>
      <c r="BR288" s="14"/>
      <c r="BS288" s="14"/>
      <c r="BT288" s="14"/>
      <c r="BU288" s="14"/>
      <c r="BV288" s="14"/>
      <c r="BW288" s="65"/>
      <c r="BX288" s="63"/>
      <c r="BY288" s="352"/>
      <c r="BZ288" s="14"/>
      <c r="CA288" s="14"/>
      <c r="CB288" s="21"/>
      <c r="CC288" s="21"/>
      <c r="CD288" s="180"/>
      <c r="CE288" s="180"/>
      <c r="CF288" s="21"/>
      <c r="CG288" s="14"/>
      <c r="CH288" s="14"/>
      <c r="CI288" s="14"/>
      <c r="CJ288" s="14"/>
      <c r="CK288" s="14"/>
      <c r="CL288" s="14"/>
      <c r="CM288" s="14"/>
      <c r="CN288" s="14"/>
      <c r="CO288" s="129"/>
      <c r="CP288" s="14"/>
      <c r="CQ288" s="47"/>
      <c r="CR288" s="14"/>
      <c r="CS288" s="14"/>
      <c r="CT288" s="14"/>
      <c r="CU288" s="14"/>
      <c r="CV288" s="180"/>
      <c r="CW288" s="189"/>
      <c r="CX288" s="189"/>
      <c r="CY288" s="14"/>
      <c r="CZ288" s="14"/>
      <c r="DA288" s="14"/>
      <c r="DB288" s="14"/>
      <c r="DC288" s="14"/>
      <c r="DD288" s="14"/>
      <c r="DE288" s="14"/>
      <c r="DF288" s="14"/>
      <c r="DG288" s="129"/>
      <c r="DH288" s="14"/>
      <c r="DI288" s="47"/>
      <c r="DJ288" s="14"/>
      <c r="DK288" s="19"/>
      <c r="DL288" s="19"/>
      <c r="DM288" s="19"/>
      <c r="DN288" s="19"/>
      <c r="DO288" s="19"/>
      <c r="DP288" s="19"/>
      <c r="DQ288" s="19"/>
      <c r="DR288" s="19"/>
      <c r="DS288" s="14"/>
      <c r="DT288" s="14"/>
      <c r="DU288" s="14"/>
      <c r="DV288" s="14"/>
      <c r="DW288" s="14"/>
      <c r="DX288" s="14"/>
      <c r="DY288" s="14"/>
      <c r="DZ288" s="14"/>
      <c r="EA288" s="14"/>
      <c r="EB288" s="14"/>
      <c r="EC288" s="14"/>
      <c r="ED288" s="14"/>
      <c r="EE288" s="14"/>
      <c r="EF288" s="14"/>
      <c r="EG288" s="14"/>
      <c r="EH288" s="14"/>
      <c r="EI288" s="14"/>
      <c r="EJ288" s="14"/>
      <c r="EK288" s="14"/>
      <c r="EL288" s="14"/>
    </row>
    <row r="289" spans="1:142" x14ac:dyDescent="0.25">
      <c r="A289" s="14"/>
      <c r="B289" s="19"/>
      <c r="C289" s="40"/>
      <c r="D289" s="41"/>
      <c r="E289" s="40"/>
      <c r="F289" s="40"/>
      <c r="G289" s="40"/>
      <c r="H289" s="41"/>
      <c r="I289" s="72"/>
      <c r="J289" s="14"/>
      <c r="K289" s="14"/>
      <c r="L289" s="14"/>
      <c r="M289" s="14"/>
      <c r="N289" s="14"/>
      <c r="O289" s="14"/>
      <c r="P289" s="14"/>
      <c r="Q289" s="47"/>
      <c r="R289" s="14"/>
      <c r="S289" s="19"/>
      <c r="T289" s="14"/>
      <c r="U289" s="14"/>
      <c r="V289" s="14"/>
      <c r="W289" s="14"/>
      <c r="X289" s="14"/>
      <c r="Y289" s="14"/>
      <c r="Z289" s="14"/>
      <c r="AA289" s="14"/>
      <c r="AB289" s="14"/>
      <c r="AC289" s="14"/>
      <c r="AD289" s="65"/>
      <c r="AE289" s="63"/>
      <c r="AF289" s="352"/>
      <c r="AG289" s="14"/>
      <c r="AH289" s="19"/>
      <c r="AI289" s="14"/>
      <c r="AJ289" s="14"/>
      <c r="AK289" s="14"/>
      <c r="AL289" s="14"/>
      <c r="AM289" s="14"/>
      <c r="AN289" s="14"/>
      <c r="AO289" s="14"/>
      <c r="AP289" s="14"/>
      <c r="AQ289" s="14"/>
      <c r="AR289" s="14"/>
      <c r="AS289" s="65"/>
      <c r="AT289" s="63"/>
      <c r="AU289" s="352"/>
      <c r="AV289" s="14"/>
      <c r="AW289" s="19"/>
      <c r="AX289" s="14"/>
      <c r="AY289" s="14"/>
      <c r="AZ289" s="14"/>
      <c r="BA289" s="14"/>
      <c r="BB289" s="14"/>
      <c r="BC289" s="14"/>
      <c r="BD289" s="14"/>
      <c r="BE289" s="14"/>
      <c r="BF289" s="14"/>
      <c r="BG289" s="14"/>
      <c r="BH289" s="65"/>
      <c r="BI289" s="63"/>
      <c r="BJ289" s="352"/>
      <c r="BK289" s="14"/>
      <c r="BL289" s="19"/>
      <c r="BM289" s="14"/>
      <c r="BN289" s="14"/>
      <c r="BO289" s="14"/>
      <c r="BP289" s="14"/>
      <c r="BQ289" s="14"/>
      <c r="BR289" s="14"/>
      <c r="BS289" s="14"/>
      <c r="BT289" s="14"/>
      <c r="BU289" s="14"/>
      <c r="BV289" s="14"/>
      <c r="BW289" s="65"/>
      <c r="BX289" s="63"/>
      <c r="BY289" s="352"/>
      <c r="BZ289" s="14"/>
      <c r="CA289" s="14"/>
      <c r="CB289" s="21"/>
      <c r="CC289" s="21"/>
      <c r="CD289" s="180"/>
      <c r="CE289" s="180"/>
      <c r="CF289" s="21"/>
      <c r="CG289" s="14"/>
      <c r="CH289" s="14"/>
      <c r="CI289" s="14"/>
      <c r="CJ289" s="14"/>
      <c r="CK289" s="14"/>
      <c r="CL289" s="14"/>
      <c r="CM289" s="14"/>
      <c r="CN289" s="14"/>
      <c r="CO289" s="129"/>
      <c r="CP289" s="14"/>
      <c r="CQ289" s="47"/>
      <c r="CR289" s="14"/>
      <c r="CS289" s="14"/>
      <c r="CT289" s="14"/>
      <c r="CU289" s="14"/>
      <c r="CV289" s="180"/>
      <c r="CW289" s="189"/>
      <c r="CX289" s="189"/>
      <c r="CY289" s="14"/>
      <c r="CZ289" s="14"/>
      <c r="DA289" s="14"/>
      <c r="DB289" s="14"/>
      <c r="DC289" s="14"/>
      <c r="DD289" s="14"/>
      <c r="DE289" s="14"/>
      <c r="DF289" s="14"/>
      <c r="DG289" s="129"/>
      <c r="DH289" s="14"/>
      <c r="DI289" s="47"/>
      <c r="DJ289" s="14"/>
      <c r="DK289" s="19"/>
      <c r="DL289" s="40"/>
      <c r="DM289" s="41"/>
      <c r="DN289" s="40"/>
      <c r="DO289" s="40"/>
      <c r="DP289" s="40"/>
      <c r="DQ289" s="41"/>
      <c r="DR289" s="72"/>
      <c r="DS289" s="14"/>
      <c r="DT289" s="14"/>
      <c r="DU289" s="14"/>
      <c r="DV289" s="14"/>
      <c r="DW289" s="14"/>
      <c r="DX289" s="14"/>
      <c r="DY289" s="14"/>
      <c r="DZ289" s="14"/>
      <c r="EA289" s="14"/>
      <c r="EB289" s="14"/>
      <c r="EC289" s="14"/>
      <c r="ED289" s="14"/>
      <c r="EE289" s="14"/>
      <c r="EF289" s="14"/>
      <c r="EG289" s="14"/>
      <c r="EH289" s="14"/>
      <c r="EI289" s="14"/>
      <c r="EJ289" s="14"/>
      <c r="EK289" s="14"/>
      <c r="EL289" s="14"/>
    </row>
    <row r="290" spans="1:142" x14ac:dyDescent="0.25">
      <c r="A290" s="14"/>
      <c r="B290" s="19"/>
      <c r="C290" s="40"/>
      <c r="D290" s="41"/>
      <c r="E290" s="40"/>
      <c r="F290" s="40"/>
      <c r="G290" s="40"/>
      <c r="H290" s="41"/>
      <c r="I290" s="72"/>
      <c r="J290" s="14"/>
      <c r="K290" s="14"/>
      <c r="L290" s="14"/>
      <c r="M290" s="14"/>
      <c r="N290" s="14"/>
      <c r="O290" s="14"/>
      <c r="P290" s="14"/>
      <c r="Q290" s="47"/>
      <c r="R290" s="14"/>
      <c r="S290" s="19"/>
      <c r="T290" s="14"/>
      <c r="U290" s="14"/>
      <c r="V290" s="14"/>
      <c r="W290" s="14"/>
      <c r="X290" s="14"/>
      <c r="Y290" s="14"/>
      <c r="Z290" s="14"/>
      <c r="AA290" s="14"/>
      <c r="AB290" s="14"/>
      <c r="AC290" s="44"/>
      <c r="AD290" s="101"/>
      <c r="AE290" s="63"/>
      <c r="AF290" s="352"/>
      <c r="AG290" s="14"/>
      <c r="AH290" s="19"/>
      <c r="AI290" s="14"/>
      <c r="AJ290" s="14"/>
      <c r="AK290" s="14"/>
      <c r="AL290" s="14"/>
      <c r="AM290" s="14"/>
      <c r="AN290" s="14"/>
      <c r="AO290" s="14"/>
      <c r="AP290" s="14"/>
      <c r="AQ290" s="14"/>
      <c r="AR290" s="14"/>
      <c r="AS290" s="65"/>
      <c r="AT290" s="63"/>
      <c r="AU290" s="352"/>
      <c r="AV290" s="14"/>
      <c r="AW290" s="19"/>
      <c r="AX290" s="14"/>
      <c r="AY290" s="14"/>
      <c r="AZ290" s="14"/>
      <c r="BA290" s="14"/>
      <c r="BB290" s="14"/>
      <c r="BC290" s="14"/>
      <c r="BD290" s="14"/>
      <c r="BE290" s="14"/>
      <c r="BF290" s="14"/>
      <c r="BG290" s="14"/>
      <c r="BH290" s="65"/>
      <c r="BI290" s="63"/>
      <c r="BJ290" s="352"/>
      <c r="BK290" s="14"/>
      <c r="BL290" s="19"/>
      <c r="BM290" s="14"/>
      <c r="BN290" s="14"/>
      <c r="BO290" s="14"/>
      <c r="BP290" s="14"/>
      <c r="BQ290" s="14"/>
      <c r="BR290" s="14"/>
      <c r="BS290" s="14"/>
      <c r="BT290" s="14"/>
      <c r="BU290" s="14"/>
      <c r="BV290" s="14"/>
      <c r="BW290" s="65"/>
      <c r="BX290" s="63"/>
      <c r="BY290" s="352"/>
      <c r="BZ290" s="14"/>
      <c r="CA290" s="14"/>
      <c r="CB290" s="21"/>
      <c r="CC290" s="21"/>
      <c r="CD290" s="180"/>
      <c r="CE290" s="180"/>
      <c r="CF290" s="21"/>
      <c r="CG290" s="14"/>
      <c r="CH290" s="14"/>
      <c r="CI290" s="14"/>
      <c r="CJ290" s="14"/>
      <c r="CK290" s="14"/>
      <c r="CL290" s="14"/>
      <c r="CM290" s="14"/>
      <c r="CN290" s="14"/>
      <c r="CO290" s="129"/>
      <c r="CP290" s="14"/>
      <c r="CQ290" s="47"/>
      <c r="CR290" s="14"/>
      <c r="CS290" s="14"/>
      <c r="CT290" s="14"/>
      <c r="CU290" s="14"/>
      <c r="CV290" s="180"/>
      <c r="CW290" s="189"/>
      <c r="CX290" s="189"/>
      <c r="CY290" s="14"/>
      <c r="CZ290" s="14"/>
      <c r="DA290" s="14"/>
      <c r="DB290" s="14"/>
      <c r="DC290" s="14"/>
      <c r="DD290" s="14"/>
      <c r="DE290" s="14"/>
      <c r="DF290" s="14"/>
      <c r="DG290" s="129"/>
      <c r="DH290" s="14"/>
      <c r="DI290" s="47"/>
      <c r="DJ290" s="14"/>
      <c r="DK290" s="19"/>
      <c r="DL290" s="40"/>
      <c r="DM290" s="41"/>
      <c r="DN290" s="40"/>
      <c r="DO290" s="40"/>
      <c r="DP290" s="40"/>
      <c r="DQ290" s="41"/>
      <c r="DR290" s="72"/>
      <c r="DS290" s="14"/>
      <c r="DT290" s="14"/>
      <c r="DU290" s="14"/>
      <c r="DV290" s="14"/>
      <c r="DW290" s="14"/>
      <c r="DX290" s="14"/>
      <c r="DY290" s="14"/>
      <c r="DZ290" s="14"/>
      <c r="EA290" s="14"/>
      <c r="EB290" s="14"/>
      <c r="EC290" s="14"/>
      <c r="ED290" s="14"/>
      <c r="EE290" s="14"/>
      <c r="EF290" s="14"/>
      <c r="EG290" s="14"/>
      <c r="EH290" s="14"/>
      <c r="EI290" s="14"/>
      <c r="EJ290" s="14"/>
      <c r="EK290" s="14"/>
      <c r="EL290" s="14"/>
    </row>
    <row r="291" spans="1:142" x14ac:dyDescent="0.25">
      <c r="A291" s="14"/>
      <c r="B291" s="19"/>
      <c r="C291" s="40"/>
      <c r="D291" s="41"/>
      <c r="E291" s="40"/>
      <c r="F291" s="40"/>
      <c r="G291" s="40"/>
      <c r="H291" s="41"/>
      <c r="I291" s="72"/>
      <c r="J291" s="14"/>
      <c r="K291" s="14"/>
      <c r="L291" s="14"/>
      <c r="M291" s="14"/>
      <c r="N291" s="14"/>
      <c r="O291" s="14"/>
      <c r="P291" s="14"/>
      <c r="Q291" s="47"/>
      <c r="R291" s="14"/>
      <c r="S291" s="19"/>
      <c r="T291" s="14"/>
      <c r="U291" s="14"/>
      <c r="V291" s="14"/>
      <c r="W291" s="14"/>
      <c r="X291" s="14"/>
      <c r="Y291" s="14"/>
      <c r="Z291" s="14"/>
      <c r="AA291" s="14"/>
      <c r="AB291" s="14"/>
      <c r="AC291" s="44"/>
      <c r="AD291" s="101"/>
      <c r="AE291" s="63"/>
      <c r="AF291" s="352"/>
      <c r="AG291" s="14"/>
      <c r="AH291" s="19"/>
      <c r="AI291" s="14"/>
      <c r="AJ291" s="14"/>
      <c r="AK291" s="14"/>
      <c r="AL291" s="14"/>
      <c r="AM291" s="14"/>
      <c r="AN291" s="14"/>
      <c r="AO291" s="14"/>
      <c r="AP291" s="14"/>
      <c r="AQ291" s="14"/>
      <c r="AR291" s="14"/>
      <c r="AS291" s="65"/>
      <c r="AT291" s="63"/>
      <c r="AU291" s="352"/>
      <c r="AV291" s="14"/>
      <c r="AW291" s="19"/>
      <c r="AX291" s="14"/>
      <c r="AY291" s="14"/>
      <c r="AZ291" s="14"/>
      <c r="BA291" s="14"/>
      <c r="BB291" s="14"/>
      <c r="BC291" s="14"/>
      <c r="BD291" s="14"/>
      <c r="BE291" s="14"/>
      <c r="BF291" s="14"/>
      <c r="BG291" s="14"/>
      <c r="BH291" s="65"/>
      <c r="BI291" s="63"/>
      <c r="BJ291" s="352"/>
      <c r="BK291" s="14"/>
      <c r="BL291" s="19"/>
      <c r="BM291" s="14"/>
      <c r="BN291" s="14"/>
      <c r="BO291" s="14"/>
      <c r="BP291" s="14"/>
      <c r="BQ291" s="14"/>
      <c r="BR291" s="14"/>
      <c r="BS291" s="14"/>
      <c r="BT291" s="14"/>
      <c r="BU291" s="14"/>
      <c r="BV291" s="14"/>
      <c r="BW291" s="65"/>
      <c r="BX291" s="63"/>
      <c r="BY291" s="352"/>
      <c r="BZ291" s="14"/>
      <c r="CA291" s="14"/>
      <c r="CB291" s="21"/>
      <c r="CC291" s="21"/>
      <c r="CD291" s="180"/>
      <c r="CE291" s="180"/>
      <c r="CF291" s="21"/>
      <c r="CG291" s="14"/>
      <c r="CH291" s="14"/>
      <c r="CI291" s="14"/>
      <c r="CJ291" s="14"/>
      <c r="CK291" s="14"/>
      <c r="CL291" s="14"/>
      <c r="CM291" s="14"/>
      <c r="CN291" s="14"/>
      <c r="CO291" s="129"/>
      <c r="CP291" s="14"/>
      <c r="CQ291" s="47"/>
      <c r="CR291" s="14"/>
      <c r="CS291" s="14"/>
      <c r="CT291" s="14"/>
      <c r="CU291" s="14"/>
      <c r="CV291" s="180"/>
      <c r="CW291" s="189"/>
      <c r="CX291" s="189"/>
      <c r="CY291" s="14"/>
      <c r="CZ291" s="14"/>
      <c r="DA291" s="14"/>
      <c r="DB291" s="14"/>
      <c r="DC291" s="14"/>
      <c r="DD291" s="14"/>
      <c r="DE291" s="14"/>
      <c r="DF291" s="14"/>
      <c r="DG291" s="129"/>
      <c r="DH291" s="14"/>
      <c r="DI291" s="47"/>
      <c r="DJ291" s="14"/>
      <c r="DK291" s="19"/>
      <c r="DL291" s="40"/>
      <c r="DM291" s="41"/>
      <c r="DN291" s="40"/>
      <c r="DO291" s="40"/>
      <c r="DP291" s="40"/>
      <c r="DQ291" s="41"/>
      <c r="DR291" s="72"/>
      <c r="DS291" s="14"/>
      <c r="DT291" s="14"/>
      <c r="DU291" s="14"/>
      <c r="DV291" s="14"/>
      <c r="DW291" s="14"/>
      <c r="DX291" s="14"/>
      <c r="DY291" s="14"/>
      <c r="DZ291" s="14"/>
      <c r="EA291" s="14"/>
      <c r="EB291" s="14"/>
      <c r="EC291" s="14"/>
      <c r="ED291" s="14"/>
      <c r="EE291" s="14"/>
      <c r="EF291" s="14"/>
      <c r="EG291" s="14"/>
      <c r="EH291" s="14"/>
      <c r="EI291" s="14"/>
      <c r="EJ291" s="14"/>
      <c r="EK291" s="14"/>
      <c r="EL291" s="14"/>
    </row>
    <row r="292" spans="1:142" x14ac:dyDescent="0.25">
      <c r="A292" s="14"/>
      <c r="B292" s="19"/>
      <c r="C292" s="40"/>
      <c r="D292" s="41"/>
      <c r="E292" s="40"/>
      <c r="F292" s="40"/>
      <c r="G292" s="40"/>
      <c r="H292" s="41"/>
      <c r="I292" s="72"/>
      <c r="J292" s="14"/>
      <c r="K292" s="14"/>
      <c r="L292" s="14"/>
      <c r="M292" s="14"/>
      <c r="N292" s="14"/>
      <c r="O292" s="14"/>
      <c r="P292" s="14"/>
      <c r="Q292" s="47"/>
      <c r="R292" s="14"/>
      <c r="S292" s="19"/>
      <c r="T292" s="14"/>
      <c r="U292" s="14"/>
      <c r="V292" s="14"/>
      <c r="W292" s="14"/>
      <c r="X292" s="14"/>
      <c r="Y292" s="14"/>
      <c r="Z292" s="14"/>
      <c r="AA292" s="14"/>
      <c r="AB292" s="14"/>
      <c r="AC292" s="44"/>
      <c r="AD292" s="101"/>
      <c r="AE292" s="63"/>
      <c r="AF292" s="352"/>
      <c r="AG292" s="14"/>
      <c r="AH292" s="19"/>
      <c r="AI292" s="14"/>
      <c r="AJ292" s="14"/>
      <c r="AK292" s="14"/>
      <c r="AL292" s="14"/>
      <c r="AM292" s="14"/>
      <c r="AN292" s="14"/>
      <c r="AO292" s="14"/>
      <c r="AP292" s="14"/>
      <c r="AQ292" s="14"/>
      <c r="AR292" s="14"/>
      <c r="AS292" s="65"/>
      <c r="AT292" s="63"/>
      <c r="AU292" s="352"/>
      <c r="AV292" s="14"/>
      <c r="AW292" s="19"/>
      <c r="AX292" s="14"/>
      <c r="AY292" s="14"/>
      <c r="AZ292" s="14"/>
      <c r="BA292" s="14"/>
      <c r="BB292" s="14"/>
      <c r="BC292" s="14"/>
      <c r="BD292" s="14"/>
      <c r="BE292" s="14"/>
      <c r="BF292" s="14"/>
      <c r="BG292" s="14"/>
      <c r="BH292" s="65"/>
      <c r="BI292" s="63"/>
      <c r="BJ292" s="352"/>
      <c r="BK292" s="14"/>
      <c r="BL292" s="19"/>
      <c r="BM292" s="14"/>
      <c r="BN292" s="14"/>
      <c r="BO292" s="14"/>
      <c r="BP292" s="14"/>
      <c r="BQ292" s="14"/>
      <c r="BR292" s="14"/>
      <c r="BS292" s="14"/>
      <c r="BT292" s="14"/>
      <c r="BU292" s="14"/>
      <c r="BV292" s="14"/>
      <c r="BW292" s="65"/>
      <c r="BX292" s="63"/>
      <c r="BY292" s="352"/>
      <c r="BZ292" s="14"/>
      <c r="CA292" s="14"/>
      <c r="CB292" s="21"/>
      <c r="CC292" s="21"/>
      <c r="CD292" s="180"/>
      <c r="CE292" s="180"/>
      <c r="CF292" s="21"/>
      <c r="CG292" s="14"/>
      <c r="CH292" s="14"/>
      <c r="CI292" s="14"/>
      <c r="CJ292" s="14"/>
      <c r="CK292" s="14"/>
      <c r="CL292" s="14"/>
      <c r="CM292" s="14"/>
      <c r="CN292" s="14"/>
      <c r="CO292" s="129"/>
      <c r="CP292" s="14"/>
      <c r="CQ292" s="47"/>
      <c r="CR292" s="14"/>
      <c r="CS292" s="14"/>
      <c r="CT292" s="14"/>
      <c r="CU292" s="14"/>
      <c r="CV292" s="180"/>
      <c r="CW292" s="189"/>
      <c r="CX292" s="189"/>
      <c r="CY292" s="14"/>
      <c r="CZ292" s="14"/>
      <c r="DA292" s="14"/>
      <c r="DB292" s="14"/>
      <c r="DC292" s="14"/>
      <c r="DD292" s="14"/>
      <c r="DE292" s="14"/>
      <c r="DF292" s="14"/>
      <c r="DG292" s="129"/>
      <c r="DH292" s="14"/>
      <c r="DI292" s="47"/>
      <c r="DJ292" s="14"/>
      <c r="DK292" s="19"/>
      <c r="DL292" s="40"/>
      <c r="DM292" s="41"/>
      <c r="DN292" s="40"/>
      <c r="DO292" s="40"/>
      <c r="DP292" s="40"/>
      <c r="DQ292" s="41"/>
      <c r="DR292" s="72"/>
      <c r="DS292" s="14"/>
      <c r="DT292" s="14"/>
      <c r="DU292" s="14"/>
      <c r="DV292" s="14"/>
      <c r="DW292" s="14"/>
      <c r="DX292" s="14"/>
      <c r="DY292" s="14"/>
      <c r="DZ292" s="14"/>
      <c r="EA292" s="14"/>
      <c r="EB292" s="14"/>
      <c r="EC292" s="14"/>
      <c r="ED292" s="14"/>
      <c r="EE292" s="14"/>
      <c r="EF292" s="14"/>
      <c r="EG292" s="14"/>
      <c r="EH292" s="14"/>
      <c r="EI292" s="14"/>
      <c r="EJ292" s="14"/>
      <c r="EK292" s="14"/>
      <c r="EL292" s="14"/>
    </row>
    <row r="293" spans="1:142" x14ac:dyDescent="0.25">
      <c r="A293" s="14"/>
      <c r="B293" s="19"/>
      <c r="C293" s="40"/>
      <c r="D293" s="41"/>
      <c r="E293" s="40"/>
      <c r="F293" s="40"/>
      <c r="G293" s="40"/>
      <c r="H293" s="41"/>
      <c r="I293" s="72"/>
      <c r="J293" s="14"/>
      <c r="K293" s="14"/>
      <c r="L293" s="14"/>
      <c r="M293" s="14"/>
      <c r="N293" s="14"/>
      <c r="O293" s="14"/>
      <c r="P293" s="14"/>
      <c r="Q293" s="47"/>
      <c r="R293" s="14"/>
      <c r="S293" s="19"/>
      <c r="T293" s="14"/>
      <c r="U293" s="14"/>
      <c r="V293" s="14"/>
      <c r="W293" s="14"/>
      <c r="X293" s="14"/>
      <c r="Y293" s="14"/>
      <c r="Z293" s="14"/>
      <c r="AA293" s="14"/>
      <c r="AB293" s="14"/>
      <c r="AC293" s="44"/>
      <c r="AD293" s="101"/>
      <c r="AE293" s="63"/>
      <c r="AF293" s="352"/>
      <c r="AG293" s="14"/>
      <c r="AH293" s="19"/>
      <c r="AI293" s="14"/>
      <c r="AJ293" s="14"/>
      <c r="AK293" s="14"/>
      <c r="AL293" s="14"/>
      <c r="AM293" s="14"/>
      <c r="AN293" s="14"/>
      <c r="AO293" s="14"/>
      <c r="AP293" s="14"/>
      <c r="AQ293" s="14"/>
      <c r="AR293" s="14"/>
      <c r="AS293" s="65"/>
      <c r="AT293" s="63"/>
      <c r="AU293" s="352"/>
      <c r="AV293" s="14"/>
      <c r="AW293" s="19"/>
      <c r="AX293" s="14"/>
      <c r="AY293" s="14"/>
      <c r="AZ293" s="14"/>
      <c r="BA293" s="14"/>
      <c r="BB293" s="14"/>
      <c r="BC293" s="14"/>
      <c r="BD293" s="14"/>
      <c r="BE293" s="14"/>
      <c r="BF293" s="14"/>
      <c r="BG293" s="14"/>
      <c r="BH293" s="65"/>
      <c r="BI293" s="63"/>
      <c r="BJ293" s="352"/>
      <c r="BK293" s="14"/>
      <c r="BL293" s="19"/>
      <c r="BM293" s="14"/>
      <c r="BN293" s="14"/>
      <c r="BO293" s="14"/>
      <c r="BP293" s="14"/>
      <c r="BQ293" s="14"/>
      <c r="BR293" s="14"/>
      <c r="BS293" s="14"/>
      <c r="BT293" s="14"/>
      <c r="BU293" s="14"/>
      <c r="BV293" s="14"/>
      <c r="BW293" s="65"/>
      <c r="BX293" s="63"/>
      <c r="BY293" s="352"/>
      <c r="BZ293" s="14"/>
      <c r="CA293" s="14"/>
      <c r="CB293" s="21"/>
      <c r="CC293" s="21"/>
      <c r="CD293" s="180"/>
      <c r="CE293" s="180"/>
      <c r="CF293" s="21"/>
      <c r="CG293" s="14"/>
      <c r="CH293" s="14"/>
      <c r="CI293" s="14"/>
      <c r="CJ293" s="14"/>
      <c r="CK293" s="14"/>
      <c r="CL293" s="14"/>
      <c r="CM293" s="14"/>
      <c r="CN293" s="14"/>
      <c r="CO293" s="129"/>
      <c r="CP293" s="14"/>
      <c r="CQ293" s="47"/>
      <c r="CR293" s="14"/>
      <c r="CS293" s="14"/>
      <c r="CT293" s="14"/>
      <c r="CU293" s="14"/>
      <c r="CV293" s="180"/>
      <c r="CW293" s="189"/>
      <c r="CX293" s="189"/>
      <c r="CY293" s="14"/>
      <c r="CZ293" s="14"/>
      <c r="DA293" s="14"/>
      <c r="DB293" s="14"/>
      <c r="DC293" s="14"/>
      <c r="DD293" s="14"/>
      <c r="DE293" s="14"/>
      <c r="DF293" s="14"/>
      <c r="DG293" s="129"/>
      <c r="DH293" s="14"/>
      <c r="DI293" s="47"/>
      <c r="DJ293" s="14"/>
      <c r="DK293" s="19"/>
      <c r="DL293" s="40"/>
      <c r="DM293" s="41"/>
      <c r="DN293" s="40"/>
      <c r="DO293" s="40"/>
      <c r="DP293" s="40"/>
      <c r="DQ293" s="41"/>
      <c r="DR293" s="72"/>
      <c r="DS293" s="14"/>
      <c r="DT293" s="14"/>
      <c r="DU293" s="14"/>
      <c r="DV293" s="14"/>
      <c r="DW293" s="14"/>
      <c r="DX293" s="14"/>
      <c r="DY293" s="14"/>
      <c r="DZ293" s="14"/>
      <c r="EA293" s="14"/>
      <c r="EB293" s="14"/>
      <c r="EC293" s="14"/>
      <c r="ED293" s="14"/>
      <c r="EE293" s="14"/>
      <c r="EF293" s="14"/>
      <c r="EG293" s="14"/>
      <c r="EH293" s="14"/>
      <c r="EI293" s="14"/>
      <c r="EJ293" s="14"/>
      <c r="EK293" s="14"/>
      <c r="EL293" s="14"/>
    </row>
    <row r="294" spans="1:142" x14ac:dyDescent="0.25">
      <c r="A294" s="14"/>
      <c r="B294" s="19"/>
      <c r="C294" s="40"/>
      <c r="D294" s="41"/>
      <c r="E294" s="40"/>
      <c r="F294" s="40"/>
      <c r="G294" s="40"/>
      <c r="H294" s="41"/>
      <c r="I294" s="72"/>
      <c r="J294" s="14"/>
      <c r="K294" s="14"/>
      <c r="L294" s="14"/>
      <c r="M294" s="14"/>
      <c r="N294" s="14"/>
      <c r="O294" s="14"/>
      <c r="P294" s="14"/>
      <c r="Q294" s="47"/>
      <c r="R294" s="14"/>
      <c r="S294" s="19"/>
      <c r="T294" s="14"/>
      <c r="U294" s="14"/>
      <c r="V294" s="14"/>
      <c r="W294" s="14"/>
      <c r="X294" s="14"/>
      <c r="Y294" s="14"/>
      <c r="Z294" s="14"/>
      <c r="AA294" s="14"/>
      <c r="AB294" s="14"/>
      <c r="AC294" s="44"/>
      <c r="AD294" s="101"/>
      <c r="AE294" s="63"/>
      <c r="AF294" s="352"/>
      <c r="AG294" s="14"/>
      <c r="AH294" s="19"/>
      <c r="AI294" s="14"/>
      <c r="AJ294" s="14"/>
      <c r="AK294" s="14"/>
      <c r="AL294" s="14"/>
      <c r="AM294" s="14"/>
      <c r="AN294" s="14"/>
      <c r="AO294" s="14"/>
      <c r="AP294" s="14"/>
      <c r="AQ294" s="14"/>
      <c r="AR294" s="14"/>
      <c r="AS294" s="65"/>
      <c r="AT294" s="63"/>
      <c r="AU294" s="352"/>
      <c r="AV294" s="14"/>
      <c r="AW294" s="19"/>
      <c r="AX294" s="14"/>
      <c r="AY294" s="14"/>
      <c r="AZ294" s="14"/>
      <c r="BA294" s="14"/>
      <c r="BB294" s="14"/>
      <c r="BC294" s="14"/>
      <c r="BD294" s="14"/>
      <c r="BE294" s="14"/>
      <c r="BF294" s="14"/>
      <c r="BG294" s="14"/>
      <c r="BH294" s="65"/>
      <c r="BI294" s="63"/>
      <c r="BJ294" s="352"/>
      <c r="BK294" s="14"/>
      <c r="BL294" s="19"/>
      <c r="BM294" s="14"/>
      <c r="BN294" s="14"/>
      <c r="BO294" s="14"/>
      <c r="BP294" s="14"/>
      <c r="BQ294" s="14"/>
      <c r="BR294" s="14"/>
      <c r="BS294" s="14"/>
      <c r="BT294" s="14"/>
      <c r="BU294" s="14"/>
      <c r="BV294" s="14"/>
      <c r="BW294" s="65"/>
      <c r="BX294" s="63"/>
      <c r="BY294" s="352"/>
      <c r="BZ294" s="14"/>
      <c r="CA294" s="14"/>
      <c r="CB294" s="21"/>
      <c r="CC294" s="21"/>
      <c r="CD294" s="180"/>
      <c r="CE294" s="180"/>
      <c r="CF294" s="21"/>
      <c r="CG294" s="14"/>
      <c r="CH294" s="14"/>
      <c r="CI294" s="14"/>
      <c r="CJ294" s="14"/>
      <c r="CK294" s="14"/>
      <c r="CL294" s="14"/>
      <c r="CM294" s="14"/>
      <c r="CN294" s="14"/>
      <c r="CO294" s="129"/>
      <c r="CP294" s="14"/>
      <c r="CQ294" s="47"/>
      <c r="CR294" s="14"/>
      <c r="CS294" s="14"/>
      <c r="CT294" s="14"/>
      <c r="CU294" s="14"/>
      <c r="CV294" s="180"/>
      <c r="CW294" s="189"/>
      <c r="CX294" s="189"/>
      <c r="CY294" s="14"/>
      <c r="CZ294" s="14"/>
      <c r="DA294" s="14"/>
      <c r="DB294" s="14"/>
      <c r="DC294" s="14"/>
      <c r="DD294" s="14"/>
      <c r="DE294" s="14"/>
      <c r="DF294" s="14"/>
      <c r="DG294" s="129"/>
      <c r="DH294" s="14"/>
      <c r="DI294" s="47"/>
      <c r="DJ294" s="14"/>
      <c r="DK294" s="19"/>
      <c r="DL294" s="40"/>
      <c r="DM294" s="41"/>
      <c r="DN294" s="40"/>
      <c r="DO294" s="40"/>
      <c r="DP294" s="40"/>
      <c r="DQ294" s="41"/>
      <c r="DR294" s="72"/>
      <c r="DS294" s="14"/>
      <c r="DT294" s="14"/>
      <c r="DU294" s="14"/>
      <c r="DV294" s="14"/>
      <c r="DW294" s="14"/>
      <c r="DX294" s="14"/>
      <c r="DY294" s="14"/>
      <c r="DZ294" s="14"/>
      <c r="EA294" s="14"/>
      <c r="EB294" s="14"/>
      <c r="EC294" s="14"/>
      <c r="ED294" s="14"/>
      <c r="EE294" s="14"/>
      <c r="EF294" s="14"/>
      <c r="EG294" s="14"/>
      <c r="EH294" s="14"/>
      <c r="EI294" s="14"/>
      <c r="EJ294" s="14"/>
      <c r="EK294" s="14"/>
      <c r="EL294" s="14"/>
    </row>
    <row r="295" spans="1:142" x14ac:dyDescent="0.25">
      <c r="A295" s="14"/>
      <c r="B295" s="19"/>
      <c r="C295" s="40"/>
      <c r="D295" s="41"/>
      <c r="E295" s="40"/>
      <c r="F295" s="40"/>
      <c r="G295" s="40"/>
      <c r="H295" s="41"/>
      <c r="I295" s="72"/>
      <c r="J295" s="14"/>
      <c r="K295" s="14"/>
      <c r="L295" s="14"/>
      <c r="M295" s="14"/>
      <c r="N295" s="14"/>
      <c r="O295" s="14"/>
      <c r="P295" s="14"/>
      <c r="Q295" s="47"/>
      <c r="R295" s="14"/>
      <c r="S295" s="19"/>
      <c r="T295" s="14"/>
      <c r="U295" s="14"/>
      <c r="V295" s="14"/>
      <c r="W295" s="14"/>
      <c r="X295" s="14"/>
      <c r="Y295" s="14"/>
      <c r="Z295" s="14"/>
      <c r="AA295" s="14"/>
      <c r="AB295" s="14"/>
      <c r="AC295" s="44"/>
      <c r="AD295" s="101"/>
      <c r="AE295" s="63"/>
      <c r="AF295" s="352"/>
      <c r="AG295" s="14"/>
      <c r="AH295" s="19"/>
      <c r="AI295" s="14"/>
      <c r="AJ295" s="14"/>
      <c r="AK295" s="14"/>
      <c r="AL295" s="14"/>
      <c r="AM295" s="14"/>
      <c r="AN295" s="14"/>
      <c r="AO295" s="14"/>
      <c r="AP295" s="14"/>
      <c r="AQ295" s="14"/>
      <c r="AR295" s="14"/>
      <c r="AS295" s="65"/>
      <c r="AT295" s="63"/>
      <c r="AU295" s="352"/>
      <c r="AV295" s="14"/>
      <c r="AW295" s="19"/>
      <c r="AX295" s="14"/>
      <c r="AY295" s="14"/>
      <c r="AZ295" s="14"/>
      <c r="BA295" s="14"/>
      <c r="BB295" s="14"/>
      <c r="BC295" s="14"/>
      <c r="BD295" s="14"/>
      <c r="BE295" s="14"/>
      <c r="BF295" s="14"/>
      <c r="BG295" s="14"/>
      <c r="BH295" s="65"/>
      <c r="BI295" s="63"/>
      <c r="BJ295" s="352"/>
      <c r="BK295" s="14"/>
      <c r="BL295" s="19"/>
      <c r="BM295" s="14"/>
      <c r="BN295" s="14"/>
      <c r="BO295" s="14"/>
      <c r="BP295" s="14"/>
      <c r="BQ295" s="14"/>
      <c r="BR295" s="14"/>
      <c r="BS295" s="14"/>
      <c r="BT295" s="14"/>
      <c r="BU295" s="14"/>
      <c r="BV295" s="14"/>
      <c r="BW295" s="65"/>
      <c r="BX295" s="63"/>
      <c r="BY295" s="352"/>
      <c r="BZ295" s="14"/>
      <c r="CA295" s="14"/>
      <c r="CB295" s="21"/>
      <c r="CC295" s="21"/>
      <c r="CD295" s="180"/>
      <c r="CE295" s="180"/>
      <c r="CF295" s="21"/>
      <c r="CG295" s="14"/>
      <c r="CH295" s="14"/>
      <c r="CI295" s="14"/>
      <c r="CJ295" s="14"/>
      <c r="CK295" s="14"/>
      <c r="CL295" s="14"/>
      <c r="CM295" s="14"/>
      <c r="CN295" s="14"/>
      <c r="CO295" s="129"/>
      <c r="CP295" s="14"/>
      <c r="CQ295" s="47"/>
      <c r="CR295" s="14"/>
      <c r="CS295" s="14"/>
      <c r="CT295" s="14"/>
      <c r="CU295" s="14"/>
      <c r="CV295" s="180"/>
      <c r="CW295" s="189"/>
      <c r="CX295" s="189"/>
      <c r="CY295" s="14"/>
      <c r="CZ295" s="14"/>
      <c r="DA295" s="14"/>
      <c r="DB295" s="14"/>
      <c r="DC295" s="14"/>
      <c r="DD295" s="14"/>
      <c r="DE295" s="14"/>
      <c r="DF295" s="14"/>
      <c r="DG295" s="129"/>
      <c r="DH295" s="14"/>
      <c r="DI295" s="47"/>
      <c r="DJ295" s="14"/>
      <c r="DK295" s="19"/>
      <c r="DL295" s="40"/>
      <c r="DM295" s="41"/>
      <c r="DN295" s="40"/>
      <c r="DO295" s="40"/>
      <c r="DP295" s="40"/>
      <c r="DQ295" s="41"/>
      <c r="DR295" s="72"/>
      <c r="DS295" s="14"/>
      <c r="DT295" s="14"/>
      <c r="DU295" s="14"/>
      <c r="DV295" s="14"/>
      <c r="DW295" s="14"/>
      <c r="DX295" s="14"/>
      <c r="DY295" s="14"/>
      <c r="DZ295" s="14"/>
      <c r="EA295" s="14"/>
      <c r="EB295" s="14"/>
      <c r="EC295" s="14"/>
      <c r="ED295" s="14"/>
      <c r="EE295" s="14"/>
      <c r="EF295" s="14"/>
      <c r="EG295" s="14"/>
      <c r="EH295" s="14"/>
      <c r="EI295" s="14"/>
      <c r="EJ295" s="14"/>
      <c r="EK295" s="14"/>
      <c r="EL295" s="14"/>
    </row>
    <row r="296" spans="1:142" x14ac:dyDescent="0.25">
      <c r="A296" s="14"/>
      <c r="B296" s="19"/>
      <c r="C296" s="40"/>
      <c r="D296" s="41"/>
      <c r="E296" s="40"/>
      <c r="F296" s="40"/>
      <c r="G296" s="40"/>
      <c r="H296" s="41"/>
      <c r="I296" s="72"/>
      <c r="J296" s="14"/>
      <c r="K296" s="14"/>
      <c r="L296" s="14"/>
      <c r="M296" s="14"/>
      <c r="N296" s="14"/>
      <c r="O296" s="14"/>
      <c r="P296" s="14"/>
      <c r="Q296" s="47"/>
      <c r="R296" s="14"/>
      <c r="S296" s="19"/>
      <c r="T296" s="14"/>
      <c r="U296" s="14"/>
      <c r="V296" s="14"/>
      <c r="W296" s="14"/>
      <c r="X296" s="14"/>
      <c r="Y296" s="14"/>
      <c r="Z296" s="14"/>
      <c r="AA296" s="14"/>
      <c r="AB296" s="14"/>
      <c r="AC296" s="44"/>
      <c r="AD296" s="101"/>
      <c r="AE296" s="63"/>
      <c r="AF296" s="352"/>
      <c r="AG296" s="14"/>
      <c r="AH296" s="19"/>
      <c r="AI296" s="14"/>
      <c r="AJ296" s="14"/>
      <c r="AK296" s="14"/>
      <c r="AL296" s="14"/>
      <c r="AM296" s="14"/>
      <c r="AN296" s="14"/>
      <c r="AO296" s="14"/>
      <c r="AP296" s="14"/>
      <c r="AQ296" s="14"/>
      <c r="AR296" s="14"/>
      <c r="AS296" s="65"/>
      <c r="AT296" s="63"/>
      <c r="AU296" s="352"/>
      <c r="AV296" s="14"/>
      <c r="AW296" s="19"/>
      <c r="AX296" s="14"/>
      <c r="AY296" s="14"/>
      <c r="AZ296" s="14"/>
      <c r="BA296" s="14"/>
      <c r="BB296" s="14"/>
      <c r="BC296" s="14"/>
      <c r="BD296" s="14"/>
      <c r="BE296" s="14"/>
      <c r="BF296" s="14"/>
      <c r="BG296" s="14"/>
      <c r="BH296" s="65"/>
      <c r="BI296" s="63"/>
      <c r="BJ296" s="352"/>
      <c r="BK296" s="14"/>
      <c r="BL296" s="19"/>
      <c r="BM296" s="14"/>
      <c r="BN296" s="14"/>
      <c r="BO296" s="14"/>
      <c r="BP296" s="14"/>
      <c r="BQ296" s="14"/>
      <c r="BR296" s="14"/>
      <c r="BS296" s="14"/>
      <c r="BT296" s="14"/>
      <c r="BU296" s="14"/>
      <c r="BV296" s="14"/>
      <c r="BW296" s="65"/>
      <c r="BX296" s="63"/>
      <c r="BY296" s="352"/>
      <c r="BZ296" s="14"/>
      <c r="CA296" s="14"/>
      <c r="CB296" s="21"/>
      <c r="CC296" s="21"/>
      <c r="CD296" s="180"/>
      <c r="CE296" s="180"/>
      <c r="CF296" s="21"/>
      <c r="CG296" s="14"/>
      <c r="CH296" s="14"/>
      <c r="CI296" s="14"/>
      <c r="CJ296" s="14"/>
      <c r="CK296" s="14"/>
      <c r="CL296" s="14"/>
      <c r="CM296" s="14"/>
      <c r="CN296" s="14"/>
      <c r="CO296" s="129"/>
      <c r="CP296" s="14"/>
      <c r="CQ296" s="47"/>
      <c r="CR296" s="14"/>
      <c r="CS296" s="14"/>
      <c r="CT296" s="14"/>
      <c r="CU296" s="14"/>
      <c r="CV296" s="180"/>
      <c r="CW296" s="189"/>
      <c r="CX296" s="189"/>
      <c r="CY296" s="14"/>
      <c r="CZ296" s="14"/>
      <c r="DA296" s="14"/>
      <c r="DB296" s="14"/>
      <c r="DC296" s="14"/>
      <c r="DD296" s="14"/>
      <c r="DE296" s="14"/>
      <c r="DF296" s="14"/>
      <c r="DG296" s="129"/>
      <c r="DH296" s="14"/>
      <c r="DI296" s="47"/>
      <c r="DJ296" s="14"/>
      <c r="DK296" s="19"/>
      <c r="DL296" s="40"/>
      <c r="DM296" s="41"/>
      <c r="DN296" s="40"/>
      <c r="DO296" s="40"/>
      <c r="DP296" s="40"/>
      <c r="DQ296" s="41"/>
      <c r="DR296" s="72"/>
      <c r="DS296" s="14"/>
      <c r="DT296" s="14"/>
      <c r="DU296" s="14"/>
      <c r="DV296" s="14"/>
      <c r="DW296" s="14"/>
      <c r="DX296" s="14"/>
      <c r="DY296" s="14"/>
      <c r="DZ296" s="14"/>
      <c r="EA296" s="14"/>
      <c r="EB296" s="14"/>
      <c r="EC296" s="14"/>
      <c r="ED296" s="14"/>
      <c r="EE296" s="14"/>
      <c r="EF296" s="14"/>
      <c r="EG296" s="14"/>
      <c r="EH296" s="14"/>
      <c r="EI296" s="14"/>
      <c r="EJ296" s="14"/>
      <c r="EK296" s="14"/>
      <c r="EL296" s="14"/>
    </row>
    <row r="297" spans="1:142" x14ac:dyDescent="0.25">
      <c r="A297" s="14"/>
      <c r="B297" s="19"/>
      <c r="C297" s="40"/>
      <c r="D297" s="41"/>
      <c r="E297" s="40"/>
      <c r="F297" s="40"/>
      <c r="G297" s="40"/>
      <c r="H297" s="41"/>
      <c r="I297" s="72"/>
      <c r="J297" s="14"/>
      <c r="K297" s="14"/>
      <c r="L297" s="14"/>
      <c r="M297" s="14"/>
      <c r="N297" s="14"/>
      <c r="O297" s="14"/>
      <c r="P297" s="14"/>
      <c r="Q297" s="47"/>
      <c r="R297" s="14"/>
      <c r="S297" s="19"/>
      <c r="T297" s="14"/>
      <c r="U297" s="14"/>
      <c r="V297" s="14"/>
      <c r="W297" s="14"/>
      <c r="X297" s="14"/>
      <c r="Y297" s="14"/>
      <c r="Z297" s="14"/>
      <c r="AA297" s="14"/>
      <c r="AB297" s="14"/>
      <c r="AC297" s="44"/>
      <c r="AD297" s="101"/>
      <c r="AE297" s="63"/>
      <c r="AF297" s="352"/>
      <c r="AG297" s="14"/>
      <c r="AH297" s="19"/>
      <c r="AI297" s="14"/>
      <c r="AJ297" s="14"/>
      <c r="AK297" s="14"/>
      <c r="AL297" s="14"/>
      <c r="AM297" s="14"/>
      <c r="AN297" s="14"/>
      <c r="AO297" s="14"/>
      <c r="AP297" s="14"/>
      <c r="AQ297" s="14"/>
      <c r="AR297" s="14"/>
      <c r="AS297" s="65"/>
      <c r="AT297" s="63"/>
      <c r="AU297" s="352"/>
      <c r="AV297" s="14"/>
      <c r="AW297" s="19"/>
      <c r="AX297" s="14"/>
      <c r="AY297" s="14"/>
      <c r="AZ297" s="14"/>
      <c r="BA297" s="14"/>
      <c r="BB297" s="14"/>
      <c r="BC297" s="14"/>
      <c r="BD297" s="14"/>
      <c r="BE297" s="14"/>
      <c r="BF297" s="14"/>
      <c r="BG297" s="14"/>
      <c r="BH297" s="65"/>
      <c r="BI297" s="63"/>
      <c r="BJ297" s="352"/>
      <c r="BK297" s="14"/>
      <c r="BL297" s="19"/>
      <c r="BM297" s="14"/>
      <c r="BN297" s="14"/>
      <c r="BO297" s="14"/>
      <c r="BP297" s="14"/>
      <c r="BQ297" s="14"/>
      <c r="BR297" s="14"/>
      <c r="BS297" s="14"/>
      <c r="BT297" s="14"/>
      <c r="BU297" s="14"/>
      <c r="BV297" s="14"/>
      <c r="BW297" s="65"/>
      <c r="BX297" s="63"/>
      <c r="BY297" s="352"/>
      <c r="BZ297" s="14"/>
      <c r="CA297" s="14"/>
      <c r="CB297" s="21"/>
      <c r="CC297" s="21"/>
      <c r="CD297" s="180"/>
      <c r="CE297" s="180"/>
      <c r="CF297" s="21"/>
      <c r="CG297" s="14"/>
      <c r="CH297" s="14"/>
      <c r="CI297" s="14"/>
      <c r="CJ297" s="14"/>
      <c r="CK297" s="14"/>
      <c r="CL297" s="14"/>
      <c r="CM297" s="14"/>
      <c r="CN297" s="14"/>
      <c r="CO297" s="129"/>
      <c r="CP297" s="14"/>
      <c r="CQ297" s="47"/>
      <c r="CR297" s="14"/>
      <c r="CS297" s="14"/>
      <c r="CT297" s="14"/>
      <c r="CU297" s="14"/>
      <c r="CV297" s="180"/>
      <c r="CW297" s="189"/>
      <c r="CX297" s="189"/>
      <c r="CY297" s="14"/>
      <c r="CZ297" s="14"/>
      <c r="DA297" s="14"/>
      <c r="DB297" s="14"/>
      <c r="DC297" s="14"/>
      <c r="DD297" s="14"/>
      <c r="DE297" s="14"/>
      <c r="DF297" s="14"/>
      <c r="DG297" s="129"/>
      <c r="DH297" s="14"/>
      <c r="DI297" s="47"/>
      <c r="DJ297" s="14"/>
      <c r="DK297" s="19"/>
      <c r="DL297" s="40"/>
      <c r="DM297" s="41"/>
      <c r="DN297" s="40"/>
      <c r="DO297" s="40"/>
      <c r="DP297" s="40"/>
      <c r="DQ297" s="41"/>
      <c r="DR297" s="72"/>
      <c r="DS297" s="14"/>
      <c r="DT297" s="14"/>
      <c r="DU297" s="14"/>
      <c r="DV297" s="14"/>
      <c r="DW297" s="14"/>
      <c r="DX297" s="14"/>
      <c r="DY297" s="14"/>
      <c r="DZ297" s="14"/>
      <c r="EA297" s="14"/>
      <c r="EB297" s="14"/>
      <c r="EC297" s="14"/>
      <c r="ED297" s="14"/>
      <c r="EE297" s="14"/>
      <c r="EF297" s="14"/>
      <c r="EG297" s="14"/>
      <c r="EH297" s="14"/>
      <c r="EI297" s="14"/>
      <c r="EJ297" s="14"/>
      <c r="EK297" s="14"/>
      <c r="EL297" s="14"/>
    </row>
    <row r="298" spans="1:142" x14ac:dyDescent="0.25">
      <c r="A298" s="14"/>
      <c r="B298" s="19"/>
      <c r="C298" s="40"/>
      <c r="D298" s="41"/>
      <c r="E298" s="40"/>
      <c r="F298" s="40"/>
      <c r="G298" s="40"/>
      <c r="H298" s="41"/>
      <c r="I298" s="72"/>
      <c r="J298" s="14"/>
      <c r="K298" s="14"/>
      <c r="L298" s="14"/>
      <c r="M298" s="14"/>
      <c r="N298" s="14"/>
      <c r="O298" s="14"/>
      <c r="P298" s="14"/>
      <c r="Q298" s="47"/>
      <c r="R298" s="14"/>
      <c r="S298" s="19"/>
      <c r="T298" s="14"/>
      <c r="U298" s="14"/>
      <c r="V298" s="14"/>
      <c r="W298" s="14"/>
      <c r="X298" s="14"/>
      <c r="Y298" s="14"/>
      <c r="Z298" s="14"/>
      <c r="AA298" s="14"/>
      <c r="AB298" s="14"/>
      <c r="AC298" s="44"/>
      <c r="AD298" s="101"/>
      <c r="AE298" s="63"/>
      <c r="AF298" s="352"/>
      <c r="AG298" s="14"/>
      <c r="AH298" s="19"/>
      <c r="AI298" s="14"/>
      <c r="AJ298" s="14"/>
      <c r="AK298" s="14"/>
      <c r="AL298" s="14"/>
      <c r="AM298" s="14"/>
      <c r="AN298" s="14"/>
      <c r="AO298" s="14"/>
      <c r="AP298" s="14"/>
      <c r="AQ298" s="14"/>
      <c r="AR298" s="14"/>
      <c r="AS298" s="65"/>
      <c r="AT298" s="63"/>
      <c r="AU298" s="352"/>
      <c r="AV298" s="14"/>
      <c r="AW298" s="19"/>
      <c r="AX298" s="14"/>
      <c r="AY298" s="14"/>
      <c r="AZ298" s="14"/>
      <c r="BA298" s="14"/>
      <c r="BB298" s="14"/>
      <c r="BC298" s="14"/>
      <c r="BD298" s="14"/>
      <c r="BE298" s="14"/>
      <c r="BF298" s="14"/>
      <c r="BG298" s="14"/>
      <c r="BH298" s="65"/>
      <c r="BI298" s="63"/>
      <c r="BJ298" s="352"/>
      <c r="BK298" s="14"/>
      <c r="BL298" s="19"/>
      <c r="BM298" s="14"/>
      <c r="BN298" s="14"/>
      <c r="BO298" s="14"/>
      <c r="BP298" s="14"/>
      <c r="BQ298" s="14"/>
      <c r="BR298" s="14"/>
      <c r="BS298" s="14"/>
      <c r="BT298" s="14"/>
      <c r="BU298" s="14"/>
      <c r="BV298" s="14"/>
      <c r="BW298" s="65"/>
      <c r="BX298" s="63"/>
      <c r="BY298" s="352"/>
      <c r="BZ298" s="14"/>
      <c r="CA298" s="14"/>
      <c r="CB298" s="21"/>
      <c r="CC298" s="21"/>
      <c r="CD298" s="180"/>
      <c r="CE298" s="180"/>
      <c r="CF298" s="21"/>
      <c r="CG298" s="14"/>
      <c r="CH298" s="14"/>
      <c r="CI298" s="14"/>
      <c r="CJ298" s="14"/>
      <c r="CK298" s="14"/>
      <c r="CL298" s="14"/>
      <c r="CM298" s="14"/>
      <c r="CN298" s="14"/>
      <c r="CO298" s="129"/>
      <c r="CP298" s="14"/>
      <c r="CQ298" s="47"/>
      <c r="CR298" s="14"/>
      <c r="CS298" s="14"/>
      <c r="CT298" s="14"/>
      <c r="CU298" s="14"/>
      <c r="CV298" s="180"/>
      <c r="CW298" s="189"/>
      <c r="CX298" s="189"/>
      <c r="CY298" s="14"/>
      <c r="CZ298" s="14"/>
      <c r="DA298" s="14"/>
      <c r="DB298" s="14"/>
      <c r="DC298" s="14"/>
      <c r="DD298" s="14"/>
      <c r="DE298" s="14"/>
      <c r="DF298" s="14"/>
      <c r="DG298" s="129"/>
      <c r="DH298" s="14"/>
      <c r="DI298" s="47"/>
      <c r="DJ298" s="14"/>
      <c r="DK298" s="19"/>
      <c r="DL298" s="40"/>
      <c r="DM298" s="41"/>
      <c r="DN298" s="40"/>
      <c r="DO298" s="40"/>
      <c r="DP298" s="40"/>
      <c r="DQ298" s="41"/>
      <c r="DR298" s="72"/>
      <c r="DS298" s="14"/>
      <c r="DT298" s="14"/>
      <c r="DU298" s="14"/>
      <c r="DV298" s="14"/>
      <c r="DW298" s="14"/>
      <c r="DX298" s="14"/>
      <c r="DY298" s="14"/>
      <c r="DZ298" s="14"/>
      <c r="EA298" s="14"/>
      <c r="EB298" s="14"/>
      <c r="EC298" s="14"/>
      <c r="ED298" s="14"/>
      <c r="EE298" s="14"/>
      <c r="EF298" s="14"/>
      <c r="EG298" s="14"/>
      <c r="EH298" s="14"/>
      <c r="EI298" s="14"/>
      <c r="EJ298" s="14"/>
      <c r="EK298" s="14"/>
      <c r="EL298" s="14"/>
    </row>
    <row r="299" spans="1:142" x14ac:dyDescent="0.25">
      <c r="A299" s="14"/>
      <c r="B299" s="19"/>
      <c r="C299" s="40"/>
      <c r="D299" s="41"/>
      <c r="E299" s="40"/>
      <c r="F299" s="40"/>
      <c r="G299" s="40"/>
      <c r="H299" s="41"/>
      <c r="I299" s="72"/>
      <c r="J299" s="14"/>
      <c r="K299" s="14"/>
      <c r="L299" s="14"/>
      <c r="M299" s="14"/>
      <c r="N299" s="14"/>
      <c r="O299" s="14"/>
      <c r="P299" s="14"/>
      <c r="Q299" s="47"/>
      <c r="R299" s="14"/>
      <c r="S299" s="19"/>
      <c r="T299" s="14"/>
      <c r="U299" s="14"/>
      <c r="V299" s="14"/>
      <c r="W299" s="14"/>
      <c r="X299" s="14"/>
      <c r="Y299" s="14"/>
      <c r="Z299" s="14"/>
      <c r="AA299" s="14"/>
      <c r="AB299" s="14"/>
      <c r="AC299" s="44"/>
      <c r="AD299" s="101"/>
      <c r="AE299" s="63"/>
      <c r="AF299" s="352"/>
      <c r="AG299" s="14"/>
      <c r="AH299" s="19"/>
      <c r="AI299" s="14"/>
      <c r="AJ299" s="14"/>
      <c r="AK299" s="14"/>
      <c r="AL299" s="14"/>
      <c r="AM299" s="14"/>
      <c r="AN299" s="14"/>
      <c r="AO299" s="14"/>
      <c r="AP299" s="14"/>
      <c r="AQ299" s="14"/>
      <c r="AR299" s="14"/>
      <c r="AS299" s="65"/>
      <c r="AT299" s="63"/>
      <c r="AU299" s="352"/>
      <c r="AV299" s="14"/>
      <c r="AW299" s="19"/>
      <c r="AX299" s="14"/>
      <c r="AY299" s="14"/>
      <c r="AZ299" s="14"/>
      <c r="BA299" s="14"/>
      <c r="BB299" s="14"/>
      <c r="BC299" s="14"/>
      <c r="BD299" s="14"/>
      <c r="BE299" s="14"/>
      <c r="BF299" s="14"/>
      <c r="BG299" s="14"/>
      <c r="BH299" s="65"/>
      <c r="BI299" s="63"/>
      <c r="BJ299" s="352"/>
      <c r="BK299" s="14"/>
      <c r="BL299" s="19"/>
      <c r="BM299" s="14"/>
      <c r="BN299" s="14"/>
      <c r="BO299" s="14"/>
      <c r="BP299" s="14"/>
      <c r="BQ299" s="14"/>
      <c r="BR299" s="14"/>
      <c r="BS299" s="14"/>
      <c r="BT299" s="14"/>
      <c r="BU299" s="14"/>
      <c r="BV299" s="14"/>
      <c r="BW299" s="65"/>
      <c r="BX299" s="63"/>
      <c r="BY299" s="352"/>
      <c r="BZ299" s="14"/>
      <c r="CA299" s="14"/>
      <c r="CB299" s="21"/>
      <c r="CC299" s="21"/>
      <c r="CD299" s="180"/>
      <c r="CE299" s="180"/>
      <c r="CF299" s="21"/>
      <c r="CG299" s="14"/>
      <c r="CH299" s="14"/>
      <c r="CI299" s="14"/>
      <c r="CJ299" s="14"/>
      <c r="CK299" s="14"/>
      <c r="CL299" s="14"/>
      <c r="CM299" s="14"/>
      <c r="CN299" s="14"/>
      <c r="CO299" s="129"/>
      <c r="CP299" s="14"/>
      <c r="CQ299" s="47"/>
      <c r="CR299" s="14"/>
      <c r="CS299" s="14"/>
      <c r="CT299" s="14"/>
      <c r="CU299" s="14"/>
      <c r="CV299" s="180"/>
      <c r="CW299" s="189"/>
      <c r="CX299" s="189"/>
      <c r="CY299" s="14"/>
      <c r="CZ299" s="14"/>
      <c r="DA299" s="14"/>
      <c r="DB299" s="14"/>
      <c r="DC299" s="14"/>
      <c r="DD299" s="14"/>
      <c r="DE299" s="14"/>
      <c r="DF299" s="14"/>
      <c r="DG299" s="129"/>
      <c r="DH299" s="14"/>
      <c r="DI299" s="47"/>
      <c r="DJ299" s="14"/>
      <c r="DK299" s="19"/>
      <c r="DL299" s="40"/>
      <c r="DM299" s="41"/>
      <c r="DN299" s="40"/>
      <c r="DO299" s="40"/>
      <c r="DP299" s="40"/>
      <c r="DQ299" s="41"/>
      <c r="DR299" s="72"/>
      <c r="DS299" s="14"/>
      <c r="DT299" s="14"/>
      <c r="DU299" s="14"/>
      <c r="DV299" s="14"/>
      <c r="DW299" s="14"/>
      <c r="DX299" s="14"/>
      <c r="DY299" s="14"/>
      <c r="DZ299" s="14"/>
      <c r="EA299" s="14"/>
      <c r="EB299" s="14"/>
      <c r="EC299" s="14"/>
      <c r="ED299" s="14"/>
      <c r="EE299" s="14"/>
      <c r="EF299" s="14"/>
      <c r="EG299" s="14"/>
      <c r="EH299" s="14"/>
      <c r="EI299" s="14"/>
      <c r="EJ299" s="14"/>
      <c r="EK299" s="14"/>
      <c r="EL299" s="14"/>
    </row>
    <row r="300" spans="1:142" x14ac:dyDescent="0.25">
      <c r="A300" s="14"/>
      <c r="B300" s="19"/>
      <c r="C300" s="40"/>
      <c r="D300" s="41"/>
      <c r="E300" s="40"/>
      <c r="F300" s="40"/>
      <c r="G300" s="40"/>
      <c r="H300" s="41"/>
      <c r="I300" s="72"/>
      <c r="J300" s="14"/>
      <c r="K300" s="14"/>
      <c r="L300" s="14"/>
      <c r="M300" s="14"/>
      <c r="N300" s="14"/>
      <c r="O300" s="14"/>
      <c r="P300" s="14"/>
      <c r="Q300" s="47"/>
      <c r="R300" s="14"/>
      <c r="S300" s="19"/>
      <c r="T300" s="14"/>
      <c r="U300" s="14"/>
      <c r="V300" s="14"/>
      <c r="W300" s="14"/>
      <c r="X300" s="14"/>
      <c r="Y300" s="14"/>
      <c r="Z300" s="14"/>
      <c r="AA300" s="14"/>
      <c r="AB300" s="14"/>
      <c r="AC300" s="44"/>
      <c r="AD300" s="101"/>
      <c r="AE300" s="63"/>
      <c r="AF300" s="352"/>
      <c r="AG300" s="14"/>
      <c r="AH300" s="19"/>
      <c r="AI300" s="14"/>
      <c r="AJ300" s="14"/>
      <c r="AK300" s="14"/>
      <c r="AL300" s="14"/>
      <c r="AM300" s="14"/>
      <c r="AN300" s="14"/>
      <c r="AO300" s="14"/>
      <c r="AP300" s="14"/>
      <c r="AQ300" s="14"/>
      <c r="AR300" s="14"/>
      <c r="AS300" s="65"/>
      <c r="AT300" s="63"/>
      <c r="AU300" s="352"/>
      <c r="AV300" s="14"/>
      <c r="AW300" s="19"/>
      <c r="AX300" s="14"/>
      <c r="AY300" s="14"/>
      <c r="AZ300" s="14"/>
      <c r="BA300" s="14"/>
      <c r="BB300" s="14"/>
      <c r="BC300" s="14"/>
      <c r="BD300" s="14"/>
      <c r="BE300" s="14"/>
      <c r="BF300" s="14"/>
      <c r="BG300" s="14"/>
      <c r="BH300" s="65"/>
      <c r="BI300" s="63"/>
      <c r="BJ300" s="352"/>
      <c r="BK300" s="14"/>
      <c r="BL300" s="19"/>
      <c r="BM300" s="14"/>
      <c r="BN300" s="14"/>
      <c r="BO300" s="14"/>
      <c r="BP300" s="14"/>
      <c r="BQ300" s="14"/>
      <c r="BR300" s="14"/>
      <c r="BS300" s="14"/>
      <c r="BT300" s="14"/>
      <c r="BU300" s="14"/>
      <c r="BV300" s="14"/>
      <c r="BW300" s="65"/>
      <c r="BX300" s="63"/>
      <c r="BY300" s="352"/>
      <c r="BZ300" s="14"/>
      <c r="CA300" s="14"/>
      <c r="CB300" s="21"/>
      <c r="CC300" s="21"/>
      <c r="CD300" s="180"/>
      <c r="CE300" s="180"/>
      <c r="CF300" s="21"/>
      <c r="CG300" s="14"/>
      <c r="CH300" s="14"/>
      <c r="CI300" s="14"/>
      <c r="CJ300" s="14"/>
      <c r="CK300" s="14"/>
      <c r="CL300" s="14"/>
      <c r="CM300" s="14"/>
      <c r="CN300" s="14"/>
      <c r="CO300" s="129"/>
      <c r="CP300" s="14"/>
      <c r="CQ300" s="47"/>
      <c r="CR300" s="14"/>
      <c r="CS300" s="14"/>
      <c r="CT300" s="14"/>
      <c r="CU300" s="14"/>
      <c r="CV300" s="180"/>
      <c r="CW300" s="189"/>
      <c r="CX300" s="189"/>
      <c r="CY300" s="14"/>
      <c r="CZ300" s="14"/>
      <c r="DA300" s="14"/>
      <c r="DB300" s="14"/>
      <c r="DC300" s="14"/>
      <c r="DD300" s="14"/>
      <c r="DE300" s="14"/>
      <c r="DF300" s="14"/>
      <c r="DG300" s="129"/>
      <c r="DH300" s="14"/>
      <c r="DI300" s="47"/>
      <c r="DJ300" s="14"/>
      <c r="DK300" s="19"/>
      <c r="DL300" s="40"/>
      <c r="DM300" s="41"/>
      <c r="DN300" s="40"/>
      <c r="DO300" s="40"/>
      <c r="DP300" s="40"/>
      <c r="DQ300" s="41"/>
      <c r="DR300" s="72"/>
      <c r="DS300" s="14"/>
      <c r="DT300" s="14"/>
      <c r="DU300" s="14"/>
      <c r="DV300" s="14"/>
      <c r="DW300" s="14"/>
      <c r="DX300" s="14"/>
      <c r="DY300" s="14"/>
      <c r="DZ300" s="14"/>
      <c r="EA300" s="14"/>
      <c r="EB300" s="14"/>
      <c r="EC300" s="14"/>
      <c r="ED300" s="14"/>
      <c r="EE300" s="14"/>
      <c r="EF300" s="14"/>
      <c r="EG300" s="14"/>
      <c r="EH300" s="14"/>
      <c r="EI300" s="14"/>
      <c r="EJ300" s="14"/>
      <c r="EK300" s="14"/>
      <c r="EL300" s="14"/>
    </row>
    <row r="301" spans="1:142" x14ac:dyDescent="0.25">
      <c r="A301" s="14"/>
      <c r="B301" s="19"/>
      <c r="C301" s="40"/>
      <c r="D301" s="41"/>
      <c r="E301" s="40"/>
      <c r="F301" s="40"/>
      <c r="G301" s="40"/>
      <c r="H301" s="41"/>
      <c r="I301" s="72"/>
      <c r="J301" s="14"/>
      <c r="K301" s="14"/>
      <c r="L301" s="14"/>
      <c r="M301" s="14"/>
      <c r="N301" s="14"/>
      <c r="O301" s="14"/>
      <c r="P301" s="14"/>
      <c r="Q301" s="47"/>
      <c r="R301" s="14"/>
      <c r="S301" s="19"/>
      <c r="T301" s="14"/>
      <c r="U301" s="14"/>
      <c r="V301" s="14"/>
      <c r="W301" s="14"/>
      <c r="X301" s="14"/>
      <c r="Y301" s="14"/>
      <c r="Z301" s="14"/>
      <c r="AA301" s="14"/>
      <c r="AB301" s="14"/>
      <c r="AC301" s="44"/>
      <c r="AD301" s="101"/>
      <c r="AE301" s="63"/>
      <c r="AF301" s="352"/>
      <c r="AG301" s="14"/>
      <c r="AH301" s="19"/>
      <c r="AI301" s="14"/>
      <c r="AJ301" s="14"/>
      <c r="AK301" s="14"/>
      <c r="AL301" s="14"/>
      <c r="AM301" s="14"/>
      <c r="AN301" s="14"/>
      <c r="AO301" s="14"/>
      <c r="AP301" s="14"/>
      <c r="AQ301" s="14"/>
      <c r="AR301" s="14"/>
      <c r="AS301" s="65"/>
      <c r="AT301" s="63"/>
      <c r="AU301" s="352"/>
      <c r="AV301" s="14"/>
      <c r="AW301" s="19"/>
      <c r="AX301" s="14"/>
      <c r="AY301" s="14"/>
      <c r="AZ301" s="14"/>
      <c r="BA301" s="14"/>
      <c r="BB301" s="14"/>
      <c r="BC301" s="14"/>
      <c r="BD301" s="14"/>
      <c r="BE301" s="14"/>
      <c r="BF301" s="14"/>
      <c r="BG301" s="14"/>
      <c r="BH301" s="65"/>
      <c r="BI301" s="63"/>
      <c r="BJ301" s="352"/>
      <c r="BK301" s="14"/>
      <c r="BL301" s="19"/>
      <c r="BM301" s="14"/>
      <c r="BN301" s="14"/>
      <c r="BO301" s="14"/>
      <c r="BP301" s="14"/>
      <c r="BQ301" s="14"/>
      <c r="BR301" s="14"/>
      <c r="BS301" s="14"/>
      <c r="BT301" s="14"/>
      <c r="BU301" s="14"/>
      <c r="BV301" s="14"/>
      <c r="BW301" s="65"/>
      <c r="BX301" s="63"/>
      <c r="BY301" s="352"/>
      <c r="BZ301" s="14"/>
      <c r="CA301" s="14"/>
      <c r="CB301" s="21"/>
      <c r="CC301" s="21"/>
      <c r="CD301" s="180"/>
      <c r="CE301" s="180"/>
      <c r="CF301" s="21"/>
      <c r="CG301" s="14"/>
      <c r="CH301" s="14"/>
      <c r="CI301" s="14"/>
      <c r="CJ301" s="14"/>
      <c r="CK301" s="14"/>
      <c r="CL301" s="14"/>
      <c r="CM301" s="14"/>
      <c r="CN301" s="14"/>
      <c r="CO301" s="129"/>
      <c r="CP301" s="14"/>
      <c r="CQ301" s="47"/>
      <c r="CR301" s="14"/>
      <c r="CS301" s="14"/>
      <c r="CT301" s="14"/>
      <c r="CU301" s="14"/>
      <c r="CV301" s="180"/>
      <c r="CW301" s="189"/>
      <c r="CX301" s="189"/>
      <c r="CY301" s="14"/>
      <c r="CZ301" s="14"/>
      <c r="DA301" s="14"/>
      <c r="DB301" s="14"/>
      <c r="DC301" s="14"/>
      <c r="DD301" s="14"/>
      <c r="DE301" s="14"/>
      <c r="DF301" s="14"/>
      <c r="DG301" s="129"/>
      <c r="DH301" s="14"/>
      <c r="DI301" s="47"/>
      <c r="DJ301" s="14"/>
      <c r="DK301" s="19"/>
      <c r="DL301" s="40"/>
      <c r="DM301" s="41"/>
      <c r="DN301" s="40"/>
      <c r="DO301" s="40"/>
      <c r="DP301" s="40"/>
      <c r="DQ301" s="41"/>
      <c r="DR301" s="72"/>
      <c r="DS301" s="14"/>
      <c r="DT301" s="14"/>
      <c r="DU301" s="14"/>
      <c r="DV301" s="14"/>
      <c r="DW301" s="14"/>
      <c r="DX301" s="14"/>
      <c r="DY301" s="14"/>
      <c r="DZ301" s="14"/>
      <c r="EA301" s="14"/>
      <c r="EB301" s="14"/>
      <c r="EC301" s="14"/>
      <c r="ED301" s="14"/>
      <c r="EE301" s="14"/>
      <c r="EF301" s="14"/>
      <c r="EG301" s="14"/>
      <c r="EH301" s="14"/>
      <c r="EI301" s="14"/>
      <c r="EJ301" s="14"/>
      <c r="EK301" s="14"/>
      <c r="EL301" s="14"/>
    </row>
    <row r="302" spans="1:142" x14ac:dyDescent="0.25">
      <c r="A302" s="14"/>
      <c r="B302" s="19"/>
      <c r="C302" s="40"/>
      <c r="D302" s="41"/>
      <c r="E302" s="40"/>
      <c r="F302" s="40"/>
      <c r="G302" s="40"/>
      <c r="H302" s="41"/>
      <c r="I302" s="72"/>
      <c r="J302" s="14"/>
      <c r="K302" s="14"/>
      <c r="L302" s="14"/>
      <c r="M302" s="14"/>
      <c r="N302" s="14"/>
      <c r="O302" s="14"/>
      <c r="P302" s="14"/>
      <c r="Q302" s="47"/>
      <c r="R302" s="14"/>
      <c r="S302" s="19"/>
      <c r="T302" s="14"/>
      <c r="U302" s="14"/>
      <c r="V302" s="14"/>
      <c r="W302" s="14"/>
      <c r="X302" s="14"/>
      <c r="Y302" s="14"/>
      <c r="Z302" s="14"/>
      <c r="AA302" s="14"/>
      <c r="AB302" s="14"/>
      <c r="AC302" s="44"/>
      <c r="AD302" s="101"/>
      <c r="AE302" s="63"/>
      <c r="AF302" s="352"/>
      <c r="AG302" s="14"/>
      <c r="AH302" s="19"/>
      <c r="AI302" s="14"/>
      <c r="AJ302" s="14"/>
      <c r="AK302" s="14"/>
      <c r="AL302" s="14"/>
      <c r="AM302" s="14"/>
      <c r="AN302" s="14"/>
      <c r="AO302" s="14"/>
      <c r="AP302" s="14"/>
      <c r="AQ302" s="14"/>
      <c r="AR302" s="14"/>
      <c r="AS302" s="65"/>
      <c r="AT302" s="63"/>
      <c r="AU302" s="352"/>
      <c r="AV302" s="14"/>
      <c r="AW302" s="19"/>
      <c r="AX302" s="14"/>
      <c r="AY302" s="14"/>
      <c r="AZ302" s="14"/>
      <c r="BA302" s="14"/>
      <c r="BB302" s="14"/>
      <c r="BC302" s="14"/>
      <c r="BD302" s="14"/>
      <c r="BE302" s="14"/>
      <c r="BF302" s="14"/>
      <c r="BG302" s="14"/>
      <c r="BH302" s="65"/>
      <c r="BI302" s="63"/>
      <c r="BJ302" s="352"/>
      <c r="BK302" s="14"/>
      <c r="BL302" s="19"/>
      <c r="BM302" s="14"/>
      <c r="BN302" s="14"/>
      <c r="BO302" s="14"/>
      <c r="BP302" s="14"/>
      <c r="BQ302" s="14"/>
      <c r="BR302" s="14"/>
      <c r="BS302" s="14"/>
      <c r="BT302" s="14"/>
      <c r="BU302" s="14"/>
      <c r="BV302" s="14"/>
      <c r="BW302" s="65"/>
      <c r="BX302" s="63"/>
      <c r="BY302" s="352"/>
      <c r="BZ302" s="14"/>
      <c r="CA302" s="14"/>
      <c r="CB302" s="21"/>
      <c r="CC302" s="21"/>
      <c r="CD302" s="180"/>
      <c r="CE302" s="180"/>
      <c r="CF302" s="21"/>
      <c r="CG302" s="14"/>
      <c r="CH302" s="14"/>
      <c r="CI302" s="14"/>
      <c r="CJ302" s="14"/>
      <c r="CK302" s="14"/>
      <c r="CL302" s="14"/>
      <c r="CM302" s="14"/>
      <c r="CN302" s="14"/>
      <c r="CO302" s="129"/>
      <c r="CP302" s="14"/>
      <c r="CQ302" s="47"/>
      <c r="CR302" s="14"/>
      <c r="CS302" s="14"/>
      <c r="CT302" s="14"/>
      <c r="CU302" s="14"/>
      <c r="CV302" s="180"/>
      <c r="CW302" s="189"/>
      <c r="CX302" s="189"/>
      <c r="CY302" s="14"/>
      <c r="CZ302" s="14"/>
      <c r="DA302" s="14"/>
      <c r="DB302" s="14"/>
      <c r="DC302" s="14"/>
      <c r="DD302" s="14"/>
      <c r="DE302" s="14"/>
      <c r="DF302" s="14"/>
      <c r="DG302" s="129"/>
      <c r="DH302" s="14"/>
      <c r="DI302" s="47"/>
      <c r="DJ302" s="14"/>
      <c r="DK302" s="19"/>
      <c r="DL302" s="40"/>
      <c r="DM302" s="41"/>
      <c r="DN302" s="40"/>
      <c r="DO302" s="40"/>
      <c r="DP302" s="40"/>
      <c r="DQ302" s="41"/>
      <c r="DR302" s="72"/>
      <c r="DS302" s="14"/>
      <c r="DT302" s="14"/>
      <c r="DU302" s="14"/>
      <c r="DV302" s="14"/>
      <c r="DW302" s="14"/>
      <c r="DX302" s="14"/>
      <c r="DY302" s="14"/>
      <c r="DZ302" s="14"/>
      <c r="EA302" s="14"/>
      <c r="EB302" s="14"/>
      <c r="EC302" s="14"/>
      <c r="ED302" s="14"/>
      <c r="EE302" s="14"/>
      <c r="EF302" s="14"/>
      <c r="EG302" s="14"/>
      <c r="EH302" s="14"/>
      <c r="EI302" s="14"/>
      <c r="EJ302" s="14"/>
      <c r="EK302" s="14"/>
      <c r="EL302" s="14"/>
    </row>
    <row r="303" spans="1:142" x14ac:dyDescent="0.25">
      <c r="A303" s="14"/>
      <c r="B303" s="19"/>
      <c r="C303" s="40"/>
      <c r="D303" s="41"/>
      <c r="E303" s="40"/>
      <c r="F303" s="40"/>
      <c r="G303" s="40"/>
      <c r="H303" s="41"/>
      <c r="I303" s="72"/>
      <c r="J303" s="14"/>
      <c r="K303" s="14"/>
      <c r="L303" s="14"/>
      <c r="M303" s="14"/>
      <c r="N303" s="14"/>
      <c r="O303" s="14"/>
      <c r="P303" s="14"/>
      <c r="Q303" s="47"/>
      <c r="R303" s="14"/>
      <c r="S303" s="19"/>
      <c r="T303" s="14"/>
      <c r="U303" s="14"/>
      <c r="V303" s="14"/>
      <c r="W303" s="14"/>
      <c r="X303" s="14"/>
      <c r="Y303" s="14"/>
      <c r="Z303" s="14"/>
      <c r="AA303" s="14"/>
      <c r="AB303" s="14"/>
      <c r="AC303" s="44"/>
      <c r="AD303" s="101"/>
      <c r="AE303" s="63"/>
      <c r="AF303" s="352"/>
      <c r="AG303" s="14"/>
      <c r="AH303" s="19"/>
      <c r="AI303" s="14"/>
      <c r="AJ303" s="14"/>
      <c r="AK303" s="14"/>
      <c r="AL303" s="14"/>
      <c r="AM303" s="14"/>
      <c r="AN303" s="14"/>
      <c r="AO303" s="14"/>
      <c r="AP303" s="14"/>
      <c r="AQ303" s="14"/>
      <c r="AR303" s="14"/>
      <c r="AS303" s="65"/>
      <c r="AT303" s="63"/>
      <c r="AU303" s="352"/>
      <c r="AV303" s="14"/>
      <c r="AW303" s="19"/>
      <c r="AX303" s="14"/>
      <c r="AY303" s="14"/>
      <c r="AZ303" s="14"/>
      <c r="BA303" s="14"/>
      <c r="BB303" s="14"/>
      <c r="BC303" s="14"/>
      <c r="BD303" s="14"/>
      <c r="BE303" s="14"/>
      <c r="BF303" s="14"/>
      <c r="BG303" s="14"/>
      <c r="BH303" s="65"/>
      <c r="BI303" s="63"/>
      <c r="BJ303" s="352"/>
      <c r="BK303" s="14"/>
      <c r="BL303" s="19"/>
      <c r="BM303" s="14"/>
      <c r="BN303" s="14"/>
      <c r="BO303" s="14"/>
      <c r="BP303" s="14"/>
      <c r="BQ303" s="14"/>
      <c r="BR303" s="14"/>
      <c r="BS303" s="14"/>
      <c r="BT303" s="14"/>
      <c r="BU303" s="14"/>
      <c r="BV303" s="14"/>
      <c r="BW303" s="65"/>
      <c r="BX303" s="63"/>
      <c r="BY303" s="352"/>
      <c r="BZ303" s="14"/>
      <c r="CA303" s="14"/>
      <c r="CB303" s="21"/>
      <c r="CC303" s="21"/>
      <c r="CD303" s="180"/>
      <c r="CE303" s="180"/>
      <c r="CF303" s="21"/>
      <c r="CG303" s="14"/>
      <c r="CH303" s="14"/>
      <c r="CI303" s="14"/>
      <c r="CJ303" s="14"/>
      <c r="CK303" s="14"/>
      <c r="CL303" s="14"/>
      <c r="CM303" s="14"/>
      <c r="CN303" s="14"/>
      <c r="CO303" s="129"/>
      <c r="CP303" s="14"/>
      <c r="CQ303" s="47"/>
      <c r="CR303" s="14"/>
      <c r="CS303" s="14"/>
      <c r="CT303" s="14"/>
      <c r="CU303" s="14"/>
      <c r="CV303" s="180"/>
      <c r="CW303" s="189"/>
      <c r="CX303" s="189"/>
      <c r="CY303" s="14"/>
      <c r="CZ303" s="14"/>
      <c r="DA303" s="14"/>
      <c r="DB303" s="14"/>
      <c r="DC303" s="14"/>
      <c r="DD303" s="14"/>
      <c r="DE303" s="14"/>
      <c r="DF303" s="14"/>
      <c r="DG303" s="129"/>
      <c r="DH303" s="14"/>
      <c r="DI303" s="47"/>
      <c r="DJ303" s="14"/>
      <c r="DK303" s="19"/>
      <c r="DL303" s="40"/>
      <c r="DM303" s="41"/>
      <c r="DN303" s="40"/>
      <c r="DO303" s="40"/>
      <c r="DP303" s="40"/>
      <c r="DQ303" s="41"/>
      <c r="DR303" s="72"/>
      <c r="DS303" s="14"/>
      <c r="DT303" s="14"/>
      <c r="DU303" s="14"/>
      <c r="DV303" s="14"/>
      <c r="DW303" s="14"/>
      <c r="DX303" s="14"/>
      <c r="DY303" s="14"/>
      <c r="DZ303" s="14"/>
      <c r="EA303" s="14"/>
      <c r="EB303" s="14"/>
      <c r="EC303" s="14"/>
      <c r="ED303" s="14"/>
      <c r="EE303" s="14"/>
      <c r="EF303" s="14"/>
      <c r="EG303" s="14"/>
      <c r="EH303" s="14"/>
      <c r="EI303" s="14"/>
      <c r="EJ303" s="14"/>
      <c r="EK303" s="14"/>
      <c r="EL303" s="14"/>
    </row>
    <row r="304" spans="1:142" x14ac:dyDescent="0.25">
      <c r="A304" s="14"/>
      <c r="B304" s="19"/>
      <c r="C304" s="40"/>
      <c r="D304" s="41"/>
      <c r="E304" s="40"/>
      <c r="F304" s="40"/>
      <c r="G304" s="40"/>
      <c r="H304" s="41"/>
      <c r="I304" s="72"/>
      <c r="J304" s="14"/>
      <c r="K304" s="14"/>
      <c r="L304" s="14"/>
      <c r="M304" s="14"/>
      <c r="N304" s="14"/>
      <c r="O304" s="14"/>
      <c r="P304" s="14"/>
      <c r="Q304" s="47"/>
      <c r="R304" s="14"/>
      <c r="S304" s="19"/>
      <c r="T304" s="14"/>
      <c r="U304" s="14"/>
      <c r="V304" s="14"/>
      <c r="W304" s="14"/>
      <c r="X304" s="14"/>
      <c r="Y304" s="14"/>
      <c r="Z304" s="14"/>
      <c r="AA304" s="14"/>
      <c r="AB304" s="14"/>
      <c r="AC304" s="44"/>
      <c r="AD304" s="101"/>
      <c r="AE304" s="63"/>
      <c r="AF304" s="352"/>
      <c r="AG304" s="14"/>
      <c r="AH304" s="19"/>
      <c r="AI304" s="14"/>
      <c r="AJ304" s="14"/>
      <c r="AK304" s="14"/>
      <c r="AL304" s="14"/>
      <c r="AM304" s="14"/>
      <c r="AN304" s="14"/>
      <c r="AO304" s="14"/>
      <c r="AP304" s="14"/>
      <c r="AQ304" s="14"/>
      <c r="AR304" s="14"/>
      <c r="AS304" s="65"/>
      <c r="AT304" s="63"/>
      <c r="AU304" s="352"/>
      <c r="AV304" s="14"/>
      <c r="AW304" s="19"/>
      <c r="AX304" s="14"/>
      <c r="AY304" s="14"/>
      <c r="AZ304" s="14"/>
      <c r="BA304" s="14"/>
      <c r="BB304" s="14"/>
      <c r="BC304" s="14"/>
      <c r="BD304" s="14"/>
      <c r="BE304" s="14"/>
      <c r="BF304" s="14"/>
      <c r="BG304" s="14"/>
      <c r="BH304" s="65"/>
      <c r="BI304" s="63"/>
      <c r="BJ304" s="352"/>
      <c r="BK304" s="14"/>
      <c r="BL304" s="19"/>
      <c r="BM304" s="14"/>
      <c r="BN304" s="14"/>
      <c r="BO304" s="14"/>
      <c r="BP304" s="14"/>
      <c r="BQ304" s="14"/>
      <c r="BR304" s="14"/>
      <c r="BS304" s="14"/>
      <c r="BT304" s="14"/>
      <c r="BU304" s="14"/>
      <c r="BV304" s="14"/>
      <c r="BW304" s="65"/>
      <c r="BX304" s="63"/>
      <c r="BY304" s="352"/>
      <c r="BZ304" s="14"/>
      <c r="CA304" s="14"/>
      <c r="CB304" s="21"/>
      <c r="CC304" s="21"/>
      <c r="CD304" s="180"/>
      <c r="CE304" s="180"/>
      <c r="CF304" s="21"/>
      <c r="CG304" s="14"/>
      <c r="CH304" s="14"/>
      <c r="CI304" s="14"/>
      <c r="CJ304" s="14"/>
      <c r="CK304" s="14"/>
      <c r="CL304" s="14"/>
      <c r="CM304" s="14"/>
      <c r="CN304" s="14"/>
      <c r="CO304" s="129"/>
      <c r="CP304" s="14"/>
      <c r="CQ304" s="47"/>
      <c r="CR304" s="14"/>
      <c r="CS304" s="14"/>
      <c r="CT304" s="14"/>
      <c r="CU304" s="14"/>
      <c r="CV304" s="180"/>
      <c r="CW304" s="189"/>
      <c r="CX304" s="189"/>
      <c r="CY304" s="14"/>
      <c r="CZ304" s="14"/>
      <c r="DA304" s="14"/>
      <c r="DB304" s="14"/>
      <c r="DC304" s="14"/>
      <c r="DD304" s="14"/>
      <c r="DE304" s="14"/>
      <c r="DF304" s="14"/>
      <c r="DG304" s="129"/>
      <c r="DH304" s="14"/>
      <c r="DI304" s="47"/>
      <c r="DJ304" s="14"/>
      <c r="DK304" s="19"/>
      <c r="DL304" s="40"/>
      <c r="DM304" s="41"/>
      <c r="DN304" s="40"/>
      <c r="DO304" s="40"/>
      <c r="DP304" s="40"/>
      <c r="DQ304" s="41"/>
      <c r="DR304" s="72"/>
      <c r="DS304" s="14"/>
      <c r="DT304" s="14"/>
      <c r="DU304" s="14"/>
      <c r="DV304" s="14"/>
      <c r="DW304" s="14"/>
      <c r="DX304" s="14"/>
      <c r="DY304" s="14"/>
      <c r="DZ304" s="14"/>
      <c r="EA304" s="14"/>
      <c r="EB304" s="14"/>
      <c r="EC304" s="14"/>
      <c r="ED304" s="14"/>
      <c r="EE304" s="14"/>
      <c r="EF304" s="14"/>
      <c r="EG304" s="14"/>
      <c r="EH304" s="14"/>
      <c r="EI304" s="14"/>
      <c r="EJ304" s="14"/>
      <c r="EK304" s="14"/>
      <c r="EL304" s="14"/>
    </row>
    <row r="305" spans="1:142" x14ac:dyDescent="0.25">
      <c r="A305" s="14"/>
      <c r="B305" s="19"/>
      <c r="C305" s="40"/>
      <c r="D305" s="41"/>
      <c r="E305" s="40"/>
      <c r="F305" s="40"/>
      <c r="G305" s="40"/>
      <c r="H305" s="41"/>
      <c r="I305" s="72"/>
      <c r="J305" s="14"/>
      <c r="K305" s="14"/>
      <c r="L305" s="14"/>
      <c r="M305" s="14"/>
      <c r="N305" s="14"/>
      <c r="O305" s="14"/>
      <c r="P305" s="14"/>
      <c r="Q305" s="47"/>
      <c r="R305" s="14"/>
      <c r="S305" s="19"/>
      <c r="T305" s="14"/>
      <c r="U305" s="14"/>
      <c r="V305" s="14"/>
      <c r="W305" s="14"/>
      <c r="X305" s="14"/>
      <c r="Y305" s="14"/>
      <c r="Z305" s="14"/>
      <c r="AA305" s="14"/>
      <c r="AB305" s="14"/>
      <c r="AC305" s="44"/>
      <c r="AD305" s="101"/>
      <c r="AE305" s="63"/>
      <c r="AF305" s="352"/>
      <c r="AG305" s="14"/>
      <c r="AH305" s="19"/>
      <c r="AI305" s="14"/>
      <c r="AJ305" s="14"/>
      <c r="AK305" s="14"/>
      <c r="AL305" s="14"/>
      <c r="AM305" s="14"/>
      <c r="AN305" s="14"/>
      <c r="AO305" s="14"/>
      <c r="AP305" s="14"/>
      <c r="AQ305" s="14"/>
      <c r="AR305" s="14"/>
      <c r="AS305" s="65"/>
      <c r="AT305" s="63"/>
      <c r="AU305" s="352"/>
      <c r="AV305" s="14"/>
      <c r="AW305" s="19"/>
      <c r="AX305" s="14"/>
      <c r="AY305" s="14"/>
      <c r="AZ305" s="14"/>
      <c r="BA305" s="14"/>
      <c r="BB305" s="14"/>
      <c r="BC305" s="14"/>
      <c r="BD305" s="14"/>
      <c r="BE305" s="14"/>
      <c r="BF305" s="14"/>
      <c r="BG305" s="14"/>
      <c r="BH305" s="65"/>
      <c r="BI305" s="63"/>
      <c r="BJ305" s="352"/>
      <c r="BK305" s="14"/>
      <c r="BL305" s="19"/>
      <c r="BM305" s="14"/>
      <c r="BN305" s="14"/>
      <c r="BO305" s="14"/>
      <c r="BP305" s="14"/>
      <c r="BQ305" s="14"/>
      <c r="BR305" s="14"/>
      <c r="BS305" s="14"/>
      <c r="BT305" s="14"/>
      <c r="BU305" s="14"/>
      <c r="BV305" s="14"/>
      <c r="BW305" s="65"/>
      <c r="BX305" s="63"/>
      <c r="BY305" s="352"/>
      <c r="BZ305" s="14"/>
      <c r="CA305" s="14"/>
      <c r="CB305" s="21"/>
      <c r="CC305" s="21"/>
      <c r="CD305" s="180"/>
      <c r="CE305" s="180"/>
      <c r="CF305" s="21"/>
      <c r="CG305" s="14"/>
      <c r="CH305" s="14"/>
      <c r="CI305" s="14"/>
      <c r="CJ305" s="14"/>
      <c r="CK305" s="14"/>
      <c r="CL305" s="14"/>
      <c r="CM305" s="14"/>
      <c r="CN305" s="14"/>
      <c r="CO305" s="129"/>
      <c r="CP305" s="14"/>
      <c r="CQ305" s="47"/>
      <c r="CR305" s="14"/>
      <c r="CS305" s="14"/>
      <c r="CT305" s="14"/>
      <c r="CU305" s="14"/>
      <c r="CV305" s="180"/>
      <c r="CW305" s="189"/>
      <c r="CX305" s="189"/>
      <c r="CY305" s="14"/>
      <c r="CZ305" s="14"/>
      <c r="DA305" s="14"/>
      <c r="DB305" s="14"/>
      <c r="DC305" s="14"/>
      <c r="DD305" s="14"/>
      <c r="DE305" s="14"/>
      <c r="DF305" s="14"/>
      <c r="DG305" s="129"/>
      <c r="DH305" s="14"/>
      <c r="DI305" s="47"/>
      <c r="DJ305" s="14"/>
      <c r="DK305" s="19"/>
      <c r="DL305" s="40"/>
      <c r="DM305" s="41"/>
      <c r="DN305" s="40"/>
      <c r="DO305" s="40"/>
      <c r="DP305" s="40"/>
      <c r="DQ305" s="41"/>
      <c r="DR305" s="72"/>
      <c r="DS305" s="14"/>
      <c r="DT305" s="14"/>
      <c r="DU305" s="14"/>
      <c r="DV305" s="14"/>
      <c r="DW305" s="14"/>
      <c r="DX305" s="14"/>
      <c r="DY305" s="14"/>
      <c r="DZ305" s="14"/>
      <c r="EA305" s="14"/>
      <c r="EB305" s="14"/>
      <c r="EC305" s="14"/>
      <c r="ED305" s="14"/>
      <c r="EE305" s="14"/>
      <c r="EF305" s="14"/>
      <c r="EG305" s="14"/>
      <c r="EH305" s="14"/>
      <c r="EI305" s="14"/>
      <c r="EJ305" s="14"/>
      <c r="EK305" s="14"/>
      <c r="EL305" s="14"/>
    </row>
    <row r="306" spans="1:142" x14ac:dyDescent="0.25">
      <c r="A306" s="14"/>
      <c r="B306" s="19"/>
      <c r="C306" s="40"/>
      <c r="D306" s="41"/>
      <c r="E306" s="40"/>
      <c r="F306" s="40"/>
      <c r="G306" s="40"/>
      <c r="H306" s="41"/>
      <c r="I306" s="72"/>
      <c r="J306" s="14"/>
      <c r="K306" s="14"/>
      <c r="L306" s="14"/>
      <c r="M306" s="14"/>
      <c r="N306" s="14"/>
      <c r="O306" s="14"/>
      <c r="P306" s="14"/>
      <c r="Q306" s="47"/>
      <c r="R306" s="14"/>
      <c r="S306" s="19"/>
      <c r="T306" s="14"/>
      <c r="U306" s="14"/>
      <c r="V306" s="14"/>
      <c r="W306" s="14"/>
      <c r="X306" s="14"/>
      <c r="Y306" s="14"/>
      <c r="Z306" s="14"/>
      <c r="AA306" s="14"/>
      <c r="AB306" s="14"/>
      <c r="AC306" s="19"/>
      <c r="AD306" s="63"/>
      <c r="AE306" s="63"/>
      <c r="AF306" s="352"/>
      <c r="AG306" s="14"/>
      <c r="AH306" s="19"/>
      <c r="AI306" s="14"/>
      <c r="AJ306" s="14"/>
      <c r="AK306" s="14"/>
      <c r="AL306" s="14"/>
      <c r="AM306" s="14"/>
      <c r="AN306" s="14"/>
      <c r="AO306" s="14"/>
      <c r="AP306" s="14"/>
      <c r="AQ306" s="14"/>
      <c r="AR306" s="14"/>
      <c r="AS306" s="65"/>
      <c r="AT306" s="63"/>
      <c r="AU306" s="352"/>
      <c r="AV306" s="14"/>
      <c r="AW306" s="19"/>
      <c r="AX306" s="14"/>
      <c r="AY306" s="14"/>
      <c r="AZ306" s="14"/>
      <c r="BA306" s="14"/>
      <c r="BB306" s="14"/>
      <c r="BC306" s="14"/>
      <c r="BD306" s="14"/>
      <c r="BE306" s="14"/>
      <c r="BF306" s="14"/>
      <c r="BG306" s="14"/>
      <c r="BH306" s="65"/>
      <c r="BI306" s="63"/>
      <c r="BJ306" s="352"/>
      <c r="BK306" s="14"/>
      <c r="BL306" s="19"/>
      <c r="BM306" s="14"/>
      <c r="BN306" s="14"/>
      <c r="BO306" s="14"/>
      <c r="BP306" s="14"/>
      <c r="BQ306" s="14"/>
      <c r="BR306" s="14"/>
      <c r="BS306" s="14"/>
      <c r="BT306" s="14"/>
      <c r="BU306" s="14"/>
      <c r="BV306" s="14"/>
      <c r="BW306" s="65"/>
      <c r="BX306" s="63"/>
      <c r="BY306" s="352"/>
      <c r="BZ306" s="14"/>
      <c r="CA306" s="14"/>
      <c r="CB306" s="21"/>
      <c r="CC306" s="21"/>
      <c r="CD306" s="180"/>
      <c r="CE306" s="180"/>
      <c r="CF306" s="21"/>
      <c r="CG306" s="14"/>
      <c r="CH306" s="14"/>
      <c r="CI306" s="14"/>
      <c r="CJ306" s="14"/>
      <c r="CK306" s="14"/>
      <c r="CL306" s="14"/>
      <c r="CM306" s="14"/>
      <c r="CN306" s="14"/>
      <c r="CO306" s="129"/>
      <c r="CP306" s="14"/>
      <c r="CQ306" s="47"/>
      <c r="CR306" s="14"/>
      <c r="CS306" s="14"/>
      <c r="CT306" s="14"/>
      <c r="CU306" s="14"/>
      <c r="CV306" s="180"/>
      <c r="CW306" s="189"/>
      <c r="CX306" s="189"/>
      <c r="CY306" s="14"/>
      <c r="CZ306" s="14"/>
      <c r="DA306" s="14"/>
      <c r="DB306" s="14"/>
      <c r="DC306" s="14"/>
      <c r="DD306" s="14"/>
      <c r="DE306" s="14"/>
      <c r="DF306" s="14"/>
      <c r="DG306" s="129"/>
      <c r="DH306" s="14"/>
      <c r="DI306" s="47"/>
      <c r="DJ306" s="14"/>
      <c r="DK306" s="19"/>
      <c r="DL306" s="40"/>
      <c r="DM306" s="41"/>
      <c r="DN306" s="40"/>
      <c r="DO306" s="40"/>
      <c r="DP306" s="40"/>
      <c r="DQ306" s="41"/>
      <c r="DR306" s="72"/>
      <c r="DS306" s="14"/>
      <c r="DT306" s="14"/>
      <c r="DU306" s="14"/>
      <c r="DV306" s="14"/>
      <c r="DW306" s="14"/>
      <c r="DX306" s="14"/>
      <c r="DY306" s="14"/>
      <c r="DZ306" s="14"/>
      <c r="EA306" s="14"/>
      <c r="EB306" s="14"/>
      <c r="EC306" s="14"/>
      <c r="ED306" s="14"/>
      <c r="EE306" s="14"/>
      <c r="EF306" s="14"/>
      <c r="EG306" s="14"/>
      <c r="EH306" s="14"/>
      <c r="EI306" s="14"/>
      <c r="EJ306" s="14"/>
      <c r="EK306" s="14"/>
      <c r="EL306" s="14"/>
    </row>
    <row r="307" spans="1:142" x14ac:dyDescent="0.25">
      <c r="A307" s="14"/>
      <c r="B307" s="19"/>
      <c r="C307" s="40"/>
      <c r="D307" s="41"/>
      <c r="E307" s="40"/>
      <c r="F307" s="40"/>
      <c r="G307" s="40"/>
      <c r="H307" s="41"/>
      <c r="I307" s="72"/>
      <c r="J307" s="14"/>
      <c r="K307" s="14"/>
      <c r="L307" s="14"/>
      <c r="M307" s="14"/>
      <c r="N307" s="14"/>
      <c r="O307" s="14"/>
      <c r="P307" s="14"/>
      <c r="Q307" s="47"/>
      <c r="R307" s="14"/>
      <c r="S307" s="19"/>
      <c r="T307" s="14"/>
      <c r="U307" s="14"/>
      <c r="V307" s="14"/>
      <c r="W307" s="14"/>
      <c r="X307" s="14"/>
      <c r="Y307" s="14"/>
      <c r="Z307" s="14"/>
      <c r="AA307" s="14"/>
      <c r="AB307" s="14"/>
      <c r="AC307" s="19"/>
      <c r="AD307" s="63"/>
      <c r="AE307" s="63"/>
      <c r="AF307" s="352"/>
      <c r="AG307" s="14"/>
      <c r="AH307" s="19"/>
      <c r="AI307" s="14"/>
      <c r="AJ307" s="14"/>
      <c r="AK307" s="14"/>
      <c r="AL307" s="14"/>
      <c r="AM307" s="14"/>
      <c r="AN307" s="14"/>
      <c r="AO307" s="14"/>
      <c r="AP307" s="14"/>
      <c r="AQ307" s="14"/>
      <c r="AR307" s="14"/>
      <c r="AS307" s="65"/>
      <c r="AT307" s="63"/>
      <c r="AU307" s="352"/>
      <c r="AV307" s="14"/>
      <c r="AW307" s="19"/>
      <c r="AX307" s="14"/>
      <c r="AY307" s="14"/>
      <c r="AZ307" s="14"/>
      <c r="BA307" s="14"/>
      <c r="BB307" s="14"/>
      <c r="BC307" s="14"/>
      <c r="BD307" s="14"/>
      <c r="BE307" s="14"/>
      <c r="BF307" s="14"/>
      <c r="BG307" s="14"/>
      <c r="BH307" s="65"/>
      <c r="BI307" s="63"/>
      <c r="BJ307" s="352"/>
      <c r="BK307" s="14"/>
      <c r="BL307" s="19"/>
      <c r="BM307" s="14"/>
      <c r="BN307" s="14"/>
      <c r="BO307" s="14"/>
      <c r="BP307" s="14"/>
      <c r="BQ307" s="14"/>
      <c r="BR307" s="14"/>
      <c r="BS307" s="14"/>
      <c r="BT307" s="14"/>
      <c r="BU307" s="14"/>
      <c r="BV307" s="14"/>
      <c r="BW307" s="65"/>
      <c r="BX307" s="63"/>
      <c r="BY307" s="352"/>
      <c r="BZ307" s="14"/>
      <c r="CA307" s="14"/>
      <c r="CB307" s="21"/>
      <c r="CC307" s="21"/>
      <c r="CD307" s="180"/>
      <c r="CE307" s="180"/>
      <c r="CF307" s="21"/>
      <c r="CG307" s="14"/>
      <c r="CH307" s="14"/>
      <c r="CI307" s="14"/>
      <c r="CJ307" s="14"/>
      <c r="CK307" s="14"/>
      <c r="CL307" s="14"/>
      <c r="CM307" s="14"/>
      <c r="CN307" s="14"/>
      <c r="CO307" s="129"/>
      <c r="CP307" s="14"/>
      <c r="CQ307" s="47"/>
      <c r="CR307" s="14"/>
      <c r="CS307" s="14"/>
      <c r="CT307" s="14"/>
      <c r="CU307" s="14"/>
      <c r="CV307" s="180"/>
      <c r="CW307" s="189"/>
      <c r="CX307" s="189"/>
      <c r="CY307" s="14"/>
      <c r="CZ307" s="14"/>
      <c r="DA307" s="14"/>
      <c r="DB307" s="14"/>
      <c r="DC307" s="14"/>
      <c r="DD307" s="14"/>
      <c r="DE307" s="14"/>
      <c r="DF307" s="14"/>
      <c r="DG307" s="129"/>
      <c r="DH307" s="14"/>
      <c r="DI307" s="47"/>
      <c r="DJ307" s="14"/>
      <c r="DK307" s="19"/>
      <c r="DL307" s="40"/>
      <c r="DM307" s="41"/>
      <c r="DN307" s="40"/>
      <c r="DO307" s="40"/>
      <c r="DP307" s="40"/>
      <c r="DQ307" s="41"/>
      <c r="DR307" s="72"/>
      <c r="DS307" s="14"/>
      <c r="DT307" s="14"/>
      <c r="DU307" s="14"/>
      <c r="DV307" s="14"/>
      <c r="DW307" s="14"/>
      <c r="DX307" s="14"/>
      <c r="DY307" s="14"/>
      <c r="DZ307" s="14"/>
      <c r="EA307" s="14"/>
      <c r="EB307" s="14"/>
      <c r="EC307" s="14"/>
      <c r="ED307" s="14"/>
      <c r="EE307" s="14"/>
      <c r="EF307" s="14"/>
      <c r="EG307" s="14"/>
      <c r="EH307" s="14"/>
      <c r="EI307" s="14"/>
      <c r="EJ307" s="14"/>
      <c r="EK307" s="14"/>
      <c r="EL307" s="14"/>
    </row>
    <row r="308" spans="1:142" x14ac:dyDescent="0.25">
      <c r="A308" s="14"/>
      <c r="B308" s="19"/>
      <c r="C308" s="40"/>
      <c r="D308" s="41"/>
      <c r="E308" s="40"/>
      <c r="F308" s="40"/>
      <c r="G308" s="40"/>
      <c r="H308" s="41"/>
      <c r="I308" s="72"/>
      <c r="J308" s="14"/>
      <c r="K308" s="14"/>
      <c r="L308" s="14"/>
      <c r="M308" s="14"/>
      <c r="N308" s="14"/>
      <c r="O308" s="14"/>
      <c r="P308" s="14"/>
      <c r="Q308" s="47"/>
      <c r="R308" s="14"/>
      <c r="S308" s="19"/>
      <c r="T308" s="14"/>
      <c r="U308" s="14"/>
      <c r="V308" s="14"/>
      <c r="W308" s="14"/>
      <c r="X308" s="14"/>
      <c r="Y308" s="14"/>
      <c r="Z308" s="14"/>
      <c r="AA308" s="14"/>
      <c r="AB308" s="14"/>
      <c r="AC308" s="14"/>
      <c r="AD308" s="65"/>
      <c r="AE308" s="63"/>
      <c r="AF308" s="352"/>
      <c r="AG308" s="14"/>
      <c r="AH308" s="19"/>
      <c r="AI308" s="14"/>
      <c r="AJ308" s="14"/>
      <c r="AK308" s="14"/>
      <c r="AL308" s="14"/>
      <c r="AM308" s="14"/>
      <c r="AN308" s="14"/>
      <c r="AO308" s="14"/>
      <c r="AP308" s="14"/>
      <c r="AQ308" s="14"/>
      <c r="AR308" s="14"/>
      <c r="AS308" s="65"/>
      <c r="AT308" s="63"/>
      <c r="AU308" s="352"/>
      <c r="AV308" s="14"/>
      <c r="AW308" s="19"/>
      <c r="AX308" s="14"/>
      <c r="AY308" s="14"/>
      <c r="AZ308" s="14"/>
      <c r="BA308" s="14"/>
      <c r="BB308" s="14"/>
      <c r="BC308" s="14"/>
      <c r="BD308" s="14"/>
      <c r="BE308" s="14"/>
      <c r="BF308" s="14"/>
      <c r="BG308" s="14"/>
      <c r="BH308" s="65"/>
      <c r="BI308" s="63"/>
      <c r="BJ308" s="352"/>
      <c r="BK308" s="14"/>
      <c r="BL308" s="19"/>
      <c r="BM308" s="14"/>
      <c r="BN308" s="14"/>
      <c r="BO308" s="14"/>
      <c r="BP308" s="14"/>
      <c r="BQ308" s="14"/>
      <c r="BR308" s="14"/>
      <c r="BS308" s="14"/>
      <c r="BT308" s="14"/>
      <c r="BU308" s="14"/>
      <c r="BV308" s="14"/>
      <c r="BW308" s="65"/>
      <c r="BX308" s="63"/>
      <c r="BY308" s="352"/>
      <c r="BZ308" s="14"/>
      <c r="CA308" s="14"/>
      <c r="CB308" s="21"/>
      <c r="CC308" s="21"/>
      <c r="CD308" s="21"/>
      <c r="CE308" s="21"/>
      <c r="CF308" s="21"/>
      <c r="CG308" s="14"/>
      <c r="CH308" s="14"/>
      <c r="CI308" s="14"/>
      <c r="CJ308" s="14"/>
      <c r="CK308" s="14"/>
      <c r="CL308" s="14"/>
      <c r="CM308" s="14"/>
      <c r="CN308" s="14"/>
      <c r="CO308" s="129"/>
      <c r="CP308" s="14"/>
      <c r="CQ308" s="47"/>
      <c r="CR308" s="14"/>
      <c r="CS308" s="14"/>
      <c r="CT308" s="14"/>
      <c r="CU308" s="14"/>
      <c r="CV308" s="180"/>
      <c r="CW308" s="189"/>
      <c r="CX308" s="189"/>
      <c r="CY308" s="14"/>
      <c r="CZ308" s="14"/>
      <c r="DA308" s="14"/>
      <c r="DB308" s="14"/>
      <c r="DC308" s="14"/>
      <c r="DD308" s="14"/>
      <c r="DE308" s="14"/>
      <c r="DF308" s="14"/>
      <c r="DG308" s="129"/>
      <c r="DH308" s="14"/>
      <c r="DI308" s="47"/>
      <c r="DJ308" s="14"/>
      <c r="DK308" s="19"/>
      <c r="DL308" s="40"/>
      <c r="DM308" s="41"/>
      <c r="DN308" s="40"/>
      <c r="DO308" s="40"/>
      <c r="DP308" s="40"/>
      <c r="DQ308" s="41"/>
      <c r="DR308" s="72"/>
      <c r="DS308" s="14"/>
      <c r="DT308" s="14"/>
      <c r="DU308" s="14"/>
      <c r="DV308" s="14"/>
      <c r="DW308" s="14"/>
      <c r="DX308" s="14"/>
      <c r="DY308" s="14"/>
      <c r="DZ308" s="14"/>
      <c r="EA308" s="14"/>
      <c r="EB308" s="14"/>
      <c r="EC308" s="14"/>
      <c r="ED308" s="14"/>
      <c r="EE308" s="14"/>
      <c r="EF308" s="14"/>
      <c r="EG308" s="14"/>
      <c r="EH308" s="14"/>
      <c r="EI308" s="14"/>
      <c r="EJ308" s="14"/>
      <c r="EK308" s="14"/>
      <c r="EL308" s="14"/>
    </row>
    <row r="309" spans="1:142" x14ac:dyDescent="0.25">
      <c r="A309" s="14"/>
      <c r="B309" s="19"/>
      <c r="C309" s="40"/>
      <c r="D309" s="41"/>
      <c r="E309" s="40"/>
      <c r="F309" s="40"/>
      <c r="G309" s="40"/>
      <c r="H309" s="41"/>
      <c r="I309" s="72"/>
      <c r="J309" s="14"/>
      <c r="K309" s="14"/>
      <c r="L309" s="14"/>
      <c r="M309" s="14"/>
      <c r="N309" s="14"/>
      <c r="O309" s="14"/>
      <c r="P309" s="14"/>
      <c r="Q309" s="47"/>
      <c r="R309" s="14"/>
      <c r="S309" s="19"/>
      <c r="T309" s="14"/>
      <c r="U309" s="14"/>
      <c r="V309" s="14"/>
      <c r="W309" s="14"/>
      <c r="X309" s="14"/>
      <c r="Y309" s="14"/>
      <c r="Z309" s="14"/>
      <c r="AA309" s="14"/>
      <c r="AB309" s="14"/>
      <c r="AC309" s="14"/>
      <c r="AD309" s="65"/>
      <c r="AE309" s="63"/>
      <c r="AF309" s="352"/>
      <c r="AG309" s="14"/>
      <c r="AH309" s="19"/>
      <c r="AI309" s="14"/>
      <c r="AJ309" s="14"/>
      <c r="AK309" s="14"/>
      <c r="AL309" s="14"/>
      <c r="AM309" s="14"/>
      <c r="AN309" s="14"/>
      <c r="AO309" s="14"/>
      <c r="AP309" s="14"/>
      <c r="AQ309" s="14"/>
      <c r="AR309" s="14"/>
      <c r="AS309" s="65"/>
      <c r="AT309" s="63"/>
      <c r="AU309" s="352"/>
      <c r="AV309" s="14"/>
      <c r="AW309" s="19"/>
      <c r="AX309" s="14"/>
      <c r="AY309" s="14"/>
      <c r="AZ309" s="14"/>
      <c r="BA309" s="14"/>
      <c r="BB309" s="14"/>
      <c r="BC309" s="14"/>
      <c r="BD309" s="14"/>
      <c r="BE309" s="14"/>
      <c r="BF309" s="14"/>
      <c r="BG309" s="14"/>
      <c r="BH309" s="65"/>
      <c r="BI309" s="63"/>
      <c r="BJ309" s="352"/>
      <c r="BK309" s="14"/>
      <c r="BL309" s="19"/>
      <c r="BM309" s="14"/>
      <c r="BN309" s="14"/>
      <c r="BO309" s="14"/>
      <c r="BP309" s="14"/>
      <c r="BQ309" s="14"/>
      <c r="BR309" s="14"/>
      <c r="BS309" s="14"/>
      <c r="BT309" s="14"/>
      <c r="BU309" s="14"/>
      <c r="BV309" s="14"/>
      <c r="BW309" s="65"/>
      <c r="BX309" s="63"/>
      <c r="BY309" s="352"/>
      <c r="BZ309" s="14"/>
      <c r="CA309" s="14"/>
      <c r="CB309" s="21"/>
      <c r="CC309" s="21"/>
      <c r="CD309" s="21"/>
      <c r="CE309" s="21"/>
      <c r="CF309" s="21"/>
      <c r="CG309" s="14"/>
      <c r="CH309" s="14"/>
      <c r="CI309" s="14"/>
      <c r="CJ309" s="14"/>
      <c r="CK309" s="14"/>
      <c r="CL309" s="14"/>
      <c r="CM309" s="14"/>
      <c r="CN309" s="14"/>
      <c r="CO309" s="129"/>
      <c r="CP309" s="14"/>
      <c r="CQ309" s="47"/>
      <c r="CR309" s="14"/>
      <c r="CS309" s="14"/>
      <c r="CT309" s="14"/>
      <c r="CU309" s="14"/>
      <c r="CV309" s="180"/>
      <c r="CW309" s="189"/>
      <c r="CX309" s="189"/>
      <c r="CY309" s="14"/>
      <c r="CZ309" s="14"/>
      <c r="DA309" s="14"/>
      <c r="DB309" s="14"/>
      <c r="DC309" s="14"/>
      <c r="DD309" s="14"/>
      <c r="DE309" s="14"/>
      <c r="DF309" s="14"/>
      <c r="DG309" s="129"/>
      <c r="DH309" s="14"/>
      <c r="DI309" s="47"/>
      <c r="DJ309" s="14"/>
      <c r="DK309" s="19"/>
      <c r="DL309" s="40"/>
      <c r="DM309" s="41"/>
      <c r="DN309" s="40"/>
      <c r="DO309" s="40"/>
      <c r="DP309" s="40"/>
      <c r="DQ309" s="41"/>
      <c r="DR309" s="72"/>
      <c r="DS309" s="14"/>
      <c r="DT309" s="14"/>
      <c r="DU309" s="14"/>
      <c r="DV309" s="14"/>
      <c r="DW309" s="14"/>
      <c r="DX309" s="14"/>
      <c r="DY309" s="14"/>
      <c r="DZ309" s="14"/>
      <c r="EA309" s="14"/>
      <c r="EB309" s="14"/>
      <c r="EC309" s="14"/>
      <c r="ED309" s="14"/>
      <c r="EE309" s="14"/>
      <c r="EF309" s="14"/>
      <c r="EG309" s="14"/>
      <c r="EH309" s="14"/>
      <c r="EI309" s="14"/>
      <c r="EJ309" s="14"/>
      <c r="EK309" s="14"/>
      <c r="EL309" s="14"/>
    </row>
    <row r="310" spans="1:142" x14ac:dyDescent="0.25">
      <c r="A310" s="14"/>
      <c r="B310" s="19"/>
      <c r="C310" s="40"/>
      <c r="D310" s="41"/>
      <c r="E310" s="40"/>
      <c r="F310" s="40"/>
      <c r="G310" s="40"/>
      <c r="H310" s="41"/>
      <c r="I310" s="72"/>
      <c r="J310" s="14"/>
      <c r="K310" s="14"/>
      <c r="L310" s="14"/>
      <c r="M310" s="14"/>
      <c r="N310" s="14"/>
      <c r="O310" s="14"/>
      <c r="P310" s="14"/>
      <c r="Q310" s="47"/>
      <c r="R310" s="14"/>
      <c r="S310" s="19"/>
      <c r="T310" s="14"/>
      <c r="U310" s="14"/>
      <c r="V310" s="14"/>
      <c r="W310" s="14"/>
      <c r="X310" s="14"/>
      <c r="Y310" s="14"/>
      <c r="Z310" s="14"/>
      <c r="AA310" s="14"/>
      <c r="AB310" s="14"/>
      <c r="AC310" s="14"/>
      <c r="AD310" s="65"/>
      <c r="AE310" s="63"/>
      <c r="AF310" s="352"/>
      <c r="AG310" s="14"/>
      <c r="AH310" s="19"/>
      <c r="AI310" s="14"/>
      <c r="AJ310" s="14"/>
      <c r="AK310" s="14"/>
      <c r="AL310" s="14"/>
      <c r="AM310" s="14"/>
      <c r="AN310" s="14"/>
      <c r="AO310" s="14"/>
      <c r="AP310" s="14"/>
      <c r="AQ310" s="14"/>
      <c r="AR310" s="14"/>
      <c r="AS310" s="65"/>
      <c r="AT310" s="63"/>
      <c r="AU310" s="352"/>
      <c r="AV310" s="14"/>
      <c r="AW310" s="19"/>
      <c r="AX310" s="14"/>
      <c r="AY310" s="14"/>
      <c r="AZ310" s="14"/>
      <c r="BA310" s="14"/>
      <c r="BB310" s="14"/>
      <c r="BC310" s="14"/>
      <c r="BD310" s="14"/>
      <c r="BE310" s="14"/>
      <c r="BF310" s="14"/>
      <c r="BG310" s="14"/>
      <c r="BH310" s="65"/>
      <c r="BI310" s="63"/>
      <c r="BJ310" s="352"/>
      <c r="BK310" s="14"/>
      <c r="BL310" s="19"/>
      <c r="BM310" s="14"/>
      <c r="BN310" s="14"/>
      <c r="BO310" s="14"/>
      <c r="BP310" s="14"/>
      <c r="BQ310" s="14"/>
      <c r="BR310" s="14"/>
      <c r="BS310" s="14"/>
      <c r="BT310" s="14"/>
      <c r="BU310" s="14"/>
      <c r="BV310" s="14"/>
      <c r="BW310" s="65"/>
      <c r="BX310" s="63"/>
      <c r="BY310" s="352"/>
      <c r="BZ310" s="14"/>
      <c r="CA310" s="14"/>
      <c r="CB310" s="21"/>
      <c r="CC310" s="21"/>
      <c r="CD310" s="21"/>
      <c r="CE310" s="21"/>
      <c r="CF310" s="21"/>
      <c r="CG310" s="14"/>
      <c r="CH310" s="14"/>
      <c r="CI310" s="14"/>
      <c r="CJ310" s="14"/>
      <c r="CK310" s="14"/>
      <c r="CL310" s="14"/>
      <c r="CM310" s="14"/>
      <c r="CN310" s="14"/>
      <c r="CO310" s="129"/>
      <c r="CP310" s="14"/>
      <c r="CQ310" s="47"/>
      <c r="CR310" s="14"/>
      <c r="CS310" s="14"/>
      <c r="CT310" s="14"/>
      <c r="CU310" s="14"/>
      <c r="CV310" s="180"/>
      <c r="CW310" s="189"/>
      <c r="CX310" s="189"/>
      <c r="CY310" s="14"/>
      <c r="CZ310" s="14"/>
      <c r="DA310" s="14"/>
      <c r="DB310" s="14"/>
      <c r="DC310" s="14"/>
      <c r="DD310" s="14"/>
      <c r="DE310" s="14"/>
      <c r="DF310" s="14"/>
      <c r="DG310" s="129"/>
      <c r="DH310" s="14"/>
      <c r="DI310" s="47"/>
      <c r="DJ310" s="14"/>
      <c r="DK310" s="19"/>
      <c r="DL310" s="40"/>
      <c r="DM310" s="41"/>
      <c r="DN310" s="40"/>
      <c r="DO310" s="40"/>
      <c r="DP310" s="40"/>
      <c r="DQ310" s="41"/>
      <c r="DR310" s="72"/>
      <c r="DS310" s="14"/>
      <c r="DT310" s="14"/>
      <c r="DU310" s="14"/>
      <c r="DV310" s="14"/>
      <c r="DW310" s="14"/>
      <c r="DX310" s="14"/>
      <c r="DY310" s="14"/>
      <c r="DZ310" s="14"/>
      <c r="EA310" s="14"/>
      <c r="EB310" s="14"/>
      <c r="EC310" s="14"/>
      <c r="ED310" s="14"/>
      <c r="EE310" s="14"/>
      <c r="EF310" s="14"/>
      <c r="EG310" s="14"/>
      <c r="EH310" s="14"/>
      <c r="EI310" s="14"/>
      <c r="EJ310" s="14"/>
      <c r="EK310" s="14"/>
      <c r="EL310" s="14"/>
    </row>
    <row r="311" spans="1:142" x14ac:dyDescent="0.25">
      <c r="A311" s="14"/>
      <c r="B311" s="19"/>
      <c r="C311" s="40"/>
      <c r="D311" s="41"/>
      <c r="E311" s="40"/>
      <c r="F311" s="40"/>
      <c r="G311" s="40"/>
      <c r="H311" s="41"/>
      <c r="I311" s="72"/>
      <c r="J311" s="14"/>
      <c r="K311" s="14"/>
      <c r="L311" s="14"/>
      <c r="M311" s="14"/>
      <c r="N311" s="14"/>
      <c r="O311" s="14"/>
      <c r="P311" s="14"/>
      <c r="Q311" s="47"/>
      <c r="R311" s="14"/>
      <c r="S311" s="19"/>
      <c r="T311" s="14"/>
      <c r="U311" s="14"/>
      <c r="V311" s="14"/>
      <c r="W311" s="14"/>
      <c r="X311" s="14"/>
      <c r="Y311" s="14"/>
      <c r="Z311" s="14"/>
      <c r="AA311" s="14"/>
      <c r="AB311" s="14"/>
      <c r="AC311" s="14"/>
      <c r="AD311" s="65"/>
      <c r="AE311" s="63"/>
      <c r="AF311" s="352"/>
      <c r="AG311" s="14"/>
      <c r="AH311" s="19"/>
      <c r="AI311" s="14"/>
      <c r="AJ311" s="14"/>
      <c r="AK311" s="14"/>
      <c r="AL311" s="14"/>
      <c r="AM311" s="14"/>
      <c r="AN311" s="14"/>
      <c r="AO311" s="14"/>
      <c r="AP311" s="14"/>
      <c r="AQ311" s="14"/>
      <c r="AR311" s="14"/>
      <c r="AS311" s="65"/>
      <c r="AT311" s="63"/>
      <c r="AU311" s="352"/>
      <c r="AV311" s="14"/>
      <c r="AW311" s="19"/>
      <c r="AX311" s="14"/>
      <c r="AY311" s="14"/>
      <c r="AZ311" s="14"/>
      <c r="BA311" s="14"/>
      <c r="BB311" s="14"/>
      <c r="BC311" s="14"/>
      <c r="BD311" s="14"/>
      <c r="BE311" s="14"/>
      <c r="BF311" s="14"/>
      <c r="BG311" s="14"/>
      <c r="BH311" s="65"/>
      <c r="BI311" s="63"/>
      <c r="BJ311" s="352"/>
      <c r="BK311" s="14"/>
      <c r="BL311" s="19"/>
      <c r="BM311" s="14"/>
      <c r="BN311" s="14"/>
      <c r="BO311" s="14"/>
      <c r="BP311" s="14"/>
      <c r="BQ311" s="14"/>
      <c r="BR311" s="14"/>
      <c r="BS311" s="14"/>
      <c r="BT311" s="14"/>
      <c r="BU311" s="14"/>
      <c r="BV311" s="14"/>
      <c r="BW311" s="65"/>
      <c r="BX311" s="63"/>
      <c r="BY311" s="352"/>
      <c r="BZ311" s="14"/>
      <c r="CA311" s="14"/>
      <c r="CB311" s="21"/>
      <c r="CC311" s="21"/>
      <c r="CD311" s="21"/>
      <c r="CE311" s="21"/>
      <c r="CF311" s="21"/>
      <c r="CG311" s="14"/>
      <c r="CH311" s="14"/>
      <c r="CI311" s="14"/>
      <c r="CJ311" s="14"/>
      <c r="CK311" s="14"/>
      <c r="CL311" s="14"/>
      <c r="CM311" s="14"/>
      <c r="CN311" s="14"/>
      <c r="CO311" s="129"/>
      <c r="CP311" s="14"/>
      <c r="CQ311" s="47"/>
      <c r="CR311" s="14"/>
      <c r="CS311" s="14"/>
      <c r="CT311" s="14"/>
      <c r="CU311" s="14"/>
      <c r="CV311" s="180"/>
      <c r="CW311" s="189"/>
      <c r="CX311" s="189"/>
      <c r="CY311" s="14"/>
      <c r="CZ311" s="14"/>
      <c r="DA311" s="14"/>
      <c r="DB311" s="14"/>
      <c r="DC311" s="14"/>
      <c r="DD311" s="14"/>
      <c r="DE311" s="14"/>
      <c r="DF311" s="14"/>
      <c r="DG311" s="129"/>
      <c r="DH311" s="14"/>
      <c r="DI311" s="47"/>
      <c r="DJ311" s="14"/>
      <c r="DK311" s="19"/>
      <c r="DL311" s="40"/>
      <c r="DM311" s="41"/>
      <c r="DN311" s="40"/>
      <c r="DO311" s="40"/>
      <c r="DP311" s="40"/>
      <c r="DQ311" s="41"/>
      <c r="DR311" s="72"/>
      <c r="DS311" s="14"/>
      <c r="DT311" s="19"/>
      <c r="DU311" s="19"/>
      <c r="DV311" s="19"/>
      <c r="DW311" s="19"/>
      <c r="DX311" s="19"/>
      <c r="DY311" s="19"/>
      <c r="DZ311" s="19"/>
      <c r="EA311" s="19"/>
      <c r="EB311" s="19"/>
      <c r="EC311" s="19"/>
      <c r="ED311" s="14"/>
      <c r="EE311" s="14"/>
      <c r="EF311" s="14"/>
      <c r="EG311" s="14"/>
      <c r="EH311" s="14"/>
      <c r="EI311" s="14"/>
      <c r="EJ311" s="14"/>
      <c r="EK311" s="14"/>
      <c r="EL311" s="14"/>
    </row>
    <row r="312" spans="1:142" x14ac:dyDescent="0.25">
      <c r="A312" s="14"/>
      <c r="B312" s="524" t="s">
        <v>755</v>
      </c>
      <c r="C312" s="542"/>
      <c r="D312" s="542"/>
      <c r="E312" s="542"/>
      <c r="F312" s="542"/>
      <c r="G312" s="542"/>
      <c r="H312" s="542"/>
      <c r="I312" s="525"/>
      <c r="J312" s="14"/>
      <c r="K312" s="14"/>
      <c r="L312" s="14"/>
      <c r="M312" s="14"/>
      <c r="N312" s="14"/>
      <c r="O312" s="14"/>
      <c r="P312" s="14"/>
      <c r="Q312" s="47"/>
      <c r="R312" s="14"/>
      <c r="S312" s="524" t="s">
        <v>755</v>
      </c>
      <c r="T312" s="542"/>
      <c r="U312" s="542"/>
      <c r="V312" s="542"/>
      <c r="W312" s="542"/>
      <c r="X312" s="542"/>
      <c r="Y312" s="542"/>
      <c r="Z312" s="525"/>
      <c r="AA312" s="14"/>
      <c r="AB312" s="14"/>
      <c r="AC312" s="14"/>
      <c r="AD312" s="65"/>
      <c r="AE312" s="63"/>
      <c r="AF312" s="352"/>
      <c r="AG312" s="14"/>
      <c r="AH312" s="524" t="s">
        <v>755</v>
      </c>
      <c r="AI312" s="542"/>
      <c r="AJ312" s="542"/>
      <c r="AK312" s="542"/>
      <c r="AL312" s="542"/>
      <c r="AM312" s="542"/>
      <c r="AN312" s="542"/>
      <c r="AO312" s="525"/>
      <c r="AP312" s="14"/>
      <c r="AQ312" s="14"/>
      <c r="AR312" s="14"/>
      <c r="AS312" s="65"/>
      <c r="AT312" s="63"/>
      <c r="AU312" s="352"/>
      <c r="AV312" s="14"/>
      <c r="AW312" s="524" t="s">
        <v>755</v>
      </c>
      <c r="AX312" s="542"/>
      <c r="AY312" s="542"/>
      <c r="AZ312" s="542"/>
      <c r="BA312" s="542"/>
      <c r="BB312" s="542"/>
      <c r="BC312" s="542"/>
      <c r="BD312" s="525"/>
      <c r="BE312" s="14"/>
      <c r="BF312" s="14"/>
      <c r="BG312" s="14"/>
      <c r="BH312" s="65"/>
      <c r="BI312" s="63"/>
      <c r="BJ312" s="352"/>
      <c r="BK312" s="14"/>
      <c r="BL312" s="524" t="s">
        <v>755</v>
      </c>
      <c r="BM312" s="542"/>
      <c r="BN312" s="542"/>
      <c r="BO312" s="542"/>
      <c r="BP312" s="542"/>
      <c r="BQ312" s="542"/>
      <c r="BR312" s="542"/>
      <c r="BS312" s="525"/>
      <c r="BT312" s="14"/>
      <c r="BU312" s="14"/>
      <c r="BV312" s="14"/>
      <c r="BW312" s="65"/>
      <c r="BX312" s="63"/>
      <c r="BY312" s="352"/>
      <c r="BZ312" s="14"/>
      <c r="CA312" s="14"/>
      <c r="CB312" s="21"/>
      <c r="CC312" s="21"/>
      <c r="CD312" s="21"/>
      <c r="CE312" s="21"/>
      <c r="CF312" s="21"/>
      <c r="CG312" s="14"/>
      <c r="CH312" s="14"/>
      <c r="CI312" s="14"/>
      <c r="CJ312" s="14"/>
      <c r="CK312" s="14"/>
      <c r="CL312" s="14"/>
      <c r="CM312" s="14"/>
      <c r="CN312" s="14"/>
      <c r="CO312" s="129"/>
      <c r="CP312" s="14"/>
      <c r="CQ312" s="47"/>
      <c r="CR312" s="14"/>
      <c r="CS312" s="14"/>
      <c r="CT312" s="14"/>
      <c r="CU312" s="14"/>
      <c r="CV312" s="180"/>
      <c r="CW312" s="189"/>
      <c r="CX312" s="189"/>
      <c r="CY312" s="14"/>
      <c r="CZ312" s="14"/>
      <c r="DA312" s="14"/>
      <c r="DB312" s="14"/>
      <c r="DC312" s="14"/>
      <c r="DD312" s="14"/>
      <c r="DE312" s="14"/>
      <c r="DF312" s="14"/>
      <c r="DG312" s="129"/>
      <c r="DH312" s="14"/>
      <c r="DI312" s="47"/>
      <c r="DJ312" s="14"/>
      <c r="DK312" s="14"/>
      <c r="DL312" s="14"/>
      <c r="DM312" s="14"/>
      <c r="DN312" s="14"/>
      <c r="DO312" s="14"/>
      <c r="DP312" s="14"/>
      <c r="DQ312" s="14"/>
      <c r="DR312" s="14"/>
      <c r="DS312" s="14"/>
      <c r="DT312" s="19"/>
      <c r="DU312" s="19"/>
      <c r="DV312" s="19"/>
      <c r="DW312" s="19"/>
      <c r="DX312" s="19"/>
      <c r="DY312" s="19"/>
      <c r="DZ312" s="19"/>
      <c r="EA312" s="19"/>
      <c r="EB312" s="19"/>
      <c r="EC312" s="19"/>
      <c r="ED312" s="14"/>
      <c r="EE312" s="14"/>
      <c r="EF312" s="14"/>
      <c r="EG312" s="14"/>
      <c r="EH312" s="14"/>
      <c r="EI312" s="14"/>
      <c r="EJ312" s="14"/>
      <c r="EK312" s="14"/>
      <c r="EL312" s="14"/>
    </row>
    <row r="313" spans="1:142" x14ac:dyDescent="0.25">
      <c r="A313" s="14"/>
      <c r="B313" s="526"/>
      <c r="C313" s="543"/>
      <c r="D313" s="543"/>
      <c r="E313" s="543"/>
      <c r="F313" s="543"/>
      <c r="G313" s="543"/>
      <c r="H313" s="543"/>
      <c r="I313" s="527"/>
      <c r="J313" s="14"/>
      <c r="K313" s="14"/>
      <c r="L313" s="14"/>
      <c r="M313" s="14"/>
      <c r="N313" s="14"/>
      <c r="O313" s="14"/>
      <c r="P313" s="14"/>
      <c r="Q313" s="47"/>
      <c r="R313" s="14"/>
      <c r="S313" s="526"/>
      <c r="T313" s="543"/>
      <c r="U313" s="543"/>
      <c r="V313" s="543"/>
      <c r="W313" s="543"/>
      <c r="X313" s="543"/>
      <c r="Y313" s="543"/>
      <c r="Z313" s="527"/>
      <c r="AA313" s="14"/>
      <c r="AB313" s="14"/>
      <c r="AC313" s="14"/>
      <c r="AD313" s="65"/>
      <c r="AE313" s="63"/>
      <c r="AF313" s="352"/>
      <c r="AG313" s="14"/>
      <c r="AH313" s="526"/>
      <c r="AI313" s="543"/>
      <c r="AJ313" s="543"/>
      <c r="AK313" s="543"/>
      <c r="AL313" s="543"/>
      <c r="AM313" s="543"/>
      <c r="AN313" s="543"/>
      <c r="AO313" s="527"/>
      <c r="AP313" s="14"/>
      <c r="AQ313" s="14"/>
      <c r="AR313" s="14"/>
      <c r="AS313" s="65"/>
      <c r="AT313" s="63"/>
      <c r="AU313" s="352"/>
      <c r="AV313" s="14"/>
      <c r="AW313" s="526"/>
      <c r="AX313" s="543"/>
      <c r="AY313" s="543"/>
      <c r="AZ313" s="543"/>
      <c r="BA313" s="543"/>
      <c r="BB313" s="543"/>
      <c r="BC313" s="543"/>
      <c r="BD313" s="527"/>
      <c r="BE313" s="14"/>
      <c r="BF313" s="14"/>
      <c r="BG313" s="14"/>
      <c r="BH313" s="65"/>
      <c r="BI313" s="63"/>
      <c r="BJ313" s="352"/>
      <c r="BK313" s="14"/>
      <c r="BL313" s="526"/>
      <c r="BM313" s="543"/>
      <c r="BN313" s="543"/>
      <c r="BO313" s="543"/>
      <c r="BP313" s="543"/>
      <c r="BQ313" s="543"/>
      <c r="BR313" s="543"/>
      <c r="BS313" s="527"/>
      <c r="BT313" s="14"/>
      <c r="BU313" s="14"/>
      <c r="BV313" s="14"/>
      <c r="BW313" s="65"/>
      <c r="BX313" s="63"/>
      <c r="BY313" s="352"/>
      <c r="BZ313" s="14"/>
      <c r="CA313" s="14"/>
      <c r="CB313" s="21"/>
      <c r="CC313" s="21"/>
      <c r="CD313" s="21"/>
      <c r="CE313" s="21"/>
      <c r="CF313" s="21"/>
      <c r="CG313" s="14"/>
      <c r="CH313" s="14"/>
      <c r="CI313" s="14"/>
      <c r="CJ313" s="14"/>
      <c r="CK313" s="14"/>
      <c r="CL313" s="14"/>
      <c r="CM313" s="14"/>
      <c r="CN313" s="14"/>
      <c r="CO313" s="129"/>
      <c r="CP313" s="14"/>
      <c r="CQ313" s="47"/>
      <c r="CR313" s="14"/>
      <c r="CS313" s="14"/>
      <c r="CT313" s="14"/>
      <c r="CU313" s="14"/>
      <c r="CV313" s="180"/>
      <c r="CW313" s="189"/>
      <c r="CX313" s="189"/>
      <c r="CY313" s="14"/>
      <c r="CZ313" s="14"/>
      <c r="DA313" s="14"/>
      <c r="DB313" s="14"/>
      <c r="DC313" s="14"/>
      <c r="DD313" s="14"/>
      <c r="DE313" s="14"/>
      <c r="DF313" s="14"/>
      <c r="DG313" s="129"/>
      <c r="DH313" s="14"/>
      <c r="DI313" s="47"/>
      <c r="DJ313" s="14"/>
      <c r="DK313" s="14"/>
      <c r="DL313" s="14"/>
      <c r="DM313" s="14"/>
      <c r="DN313" s="14"/>
      <c r="DO313" s="14"/>
      <c r="DP313" s="14"/>
      <c r="DQ313" s="14"/>
      <c r="DR313" s="14"/>
      <c r="DS313" s="14"/>
      <c r="DT313" s="19"/>
      <c r="DU313" s="17"/>
      <c r="DV313" s="51"/>
      <c r="DW313" s="51"/>
      <c r="DX313" s="51"/>
      <c r="DY313" s="51"/>
      <c r="DZ313" s="51"/>
      <c r="EA313" s="51"/>
      <c r="EB313" s="51"/>
      <c r="EC313" s="19"/>
      <c r="ED313" s="14"/>
      <c r="EE313" s="14"/>
      <c r="EF313" s="14"/>
      <c r="EG313" s="14"/>
      <c r="EH313" s="14"/>
      <c r="EI313" s="14"/>
      <c r="EJ313" s="14"/>
      <c r="EK313" s="14"/>
      <c r="EL313" s="14"/>
    </row>
    <row r="314" spans="1:142" x14ac:dyDescent="0.25">
      <c r="A314" s="14"/>
      <c r="B314" s="526"/>
      <c r="C314" s="543"/>
      <c r="D314" s="543"/>
      <c r="E314" s="543"/>
      <c r="F314" s="543"/>
      <c r="G314" s="543"/>
      <c r="H314" s="543"/>
      <c r="I314" s="527"/>
      <c r="J314" s="14"/>
      <c r="K314" s="14"/>
      <c r="L314" s="14"/>
      <c r="M314" s="14"/>
      <c r="N314" s="14"/>
      <c r="O314" s="14"/>
      <c r="P314" s="14"/>
      <c r="Q314" s="47"/>
      <c r="R314" s="14"/>
      <c r="S314" s="526"/>
      <c r="T314" s="543"/>
      <c r="U314" s="543"/>
      <c r="V314" s="543"/>
      <c r="W314" s="543"/>
      <c r="X314" s="543"/>
      <c r="Y314" s="543"/>
      <c r="Z314" s="527"/>
      <c r="AA314" s="14"/>
      <c r="AB314" s="14"/>
      <c r="AC314" s="14"/>
      <c r="AD314" s="65"/>
      <c r="AE314" s="63"/>
      <c r="AF314" s="352"/>
      <c r="AG314" s="14"/>
      <c r="AH314" s="526"/>
      <c r="AI314" s="543"/>
      <c r="AJ314" s="543"/>
      <c r="AK314" s="543"/>
      <c r="AL314" s="543"/>
      <c r="AM314" s="543"/>
      <c r="AN314" s="543"/>
      <c r="AO314" s="527"/>
      <c r="AP314" s="14"/>
      <c r="AQ314" s="14"/>
      <c r="AR314" s="14"/>
      <c r="AS314" s="65"/>
      <c r="AT314" s="63"/>
      <c r="AU314" s="352"/>
      <c r="AV314" s="14"/>
      <c r="AW314" s="526"/>
      <c r="AX314" s="543"/>
      <c r="AY314" s="543"/>
      <c r="AZ314" s="543"/>
      <c r="BA314" s="543"/>
      <c r="BB314" s="543"/>
      <c r="BC314" s="543"/>
      <c r="BD314" s="527"/>
      <c r="BE314" s="14"/>
      <c r="BF314" s="14"/>
      <c r="BG314" s="14"/>
      <c r="BH314" s="65"/>
      <c r="BI314" s="63"/>
      <c r="BJ314" s="352"/>
      <c r="BK314" s="14"/>
      <c r="BL314" s="526"/>
      <c r="BM314" s="543"/>
      <c r="BN314" s="543"/>
      <c r="BO314" s="543"/>
      <c r="BP314" s="543"/>
      <c r="BQ314" s="543"/>
      <c r="BR314" s="543"/>
      <c r="BS314" s="527"/>
      <c r="BT314" s="14"/>
      <c r="BU314" s="14"/>
      <c r="BV314" s="14"/>
      <c r="BW314" s="65"/>
      <c r="BX314" s="63"/>
      <c r="BY314" s="352"/>
      <c r="BZ314" s="14"/>
      <c r="CA314" s="14"/>
      <c r="CB314" s="21"/>
      <c r="CC314" s="21"/>
      <c r="CD314" s="21"/>
      <c r="CE314" s="21"/>
      <c r="CF314" s="21"/>
      <c r="CG314" s="14"/>
      <c r="CH314" s="14"/>
      <c r="CI314" s="14"/>
      <c r="CJ314" s="14"/>
      <c r="CK314" s="14"/>
      <c r="CL314" s="14"/>
      <c r="CM314" s="14"/>
      <c r="CN314" s="14"/>
      <c r="CO314" s="129"/>
      <c r="CP314" s="14"/>
      <c r="CQ314" s="47"/>
      <c r="CR314" s="14"/>
      <c r="CS314" s="14"/>
      <c r="CT314" s="14"/>
      <c r="CU314" s="14"/>
      <c r="CV314" s="180"/>
      <c r="CW314" s="189"/>
      <c r="CX314" s="189"/>
      <c r="CY314" s="14"/>
      <c r="CZ314" s="14"/>
      <c r="DA314" s="14"/>
      <c r="DB314" s="14"/>
      <c r="DC314" s="14"/>
      <c r="DD314" s="14"/>
      <c r="DE314" s="14"/>
      <c r="DF314" s="14"/>
      <c r="DG314" s="129"/>
      <c r="DH314" s="14"/>
      <c r="DI314" s="47"/>
      <c r="DJ314" s="14"/>
      <c r="DK314" s="14"/>
      <c r="DL314" s="14"/>
      <c r="DM314" s="14"/>
      <c r="DN314" s="14"/>
      <c r="DO314" s="14"/>
      <c r="DP314" s="14"/>
      <c r="DQ314" s="14"/>
      <c r="DR314" s="14"/>
      <c r="DS314" s="14"/>
      <c r="DT314" s="19"/>
      <c r="DU314" s="107"/>
      <c r="DV314" s="105"/>
      <c r="DW314" s="105"/>
      <c r="DX314" s="105"/>
      <c r="DY314" s="105"/>
      <c r="DZ314" s="105"/>
      <c r="EA314" s="105"/>
      <c r="EB314" s="105"/>
      <c r="EC314" s="19"/>
      <c r="ED314" s="14"/>
      <c r="EE314" s="14"/>
      <c r="EF314" s="14"/>
      <c r="EG314" s="14"/>
      <c r="EH314" s="14"/>
      <c r="EI314" s="14"/>
      <c r="EJ314" s="14"/>
      <c r="EK314" s="14"/>
      <c r="EL314" s="14"/>
    </row>
    <row r="315" spans="1:142" x14ac:dyDescent="0.25">
      <c r="A315" s="14"/>
      <c r="B315" s="528"/>
      <c r="C315" s="544"/>
      <c r="D315" s="544"/>
      <c r="E315" s="544"/>
      <c r="F315" s="544"/>
      <c r="G315" s="544"/>
      <c r="H315" s="544"/>
      <c r="I315" s="529"/>
      <c r="J315" s="14"/>
      <c r="K315" s="14"/>
      <c r="L315" s="14"/>
      <c r="M315" s="14"/>
      <c r="N315" s="14"/>
      <c r="O315" s="14"/>
      <c r="P315" s="14"/>
      <c r="Q315" s="47"/>
      <c r="R315" s="14"/>
      <c r="S315" s="528"/>
      <c r="T315" s="544"/>
      <c r="U315" s="544"/>
      <c r="V315" s="544"/>
      <c r="W315" s="544"/>
      <c r="X315" s="544"/>
      <c r="Y315" s="544"/>
      <c r="Z315" s="529"/>
      <c r="AA315" s="14"/>
      <c r="AB315" s="14"/>
      <c r="AC315" s="14"/>
      <c r="AD315" s="65"/>
      <c r="AE315" s="63"/>
      <c r="AF315" s="352"/>
      <c r="AG315" s="14"/>
      <c r="AH315" s="528"/>
      <c r="AI315" s="544"/>
      <c r="AJ315" s="544"/>
      <c r="AK315" s="544"/>
      <c r="AL315" s="544"/>
      <c r="AM315" s="544"/>
      <c r="AN315" s="544"/>
      <c r="AO315" s="529"/>
      <c r="AP315" s="14"/>
      <c r="AQ315" s="14"/>
      <c r="AR315" s="14"/>
      <c r="AS315" s="65"/>
      <c r="AT315" s="63"/>
      <c r="AU315" s="352"/>
      <c r="AV315" s="14"/>
      <c r="AW315" s="528"/>
      <c r="AX315" s="544"/>
      <c r="AY315" s="544"/>
      <c r="AZ315" s="544"/>
      <c r="BA315" s="544"/>
      <c r="BB315" s="544"/>
      <c r="BC315" s="544"/>
      <c r="BD315" s="529"/>
      <c r="BE315" s="14"/>
      <c r="BF315" s="14"/>
      <c r="BG315" s="14"/>
      <c r="BH315" s="65"/>
      <c r="BI315" s="63"/>
      <c r="BJ315" s="352"/>
      <c r="BK315" s="14"/>
      <c r="BL315" s="528"/>
      <c r="BM315" s="544"/>
      <c r="BN315" s="544"/>
      <c r="BO315" s="544"/>
      <c r="BP315" s="544"/>
      <c r="BQ315" s="544"/>
      <c r="BR315" s="544"/>
      <c r="BS315" s="529"/>
      <c r="BT315" s="14"/>
      <c r="BU315" s="14"/>
      <c r="BV315" s="14"/>
      <c r="BW315" s="65"/>
      <c r="BX315" s="63"/>
      <c r="BY315" s="352"/>
      <c r="BZ315" s="14"/>
      <c r="CA315" s="14"/>
      <c r="CB315" s="21"/>
      <c r="CC315" s="21"/>
      <c r="CD315" s="21"/>
      <c r="CE315" s="21"/>
      <c r="CF315" s="21"/>
      <c r="CG315" s="14"/>
      <c r="CH315" s="14"/>
      <c r="CI315" s="14"/>
      <c r="CJ315" s="14"/>
      <c r="CK315" s="14"/>
      <c r="CL315" s="14"/>
      <c r="CM315" s="14"/>
      <c r="CN315" s="14"/>
      <c r="CO315" s="129"/>
      <c r="CP315" s="14"/>
      <c r="CQ315" s="47"/>
      <c r="CR315" s="14"/>
      <c r="CS315" s="14"/>
      <c r="CT315" s="14"/>
      <c r="CU315" s="14"/>
      <c r="CV315" s="180"/>
      <c r="CW315" s="189"/>
      <c r="CX315" s="189"/>
      <c r="CY315" s="14"/>
      <c r="CZ315" s="14"/>
      <c r="DA315" s="14"/>
      <c r="DB315" s="14"/>
      <c r="DC315" s="14"/>
      <c r="DD315" s="14"/>
      <c r="DE315" s="14"/>
      <c r="DF315" s="14"/>
      <c r="DG315" s="129"/>
      <c r="DH315" s="14"/>
      <c r="DI315" s="47"/>
      <c r="DJ315" s="14"/>
      <c r="DK315" s="14"/>
      <c r="DL315" s="14"/>
      <c r="DM315" s="14"/>
      <c r="DN315" s="14"/>
      <c r="DO315" s="14"/>
      <c r="DP315" s="14"/>
      <c r="DQ315" s="14"/>
      <c r="DR315" s="14"/>
      <c r="DS315" s="14"/>
      <c r="DT315" s="19"/>
      <c r="DU315" s="107"/>
      <c r="DV315" s="105"/>
      <c r="DW315" s="105"/>
      <c r="DX315" s="105"/>
      <c r="DY315" s="105"/>
      <c r="DZ315" s="105"/>
      <c r="EA315" s="105"/>
      <c r="EB315" s="105"/>
      <c r="EC315" s="19"/>
      <c r="ED315" s="14"/>
      <c r="EE315" s="14"/>
      <c r="EF315" s="14"/>
      <c r="EG315" s="14"/>
      <c r="EH315" s="14"/>
      <c r="EI315" s="14"/>
      <c r="EJ315" s="14"/>
      <c r="EK315" s="14"/>
      <c r="EL315" s="14"/>
    </row>
    <row r="316" spans="1:142" x14ac:dyDescent="0.25">
      <c r="A316" s="14"/>
      <c r="B316" s="19"/>
      <c r="C316" s="40"/>
      <c r="D316" s="41"/>
      <c r="E316" s="40"/>
      <c r="F316" s="40"/>
      <c r="G316" s="40"/>
      <c r="H316" s="41"/>
      <c r="I316" s="72"/>
      <c r="J316" s="14"/>
      <c r="K316" s="14"/>
      <c r="L316" s="14"/>
      <c r="M316" s="14"/>
      <c r="N316" s="14"/>
      <c r="O316" s="14"/>
      <c r="P316" s="318"/>
      <c r="Q316" s="47"/>
      <c r="R316" s="14"/>
      <c r="S316" s="19"/>
      <c r="T316" s="14"/>
      <c r="U316" s="14"/>
      <c r="V316" s="14"/>
      <c r="W316" s="14"/>
      <c r="X316" s="14"/>
      <c r="Y316" s="14"/>
      <c r="Z316" s="14"/>
      <c r="AA316" s="14"/>
      <c r="AB316" s="14"/>
      <c r="AC316" s="14"/>
      <c r="AD316" s="65"/>
      <c r="AE316" s="63"/>
      <c r="AF316" s="352"/>
      <c r="AG316" s="14"/>
      <c r="AH316" s="19"/>
      <c r="AI316" s="14"/>
      <c r="AJ316" s="14"/>
      <c r="AK316" s="14"/>
      <c r="AL316" s="14"/>
      <c r="AM316" s="14"/>
      <c r="AN316" s="14"/>
      <c r="AO316" s="14"/>
      <c r="AP316" s="14"/>
      <c r="AQ316" s="14"/>
      <c r="AR316" s="14"/>
      <c r="AS316" s="65"/>
      <c r="AT316" s="63"/>
      <c r="AU316" s="352"/>
      <c r="AV316" s="14"/>
      <c r="AW316" s="19"/>
      <c r="AX316" s="14"/>
      <c r="AY316" s="14"/>
      <c r="AZ316" s="14"/>
      <c r="BA316" s="14"/>
      <c r="BB316" s="14"/>
      <c r="BC316" s="14"/>
      <c r="BD316" s="14"/>
      <c r="BE316" s="14"/>
      <c r="BF316" s="14"/>
      <c r="BG316" s="14"/>
      <c r="BH316" s="65"/>
      <c r="BI316" s="63"/>
      <c r="BJ316" s="352"/>
      <c r="BK316" s="14"/>
      <c r="BL316" s="19"/>
      <c r="BM316" s="14"/>
      <c r="BN316" s="14"/>
      <c r="BO316" s="14"/>
      <c r="BP316" s="14"/>
      <c r="BQ316" s="14"/>
      <c r="BR316" s="14"/>
      <c r="BS316" s="14"/>
      <c r="BT316" s="14"/>
      <c r="BU316" s="14"/>
      <c r="BV316" s="14"/>
      <c r="BW316" s="65"/>
      <c r="BX316" s="63"/>
      <c r="BY316" s="352"/>
      <c r="BZ316" s="14"/>
      <c r="CA316" s="14"/>
      <c r="CB316" s="21"/>
      <c r="CC316" s="21"/>
      <c r="CD316" s="21"/>
      <c r="CE316" s="21"/>
      <c r="CF316" s="21"/>
      <c r="CG316" s="14"/>
      <c r="CH316" s="14"/>
      <c r="CI316" s="14"/>
      <c r="CJ316" s="14"/>
      <c r="CK316" s="14"/>
      <c r="CL316" s="14"/>
      <c r="CM316" s="14"/>
      <c r="CN316" s="14"/>
      <c r="CO316" s="129"/>
      <c r="CP316" s="14"/>
      <c r="CQ316" s="49"/>
      <c r="CR316" s="14"/>
      <c r="CS316" s="14"/>
      <c r="CT316" s="14"/>
      <c r="CU316" s="14"/>
      <c r="CV316" s="180"/>
      <c r="CW316" s="189"/>
      <c r="CX316" s="189"/>
      <c r="CY316" s="14"/>
      <c r="CZ316" s="14"/>
      <c r="DA316" s="14"/>
      <c r="DB316" s="14"/>
      <c r="DC316" s="14"/>
      <c r="DD316" s="14"/>
      <c r="DE316" s="14"/>
      <c r="DF316" s="14"/>
      <c r="DG316" s="129"/>
      <c r="DH316" s="14"/>
      <c r="DI316" s="49"/>
      <c r="DJ316" s="14"/>
      <c r="DK316" s="14"/>
      <c r="DL316" s="14"/>
      <c r="DM316" s="14"/>
      <c r="DN316" s="14"/>
      <c r="DO316" s="14"/>
      <c r="DP316" s="14"/>
      <c r="DQ316" s="14"/>
      <c r="DR316" s="14"/>
      <c r="DS316" s="14"/>
      <c r="DT316" s="19"/>
      <c r="DU316" s="107"/>
      <c r="DV316" s="105"/>
      <c r="DW316" s="105"/>
      <c r="DX316" s="105"/>
      <c r="DY316" s="105"/>
      <c r="DZ316" s="105"/>
      <c r="EA316" s="105"/>
      <c r="EB316" s="105"/>
      <c r="EC316" s="19"/>
      <c r="ED316" s="14"/>
      <c r="EE316" s="14"/>
      <c r="EF316" s="14"/>
      <c r="EG316" s="14"/>
      <c r="EH316" s="14"/>
      <c r="EI316" s="14"/>
      <c r="EJ316" s="14"/>
      <c r="EK316" s="14"/>
      <c r="EL316" s="14"/>
    </row>
    <row r="317" spans="1:142" x14ac:dyDescent="0.25">
      <c r="A317" s="78"/>
      <c r="B317" s="87" t="s">
        <v>764</v>
      </c>
      <c r="C317" s="78"/>
      <c r="D317" s="79"/>
      <c r="E317" s="78"/>
      <c r="F317" s="78"/>
      <c r="G317" s="78"/>
      <c r="H317" s="79"/>
      <c r="I317" s="79"/>
      <c r="J317" s="78"/>
      <c r="K317" s="78"/>
      <c r="L317" s="78"/>
      <c r="M317" s="78"/>
      <c r="N317" s="78"/>
      <c r="O317" s="78"/>
      <c r="P317" s="78"/>
      <c r="Q317" s="47"/>
      <c r="R317" s="19"/>
      <c r="S317" s="44"/>
      <c r="T317" s="44"/>
      <c r="U317" s="44"/>
      <c r="V317" s="44"/>
      <c r="W317" s="19"/>
      <c r="X317" s="14"/>
      <c r="Y317" s="14"/>
      <c r="Z317" s="14"/>
      <c r="AA317" s="14"/>
      <c r="AB317" s="14"/>
      <c r="AC317" s="14"/>
      <c r="AD317" s="65"/>
      <c r="AE317" s="63"/>
      <c r="AF317" s="352"/>
      <c r="AG317" s="19"/>
      <c r="AH317" s="19"/>
      <c r="AI317" s="14"/>
      <c r="AJ317" s="14"/>
      <c r="AK317" s="14"/>
      <c r="AL317" s="14"/>
      <c r="AM317" s="14"/>
      <c r="AN317" s="14"/>
      <c r="AO317" s="14"/>
      <c r="AP317" s="14"/>
      <c r="AQ317" s="14"/>
      <c r="AR317" s="14"/>
      <c r="AS317" s="65"/>
      <c r="AT317" s="63"/>
      <c r="AU317" s="352"/>
      <c r="AV317" s="14"/>
      <c r="AW317" s="19"/>
      <c r="AX317" s="14"/>
      <c r="AY317" s="14"/>
      <c r="AZ317" s="14"/>
      <c r="BA317" s="14"/>
      <c r="BB317" s="14"/>
      <c r="BC317" s="14"/>
      <c r="BD317" s="14"/>
      <c r="BE317" s="14"/>
      <c r="BF317" s="14"/>
      <c r="BG317" s="14"/>
      <c r="BH317" s="65"/>
      <c r="BI317" s="63"/>
      <c r="BJ317" s="352"/>
      <c r="BK317" s="19"/>
      <c r="BL317" s="19"/>
      <c r="BM317" s="14"/>
      <c r="BN317" s="14"/>
      <c r="BO317" s="14"/>
      <c r="BP317" s="14"/>
      <c r="BQ317" s="14"/>
      <c r="BR317" s="14"/>
      <c r="BS317" s="14"/>
      <c r="BT317" s="14"/>
      <c r="BU317" s="14"/>
      <c r="BV317" s="14"/>
      <c r="BW317" s="65"/>
      <c r="BX317" s="63"/>
      <c r="BY317" s="352"/>
      <c r="BZ317" s="14"/>
      <c r="CA317" s="14"/>
      <c r="CB317" s="21"/>
      <c r="CC317" s="21"/>
      <c r="CD317" s="21"/>
      <c r="CE317" s="21"/>
      <c r="CF317" s="21"/>
      <c r="CG317" s="14"/>
      <c r="CH317" s="14"/>
      <c r="CI317" s="14"/>
      <c r="CJ317" s="14"/>
      <c r="CK317" s="14"/>
      <c r="CL317" s="14"/>
      <c r="CM317" s="14"/>
      <c r="CN317" s="14"/>
      <c r="CO317" s="129"/>
      <c r="CP317" s="14"/>
      <c r="CQ317" s="16"/>
      <c r="CR317" s="14"/>
      <c r="CS317" s="14"/>
      <c r="CT317" s="14"/>
      <c r="CU317" s="14"/>
      <c r="CV317" s="180"/>
      <c r="CW317" s="189"/>
      <c r="CX317" s="189"/>
      <c r="CY317" s="14"/>
      <c r="CZ317" s="14"/>
      <c r="DA317" s="14"/>
      <c r="DB317" s="14"/>
      <c r="DC317" s="14"/>
      <c r="DD317" s="14"/>
      <c r="DE317" s="14"/>
      <c r="DF317" s="14"/>
      <c r="DG317" s="129"/>
      <c r="DH317" s="14"/>
      <c r="DI317" s="16"/>
      <c r="DJ317" s="14"/>
      <c r="DK317" s="14"/>
      <c r="DL317" s="14"/>
      <c r="DM317" s="14"/>
      <c r="DN317" s="14"/>
      <c r="DO317" s="14"/>
      <c r="DP317" s="14"/>
      <c r="DQ317" s="14"/>
      <c r="DR317" s="14"/>
      <c r="DS317" s="14"/>
      <c r="DT317" s="19"/>
      <c r="DU317" s="107"/>
      <c r="DV317" s="105"/>
      <c r="DW317" s="105"/>
      <c r="DX317" s="105"/>
      <c r="DY317" s="105"/>
      <c r="DZ317" s="105"/>
      <c r="EA317" s="105"/>
      <c r="EB317" s="105"/>
      <c r="EC317" s="19"/>
      <c r="ED317" s="14"/>
      <c r="EE317" s="14"/>
      <c r="EF317" s="14"/>
      <c r="EG317" s="14"/>
      <c r="EH317" s="14"/>
      <c r="EI317" s="14"/>
      <c r="EJ317" s="14"/>
      <c r="EK317" s="14"/>
      <c r="EL317" s="14"/>
    </row>
    <row r="318" spans="1:142" x14ac:dyDescent="0.25">
      <c r="A318" s="14"/>
      <c r="B318" s="19" t="s">
        <v>772</v>
      </c>
      <c r="C318" s="40"/>
      <c r="D318" s="41"/>
      <c r="E318" s="40"/>
      <c r="F318" s="14"/>
      <c r="G318" s="14"/>
      <c r="H318" s="21"/>
      <c r="I318" s="21"/>
      <c r="J318" s="14"/>
      <c r="K318" s="14"/>
      <c r="L318" s="14"/>
      <c r="M318" s="14"/>
      <c r="N318" s="14"/>
      <c r="O318" s="14"/>
      <c r="P318" s="14"/>
      <c r="Q318" s="47"/>
      <c r="R318" s="19"/>
      <c r="S318" s="14"/>
      <c r="T318" s="14"/>
      <c r="U318" s="14"/>
      <c r="V318" s="14"/>
      <c r="W318" s="14"/>
      <c r="X318" s="14"/>
      <c r="Y318" s="14"/>
      <c r="Z318" s="14"/>
      <c r="AA318" s="14"/>
      <c r="AB318" s="14"/>
      <c r="AC318" s="14"/>
      <c r="AD318" s="65"/>
      <c r="AE318" s="63"/>
      <c r="AF318" s="352"/>
      <c r="AG318" s="19"/>
      <c r="AH318" s="14"/>
      <c r="AI318" s="14"/>
      <c r="AJ318" s="14"/>
      <c r="AK318" s="14"/>
      <c r="AL318" s="14"/>
      <c r="AM318" s="14"/>
      <c r="AN318" s="14"/>
      <c r="AO318" s="14"/>
      <c r="AP318" s="14"/>
      <c r="AQ318" s="14"/>
      <c r="AR318" s="14"/>
      <c r="AS318" s="65"/>
      <c r="AT318" s="63"/>
      <c r="AU318" s="352"/>
      <c r="AV318" s="14"/>
      <c r="AW318" s="14"/>
      <c r="AX318" s="14"/>
      <c r="AY318" s="14"/>
      <c r="AZ318" s="14"/>
      <c r="BA318" s="14"/>
      <c r="BB318" s="14"/>
      <c r="BC318" s="14"/>
      <c r="BD318" s="14"/>
      <c r="BE318" s="14"/>
      <c r="BF318" s="14"/>
      <c r="BG318" s="14"/>
      <c r="BH318" s="65"/>
      <c r="BI318" s="63"/>
      <c r="BJ318" s="352"/>
      <c r="BK318" s="19"/>
      <c r="BL318" s="14"/>
      <c r="BM318" s="14"/>
      <c r="BN318" s="14"/>
      <c r="BO318" s="14"/>
      <c r="BP318" s="14"/>
      <c r="BQ318" s="14"/>
      <c r="BR318" s="14"/>
      <c r="BS318" s="14"/>
      <c r="BT318" s="14"/>
      <c r="BU318" s="14"/>
      <c r="BV318" s="14"/>
      <c r="BW318" s="65"/>
      <c r="BX318" s="63"/>
      <c r="BY318" s="352"/>
      <c r="BZ318" s="14"/>
      <c r="CA318" s="14"/>
      <c r="CB318" s="21"/>
      <c r="CC318" s="21"/>
      <c r="CD318" s="21"/>
      <c r="CE318" s="21"/>
      <c r="CF318" s="21"/>
      <c r="CG318" s="14"/>
      <c r="CH318" s="14"/>
      <c r="CI318" s="14"/>
      <c r="CJ318" s="14"/>
      <c r="CK318" s="14"/>
      <c r="CL318" s="14"/>
      <c r="CM318" s="14"/>
      <c r="CN318" s="14"/>
      <c r="CO318" s="129"/>
      <c r="CP318" s="14"/>
      <c r="CQ318" s="16"/>
      <c r="CR318" s="14"/>
      <c r="CS318" s="14"/>
      <c r="CT318" s="14"/>
      <c r="CU318" s="14"/>
      <c r="CV318" s="180"/>
      <c r="CW318" s="189"/>
      <c r="CX318" s="189"/>
      <c r="CY318" s="14"/>
      <c r="CZ318" s="14"/>
      <c r="DA318" s="14"/>
      <c r="DB318" s="14"/>
      <c r="DC318" s="14"/>
      <c r="DD318" s="14"/>
      <c r="DE318" s="14"/>
      <c r="DF318" s="14"/>
      <c r="DG318" s="129"/>
      <c r="DH318" s="14"/>
      <c r="DI318" s="16"/>
      <c r="DJ318" s="14"/>
      <c r="DK318" s="14"/>
      <c r="DL318" s="14"/>
      <c r="DM318" s="14"/>
      <c r="DN318" s="14"/>
      <c r="DO318" s="14"/>
      <c r="DP318" s="14"/>
      <c r="DQ318" s="14"/>
      <c r="DR318" s="14"/>
      <c r="DS318" s="14"/>
      <c r="DT318" s="19"/>
      <c r="DU318" s="107"/>
      <c r="DV318" s="105"/>
      <c r="DW318" s="105"/>
      <c r="DX318" s="105"/>
      <c r="DY318" s="105"/>
      <c r="DZ318" s="105"/>
      <c r="EA318" s="105"/>
      <c r="EB318" s="105"/>
      <c r="EC318" s="19"/>
      <c r="ED318" s="14"/>
      <c r="EE318" s="14"/>
      <c r="EF318" s="14"/>
      <c r="EG318" s="14"/>
      <c r="EH318" s="14"/>
      <c r="EI318" s="14"/>
      <c r="EJ318" s="14"/>
      <c r="EK318" s="14"/>
      <c r="EL318" s="14"/>
    </row>
    <row r="319" spans="1:142" x14ac:dyDescent="0.25">
      <c r="A319" s="14"/>
      <c r="B319" s="19"/>
      <c r="C319" s="40"/>
      <c r="D319" s="41"/>
      <c r="E319" s="40"/>
      <c r="F319" s="14"/>
      <c r="G319" s="14"/>
      <c r="H319" s="21"/>
      <c r="I319" s="21"/>
      <c r="J319" s="14"/>
      <c r="K319" s="14"/>
      <c r="L319" s="14"/>
      <c r="M319" s="14"/>
      <c r="N319" s="14"/>
      <c r="O319" s="14"/>
      <c r="P319" s="14"/>
      <c r="Q319" s="47"/>
      <c r="R319" s="19"/>
      <c r="S319" s="14"/>
      <c r="T319" s="14"/>
      <c r="U319" s="14"/>
      <c r="V319" s="14"/>
      <c r="W319" s="14"/>
      <c r="X319" s="14"/>
      <c r="Y319" s="14"/>
      <c r="Z319" s="14"/>
      <c r="AA319" s="14"/>
      <c r="AB319" s="14"/>
      <c r="AC319" s="14"/>
      <c r="AD319" s="65"/>
      <c r="AE319" s="63"/>
      <c r="AF319" s="352"/>
      <c r="AG319" s="19"/>
      <c r="AH319" s="14"/>
      <c r="AI319" s="14"/>
      <c r="AJ319" s="14"/>
      <c r="AK319" s="14"/>
      <c r="AL319" s="14"/>
      <c r="AM319" s="14"/>
      <c r="AN319" s="14"/>
      <c r="AO319" s="14"/>
      <c r="AP319" s="14"/>
      <c r="AQ319" s="14"/>
      <c r="AR319" s="14"/>
      <c r="AS319" s="65"/>
      <c r="AT319" s="63"/>
      <c r="AU319" s="352"/>
      <c r="AV319" s="14"/>
      <c r="AW319" s="14"/>
      <c r="AX319" s="14"/>
      <c r="AY319" s="14"/>
      <c r="AZ319" s="14"/>
      <c r="BA319" s="14"/>
      <c r="BB319" s="14"/>
      <c r="BC319" s="14"/>
      <c r="BD319" s="14"/>
      <c r="BE319" s="14"/>
      <c r="BF319" s="14"/>
      <c r="BG319" s="14"/>
      <c r="BH319" s="65"/>
      <c r="BI319" s="63"/>
      <c r="BJ319" s="352"/>
      <c r="BK319" s="19"/>
      <c r="BL319" s="14"/>
      <c r="BM319" s="14"/>
      <c r="BN319" s="14"/>
      <c r="BO319" s="14"/>
      <c r="BP319" s="14"/>
      <c r="BQ319" s="14"/>
      <c r="BR319" s="14"/>
      <c r="BS319" s="14"/>
      <c r="BT319" s="14"/>
      <c r="BU319" s="14"/>
      <c r="BV319" s="14"/>
      <c r="BW319" s="65"/>
      <c r="BX319" s="63"/>
      <c r="BY319" s="352"/>
      <c r="BZ319" s="14"/>
      <c r="CA319" s="14"/>
      <c r="CB319" s="21"/>
      <c r="CC319" s="21"/>
      <c r="CD319" s="21"/>
      <c r="CE319" s="21"/>
      <c r="CF319" s="21"/>
      <c r="CG319" s="14"/>
      <c r="CH319" s="14"/>
      <c r="CI319" s="14"/>
      <c r="CJ319" s="14"/>
      <c r="CK319" s="14"/>
      <c r="CL319" s="14"/>
      <c r="CM319" s="14"/>
      <c r="CN319" s="14"/>
      <c r="CO319" s="129"/>
      <c r="CP319" s="14"/>
      <c r="CQ319" s="16"/>
      <c r="CR319" s="14"/>
      <c r="CS319" s="14"/>
      <c r="CT319" s="14"/>
      <c r="CU319" s="14"/>
      <c r="CV319" s="180"/>
      <c r="CW319" s="189"/>
      <c r="CX319" s="189"/>
      <c r="CY319" s="14"/>
      <c r="CZ319" s="14"/>
      <c r="DA319" s="14"/>
      <c r="DB319" s="14"/>
      <c r="DC319" s="14"/>
      <c r="DD319" s="14"/>
      <c r="DE319" s="14"/>
      <c r="DF319" s="14"/>
      <c r="DG319" s="129"/>
      <c r="DH319" s="14"/>
      <c r="DI319" s="16"/>
      <c r="DJ319" s="14"/>
      <c r="DK319" s="14"/>
      <c r="DL319" s="14"/>
      <c r="DM319" s="14"/>
      <c r="DN319" s="14"/>
      <c r="DO319" s="14"/>
      <c r="DP319" s="14"/>
      <c r="DQ319" s="14"/>
      <c r="DR319" s="14"/>
      <c r="DS319" s="14"/>
      <c r="DT319" s="19"/>
      <c r="DU319" s="199"/>
      <c r="DV319" s="200"/>
      <c r="DW319" s="200"/>
      <c r="DX319" s="200"/>
      <c r="DY319" s="200"/>
      <c r="DZ319" s="200"/>
      <c r="EA319" s="200"/>
      <c r="EB319" s="200"/>
      <c r="EC319" s="19"/>
      <c r="ED319" s="14"/>
      <c r="EE319" s="14"/>
      <c r="EF319" s="14"/>
      <c r="EG319" s="14"/>
      <c r="EH319" s="14"/>
      <c r="EI319" s="14"/>
      <c r="EJ319" s="14"/>
      <c r="EK319" s="14"/>
      <c r="EL319" s="14"/>
    </row>
    <row r="320" spans="1:142" x14ac:dyDescent="0.25">
      <c r="A320" s="14"/>
      <c r="B320" s="379" t="s">
        <v>765</v>
      </c>
      <c r="C320" s="354"/>
      <c r="D320" s="380"/>
      <c r="E320" s="354"/>
      <c r="F320" s="382">
        <f>COUNTIFS(Response_Q181_1,"Somewhat Confident",Response_Q173_1,"I don’t know",Response_Q172_1,"I don’t know",Response_Q176_1,"I don’t know",Response_30a_CaseA,"I don’t know",Response_30a_CaseB,"I don’t know",Response_30a_CaseC,"I don’t know",Response_Q177_2,"I don’t know",Response_Q177_4,"I don’t know",Response_Q177_6,"I don’t know",Response_Q177_8,"I don’t know",Response_Q177_10,"I don’t know",Response_Q177_12,"I don’t know",Response_Q177_14,"I don’t know",Response_Q178_2,"I don’t know",Response_Q178_4,"I don’t know",Response_Q178_6,"I don’t know",Response_Q178_8,"I don’t know",Response_Q178_10,"I don’t know",Response_Q178_12,"I don’t know")</f>
        <v>0</v>
      </c>
      <c r="G320" s="14"/>
      <c r="H320" s="21"/>
      <c r="I320" s="21"/>
      <c r="J320" s="14"/>
      <c r="K320" s="14"/>
      <c r="L320" s="14"/>
      <c r="M320" s="14"/>
      <c r="N320" s="14"/>
      <c r="O320" s="14"/>
      <c r="P320" s="14"/>
      <c r="Q320" s="47"/>
      <c r="R320" s="19"/>
      <c r="S320" s="14"/>
      <c r="T320" s="14"/>
      <c r="U320" s="14"/>
      <c r="V320" s="14"/>
      <c r="W320" s="14"/>
      <c r="X320" s="14"/>
      <c r="Y320" s="14"/>
      <c r="Z320" s="14"/>
      <c r="AA320" s="14"/>
      <c r="AB320" s="14"/>
      <c r="AC320" s="14"/>
      <c r="AD320" s="65"/>
      <c r="AE320" s="63"/>
      <c r="AF320" s="352"/>
      <c r="AG320" s="19"/>
      <c r="AH320" s="14"/>
      <c r="AI320" s="14"/>
      <c r="AJ320" s="14"/>
      <c r="AK320" s="14"/>
      <c r="AL320" s="14"/>
      <c r="AM320" s="14"/>
      <c r="AN320" s="14"/>
      <c r="AO320" s="14"/>
      <c r="AP320" s="14"/>
      <c r="AQ320" s="14"/>
      <c r="AR320" s="14"/>
      <c r="AS320" s="65"/>
      <c r="AT320" s="63"/>
      <c r="AU320" s="352"/>
      <c r="AV320" s="14"/>
      <c r="AW320" s="14"/>
      <c r="AX320" s="14"/>
      <c r="AY320" s="14"/>
      <c r="AZ320" s="14"/>
      <c r="BA320" s="14"/>
      <c r="BB320" s="14"/>
      <c r="BC320" s="14"/>
      <c r="BD320" s="14"/>
      <c r="BE320" s="14"/>
      <c r="BF320" s="14"/>
      <c r="BG320" s="14"/>
      <c r="BH320" s="65"/>
      <c r="BI320" s="63"/>
      <c r="BJ320" s="352"/>
      <c r="BK320" s="19"/>
      <c r="BL320" s="14"/>
      <c r="BM320" s="14"/>
      <c r="BN320" s="14"/>
      <c r="BO320" s="14"/>
      <c r="BP320" s="14"/>
      <c r="BQ320" s="14"/>
      <c r="BR320" s="14"/>
      <c r="BS320" s="14"/>
      <c r="BT320" s="14"/>
      <c r="BU320" s="14"/>
      <c r="BV320" s="14"/>
      <c r="BW320" s="65"/>
      <c r="BX320" s="63"/>
      <c r="BY320" s="352"/>
      <c r="BZ320" s="14"/>
      <c r="CA320" s="14"/>
      <c r="CB320" s="21"/>
      <c r="CC320" s="21"/>
      <c r="CD320" s="21"/>
      <c r="CE320" s="21"/>
      <c r="CF320" s="21"/>
      <c r="CG320" s="14"/>
      <c r="CH320" s="14"/>
      <c r="CI320" s="14"/>
      <c r="CJ320" s="14"/>
      <c r="CK320" s="14"/>
      <c r="CL320" s="14"/>
      <c r="CM320" s="14"/>
      <c r="CN320" s="14"/>
      <c r="CO320" s="129"/>
      <c r="CP320" s="14"/>
      <c r="CQ320" s="16"/>
      <c r="CR320" s="14"/>
      <c r="CS320" s="14"/>
      <c r="CT320" s="14"/>
      <c r="CU320" s="14"/>
      <c r="CV320" s="180"/>
      <c r="CW320" s="189"/>
      <c r="CX320" s="189"/>
      <c r="CY320" s="14"/>
      <c r="CZ320" s="14"/>
      <c r="DA320" s="14"/>
      <c r="DB320" s="14"/>
      <c r="DC320" s="14"/>
      <c r="DD320" s="14"/>
      <c r="DE320" s="14"/>
      <c r="DF320" s="14"/>
      <c r="DG320" s="129"/>
      <c r="DH320" s="14"/>
      <c r="DI320" s="16"/>
      <c r="DJ320" s="14"/>
      <c r="DK320" s="14"/>
      <c r="DL320" s="14"/>
      <c r="DM320" s="14"/>
      <c r="DN320" s="14"/>
      <c r="DO320" s="14"/>
      <c r="DP320" s="14"/>
      <c r="DQ320" s="14"/>
      <c r="DR320" s="14"/>
      <c r="DS320" s="14"/>
      <c r="DT320" s="19"/>
      <c r="DU320" s="19"/>
      <c r="DV320" s="19"/>
      <c r="DW320" s="19"/>
      <c r="DX320" s="19"/>
      <c r="DY320" s="19"/>
      <c r="DZ320" s="19"/>
      <c r="EA320" s="19"/>
      <c r="EB320" s="19"/>
      <c r="EC320" s="19"/>
      <c r="ED320" s="14"/>
      <c r="EE320" s="14"/>
      <c r="EF320" s="14"/>
      <c r="EG320" s="14"/>
      <c r="EH320" s="14"/>
      <c r="EI320" s="14"/>
      <c r="EJ320" s="14"/>
      <c r="EK320" s="14"/>
      <c r="EL320" s="14"/>
    </row>
    <row r="321" spans="1:142" x14ac:dyDescent="0.25">
      <c r="A321" s="14"/>
      <c r="B321" s="203" t="s">
        <v>766</v>
      </c>
      <c r="C321" s="19"/>
      <c r="D321" s="27"/>
      <c r="E321" s="19"/>
      <c r="F321" s="383">
        <f>COUNTIFS(Response_Q181_1,"Confident",Response_Q173_1,"I don’t know",Response_Q172_1,"I don’t know",Response_Q176_1,"I don’t know",Response_30a_CaseA,"I don’t know",Response_30a_CaseB,"I don’t know",Response_30a_CaseC,"I don’t know",Response_Q177_2,"I don’t know",Response_Q177_4,"I don’t know",Response_Q177_6,"I don’t know",Response_Q177_8,"I don’t know",Response_Q177_10,"I don’t know",Response_Q177_12,"I don’t know",Response_Q177_14,"I don’t know",Response_Q178_2,"I don’t know",Response_Q178_4,"I don’t know",Response_Q178_6,"I don’t know",Response_Q178_8,"I don’t know",Response_Q178_10,"I don’t know",Response_Q178_12,"I don’t know")</f>
        <v>0</v>
      </c>
      <c r="G321" s="14"/>
      <c r="H321" s="21"/>
      <c r="I321" s="21"/>
      <c r="J321" s="14"/>
      <c r="K321" s="14"/>
      <c r="L321" s="14"/>
      <c r="M321" s="14"/>
      <c r="N321" s="14"/>
      <c r="O321" s="14"/>
      <c r="P321" s="14"/>
      <c r="Q321" s="47"/>
      <c r="R321" s="19"/>
      <c r="S321" s="14"/>
      <c r="T321" s="14"/>
      <c r="U321" s="14"/>
      <c r="V321" s="14"/>
      <c r="W321" s="14"/>
      <c r="X321" s="14"/>
      <c r="Y321" s="14"/>
      <c r="Z321" s="14"/>
      <c r="AA321" s="14"/>
      <c r="AB321" s="14"/>
      <c r="AC321" s="14"/>
      <c r="AD321" s="65"/>
      <c r="AE321" s="63"/>
      <c r="AF321" s="352"/>
      <c r="AG321" s="19"/>
      <c r="AH321" s="14"/>
      <c r="AI321" s="14"/>
      <c r="AJ321" s="14"/>
      <c r="AK321" s="14"/>
      <c r="AL321" s="14"/>
      <c r="AM321" s="14"/>
      <c r="AN321" s="14"/>
      <c r="AO321" s="14"/>
      <c r="AP321" s="14"/>
      <c r="AQ321" s="14"/>
      <c r="AR321" s="14"/>
      <c r="AS321" s="65"/>
      <c r="AT321" s="63"/>
      <c r="AU321" s="352"/>
      <c r="AV321" s="14"/>
      <c r="AW321" s="14"/>
      <c r="AX321" s="14"/>
      <c r="AY321" s="14"/>
      <c r="AZ321" s="14"/>
      <c r="BA321" s="14"/>
      <c r="BB321" s="14"/>
      <c r="BC321" s="14"/>
      <c r="BD321" s="14"/>
      <c r="BE321" s="14"/>
      <c r="BF321" s="14"/>
      <c r="BG321" s="14"/>
      <c r="BH321" s="65"/>
      <c r="BI321" s="63"/>
      <c r="BJ321" s="352"/>
      <c r="BK321" s="19"/>
      <c r="BL321" s="14"/>
      <c r="BM321" s="14"/>
      <c r="BN321" s="14"/>
      <c r="BO321" s="14"/>
      <c r="BP321" s="14"/>
      <c r="BQ321" s="14"/>
      <c r="BR321" s="14"/>
      <c r="BS321" s="14"/>
      <c r="BT321" s="14"/>
      <c r="BU321" s="14"/>
      <c r="BV321" s="14"/>
      <c r="BW321" s="65"/>
      <c r="BX321" s="63"/>
      <c r="BY321" s="352"/>
      <c r="BZ321" s="14"/>
      <c r="CA321" s="14"/>
      <c r="CB321" s="21"/>
      <c r="CC321" s="21"/>
      <c r="CD321" s="21"/>
      <c r="CE321" s="21"/>
      <c r="CF321" s="21"/>
      <c r="CG321" s="14"/>
      <c r="CH321" s="14"/>
      <c r="CI321" s="14"/>
      <c r="CJ321" s="14"/>
      <c r="CK321" s="14"/>
      <c r="CL321" s="14"/>
      <c r="CM321" s="14"/>
      <c r="CN321" s="14"/>
      <c r="CO321" s="129"/>
      <c r="CP321" s="14"/>
      <c r="CQ321" s="16"/>
      <c r="CR321" s="14"/>
      <c r="CS321" s="14"/>
      <c r="CT321" s="14"/>
      <c r="CU321" s="14"/>
      <c r="CV321" s="180"/>
      <c r="CW321" s="189"/>
      <c r="CX321" s="189"/>
      <c r="CY321" s="14"/>
      <c r="CZ321" s="14"/>
      <c r="DA321" s="14"/>
      <c r="DB321" s="14"/>
      <c r="DC321" s="14"/>
      <c r="DD321" s="14"/>
      <c r="DE321" s="14"/>
      <c r="DF321" s="14"/>
      <c r="DG321" s="129"/>
      <c r="DH321" s="14"/>
      <c r="DI321" s="16"/>
      <c r="DJ321" s="14"/>
      <c r="DK321" s="14"/>
      <c r="DL321" s="14"/>
      <c r="DM321" s="14"/>
      <c r="DN321" s="14"/>
      <c r="DO321" s="14"/>
      <c r="DP321" s="14"/>
      <c r="DQ321" s="14"/>
      <c r="DR321" s="14"/>
      <c r="DS321" s="14"/>
      <c r="DT321" s="19"/>
      <c r="DU321" s="19"/>
      <c r="DV321" s="19"/>
      <c r="DW321" s="19"/>
      <c r="DX321" s="19"/>
      <c r="DY321" s="19"/>
      <c r="DZ321" s="19"/>
      <c r="EA321" s="19"/>
      <c r="EB321" s="19"/>
      <c r="EC321" s="19"/>
      <c r="ED321" s="14"/>
      <c r="EE321" s="14"/>
      <c r="EF321" s="14"/>
      <c r="EG321" s="14"/>
      <c r="EH321" s="14"/>
      <c r="EI321" s="14"/>
      <c r="EJ321" s="14"/>
      <c r="EK321" s="14"/>
      <c r="EL321" s="14"/>
    </row>
    <row r="322" spans="1:142" x14ac:dyDescent="0.25">
      <c r="A322" s="14"/>
      <c r="B322" s="319" t="s">
        <v>767</v>
      </c>
      <c r="C322" s="321"/>
      <c r="D322" s="381"/>
      <c r="E322" s="321"/>
      <c r="F322" s="384">
        <f>COUNTIFS(Response_Q181_1,"Very Confident",Response_Q173_1,"I don’t know",Response_Q172_1,"I don’t know",Response_Q176_1,"I don’t know",Response_30a_CaseA,"I don’t know",Response_30a_CaseB,"I don’t know",Response_30a_CaseC,"I don’t know",Response_Q177_2,"I don’t know",Response_Q177_4,"I don’t know",Response_Q177_6,"I don’t know",Response_Q177_8,"I don’t know",Response_Q177_10,"I don’t know",Response_Q177_12,"I don’t know",Response_Q177_14,"I don’t know",Response_Q178_2,"I don’t know",Response_Q178_4,"I don’t know",Response_Q178_6,"I don’t know",Response_Q178_8,"I don’t know",Response_Q178_10,"I don’t know",Response_Q178_12,"I don’t know")</f>
        <v>0</v>
      </c>
      <c r="G322" s="14"/>
      <c r="H322" s="21"/>
      <c r="I322" s="21"/>
      <c r="J322" s="14"/>
      <c r="K322" s="14"/>
      <c r="L322" s="14"/>
      <c r="M322" s="14"/>
      <c r="N322" s="14"/>
      <c r="O322" s="14"/>
      <c r="P322" s="14"/>
      <c r="Q322" s="47"/>
      <c r="R322" s="19"/>
      <c r="S322" s="14"/>
      <c r="T322" s="14"/>
      <c r="U322" s="14"/>
      <c r="V322" s="14"/>
      <c r="W322" s="14"/>
      <c r="X322" s="14"/>
      <c r="Y322" s="14"/>
      <c r="Z322" s="14"/>
      <c r="AA322" s="14"/>
      <c r="AB322" s="14"/>
      <c r="AC322" s="14"/>
      <c r="AD322" s="65"/>
      <c r="AE322" s="63"/>
      <c r="AF322" s="352"/>
      <c r="AG322" s="19"/>
      <c r="AH322" s="14"/>
      <c r="AI322" s="14"/>
      <c r="AJ322" s="14"/>
      <c r="AK322" s="14"/>
      <c r="AL322" s="14"/>
      <c r="AM322" s="14"/>
      <c r="AN322" s="14"/>
      <c r="AO322" s="14"/>
      <c r="AP322" s="14"/>
      <c r="AQ322" s="14"/>
      <c r="AR322" s="14"/>
      <c r="AS322" s="65"/>
      <c r="AT322" s="63"/>
      <c r="AU322" s="352"/>
      <c r="AV322" s="14"/>
      <c r="AW322" s="14"/>
      <c r="AX322" s="14"/>
      <c r="AY322" s="14"/>
      <c r="AZ322" s="14"/>
      <c r="BA322" s="14"/>
      <c r="BB322" s="14"/>
      <c r="BC322" s="14"/>
      <c r="BD322" s="14"/>
      <c r="BE322" s="14"/>
      <c r="BF322" s="14"/>
      <c r="BG322" s="14"/>
      <c r="BH322" s="65"/>
      <c r="BI322" s="63"/>
      <c r="BJ322" s="352"/>
      <c r="BK322" s="19"/>
      <c r="BL322" s="14"/>
      <c r="BM322" s="14"/>
      <c r="BN322" s="14"/>
      <c r="BO322" s="14"/>
      <c r="BP322" s="14"/>
      <c r="BQ322" s="14"/>
      <c r="BR322" s="14"/>
      <c r="BS322" s="14"/>
      <c r="BT322" s="14"/>
      <c r="BU322" s="14"/>
      <c r="BV322" s="14"/>
      <c r="BW322" s="65"/>
      <c r="BX322" s="63"/>
      <c r="BY322" s="352"/>
      <c r="BZ322" s="14"/>
      <c r="CA322" s="14"/>
      <c r="CB322" s="21"/>
      <c r="CC322" s="21"/>
      <c r="CD322" s="21"/>
      <c r="CE322" s="21"/>
      <c r="CF322" s="21"/>
      <c r="CG322" s="14"/>
      <c r="CH322" s="14"/>
      <c r="CI322" s="14"/>
      <c r="CJ322" s="14"/>
      <c r="CK322" s="14"/>
      <c r="CL322" s="14"/>
      <c r="CM322" s="14"/>
      <c r="CN322" s="14"/>
      <c r="CO322" s="129"/>
      <c r="CP322" s="14"/>
      <c r="CQ322" s="16"/>
      <c r="CR322" s="14"/>
      <c r="CS322" s="14"/>
      <c r="CT322" s="14"/>
      <c r="CU322" s="14"/>
      <c r="CV322" s="180"/>
      <c r="CW322" s="189"/>
      <c r="CX322" s="189"/>
      <c r="CY322" s="14"/>
      <c r="CZ322" s="14"/>
      <c r="DA322" s="14"/>
      <c r="DB322" s="14"/>
      <c r="DC322" s="14"/>
      <c r="DD322" s="14"/>
      <c r="DE322" s="14"/>
      <c r="DF322" s="14"/>
      <c r="DG322" s="129"/>
      <c r="DH322" s="14"/>
      <c r="DI322" s="16"/>
      <c r="DJ322" s="14"/>
      <c r="DK322" s="14"/>
      <c r="DL322" s="14"/>
      <c r="DM322" s="14"/>
      <c r="DN322" s="14"/>
      <c r="DO322" s="14"/>
      <c r="DP322" s="14"/>
      <c r="DQ322" s="14"/>
      <c r="DR322" s="14"/>
      <c r="DS322" s="14"/>
      <c r="DT322" s="19"/>
      <c r="DU322" s="6"/>
      <c r="DV322" s="6"/>
      <c r="DW322" s="6"/>
      <c r="DX322" s="6"/>
      <c r="DY322" s="6"/>
      <c r="DZ322" s="6"/>
      <c r="EA322" s="6"/>
      <c r="EB322" s="6"/>
      <c r="EC322" s="19"/>
      <c r="ED322" s="14"/>
      <c r="EE322" s="14"/>
      <c r="EF322" s="14"/>
      <c r="EG322" s="14"/>
      <c r="EH322" s="14"/>
      <c r="EI322" s="14"/>
      <c r="EJ322" s="14"/>
      <c r="EK322" s="14"/>
      <c r="EL322" s="14"/>
    </row>
    <row r="323" spans="1:142" x14ac:dyDescent="0.25">
      <c r="A323" s="14"/>
      <c r="B323" s="14"/>
      <c r="C323" s="14"/>
      <c r="D323" s="21"/>
      <c r="E323" s="14"/>
      <c r="F323" s="14"/>
      <c r="G323" s="14"/>
      <c r="H323" s="21"/>
      <c r="I323" s="21"/>
      <c r="J323" s="14"/>
      <c r="K323" s="14"/>
      <c r="L323" s="14"/>
      <c r="M323" s="14"/>
      <c r="N323" s="14"/>
      <c r="O323" s="14"/>
      <c r="P323" s="14"/>
      <c r="Q323" s="47"/>
      <c r="R323" s="19"/>
      <c r="S323" s="14"/>
      <c r="T323" s="14"/>
      <c r="U323" s="14"/>
      <c r="V323" s="14"/>
      <c r="W323" s="14"/>
      <c r="X323" s="14"/>
      <c r="Y323" s="14"/>
      <c r="Z323" s="14"/>
      <c r="AA323" s="14"/>
      <c r="AB323" s="14"/>
      <c r="AC323" s="14"/>
      <c r="AD323" s="65"/>
      <c r="AE323" s="63"/>
      <c r="AF323" s="352"/>
      <c r="AG323" s="19"/>
      <c r="AH323" s="14"/>
      <c r="AI323" s="14"/>
      <c r="AJ323" s="14"/>
      <c r="AK323" s="14"/>
      <c r="AL323" s="14"/>
      <c r="AM323" s="14"/>
      <c r="AN323" s="14"/>
      <c r="AO323" s="14"/>
      <c r="AP323" s="14"/>
      <c r="AQ323" s="14"/>
      <c r="AR323" s="14"/>
      <c r="AS323" s="65"/>
      <c r="AT323" s="63"/>
      <c r="AU323" s="352"/>
      <c r="AV323" s="14"/>
      <c r="AW323" s="14"/>
      <c r="AX323" s="14"/>
      <c r="AY323" s="14"/>
      <c r="AZ323" s="14"/>
      <c r="BA323" s="14"/>
      <c r="BB323" s="14"/>
      <c r="BC323" s="14"/>
      <c r="BD323" s="14"/>
      <c r="BE323" s="14"/>
      <c r="BF323" s="14"/>
      <c r="BG323" s="14"/>
      <c r="BH323" s="65"/>
      <c r="BI323" s="63"/>
      <c r="BJ323" s="352"/>
      <c r="BK323" s="19"/>
      <c r="BL323" s="14"/>
      <c r="BM323" s="14"/>
      <c r="BN323" s="14"/>
      <c r="BO323" s="14"/>
      <c r="BP323" s="14"/>
      <c r="BQ323" s="14"/>
      <c r="BR323" s="14"/>
      <c r="BS323" s="14"/>
      <c r="BT323" s="14"/>
      <c r="BU323" s="14"/>
      <c r="BV323" s="14"/>
      <c r="BW323" s="65"/>
      <c r="BX323" s="63"/>
      <c r="BY323" s="352"/>
      <c r="BZ323" s="14"/>
      <c r="CA323" s="14"/>
      <c r="CB323" s="21"/>
      <c r="CC323" s="21"/>
      <c r="CD323" s="21"/>
      <c r="CE323" s="21"/>
      <c r="CF323" s="21"/>
      <c r="CG323" s="14"/>
      <c r="CH323" s="14"/>
      <c r="CI323" s="14"/>
      <c r="CJ323" s="14"/>
      <c r="CK323" s="14"/>
      <c r="CL323" s="14"/>
      <c r="CM323" s="14"/>
      <c r="CN323" s="14"/>
      <c r="CO323" s="129"/>
      <c r="CP323" s="14"/>
      <c r="CQ323" s="16"/>
      <c r="CR323" s="14"/>
      <c r="CS323" s="14"/>
      <c r="CT323" s="14"/>
      <c r="CU323" s="14"/>
      <c r="CV323" s="180"/>
      <c r="CW323" s="189"/>
      <c r="CX323" s="189"/>
      <c r="CY323" s="14"/>
      <c r="CZ323" s="14"/>
      <c r="DA323" s="14"/>
      <c r="DB323" s="14"/>
      <c r="DC323" s="14"/>
      <c r="DD323" s="14"/>
      <c r="DE323" s="14"/>
      <c r="DF323" s="14"/>
      <c r="DG323" s="129"/>
      <c r="DH323" s="14"/>
      <c r="DI323" s="16"/>
      <c r="DJ323" s="14"/>
      <c r="DK323" s="14"/>
      <c r="DL323" s="14"/>
      <c r="DM323" s="14"/>
      <c r="DN323" s="14"/>
      <c r="DO323" s="14"/>
      <c r="DP323" s="14"/>
      <c r="DQ323" s="14"/>
      <c r="DR323" s="14"/>
      <c r="DS323" s="14"/>
      <c r="DT323" s="19"/>
      <c r="DU323" s="6"/>
      <c r="DV323" s="6"/>
      <c r="DW323" s="6"/>
      <c r="DX323" s="6"/>
      <c r="DY323" s="6"/>
      <c r="DZ323" s="6"/>
      <c r="EA323" s="6"/>
      <c r="EB323" s="6"/>
      <c r="EC323" s="19"/>
      <c r="ED323" s="14"/>
      <c r="EE323" s="14"/>
      <c r="EF323" s="14"/>
      <c r="EG323" s="14"/>
      <c r="EH323" s="14"/>
      <c r="EI323" s="14"/>
      <c r="EJ323" s="14"/>
      <c r="EK323" s="14"/>
      <c r="EL323" s="14"/>
    </row>
    <row r="324" spans="1:142" x14ac:dyDescent="0.25">
      <c r="L324" s="22"/>
      <c r="M324" s="22"/>
      <c r="N324" s="22"/>
      <c r="O324" s="22"/>
      <c r="P324" s="22"/>
      <c r="Q324" s="388"/>
      <c r="R324" s="70"/>
      <c r="AC324" s="22"/>
      <c r="AD324" s="393"/>
      <c r="AE324" s="70"/>
      <c r="AF324" s="394"/>
      <c r="AR324" s="22"/>
      <c r="AS324" s="393"/>
      <c r="AT324" s="70"/>
      <c r="AU324" s="394"/>
      <c r="BG324" s="22"/>
      <c r="BH324" s="393"/>
      <c r="BI324" s="70"/>
      <c r="BJ324" s="394"/>
      <c r="BV324" s="22"/>
      <c r="BW324" s="393"/>
      <c r="BX324" s="70"/>
      <c r="BY324" s="394"/>
      <c r="CV324" s="389"/>
      <c r="CW324" s="390"/>
      <c r="CX324" s="390"/>
      <c r="DT324" s="70"/>
      <c r="DU324" s="391"/>
      <c r="DV324" s="392"/>
      <c r="DW324" s="392"/>
      <c r="DX324" s="392"/>
      <c r="DY324" s="392"/>
      <c r="DZ324" s="392"/>
      <c r="EA324" s="392"/>
      <c r="EB324" s="392"/>
      <c r="EC324" s="70"/>
    </row>
    <row r="325" spans="1:142" x14ac:dyDescent="0.25">
      <c r="AD325" s="395"/>
      <c r="AE325" s="396"/>
      <c r="AF325" s="397"/>
      <c r="AT325" s="396"/>
      <c r="BH325" s="395"/>
      <c r="BJ325" s="397"/>
      <c r="BW325" s="395"/>
      <c r="BX325" s="396"/>
      <c r="BY325" s="397"/>
      <c r="DT325" s="70"/>
      <c r="DU325" s="391"/>
      <c r="DV325" s="392"/>
      <c r="DW325" s="392"/>
      <c r="DX325" s="392"/>
      <c r="DY325" s="392"/>
      <c r="DZ325" s="392"/>
      <c r="EA325" s="392"/>
      <c r="EB325" s="392"/>
      <c r="EC325" s="70"/>
    </row>
    <row r="326" spans="1:142" x14ac:dyDescent="0.25">
      <c r="DT326" s="70"/>
      <c r="DU326" s="391"/>
      <c r="DV326" s="392"/>
      <c r="DW326" s="392"/>
      <c r="DX326" s="392"/>
      <c r="DY326" s="392"/>
      <c r="DZ326" s="392"/>
      <c r="EA326" s="392"/>
      <c r="EB326" s="392"/>
      <c r="EC326" s="70"/>
    </row>
    <row r="327" spans="1:142" x14ac:dyDescent="0.25">
      <c r="DT327" s="70"/>
      <c r="DU327" s="391"/>
      <c r="DV327" s="392"/>
      <c r="DW327" s="392"/>
      <c r="DX327" s="392"/>
      <c r="DY327" s="392"/>
      <c r="DZ327" s="392"/>
      <c r="EA327" s="392"/>
      <c r="EB327" s="392"/>
      <c r="EC327" s="70"/>
    </row>
    <row r="328" spans="1:142" x14ac:dyDescent="0.25">
      <c r="DT328" s="70"/>
      <c r="DU328" s="70"/>
      <c r="DV328" s="70"/>
      <c r="DW328" s="70"/>
      <c r="DX328" s="70"/>
      <c r="DY328" s="70"/>
      <c r="DZ328" s="70"/>
      <c r="EA328" s="70"/>
      <c r="EB328" s="70"/>
      <c r="EC328" s="70"/>
    </row>
    <row r="329" spans="1:142" x14ac:dyDescent="0.25">
      <c r="DT329" s="70"/>
      <c r="DU329" s="70"/>
      <c r="DV329" s="70"/>
      <c r="DW329" s="70"/>
      <c r="DX329" s="70"/>
      <c r="DY329" s="70"/>
      <c r="DZ329" s="70"/>
      <c r="EA329" s="70"/>
      <c r="EB329" s="70"/>
      <c r="EC329" s="70"/>
    </row>
    <row r="330" spans="1:142" x14ac:dyDescent="0.25">
      <c r="DT330" s="70"/>
      <c r="DU330" s="70"/>
      <c r="DV330" s="70"/>
      <c r="DW330" s="70"/>
      <c r="DX330" s="70"/>
      <c r="DY330" s="70"/>
      <c r="DZ330" s="70"/>
      <c r="EA330" s="70"/>
      <c r="EB330" s="70"/>
      <c r="EC330" s="70"/>
    </row>
    <row r="331" spans="1:142" x14ac:dyDescent="0.25">
      <c r="DT331" s="70"/>
      <c r="DU331" s="70"/>
      <c r="DV331" s="70"/>
      <c r="DW331" s="70"/>
      <c r="DX331" s="70"/>
      <c r="DY331" s="70"/>
      <c r="DZ331" s="70"/>
      <c r="EA331" s="70"/>
      <c r="EB331" s="70"/>
      <c r="EC331" s="70"/>
    </row>
  </sheetData>
  <mergeCells count="85">
    <mergeCell ref="B312:I315"/>
    <mergeCell ref="S312:Z315"/>
    <mergeCell ref="AH312:AO315"/>
    <mergeCell ref="AW312:BD315"/>
    <mergeCell ref="BL312:BS315"/>
    <mergeCell ref="DP44:DS47"/>
    <mergeCell ref="S33:U35"/>
    <mergeCell ref="AH33:AJ35"/>
    <mergeCell ref="AW33:AY35"/>
    <mergeCell ref="BL33:BN35"/>
    <mergeCell ref="CC46:CO46"/>
    <mergeCell ref="CU46:DG46"/>
    <mergeCell ref="CC47:CO47"/>
    <mergeCell ref="CU47:DG47"/>
    <mergeCell ref="CC43:CO43"/>
    <mergeCell ref="CU43:DG43"/>
    <mergeCell ref="CC44:CO44"/>
    <mergeCell ref="CU44:DG44"/>
    <mergeCell ref="CC45:CO45"/>
    <mergeCell ref="CU45:DG45"/>
    <mergeCell ref="CC40:CO40"/>
    <mergeCell ref="G44:J47"/>
    <mergeCell ref="X44:AA47"/>
    <mergeCell ref="AM44:AP47"/>
    <mergeCell ref="BA44:BD47"/>
    <mergeCell ref="BQ44:BT47"/>
    <mergeCell ref="U47:V47"/>
    <mergeCell ref="AJ47:AK47"/>
    <mergeCell ref="AY47:AZ47"/>
    <mergeCell ref="BN47:BO47"/>
    <mergeCell ref="DS10:DT13"/>
    <mergeCell ref="G21:I25"/>
    <mergeCell ref="Y21:AA25"/>
    <mergeCell ref="AM21:AO25"/>
    <mergeCell ref="BB21:BD25"/>
    <mergeCell ref="BQ21:BS25"/>
    <mergeCell ref="DQ21:DS25"/>
    <mergeCell ref="AA10:AB13"/>
    <mergeCell ref="AP10:AQ13"/>
    <mergeCell ref="BE10:BF13"/>
    <mergeCell ref="BT10:BU13"/>
    <mergeCell ref="S11:Y17"/>
    <mergeCell ref="AH10:AJ10"/>
    <mergeCell ref="AW10:AY10"/>
    <mergeCell ref="BL10:BN10"/>
    <mergeCell ref="BL11:BR17"/>
    <mergeCell ref="CC48:CO48"/>
    <mergeCell ref="CU48:DG48"/>
    <mergeCell ref="CC49:CO49"/>
    <mergeCell ref="CU49:DG49"/>
    <mergeCell ref="CC50:CO50"/>
    <mergeCell ref="CU50:DG50"/>
    <mergeCell ref="CU40:DG40"/>
    <mergeCell ref="CC41:CO41"/>
    <mergeCell ref="CU41:DG41"/>
    <mergeCell ref="CC42:CO42"/>
    <mergeCell ref="CU42:DG42"/>
    <mergeCell ref="CC37:CO37"/>
    <mergeCell ref="CU37:DG37"/>
    <mergeCell ref="CC38:CO38"/>
    <mergeCell ref="CU38:DG38"/>
    <mergeCell ref="CC39:CO39"/>
    <mergeCell ref="CU39:DG39"/>
    <mergeCell ref="CC34:CO34"/>
    <mergeCell ref="CU34:DG34"/>
    <mergeCell ref="CC35:CO35"/>
    <mergeCell ref="CU35:DG35"/>
    <mergeCell ref="CC36:CO36"/>
    <mergeCell ref="CU36:DG36"/>
    <mergeCell ref="CC33:CO33"/>
    <mergeCell ref="CU33:DG33"/>
    <mergeCell ref="CC31:CO31"/>
    <mergeCell ref="CU31:DG31"/>
    <mergeCell ref="CC32:CO32"/>
    <mergeCell ref="CU32:DG32"/>
    <mergeCell ref="DK10:DM10"/>
    <mergeCell ref="DK11:DQ17"/>
    <mergeCell ref="AW11:BC17"/>
    <mergeCell ref="AH11:AN17"/>
    <mergeCell ref="A4:C4"/>
    <mergeCell ref="A5:F5"/>
    <mergeCell ref="E4:G4"/>
    <mergeCell ref="B11:H17"/>
    <mergeCell ref="S10:U10"/>
    <mergeCell ref="J10:K13"/>
  </mergeCells>
  <conditionalFormatting sqref="CP193:CP199">
    <cfRule type="colorScale" priority="157">
      <colorScale>
        <cfvo type="min"/>
        <cfvo type="percentile" val="50"/>
        <cfvo type="max"/>
        <color rgb="FFF8696B"/>
        <color rgb="FFFFEB84"/>
        <color rgb="FF63BE7B"/>
      </colorScale>
    </cfRule>
  </conditionalFormatting>
  <conditionalFormatting sqref="CP166:CP172">
    <cfRule type="colorScale" priority="156">
      <colorScale>
        <cfvo type="min"/>
        <cfvo type="percentile" val="50"/>
        <cfvo type="max"/>
        <color rgb="FFF8696B"/>
        <color rgb="FFFFEB84"/>
        <color rgb="FF63BE7B"/>
      </colorScale>
    </cfRule>
  </conditionalFormatting>
  <conditionalFormatting sqref="CP139:CP145">
    <cfRule type="colorScale" priority="155">
      <colorScale>
        <cfvo type="min"/>
        <cfvo type="percentile" val="50"/>
        <cfvo type="max"/>
        <color rgb="FFF8696B"/>
        <color rgb="FFFFEB84"/>
        <color rgb="FF63BE7B"/>
      </colorScale>
    </cfRule>
  </conditionalFormatting>
  <conditionalFormatting sqref="CP112:CP118">
    <cfRule type="colorScale" priority="154">
      <colorScale>
        <cfvo type="min"/>
        <cfvo type="percentile" val="50"/>
        <cfvo type="max"/>
        <color rgb="FFF8696B"/>
        <color rgb="FFFFEB84"/>
        <color rgb="FF63BE7B"/>
      </colorScale>
    </cfRule>
  </conditionalFormatting>
  <conditionalFormatting sqref="CP85:CP91">
    <cfRule type="colorScale" priority="153">
      <colorScale>
        <cfvo type="min"/>
        <cfvo type="percentile" val="50"/>
        <cfvo type="max"/>
        <color rgb="FFF8696B"/>
        <color rgb="FFFFEB84"/>
        <color rgb="FF63BE7B"/>
      </colorScale>
    </cfRule>
  </conditionalFormatting>
  <conditionalFormatting sqref="CI220:CP226">
    <cfRule type="colorScale" priority="152">
      <colorScale>
        <cfvo type="min"/>
        <cfvo type="percentile" val="50"/>
        <cfvo type="max"/>
        <color rgb="FFF8696B"/>
        <color rgb="FFFFEB84"/>
        <color rgb="FF63BE7B"/>
      </colorScale>
    </cfRule>
  </conditionalFormatting>
  <conditionalFormatting sqref="CY220:CZ224 CZ225:CZ227">
    <cfRule type="colorScale" priority="151">
      <colorScale>
        <cfvo type="min"/>
        <cfvo type="percentile" val="50"/>
        <cfvo type="max"/>
        <color rgb="FFF8696B"/>
        <color rgb="FFFFEB84"/>
        <color rgb="FF63BE7B"/>
      </colorScale>
    </cfRule>
  </conditionalFormatting>
  <conditionalFormatting sqref="DG11:DG18">
    <cfRule type="colorScale" priority="150">
      <colorScale>
        <cfvo type="min"/>
        <cfvo type="max"/>
        <color rgb="FFFCFCFF"/>
        <color theme="4" tint="-0.249977111117893"/>
      </colorScale>
    </cfRule>
  </conditionalFormatting>
  <conditionalFormatting sqref="CP30">
    <cfRule type="colorScale" priority="147">
      <colorScale>
        <cfvo type="min"/>
        <cfvo type="percentile" val="50"/>
        <cfvo type="max"/>
        <color rgb="FFF8696B"/>
        <color rgb="FFFFEB84"/>
        <color rgb="FF63BE7B"/>
      </colorScale>
    </cfRule>
  </conditionalFormatting>
  <conditionalFormatting sqref="CP30">
    <cfRule type="colorScale" priority="146">
      <colorScale>
        <cfvo type="min"/>
        <cfvo type="max"/>
        <color rgb="FFFCFCFF"/>
        <color rgb="FF63BE7B"/>
      </colorScale>
    </cfRule>
  </conditionalFormatting>
  <conditionalFormatting sqref="CY17:CY20">
    <cfRule type="colorScale" priority="145">
      <colorScale>
        <cfvo type="min"/>
        <cfvo type="max"/>
        <color rgb="FFFCFCFF"/>
        <color rgb="FF63BE7B"/>
      </colorScale>
    </cfRule>
  </conditionalFormatting>
  <conditionalFormatting sqref="DJ193:DJ199">
    <cfRule type="colorScale" priority="144">
      <colorScale>
        <cfvo type="min"/>
        <cfvo type="percentile" val="50"/>
        <cfvo type="max"/>
        <color rgb="FFF8696B"/>
        <color rgb="FFFFEB84"/>
        <color rgb="FF63BE7B"/>
      </colorScale>
    </cfRule>
  </conditionalFormatting>
  <conditionalFormatting sqref="DJ166:DJ172">
    <cfRule type="colorScale" priority="143">
      <colorScale>
        <cfvo type="min"/>
        <cfvo type="percentile" val="50"/>
        <cfvo type="max"/>
        <color rgb="FFF8696B"/>
        <color rgb="FFFFEB84"/>
        <color rgb="FF63BE7B"/>
      </colorScale>
    </cfRule>
  </conditionalFormatting>
  <conditionalFormatting sqref="DJ139:DJ145">
    <cfRule type="colorScale" priority="142">
      <colorScale>
        <cfvo type="min"/>
        <cfvo type="percentile" val="50"/>
        <cfvo type="max"/>
        <color rgb="FFF8696B"/>
        <color rgb="FFFFEB84"/>
        <color rgb="FF63BE7B"/>
      </colorScale>
    </cfRule>
  </conditionalFormatting>
  <conditionalFormatting sqref="DJ112:DJ118">
    <cfRule type="colorScale" priority="141">
      <colorScale>
        <cfvo type="min"/>
        <cfvo type="percentile" val="50"/>
        <cfvo type="max"/>
        <color rgb="FFF8696B"/>
        <color rgb="FFFFEB84"/>
        <color rgb="FF63BE7B"/>
      </colorScale>
    </cfRule>
  </conditionalFormatting>
  <conditionalFormatting sqref="DJ85:DJ91">
    <cfRule type="colorScale" priority="140">
      <colorScale>
        <cfvo type="min"/>
        <cfvo type="percentile" val="50"/>
        <cfvo type="max"/>
        <color rgb="FFF8696B"/>
        <color rgb="FFFFEB84"/>
        <color rgb="FF63BE7B"/>
      </colorScale>
    </cfRule>
  </conditionalFormatting>
  <conditionalFormatting sqref="DJ58:DJ64">
    <cfRule type="colorScale" priority="139">
      <colorScale>
        <cfvo type="min"/>
        <cfvo type="percentile" val="50"/>
        <cfvo type="max"/>
        <color rgb="FFF8696B"/>
        <color rgb="FFFFEB84"/>
        <color rgb="FF63BE7B"/>
      </colorScale>
    </cfRule>
  </conditionalFormatting>
  <conditionalFormatting sqref="DJ17:DJ23">
    <cfRule type="colorScale" priority="138">
      <colorScale>
        <cfvo type="min"/>
        <cfvo type="percentile" val="50"/>
        <cfvo type="max"/>
        <color rgb="FFF8696B"/>
        <color rgb="FFFFEB84"/>
        <color rgb="FF63BE7B"/>
      </colorScale>
    </cfRule>
  </conditionalFormatting>
  <conditionalFormatting sqref="DJ220:DJ226">
    <cfRule type="colorScale" priority="137">
      <colorScale>
        <cfvo type="min"/>
        <cfvo type="percentile" val="50"/>
        <cfvo type="max"/>
        <color rgb="FFF8696B"/>
        <color rgb="FFFFEB84"/>
        <color rgb="FF63BE7B"/>
      </colorScale>
    </cfRule>
  </conditionalFormatting>
  <conditionalFormatting sqref="DJ17:DJ24">
    <cfRule type="colorScale" priority="136">
      <colorScale>
        <cfvo type="min"/>
        <cfvo type="max"/>
        <color rgb="FFFCFCFF"/>
        <color rgb="FF63BE7B"/>
      </colorScale>
    </cfRule>
  </conditionalFormatting>
  <conditionalFormatting sqref="CY70:CY72">
    <cfRule type="colorScale" priority="134">
      <colorScale>
        <cfvo type="min"/>
        <cfvo type="max"/>
        <color rgb="FFFCFCFF"/>
        <color rgb="FF63BE7B"/>
      </colorScale>
    </cfRule>
  </conditionalFormatting>
  <conditionalFormatting sqref="CY97:CY99">
    <cfRule type="colorScale" priority="132">
      <colorScale>
        <cfvo type="min"/>
        <cfvo type="max"/>
        <color rgb="FFFCFCFF"/>
        <color rgb="FF63BE7B"/>
      </colorScale>
    </cfRule>
  </conditionalFormatting>
  <conditionalFormatting sqref="CY124:CY126">
    <cfRule type="colorScale" priority="130">
      <colorScale>
        <cfvo type="min"/>
        <cfvo type="max"/>
        <color rgb="FFFCFCFF"/>
        <color rgb="FF63BE7B"/>
      </colorScale>
    </cfRule>
  </conditionalFormatting>
  <conditionalFormatting sqref="CY151:CY153">
    <cfRule type="colorScale" priority="128">
      <colorScale>
        <cfvo type="min"/>
        <cfvo type="max"/>
        <color rgb="FFFCFCFF"/>
        <color rgb="FF63BE7B"/>
      </colorScale>
    </cfRule>
  </conditionalFormatting>
  <conditionalFormatting sqref="CY178:CY180">
    <cfRule type="colorScale" priority="126">
      <colorScale>
        <cfvo type="min"/>
        <cfvo type="max"/>
        <color rgb="FFFCFCFF"/>
        <color rgb="FF63BE7B"/>
      </colorScale>
    </cfRule>
  </conditionalFormatting>
  <conditionalFormatting sqref="CY205:CY207">
    <cfRule type="colorScale" priority="124">
      <colorScale>
        <cfvo type="min"/>
        <cfvo type="max"/>
        <color rgb="FFFCFCFF"/>
        <color rgb="FF63BE7B"/>
      </colorScale>
    </cfRule>
  </conditionalFormatting>
  <conditionalFormatting sqref="CO11:CO17">
    <cfRule type="colorScale" priority="120">
      <colorScale>
        <cfvo type="min"/>
        <cfvo type="max"/>
        <color rgb="FFFCFCFF"/>
        <color theme="4" tint="-0.249977111117893"/>
      </colorScale>
    </cfRule>
  </conditionalFormatting>
  <conditionalFormatting sqref="CG20">
    <cfRule type="colorScale" priority="117">
      <colorScale>
        <cfvo type="min"/>
        <cfvo type="max"/>
        <color rgb="FFFCFCFF"/>
        <color rgb="FF63BE7B"/>
      </colorScale>
    </cfRule>
  </conditionalFormatting>
  <conditionalFormatting sqref="CG151">
    <cfRule type="colorScale" priority="114">
      <colorScale>
        <cfvo type="min"/>
        <cfvo type="max"/>
        <color rgb="FFFCFCFF"/>
        <color rgb="FF63BE7B"/>
      </colorScale>
    </cfRule>
  </conditionalFormatting>
  <conditionalFormatting sqref="CG152">
    <cfRule type="colorScale" priority="113">
      <colorScale>
        <cfvo type="min"/>
        <cfvo type="max"/>
        <color rgb="FFFCFCFF"/>
        <color rgb="FF63BE7B"/>
      </colorScale>
    </cfRule>
  </conditionalFormatting>
  <conditionalFormatting sqref="CF145:CF151">
    <cfRule type="colorScale" priority="112">
      <colorScale>
        <cfvo type="min"/>
        <cfvo type="percentile" val="50"/>
        <cfvo type="max"/>
        <color rgb="FFF8696B"/>
        <color rgb="FFFFEB84"/>
        <color rgb="FF63BE7B"/>
      </colorScale>
    </cfRule>
  </conditionalFormatting>
  <conditionalFormatting sqref="CG178">
    <cfRule type="colorScale" priority="110">
      <colorScale>
        <cfvo type="min"/>
        <cfvo type="max"/>
        <color rgb="FFFCFCFF"/>
        <color rgb="FF63BE7B"/>
      </colorScale>
    </cfRule>
  </conditionalFormatting>
  <conditionalFormatting sqref="CG179">
    <cfRule type="colorScale" priority="109">
      <colorScale>
        <cfvo type="min"/>
        <cfvo type="max"/>
        <color rgb="FFFCFCFF"/>
        <color rgb="FF63BE7B"/>
      </colorScale>
    </cfRule>
  </conditionalFormatting>
  <conditionalFormatting sqref="CF172:CF178">
    <cfRule type="colorScale" priority="108">
      <colorScale>
        <cfvo type="min"/>
        <cfvo type="percentile" val="50"/>
        <cfvo type="max"/>
        <color rgb="FFF8696B"/>
        <color rgb="FFFFEB84"/>
        <color rgb="FF63BE7B"/>
      </colorScale>
    </cfRule>
  </conditionalFormatting>
  <conditionalFormatting sqref="CG205">
    <cfRule type="colorScale" priority="106">
      <colorScale>
        <cfvo type="min"/>
        <cfvo type="max"/>
        <color rgb="FFFCFCFF"/>
        <color rgb="FF63BE7B"/>
      </colorScale>
    </cfRule>
  </conditionalFormatting>
  <conditionalFormatting sqref="CG206">
    <cfRule type="colorScale" priority="105">
      <colorScale>
        <cfvo type="min"/>
        <cfvo type="max"/>
        <color rgb="FFFCFCFF"/>
        <color rgb="FF63BE7B"/>
      </colorScale>
    </cfRule>
  </conditionalFormatting>
  <conditionalFormatting sqref="CF199:CF205">
    <cfRule type="colorScale" priority="104">
      <colorScale>
        <cfvo type="min"/>
        <cfvo type="percentile" val="50"/>
        <cfvo type="max"/>
        <color rgb="FFF8696B"/>
        <color rgb="FFFFEB84"/>
        <color rgb="FF63BE7B"/>
      </colorScale>
    </cfRule>
  </conditionalFormatting>
  <conditionalFormatting sqref="CF226:CF232">
    <cfRule type="colorScale" priority="103">
      <colorScale>
        <cfvo type="min"/>
        <cfvo type="percentile" val="50"/>
        <cfvo type="max"/>
        <color rgb="FFF8696B"/>
        <color rgb="FFFFEB84"/>
        <color rgb="FF63BE7B"/>
      </colorScale>
    </cfRule>
  </conditionalFormatting>
  <conditionalFormatting sqref="CG124">
    <cfRule type="colorScale" priority="101">
      <colorScale>
        <cfvo type="min"/>
        <cfvo type="max"/>
        <color rgb="FFFCFCFF"/>
        <color rgb="FF63BE7B"/>
      </colorScale>
    </cfRule>
  </conditionalFormatting>
  <conditionalFormatting sqref="CG125">
    <cfRule type="colorScale" priority="100">
      <colorScale>
        <cfvo type="min"/>
        <cfvo type="max"/>
        <color rgb="FFFCFCFF"/>
        <color rgb="FF63BE7B"/>
      </colorScale>
    </cfRule>
  </conditionalFormatting>
  <conditionalFormatting sqref="CF118:CF124">
    <cfRule type="colorScale" priority="99">
      <colorScale>
        <cfvo type="min"/>
        <cfvo type="percentile" val="50"/>
        <cfvo type="max"/>
        <color rgb="FFF8696B"/>
        <color rgb="FFFFEB84"/>
        <color rgb="FF63BE7B"/>
      </colorScale>
    </cfRule>
  </conditionalFormatting>
  <conditionalFormatting sqref="CG97">
    <cfRule type="colorScale" priority="97">
      <colorScale>
        <cfvo type="min"/>
        <cfvo type="max"/>
        <color rgb="FFFCFCFF"/>
        <color rgb="FF63BE7B"/>
      </colorScale>
    </cfRule>
  </conditionalFormatting>
  <conditionalFormatting sqref="CG98">
    <cfRule type="colorScale" priority="96">
      <colorScale>
        <cfvo type="min"/>
        <cfvo type="max"/>
        <color rgb="FFFCFCFF"/>
        <color rgb="FF63BE7B"/>
      </colorScale>
    </cfRule>
  </conditionalFormatting>
  <conditionalFormatting sqref="CF91:CF97">
    <cfRule type="colorScale" priority="95">
      <colorScale>
        <cfvo type="min"/>
        <cfvo type="percentile" val="50"/>
        <cfvo type="max"/>
        <color rgb="FFF8696B"/>
        <color rgb="FFFFEB84"/>
        <color rgb="FF63BE7B"/>
      </colorScale>
    </cfRule>
  </conditionalFormatting>
  <conditionalFormatting sqref="CO64:CO70">
    <cfRule type="colorScale" priority="94">
      <colorScale>
        <cfvo type="min"/>
        <cfvo type="max"/>
        <color rgb="FFFCFCFF"/>
        <color theme="4" tint="-0.249977111117893"/>
      </colorScale>
    </cfRule>
  </conditionalFormatting>
  <conditionalFormatting sqref="CG70">
    <cfRule type="colorScale" priority="93">
      <colorScale>
        <cfvo type="min"/>
        <cfvo type="max"/>
        <color rgb="FFFCFCFF"/>
        <color rgb="FF63BE7B"/>
      </colorScale>
    </cfRule>
  </conditionalFormatting>
  <conditionalFormatting sqref="CG71">
    <cfRule type="colorScale" priority="92">
      <colorScale>
        <cfvo type="min"/>
        <cfvo type="max"/>
        <color rgb="FFFCFCFF"/>
        <color rgb="FF63BE7B"/>
      </colorScale>
    </cfRule>
  </conditionalFormatting>
  <conditionalFormatting sqref="CF64:CF70">
    <cfRule type="colorScale" priority="91">
      <colorScale>
        <cfvo type="min"/>
        <cfvo type="percentile" val="50"/>
        <cfvo type="max"/>
        <color rgb="FFF8696B"/>
        <color rgb="FFFFEB84"/>
        <color rgb="FF63BE7B"/>
      </colorScale>
    </cfRule>
  </conditionalFormatting>
  <conditionalFormatting sqref="DH193:DH199">
    <cfRule type="colorScale" priority="161">
      <colorScale>
        <cfvo type="min"/>
        <cfvo type="percentile" val="50"/>
        <cfvo type="max"/>
        <color rgb="FFF8696B"/>
        <color rgb="FFFFEB84"/>
        <color rgb="FF63BE7B"/>
      </colorScale>
    </cfRule>
  </conditionalFormatting>
  <conditionalFormatting sqref="DH166:DH172">
    <cfRule type="colorScale" priority="162">
      <colorScale>
        <cfvo type="min"/>
        <cfvo type="percentile" val="50"/>
        <cfvo type="max"/>
        <color rgb="FFF8696B"/>
        <color rgb="FFFFEB84"/>
        <color rgb="FF63BE7B"/>
      </colorScale>
    </cfRule>
  </conditionalFormatting>
  <conditionalFormatting sqref="DH139:DH145">
    <cfRule type="colorScale" priority="163">
      <colorScale>
        <cfvo type="min"/>
        <cfvo type="percentile" val="50"/>
        <cfvo type="max"/>
        <color rgb="FFF8696B"/>
        <color rgb="FFFFEB84"/>
        <color rgb="FF63BE7B"/>
      </colorScale>
    </cfRule>
  </conditionalFormatting>
  <conditionalFormatting sqref="DH112:DH118">
    <cfRule type="colorScale" priority="164">
      <colorScale>
        <cfvo type="min"/>
        <cfvo type="percentile" val="50"/>
        <cfvo type="max"/>
        <color rgb="FFF8696B"/>
        <color rgb="FFFFEB84"/>
        <color rgb="FF63BE7B"/>
      </colorScale>
    </cfRule>
  </conditionalFormatting>
  <conditionalFormatting sqref="DH85:DH91">
    <cfRule type="colorScale" priority="165">
      <colorScale>
        <cfvo type="min"/>
        <cfvo type="percentile" val="50"/>
        <cfvo type="max"/>
        <color rgb="FFF8696B"/>
        <color rgb="FFFFEB84"/>
        <color rgb="FF63BE7B"/>
      </colorScale>
    </cfRule>
  </conditionalFormatting>
  <conditionalFormatting sqref="DH58:DH64">
    <cfRule type="colorScale" priority="166">
      <colorScale>
        <cfvo type="min"/>
        <cfvo type="percentile" val="50"/>
        <cfvo type="max"/>
        <color rgb="FFF8696B"/>
        <color rgb="FFFFEB84"/>
        <color rgb="FF63BE7B"/>
      </colorScale>
    </cfRule>
  </conditionalFormatting>
  <conditionalFormatting sqref="DH17:DH23">
    <cfRule type="colorScale" priority="167">
      <colorScale>
        <cfvo type="min"/>
        <cfvo type="percentile" val="50"/>
        <cfvo type="max"/>
        <color rgb="FFF8696B"/>
        <color rgb="FFFFEB84"/>
        <color rgb="FF63BE7B"/>
      </colorScale>
    </cfRule>
  </conditionalFormatting>
  <conditionalFormatting sqref="DA220:DH226">
    <cfRule type="colorScale" priority="168">
      <colorScale>
        <cfvo type="min"/>
        <cfvo type="percentile" val="50"/>
        <cfvo type="max"/>
        <color rgb="FFF8696B"/>
        <color rgb="FFFFEB84"/>
        <color rgb="FF63BE7B"/>
      </colorScale>
    </cfRule>
  </conditionalFormatting>
  <conditionalFormatting sqref="DH17:DH24">
    <cfRule type="colorScale" priority="169">
      <colorScale>
        <cfvo type="min"/>
        <cfvo type="max"/>
        <color rgb="FFFCFCFF"/>
        <color rgb="FF63BE7B"/>
      </colorScale>
    </cfRule>
  </conditionalFormatting>
  <conditionalFormatting sqref="CZ21:CZ23">
    <cfRule type="colorScale" priority="54">
      <colorScale>
        <cfvo type="min"/>
        <cfvo type="percentile" val="50"/>
        <cfvo type="max"/>
        <color rgb="FFF8696B"/>
        <color rgb="FFFFEB84"/>
        <color rgb="FF63BE7B"/>
      </colorScale>
    </cfRule>
  </conditionalFormatting>
  <conditionalFormatting sqref="CZ21:CZ23">
    <cfRule type="colorScale" priority="53">
      <colorScale>
        <cfvo type="min"/>
        <cfvo type="max"/>
        <color rgb="FFFCFCFF"/>
        <color rgb="FF63BE7B"/>
      </colorScale>
    </cfRule>
  </conditionalFormatting>
  <conditionalFormatting sqref="CZ21:CZ24">
    <cfRule type="colorScale" priority="55">
      <colorScale>
        <cfvo type="min"/>
        <cfvo type="percentile" val="50"/>
        <cfvo type="max"/>
        <color rgb="FFF8696B"/>
        <color rgb="FFFFEB84"/>
        <color rgb="FF63BE7B"/>
      </colorScale>
    </cfRule>
  </conditionalFormatting>
  <conditionalFormatting sqref="CZ24">
    <cfRule type="colorScale" priority="56">
      <colorScale>
        <cfvo type="min"/>
        <cfvo type="percentile" val="50"/>
        <cfvo type="max"/>
        <color rgb="FFF8696B"/>
        <color rgb="FFFFEB84"/>
        <color rgb="FF63BE7B"/>
      </colorScale>
    </cfRule>
  </conditionalFormatting>
  <conditionalFormatting sqref="CZ21:CZ24">
    <cfRule type="colorScale" priority="57">
      <colorScale>
        <cfvo type="min"/>
        <cfvo type="max"/>
        <color rgb="FFFCFCFF"/>
        <color rgb="FF63BE7B"/>
      </colorScale>
    </cfRule>
  </conditionalFormatting>
  <conditionalFormatting sqref="CY21:CY24">
    <cfRule type="colorScale" priority="52">
      <colorScale>
        <cfvo type="min"/>
        <cfvo type="max"/>
        <color rgb="FFFCFCFF"/>
        <color rgb="FF63BE7B"/>
      </colorScale>
    </cfRule>
  </conditionalFormatting>
  <conditionalFormatting sqref="DB21">
    <cfRule type="colorScale" priority="51">
      <colorScale>
        <cfvo type="min"/>
        <cfvo type="max"/>
        <color rgb="FFFCFCFF"/>
        <color rgb="FF63BE7B"/>
      </colorScale>
    </cfRule>
  </conditionalFormatting>
  <conditionalFormatting sqref="DC21">
    <cfRule type="colorScale" priority="48">
      <colorScale>
        <cfvo type="min"/>
        <cfvo type="percentile" val="50"/>
        <cfvo type="max"/>
        <color rgb="FFF8696B"/>
        <color rgb="FFFFEB84"/>
        <color rgb="FF63BE7B"/>
      </colorScale>
    </cfRule>
  </conditionalFormatting>
  <conditionalFormatting sqref="DC21">
    <cfRule type="colorScale" priority="47">
      <colorScale>
        <cfvo type="min"/>
        <cfvo type="max"/>
        <color rgb="FFFCFCFF"/>
        <color rgb="FF63BE7B"/>
      </colorScale>
    </cfRule>
  </conditionalFormatting>
  <conditionalFormatting sqref="DC21">
    <cfRule type="colorScale" priority="49">
      <colorScale>
        <cfvo type="min"/>
        <cfvo type="percentile" val="50"/>
        <cfvo type="max"/>
        <color rgb="FFF8696B"/>
        <color rgb="FFFFEB84"/>
        <color rgb="FF63BE7B"/>
      </colorScale>
    </cfRule>
  </conditionalFormatting>
  <conditionalFormatting sqref="DC21">
    <cfRule type="colorScale" priority="50">
      <colorScale>
        <cfvo type="min"/>
        <cfvo type="max"/>
        <color rgb="FFFCFCFF"/>
        <color rgb="FF63BE7B"/>
      </colorScale>
    </cfRule>
  </conditionalFormatting>
  <conditionalFormatting sqref="CH21:CH23">
    <cfRule type="colorScale" priority="21">
      <colorScale>
        <cfvo type="min"/>
        <cfvo type="percentile" val="50"/>
        <cfvo type="max"/>
        <color rgb="FFF8696B"/>
        <color rgb="FFFFEB84"/>
        <color rgb="FF63BE7B"/>
      </colorScale>
    </cfRule>
  </conditionalFormatting>
  <conditionalFormatting sqref="CH21:CH23">
    <cfRule type="colorScale" priority="20">
      <colorScale>
        <cfvo type="min"/>
        <cfvo type="max"/>
        <color rgb="FFFCFCFF"/>
        <color rgb="FF63BE7B"/>
      </colorScale>
    </cfRule>
  </conditionalFormatting>
  <conditionalFormatting sqref="CH21:CH23">
    <cfRule type="colorScale" priority="22">
      <colorScale>
        <cfvo type="min"/>
        <cfvo type="percentile" val="50"/>
        <cfvo type="max"/>
        <color rgb="FFF8696B"/>
        <color rgb="FFFFEB84"/>
        <color rgb="FF63BE7B"/>
      </colorScale>
    </cfRule>
  </conditionalFormatting>
  <conditionalFormatting sqref="CH21:CH23">
    <cfRule type="colorScale" priority="24">
      <colorScale>
        <cfvo type="min"/>
        <cfvo type="max"/>
        <color rgb="FFFCFCFF"/>
        <color rgb="FF63BE7B"/>
      </colorScale>
    </cfRule>
  </conditionalFormatting>
  <conditionalFormatting sqref="CG21:CG23">
    <cfRule type="colorScale" priority="19">
      <colorScale>
        <cfvo type="min"/>
        <cfvo type="max"/>
        <color rgb="FFFCFCFF"/>
        <color rgb="FF63BE7B"/>
      </colorScale>
    </cfRule>
  </conditionalFormatting>
  <conditionalFormatting sqref="CJ21">
    <cfRule type="colorScale" priority="18">
      <colorScale>
        <cfvo type="min"/>
        <cfvo type="max"/>
        <color rgb="FFFCFCFF"/>
        <color rgb="FF63BE7B"/>
      </colorScale>
    </cfRule>
  </conditionalFormatting>
  <conditionalFormatting sqref="CK21">
    <cfRule type="colorScale" priority="15">
      <colorScale>
        <cfvo type="min"/>
        <cfvo type="percentile" val="50"/>
        <cfvo type="max"/>
        <color rgb="FFF8696B"/>
        <color rgb="FFFFEB84"/>
        <color rgb="FF63BE7B"/>
      </colorScale>
    </cfRule>
  </conditionalFormatting>
  <conditionalFormatting sqref="CK21">
    <cfRule type="colorScale" priority="14">
      <colorScale>
        <cfvo type="min"/>
        <cfvo type="max"/>
        <color rgb="FFFCFCFF"/>
        <color rgb="FF63BE7B"/>
      </colorScale>
    </cfRule>
  </conditionalFormatting>
  <conditionalFormatting sqref="CK21">
    <cfRule type="colorScale" priority="16">
      <colorScale>
        <cfvo type="min"/>
        <cfvo type="percentile" val="50"/>
        <cfvo type="max"/>
        <color rgb="FFF8696B"/>
        <color rgb="FFFFEB84"/>
        <color rgb="FF63BE7B"/>
      </colorScale>
    </cfRule>
  </conditionalFormatting>
  <conditionalFormatting sqref="CK21">
    <cfRule type="colorScale" priority="17">
      <colorScale>
        <cfvo type="min"/>
        <cfvo type="max"/>
        <color rgb="FFFCFCFF"/>
        <color rgb="FF63BE7B"/>
      </colorScale>
    </cfRule>
  </conditionalFormatting>
  <conditionalFormatting sqref="CH24">
    <cfRule type="colorScale" priority="11">
      <colorScale>
        <cfvo type="min"/>
        <cfvo type="percentile" val="50"/>
        <cfvo type="max"/>
        <color rgb="FFF8696B"/>
        <color rgb="FFFFEB84"/>
        <color rgb="FF63BE7B"/>
      </colorScale>
    </cfRule>
  </conditionalFormatting>
  <conditionalFormatting sqref="CH24">
    <cfRule type="colorScale" priority="12">
      <colorScale>
        <cfvo type="min"/>
        <cfvo type="percentile" val="50"/>
        <cfvo type="max"/>
        <color rgb="FFF8696B"/>
        <color rgb="FFFFEB84"/>
        <color rgb="FF63BE7B"/>
      </colorScale>
    </cfRule>
  </conditionalFormatting>
  <conditionalFormatting sqref="CH24">
    <cfRule type="colorScale" priority="13">
      <colorScale>
        <cfvo type="min"/>
        <cfvo type="max"/>
        <color rgb="FFFCFCFF"/>
        <color rgb="FF63BE7B"/>
      </colorScale>
    </cfRule>
  </conditionalFormatting>
  <conditionalFormatting sqref="CG24">
    <cfRule type="colorScale" priority="10">
      <colorScale>
        <cfvo type="min"/>
        <cfvo type="max"/>
        <color rgb="FFFCFCFF"/>
        <color rgb="FF63BE7B"/>
      </colorScale>
    </cfRule>
  </conditionalFormatting>
  <conditionalFormatting sqref="CG17:CG19">
    <cfRule type="colorScale" priority="9">
      <colorScale>
        <cfvo type="min"/>
        <cfvo type="max"/>
        <color rgb="FFFCFCFF"/>
        <color rgb="FF63BE7B"/>
      </colorScale>
    </cfRule>
  </conditionalFormatting>
  <conditionalFormatting sqref="DG199:DG206 DG172:DG179 DG145:DG152 DG118:DG125 DG91:DG98 DG64:DG71 CO199:CO205 CO172:CO178 CO145:CO151 CO118:CO124 CO91:CO97">
    <cfRule type="colorScale" priority="1">
      <colorScale>
        <cfvo type="min"/>
        <cfvo type="max"/>
        <color rgb="FFFCFCFF"/>
        <color theme="4" tint="-0.249977111117893"/>
      </colorScale>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tint="0.39997558519241921"/>
  </sheetPr>
  <dimension ref="A1:EL331"/>
  <sheetViews>
    <sheetView topLeftCell="AX1" zoomScale="60" zoomScaleNormal="60" workbookViewId="0">
      <selection activeCell="B318" sqref="B318"/>
    </sheetView>
  </sheetViews>
  <sheetFormatPr defaultColWidth="9" defaultRowHeight="13.8" x14ac:dyDescent="0.25"/>
  <cols>
    <col min="1" max="1" width="11.09765625" style="22" customWidth="1"/>
    <col min="2" max="2" width="26.09765625" style="22" customWidth="1"/>
    <col min="3" max="3" width="31.59765625" style="22" customWidth="1"/>
    <col min="4" max="4" width="25.09765625" style="385" customWidth="1"/>
    <col min="5" max="5" width="26.59765625" style="22" bestFit="1" customWidth="1"/>
    <col min="6" max="6" width="22" style="22" customWidth="1"/>
    <col min="7" max="7" width="20.8984375" style="22" customWidth="1"/>
    <col min="8" max="8" width="8" style="385" bestFit="1" customWidth="1"/>
    <col min="9" max="9" width="8" style="385" customWidth="1"/>
    <col min="10" max="10" width="25.5" style="22" customWidth="1"/>
    <col min="11" max="11" width="15.3984375" style="22" customWidth="1"/>
    <col min="12" max="16" width="7.69921875" style="386" customWidth="1"/>
    <col min="17" max="17" width="3.3984375" style="386" customWidth="1"/>
    <col min="18" max="18" width="3.09765625" style="386" customWidth="1"/>
    <col min="19" max="19" width="26.09765625" style="22" customWidth="1"/>
    <col min="20" max="20" width="23.09765625" style="22" customWidth="1"/>
    <col min="21" max="21" width="19.8984375" style="22" customWidth="1"/>
    <col min="22" max="22" width="21.09765625" style="22" customWidth="1"/>
    <col min="23" max="23" width="22.8984375" style="22" customWidth="1"/>
    <col min="24" max="24" width="18.3984375" style="22" customWidth="1"/>
    <col min="25" max="25" width="10.8984375" style="22" customWidth="1"/>
    <col min="26" max="28" width="20.59765625" style="22" customWidth="1"/>
    <col min="29" max="29" width="20.59765625" style="386" customWidth="1"/>
    <col min="30" max="30" width="35.09765625" style="386" hidden="1" customWidth="1"/>
    <col min="31" max="31" width="2.3984375" style="386" hidden="1" customWidth="1"/>
    <col min="32" max="32" width="4.8984375" style="386" customWidth="1"/>
    <col min="33" max="33" width="3.09765625" style="70" customWidth="1"/>
    <col min="34" max="34" width="26.09765625" style="22" customWidth="1"/>
    <col min="35" max="35" width="23.09765625" style="22" customWidth="1"/>
    <col min="36" max="36" width="19.8984375" style="22" customWidth="1"/>
    <col min="37" max="37" width="21.09765625" style="22" customWidth="1"/>
    <col min="38" max="38" width="35.69921875" style="22" customWidth="1"/>
    <col min="39" max="39" width="18.3984375" style="22" customWidth="1"/>
    <col min="40" max="40" width="10.8984375" style="22" customWidth="1"/>
    <col min="41" max="42" width="15" style="22" customWidth="1"/>
    <col min="43" max="43" width="20" style="22" customWidth="1"/>
    <col min="44" max="44" width="21" style="386" customWidth="1"/>
    <col min="45" max="45" width="28.3984375" style="386" hidden="1" customWidth="1"/>
    <col min="46" max="46" width="2.19921875" style="386" hidden="1" customWidth="1"/>
    <col min="47" max="47" width="3.59765625" style="386" customWidth="1"/>
    <col min="48" max="48" width="4.59765625" style="22" customWidth="1"/>
    <col min="49" max="49" width="26.09765625" style="22" customWidth="1"/>
    <col min="50" max="50" width="23.09765625" style="22" customWidth="1"/>
    <col min="51" max="51" width="19.8984375" style="22" customWidth="1"/>
    <col min="52" max="52" width="21.09765625" style="22" customWidth="1"/>
    <col min="53" max="53" width="22.59765625" style="22" customWidth="1"/>
    <col min="54" max="54" width="18.3984375" style="22" customWidth="1"/>
    <col min="55" max="55" width="10.8984375" style="22" customWidth="1"/>
    <col min="56" max="57" width="15" style="22" customWidth="1"/>
    <col min="58" max="58" width="20" style="22" customWidth="1"/>
    <col min="59" max="59" width="21" style="386" customWidth="1"/>
    <col min="60" max="62" width="2.09765625" style="386" customWidth="1"/>
    <col min="63" max="63" width="3.09765625" style="70" customWidth="1"/>
    <col min="64" max="64" width="26.09765625" style="22" customWidth="1"/>
    <col min="65" max="65" width="23" style="22" customWidth="1"/>
    <col min="66" max="66" width="19.8984375" style="22" customWidth="1"/>
    <col min="67" max="67" width="21.09765625" style="22" customWidth="1"/>
    <col min="68" max="68" width="23.19921875" style="22" customWidth="1"/>
    <col min="69" max="69" width="18.3984375" style="22" customWidth="1"/>
    <col min="70" max="70" width="10.8984375" style="22" customWidth="1"/>
    <col min="71" max="71" width="17.09765625" style="22" customWidth="1"/>
    <col min="72" max="72" width="16.8984375" style="22" customWidth="1"/>
    <col min="73" max="73" width="22.09765625" style="22" customWidth="1"/>
    <col min="74" max="74" width="27.5" style="386" customWidth="1"/>
    <col min="75" max="77" width="2.09765625" style="386" customWidth="1"/>
    <col min="78" max="78" width="5.59765625" style="22" customWidth="1"/>
    <col min="79" max="79" width="34.8984375" style="22" customWidth="1"/>
    <col min="80" max="80" width="17.19921875" style="385" customWidth="1"/>
    <col min="81" max="81" width="11.5" style="385" customWidth="1"/>
    <col min="82" max="82" width="12.09765625" style="385" customWidth="1"/>
    <col min="83" max="83" width="16.8984375" style="385" customWidth="1"/>
    <col min="84" max="84" width="16.09765625" style="385" customWidth="1"/>
    <col min="85" max="85" width="5.8984375" style="22" customWidth="1"/>
    <col min="86" max="86" width="37.09765625" style="22" customWidth="1"/>
    <col min="87" max="87" width="35.8984375" style="22" customWidth="1"/>
    <col min="88" max="88" width="11.09765625" style="22" customWidth="1"/>
    <col min="89" max="89" width="13.19921875" style="22" customWidth="1"/>
    <col min="90" max="90" width="12.59765625" style="22" customWidth="1"/>
    <col min="91" max="92" width="11.09765625" style="22" customWidth="1"/>
    <col min="93" max="93" width="35.69921875" style="387" customWidth="1"/>
    <col min="94" max="94" width="6.59765625" style="22" customWidth="1"/>
    <col min="95" max="95" width="2.8984375" style="388" customWidth="1"/>
    <col min="96" max="96" width="6" style="22" customWidth="1"/>
    <col min="97" max="97" width="34.8984375" style="22" customWidth="1"/>
    <col min="98" max="98" width="16.09765625" style="22" customWidth="1"/>
    <col min="99" max="99" width="10.09765625" style="22" customWidth="1"/>
    <col min="100" max="100" width="10.09765625" style="385" customWidth="1"/>
    <col min="101" max="101" width="18.3984375" style="22" customWidth="1"/>
    <col min="102" max="103" width="11.09765625" style="22" customWidth="1"/>
    <col min="104" max="104" width="38.09765625" style="22" customWidth="1"/>
    <col min="105" max="105" width="35.69921875" style="22" customWidth="1"/>
    <col min="106" max="106" width="11.09765625" style="22" customWidth="1"/>
    <col min="107" max="107" width="12.59765625" style="22" customWidth="1"/>
    <col min="108" max="108" width="14" style="22" customWidth="1"/>
    <col min="109" max="110" width="11.09765625" style="22" customWidth="1"/>
    <col min="111" max="111" width="35.8984375" style="387" customWidth="1"/>
    <col min="112" max="112" width="9.8984375" style="22" customWidth="1"/>
    <col min="113" max="113" width="3" style="388" customWidth="1"/>
    <col min="114" max="114" width="3" style="22" customWidth="1"/>
    <col min="115" max="115" width="27" style="22" customWidth="1"/>
    <col min="116" max="116" width="42.8984375" style="22" customWidth="1"/>
    <col min="117" max="117" width="12.3984375" style="22" customWidth="1"/>
    <col min="118" max="118" width="30.59765625" style="22" customWidth="1"/>
    <col min="119" max="119" width="26" style="22" customWidth="1"/>
    <col min="120" max="120" width="22.5" style="22" customWidth="1"/>
    <col min="121" max="121" width="31.19921875" style="22" customWidth="1"/>
    <col min="122" max="122" width="14.19921875" style="22" customWidth="1"/>
    <col min="123" max="123" width="28.8984375" style="22" customWidth="1"/>
    <col min="124" max="124" width="8.59765625" style="22" customWidth="1"/>
    <col min="125" max="125" width="30.69921875" style="22" customWidth="1"/>
    <col min="126" max="126" width="19.69921875" style="22" customWidth="1"/>
    <col min="127" max="127" width="14.69921875" style="22" customWidth="1"/>
    <col min="128" max="128" width="29.5" style="22" customWidth="1"/>
    <col min="129" max="129" width="14.5" style="22" bestFit="1" customWidth="1"/>
    <col min="130" max="142" width="9" style="22"/>
    <col min="143" max="16384" width="9" style="70"/>
  </cols>
  <sheetData>
    <row r="1" spans="1:142" x14ac:dyDescent="0.25">
      <c r="A1" s="14"/>
      <c r="B1" s="14"/>
      <c r="C1" s="14"/>
      <c r="D1" s="21"/>
      <c r="E1" s="14"/>
      <c r="F1" s="14"/>
      <c r="G1" s="14"/>
      <c r="H1" s="21"/>
      <c r="I1" s="21"/>
      <c r="J1" s="14"/>
      <c r="K1" s="14"/>
      <c r="L1" s="14"/>
      <c r="M1" s="14"/>
      <c r="N1" s="14"/>
      <c r="O1" s="14"/>
      <c r="P1" s="14"/>
      <c r="Q1" s="45"/>
      <c r="R1" s="19"/>
      <c r="S1" s="14"/>
      <c r="T1" s="14"/>
      <c r="U1" s="14"/>
      <c r="V1" s="14"/>
      <c r="W1" s="14"/>
      <c r="X1" s="14"/>
      <c r="Y1" s="14"/>
      <c r="Z1" s="14"/>
      <c r="AA1" s="14"/>
      <c r="AB1" s="14"/>
      <c r="AC1" s="14"/>
      <c r="AD1" s="64"/>
      <c r="AE1" s="67"/>
      <c r="AF1" s="45"/>
      <c r="AG1" s="19"/>
      <c r="AH1" s="14"/>
      <c r="AI1" s="14"/>
      <c r="AJ1" s="14"/>
      <c r="AK1" s="14"/>
      <c r="AL1" s="14"/>
      <c r="AM1" s="14"/>
      <c r="AN1" s="14"/>
      <c r="AO1" s="14"/>
      <c r="AP1" s="14"/>
      <c r="AQ1" s="14"/>
      <c r="AR1" s="14"/>
      <c r="AS1" s="64"/>
      <c r="AT1" s="67"/>
      <c r="AU1" s="45"/>
      <c r="AV1" s="14"/>
      <c r="AW1" s="14"/>
      <c r="AX1" s="14"/>
      <c r="AY1" s="14"/>
      <c r="AZ1" s="14"/>
      <c r="BA1" s="14"/>
      <c r="BB1" s="14"/>
      <c r="BC1" s="14"/>
      <c r="BD1" s="14"/>
      <c r="BE1" s="14"/>
      <c r="BF1" s="14"/>
      <c r="BG1" s="14"/>
      <c r="BH1" s="64"/>
      <c r="BI1" s="67"/>
      <c r="BJ1" s="370"/>
      <c r="BK1" s="19"/>
      <c r="BL1" s="14"/>
      <c r="BM1" s="14"/>
      <c r="BN1" s="14"/>
      <c r="BO1" s="14"/>
      <c r="BP1" s="14"/>
      <c r="BQ1" s="14"/>
      <c r="BR1" s="14"/>
      <c r="BS1" s="14"/>
      <c r="BT1" s="14"/>
      <c r="BU1" s="14"/>
      <c r="BV1" s="14"/>
      <c r="BW1" s="65"/>
      <c r="BX1" s="63"/>
      <c r="BY1" s="352"/>
      <c r="BZ1" s="14"/>
      <c r="CA1" s="14"/>
      <c r="CB1" s="21"/>
      <c r="CC1" s="21"/>
      <c r="CD1" s="21"/>
      <c r="CE1" s="21"/>
      <c r="CF1" s="21"/>
      <c r="CG1" s="14"/>
      <c r="CH1" s="14"/>
      <c r="CI1" s="14"/>
      <c r="CJ1" s="14"/>
      <c r="CK1" s="14"/>
      <c r="CL1" s="14"/>
      <c r="CM1" s="14"/>
      <c r="CN1" s="14"/>
      <c r="CO1" s="129"/>
      <c r="CP1" s="14"/>
      <c r="CQ1" s="45"/>
      <c r="CR1" s="14"/>
      <c r="CS1" s="14"/>
      <c r="CT1" s="14"/>
      <c r="CU1" s="14"/>
      <c r="CV1" s="21"/>
      <c r="CW1" s="14"/>
      <c r="CX1" s="14"/>
      <c r="CY1" s="14"/>
      <c r="CZ1" s="14"/>
      <c r="DA1" s="14"/>
      <c r="DB1" s="14"/>
      <c r="DC1" s="14"/>
      <c r="DD1" s="14"/>
      <c r="DE1" s="14"/>
      <c r="DF1" s="14"/>
      <c r="DG1" s="129"/>
      <c r="DH1" s="14"/>
      <c r="DI1" s="45"/>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row>
    <row r="2" spans="1:142" s="130" customFormat="1" x14ac:dyDescent="0.25">
      <c r="A2" s="87" t="s">
        <v>0</v>
      </c>
      <c r="B2" s="146" t="s">
        <v>379</v>
      </c>
      <c r="C2" s="146" t="str">
        <f ca="1">INDIRECT("Title_"&amp;B2)</f>
        <v>Additional wood (in comparison to the counterfactual) from the conversion of unmanaged forest into production in East Canada</v>
      </c>
      <c r="D2" s="146"/>
      <c r="E2" s="146"/>
      <c r="F2" s="146"/>
      <c r="G2" s="146"/>
      <c r="H2" s="146"/>
      <c r="I2" s="146"/>
      <c r="J2" s="146"/>
      <c r="K2" s="146"/>
      <c r="L2" s="90"/>
      <c r="M2" s="90"/>
      <c r="N2" s="90"/>
      <c r="O2" s="90"/>
      <c r="P2" s="90"/>
      <c r="Q2" s="93"/>
      <c r="R2" s="94"/>
      <c r="S2" s="146"/>
      <c r="T2" s="90"/>
      <c r="U2" s="90"/>
      <c r="V2" s="90"/>
      <c r="W2" s="90"/>
      <c r="X2" s="90"/>
      <c r="Y2" s="90"/>
      <c r="Z2" s="90"/>
      <c r="AA2" s="90"/>
      <c r="AB2" s="90"/>
      <c r="AC2" s="90"/>
      <c r="AD2" s="91"/>
      <c r="AE2" s="92"/>
      <c r="AF2" s="93"/>
      <c r="AG2" s="94"/>
      <c r="AH2" s="90"/>
      <c r="AI2" s="90"/>
      <c r="AJ2" s="90"/>
      <c r="AK2" s="90"/>
      <c r="AL2" s="90"/>
      <c r="AM2" s="90"/>
      <c r="AN2" s="90"/>
      <c r="AO2" s="90"/>
      <c r="AP2" s="90"/>
      <c r="AQ2" s="90"/>
      <c r="AR2" s="90"/>
      <c r="AS2" s="91"/>
      <c r="AT2" s="92"/>
      <c r="AU2" s="93"/>
      <c r="AV2" s="90"/>
      <c r="AW2" s="90"/>
      <c r="AX2" s="90"/>
      <c r="AY2" s="90"/>
      <c r="AZ2" s="90"/>
      <c r="BA2" s="90"/>
      <c r="BB2" s="90"/>
      <c r="BC2" s="90"/>
      <c r="BD2" s="90"/>
      <c r="BE2" s="90"/>
      <c r="BF2" s="90"/>
      <c r="BG2" s="90"/>
      <c r="BH2" s="91"/>
      <c r="BI2" s="92"/>
      <c r="BJ2" s="351"/>
      <c r="BK2" s="94"/>
      <c r="BL2" s="90"/>
      <c r="BM2" s="90"/>
      <c r="BN2" s="90"/>
      <c r="BO2" s="90"/>
      <c r="BP2" s="90"/>
      <c r="BQ2" s="90"/>
      <c r="BR2" s="90"/>
      <c r="BS2" s="90"/>
      <c r="BT2" s="90"/>
      <c r="BU2" s="90"/>
      <c r="BV2" s="90"/>
      <c r="BW2" s="91"/>
      <c r="BX2" s="92"/>
      <c r="BY2" s="351"/>
      <c r="BZ2" s="90"/>
      <c r="CA2" s="90"/>
      <c r="CB2" s="89"/>
      <c r="CC2" s="89"/>
      <c r="CD2" s="89"/>
      <c r="CE2" s="89"/>
      <c r="CF2" s="89"/>
      <c r="CG2" s="90"/>
      <c r="CH2" s="90"/>
      <c r="CI2" s="90"/>
      <c r="CJ2" s="90"/>
      <c r="CK2" s="90"/>
      <c r="CL2" s="90"/>
      <c r="CM2" s="90"/>
      <c r="CN2" s="90"/>
      <c r="CO2" s="90"/>
      <c r="CP2" s="90"/>
      <c r="CQ2" s="93"/>
      <c r="CR2" s="90"/>
      <c r="CS2" s="90"/>
      <c r="CT2" s="90"/>
      <c r="CU2" s="90"/>
      <c r="CV2" s="89"/>
      <c r="CW2" s="90"/>
      <c r="CX2" s="90"/>
      <c r="CY2" s="90"/>
      <c r="CZ2" s="90"/>
      <c r="DA2" s="90"/>
      <c r="DB2" s="90"/>
      <c r="DC2" s="90"/>
      <c r="DD2" s="90"/>
      <c r="DE2" s="90"/>
      <c r="DF2" s="90"/>
      <c r="DG2" s="90"/>
      <c r="DH2" s="90"/>
      <c r="DI2" s="93"/>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row>
    <row r="3" spans="1:142" x14ac:dyDescent="0.25">
      <c r="A3" s="14"/>
      <c r="B3" s="14"/>
      <c r="C3" s="14"/>
      <c r="D3" s="21"/>
      <c r="E3" s="14"/>
      <c r="F3" s="14"/>
      <c r="G3" s="14"/>
      <c r="H3" s="21"/>
      <c r="I3" s="21"/>
      <c r="J3" s="14"/>
      <c r="K3" s="14"/>
      <c r="L3" s="14"/>
      <c r="M3" s="14"/>
      <c r="N3" s="14"/>
      <c r="O3" s="14"/>
      <c r="P3" s="14"/>
      <c r="Q3" s="47"/>
      <c r="R3" s="19"/>
      <c r="S3" s="8"/>
      <c r="T3" s="14"/>
      <c r="U3" s="14"/>
      <c r="V3" s="14"/>
      <c r="W3" s="14"/>
      <c r="X3" s="14"/>
      <c r="Y3" s="14"/>
      <c r="Z3" s="14"/>
      <c r="AA3" s="14"/>
      <c r="AB3" s="14"/>
      <c r="AC3" s="14"/>
      <c r="AD3" s="65"/>
      <c r="AE3" s="63"/>
      <c r="AF3" s="47"/>
      <c r="AG3" s="19"/>
      <c r="AH3" s="14"/>
      <c r="AI3" s="14"/>
      <c r="AJ3" s="14"/>
      <c r="AK3" s="14"/>
      <c r="AL3" s="14"/>
      <c r="AM3" s="14"/>
      <c r="AN3" s="14"/>
      <c r="AO3" s="14"/>
      <c r="AP3" s="14"/>
      <c r="AQ3" s="14"/>
      <c r="AR3" s="14"/>
      <c r="AS3" s="65"/>
      <c r="AT3" s="63"/>
      <c r="AU3" s="47"/>
      <c r="AV3" s="14"/>
      <c r="AW3" s="14"/>
      <c r="AX3" s="14"/>
      <c r="AY3" s="14"/>
      <c r="AZ3" s="14"/>
      <c r="BA3" s="14"/>
      <c r="BB3" s="14"/>
      <c r="BC3" s="14"/>
      <c r="BD3" s="14"/>
      <c r="BE3" s="14"/>
      <c r="BF3" s="14"/>
      <c r="BG3" s="14"/>
      <c r="BH3" s="65"/>
      <c r="BI3" s="63"/>
      <c r="BJ3" s="352"/>
      <c r="BK3" s="19"/>
      <c r="BL3" s="14"/>
      <c r="BM3" s="14"/>
      <c r="BN3" s="14"/>
      <c r="BO3" s="14"/>
      <c r="BP3" s="14"/>
      <c r="BQ3" s="14"/>
      <c r="BR3" s="14"/>
      <c r="BS3" s="14"/>
      <c r="BT3" s="14"/>
      <c r="BU3" s="14"/>
      <c r="BV3" s="14"/>
      <c r="BW3" s="65"/>
      <c r="BX3" s="63"/>
      <c r="BY3" s="352"/>
      <c r="BZ3" s="14"/>
      <c r="CA3" s="14"/>
      <c r="CB3" s="21"/>
      <c r="CC3" s="21"/>
      <c r="CD3" s="21"/>
      <c r="CE3" s="21"/>
      <c r="CF3" s="21"/>
      <c r="CG3" s="14"/>
      <c r="CH3" s="14"/>
      <c r="CI3" s="14"/>
      <c r="CJ3" s="14"/>
      <c r="CK3" s="14"/>
      <c r="CL3" s="14"/>
      <c r="CM3" s="14"/>
      <c r="CN3" s="14"/>
      <c r="CO3" s="129"/>
      <c r="CP3" s="14"/>
      <c r="CQ3" s="47"/>
      <c r="CR3" s="14"/>
      <c r="CS3" s="14"/>
      <c r="CT3" s="14"/>
      <c r="CU3" s="14"/>
      <c r="CV3" s="21"/>
      <c r="CW3" s="14"/>
      <c r="CX3" s="14"/>
      <c r="CY3" s="14"/>
      <c r="CZ3" s="14"/>
      <c r="DA3" s="14"/>
      <c r="DB3" s="14"/>
      <c r="DC3" s="14"/>
      <c r="DD3" s="14"/>
      <c r="DE3" s="14"/>
      <c r="DF3" s="14"/>
      <c r="DG3" s="129"/>
      <c r="DH3" s="14"/>
      <c r="DI3" s="47"/>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row>
    <row r="4" spans="1:142" s="134" customFormat="1" x14ac:dyDescent="0.25">
      <c r="A4" s="520" t="s">
        <v>349</v>
      </c>
      <c r="B4" s="520"/>
      <c r="C4" s="520"/>
      <c r="D4" s="154">
        <f>((COUNTIFS(Response_Q181_1,"Confident")-F321)*2+(COUNTIFS(Response_Q181_1,"Very Confident")-F322)*3+(COUNTIFS(Response_Q181_1,"Somewhat confident")-F320)*1)/(COUNTIFS(Response_Q181_1,"&lt;&gt;0")-SUM(P2:P4))</f>
        <v>0.81666666666666665</v>
      </c>
      <c r="E4" s="521" t="s">
        <v>559</v>
      </c>
      <c r="F4" s="521"/>
      <c r="G4" s="521"/>
      <c r="H4" s="77"/>
      <c r="I4" s="77"/>
      <c r="J4" s="8"/>
      <c r="K4" s="8"/>
      <c r="L4" s="8"/>
      <c r="M4" s="8"/>
      <c r="N4" s="8"/>
      <c r="O4" s="8"/>
      <c r="P4" s="8"/>
      <c r="Q4" s="48"/>
      <c r="R4" s="44"/>
      <c r="S4" s="8"/>
      <c r="T4" s="8"/>
      <c r="U4" s="8"/>
      <c r="V4" s="8"/>
      <c r="W4" s="8"/>
      <c r="X4" s="8"/>
      <c r="Y4" s="8"/>
      <c r="Z4" s="8"/>
      <c r="AA4" s="8"/>
      <c r="AB4" s="8"/>
      <c r="AC4" s="8"/>
      <c r="AD4" s="102"/>
      <c r="AE4" s="101"/>
      <c r="AF4" s="48"/>
      <c r="AG4" s="44"/>
      <c r="AH4" s="8"/>
      <c r="AI4" s="8"/>
      <c r="AJ4" s="8"/>
      <c r="AK4" s="8"/>
      <c r="AL4" s="8"/>
      <c r="AM4" s="8"/>
      <c r="AN4" s="8"/>
      <c r="AO4" s="8"/>
      <c r="AP4" s="8"/>
      <c r="AQ4" s="8"/>
      <c r="AR4" s="8"/>
      <c r="AS4" s="102"/>
      <c r="AT4" s="101"/>
      <c r="AU4" s="48"/>
      <c r="AV4" s="8"/>
      <c r="AW4" s="8"/>
      <c r="AX4" s="8"/>
      <c r="AY4" s="8"/>
      <c r="AZ4" s="8"/>
      <c r="BA4" s="8"/>
      <c r="BB4" s="8"/>
      <c r="BC4" s="8"/>
      <c r="BD4" s="8"/>
      <c r="BE4" s="8"/>
      <c r="BF4" s="8"/>
      <c r="BG4" s="8"/>
      <c r="BH4" s="102"/>
      <c r="BI4" s="101"/>
      <c r="BJ4" s="371"/>
      <c r="BK4" s="44"/>
      <c r="BL4" s="8"/>
      <c r="BM4" s="8"/>
      <c r="BN4" s="8"/>
      <c r="BO4" s="8"/>
      <c r="BP4" s="8"/>
      <c r="BQ4" s="8"/>
      <c r="BR4" s="8"/>
      <c r="BS4" s="8"/>
      <c r="BT4" s="8"/>
      <c r="BU4" s="8"/>
      <c r="BV4" s="8"/>
      <c r="BW4" s="102"/>
      <c r="BX4" s="101"/>
      <c r="BY4" s="371"/>
      <c r="BZ4" s="8"/>
      <c r="CA4" s="8"/>
      <c r="CB4" s="77"/>
      <c r="CC4" s="77"/>
      <c r="CD4" s="77"/>
      <c r="CE4" s="77"/>
      <c r="CF4" s="77"/>
      <c r="CG4" s="8"/>
      <c r="CH4" s="8"/>
      <c r="CI4" s="8"/>
      <c r="CJ4" s="8"/>
      <c r="CK4" s="8"/>
      <c r="CL4" s="8"/>
      <c r="CM4" s="8"/>
      <c r="CN4" s="8"/>
      <c r="CO4" s="315"/>
      <c r="CP4" s="8"/>
      <c r="CQ4" s="48"/>
      <c r="CR4" s="8"/>
      <c r="CS4" s="8"/>
      <c r="CT4" s="8"/>
      <c r="CU4" s="8"/>
      <c r="CV4" s="77"/>
      <c r="CW4" s="8"/>
      <c r="CX4" s="8"/>
      <c r="CY4" s="8"/>
      <c r="CZ4" s="8"/>
      <c r="DA4" s="8"/>
      <c r="DB4" s="8"/>
      <c r="DC4" s="8"/>
      <c r="DD4" s="8"/>
      <c r="DE4" s="8"/>
      <c r="DF4" s="8"/>
      <c r="DG4" s="315"/>
      <c r="DH4" s="8"/>
      <c r="DI4" s="4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row>
    <row r="5" spans="1:142" s="134" customFormat="1" x14ac:dyDescent="0.25">
      <c r="A5" s="520" t="s">
        <v>447</v>
      </c>
      <c r="B5" s="520"/>
      <c r="C5" s="520"/>
      <c r="D5" s="520"/>
      <c r="E5" s="520"/>
      <c r="F5" s="520"/>
      <c r="G5" s="8"/>
      <c r="H5" s="77"/>
      <c r="I5" s="77"/>
      <c r="J5" s="8"/>
      <c r="K5" s="8"/>
      <c r="L5" s="8"/>
      <c r="M5" s="8"/>
      <c r="N5" s="8"/>
      <c r="O5" s="8"/>
      <c r="P5" s="8"/>
      <c r="Q5" s="48"/>
      <c r="R5" s="44"/>
      <c r="S5" s="8"/>
      <c r="T5" s="8"/>
      <c r="U5" s="8"/>
      <c r="V5" s="8"/>
      <c r="W5" s="8"/>
      <c r="X5" s="8"/>
      <c r="Y5" s="8"/>
      <c r="Z5" s="8"/>
      <c r="AA5" s="8"/>
      <c r="AB5" s="8"/>
      <c r="AC5" s="8"/>
      <c r="AD5" s="102"/>
      <c r="AE5" s="101"/>
      <c r="AF5" s="48"/>
      <c r="AG5" s="44"/>
      <c r="AH5" s="8"/>
      <c r="AI5" s="8"/>
      <c r="AJ5" s="8"/>
      <c r="AK5" s="8"/>
      <c r="AL5" s="8"/>
      <c r="AM5" s="8"/>
      <c r="AN5" s="8"/>
      <c r="AO5" s="8"/>
      <c r="AP5" s="8"/>
      <c r="AQ5" s="8"/>
      <c r="AR5" s="8"/>
      <c r="AS5" s="102"/>
      <c r="AT5" s="101"/>
      <c r="AU5" s="48"/>
      <c r="AV5" s="8"/>
      <c r="AW5" s="8"/>
      <c r="AX5" s="8"/>
      <c r="AY5" s="8"/>
      <c r="AZ5" s="8"/>
      <c r="BA5" s="8"/>
      <c r="BB5" s="8"/>
      <c r="BC5" s="8"/>
      <c r="BD5" s="8"/>
      <c r="BE5" s="8"/>
      <c r="BF5" s="8"/>
      <c r="BG5" s="8"/>
      <c r="BH5" s="102"/>
      <c r="BI5" s="101"/>
      <c r="BJ5" s="371"/>
      <c r="BK5" s="44"/>
      <c r="BL5" s="8"/>
      <c r="BM5" s="8"/>
      <c r="BN5" s="8"/>
      <c r="BO5" s="8"/>
      <c r="BP5" s="8"/>
      <c r="BQ5" s="8"/>
      <c r="BR5" s="8"/>
      <c r="BS5" s="8"/>
      <c r="BT5" s="8"/>
      <c r="BU5" s="8"/>
      <c r="BV5" s="8"/>
      <c r="BW5" s="102"/>
      <c r="BX5" s="101"/>
      <c r="BY5" s="371"/>
      <c r="BZ5" s="8"/>
      <c r="CA5" s="8"/>
      <c r="CB5" s="77"/>
      <c r="CC5" s="77"/>
      <c r="CD5" s="77"/>
      <c r="CE5" s="77"/>
      <c r="CF5" s="77"/>
      <c r="CG5" s="8"/>
      <c r="CH5" s="8"/>
      <c r="CI5" s="8"/>
      <c r="CJ5" s="8"/>
      <c r="CK5" s="8"/>
      <c r="CL5" s="8"/>
      <c r="CM5" s="8"/>
      <c r="CN5" s="8"/>
      <c r="CO5" s="315"/>
      <c r="CP5" s="8"/>
      <c r="CQ5" s="48"/>
      <c r="CR5" s="8"/>
      <c r="CS5" s="8"/>
      <c r="CT5" s="8"/>
      <c r="CU5" s="8"/>
      <c r="CV5" s="77"/>
      <c r="CW5" s="8"/>
      <c r="CX5" s="8"/>
      <c r="CY5" s="8"/>
      <c r="CZ5" s="8"/>
      <c r="DA5" s="8"/>
      <c r="DB5" s="8"/>
      <c r="DC5" s="8"/>
      <c r="DD5" s="8"/>
      <c r="DE5" s="8"/>
      <c r="DF5" s="8"/>
      <c r="DG5" s="315"/>
      <c r="DH5" s="8"/>
      <c r="DI5" s="4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row>
    <row r="6" spans="1:142" x14ac:dyDescent="0.25">
      <c r="A6" s="14"/>
      <c r="B6" s="14"/>
      <c r="C6" s="14"/>
      <c r="D6" s="13"/>
      <c r="E6" s="14"/>
      <c r="F6" s="14"/>
      <c r="G6" s="14"/>
      <c r="H6" s="21"/>
      <c r="I6" s="15"/>
      <c r="J6" s="14"/>
      <c r="K6" s="14"/>
      <c r="L6" s="14"/>
      <c r="M6" s="14"/>
      <c r="N6" s="14"/>
      <c r="O6" s="14"/>
      <c r="P6" s="14"/>
      <c r="Q6" s="47"/>
      <c r="R6" s="19"/>
      <c r="S6" s="14"/>
      <c r="T6" s="14"/>
      <c r="U6" s="14"/>
      <c r="V6" s="14"/>
      <c r="W6" s="14"/>
      <c r="X6" s="14"/>
      <c r="Y6" s="14"/>
      <c r="Z6" s="14"/>
      <c r="AA6" s="14"/>
      <c r="AB6" s="14"/>
      <c r="AC6" s="14"/>
      <c r="AD6" s="65"/>
      <c r="AE6" s="63"/>
      <c r="AF6" s="47"/>
      <c r="AG6" s="19"/>
      <c r="AH6" s="14"/>
      <c r="AI6" s="14"/>
      <c r="AJ6" s="14"/>
      <c r="AK6" s="14"/>
      <c r="AL6" s="14"/>
      <c r="AM6" s="14"/>
      <c r="AN6" s="14"/>
      <c r="AO6" s="14"/>
      <c r="AP6" s="14"/>
      <c r="AQ6" s="14"/>
      <c r="AR6" s="14"/>
      <c r="AS6" s="65"/>
      <c r="AT6" s="63"/>
      <c r="AU6" s="47"/>
      <c r="AV6" s="14"/>
      <c r="AW6" s="14"/>
      <c r="AX6" s="14"/>
      <c r="AY6" s="14"/>
      <c r="AZ6" s="14"/>
      <c r="BA6" s="14"/>
      <c r="BB6" s="14"/>
      <c r="BC6" s="14"/>
      <c r="BD6" s="14"/>
      <c r="BE6" s="14"/>
      <c r="BF6" s="14"/>
      <c r="BG6" s="14"/>
      <c r="BH6" s="65"/>
      <c r="BI6" s="63"/>
      <c r="BJ6" s="352"/>
      <c r="BK6" s="19"/>
      <c r="BL6" s="14"/>
      <c r="BM6" s="14"/>
      <c r="BN6" s="14"/>
      <c r="BO6" s="14"/>
      <c r="BP6" s="14"/>
      <c r="BQ6" s="14"/>
      <c r="BR6" s="14"/>
      <c r="BS6" s="14"/>
      <c r="BT6" s="14"/>
      <c r="BU6" s="14"/>
      <c r="BV6" s="14"/>
      <c r="BW6" s="65"/>
      <c r="BX6" s="63"/>
      <c r="BY6" s="352"/>
      <c r="BZ6" s="14"/>
      <c r="CB6" s="21"/>
      <c r="CC6" s="21"/>
      <c r="CD6" s="21"/>
      <c r="CE6" s="21"/>
      <c r="CF6" s="21"/>
      <c r="CG6" s="14"/>
      <c r="CH6" s="14"/>
      <c r="CI6" s="14"/>
      <c r="CJ6" s="14"/>
      <c r="CK6" s="14"/>
      <c r="CL6" s="14"/>
      <c r="CM6" s="14"/>
      <c r="CN6" s="14"/>
      <c r="CO6" s="129"/>
      <c r="CP6" s="14"/>
      <c r="CQ6" s="47"/>
      <c r="CR6" s="14"/>
      <c r="CS6" s="14"/>
      <c r="CT6" s="14"/>
      <c r="CU6" s="14"/>
      <c r="CV6" s="21"/>
      <c r="CW6" s="14"/>
      <c r="CX6" s="14"/>
      <c r="CY6" s="14"/>
      <c r="CZ6" s="14"/>
      <c r="DA6" s="14"/>
      <c r="DB6" s="14"/>
      <c r="DC6" s="14"/>
      <c r="DD6" s="14"/>
      <c r="DE6" s="14"/>
      <c r="DF6" s="14"/>
      <c r="DG6" s="129"/>
      <c r="DH6" s="14"/>
      <c r="DI6" s="47"/>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row>
    <row r="7" spans="1:142" s="130" customFormat="1" x14ac:dyDescent="0.25">
      <c r="A7" s="87"/>
      <c r="B7" s="87" t="s">
        <v>752</v>
      </c>
      <c r="C7" s="87"/>
      <c r="D7" s="88"/>
      <c r="E7" s="87"/>
      <c r="F7" s="87"/>
      <c r="G7" s="87"/>
      <c r="H7" s="88"/>
      <c r="I7" s="88"/>
      <c r="J7" s="87"/>
      <c r="K7" s="87"/>
      <c r="L7" s="87"/>
      <c r="M7" s="87"/>
      <c r="N7" s="87"/>
      <c r="O7" s="87"/>
      <c r="P7" s="87"/>
      <c r="Q7" s="93"/>
      <c r="R7" s="196"/>
      <c r="S7" s="87" t="s">
        <v>752</v>
      </c>
      <c r="T7" s="87"/>
      <c r="U7" s="87"/>
      <c r="V7" s="87"/>
      <c r="W7" s="87"/>
      <c r="X7" s="87"/>
      <c r="Y7" s="87"/>
      <c r="Z7" s="87"/>
      <c r="AA7" s="87"/>
      <c r="AB7" s="87"/>
      <c r="AC7" s="87"/>
      <c r="AD7" s="91"/>
      <c r="AE7" s="92"/>
      <c r="AF7" s="93"/>
      <c r="AG7" s="196"/>
      <c r="AH7" s="87" t="s">
        <v>752</v>
      </c>
      <c r="AI7" s="87"/>
      <c r="AJ7" s="87"/>
      <c r="AK7" s="87"/>
      <c r="AL7" s="87"/>
      <c r="AM7" s="87"/>
      <c r="AN7" s="87"/>
      <c r="AO7" s="87"/>
      <c r="AP7" s="87"/>
      <c r="AQ7" s="87"/>
      <c r="AR7" s="87"/>
      <c r="AS7" s="91"/>
      <c r="AT7" s="92"/>
      <c r="AU7" s="93"/>
      <c r="AV7" s="87"/>
      <c r="AW7" s="87" t="s">
        <v>752</v>
      </c>
      <c r="AX7" s="87"/>
      <c r="AY7" s="87"/>
      <c r="AZ7" s="87"/>
      <c r="BA7" s="87"/>
      <c r="BB7" s="87"/>
      <c r="BC7" s="87"/>
      <c r="BD7" s="87"/>
      <c r="BE7" s="87"/>
      <c r="BF7" s="87"/>
      <c r="BG7" s="87"/>
      <c r="BH7" s="91"/>
      <c r="BI7" s="92"/>
      <c r="BJ7" s="351"/>
      <c r="BK7" s="196"/>
      <c r="BL7" s="87" t="s">
        <v>752</v>
      </c>
      <c r="BM7" s="87"/>
      <c r="BN7" s="87"/>
      <c r="BO7" s="87"/>
      <c r="BP7" s="87"/>
      <c r="BQ7" s="87"/>
      <c r="BR7" s="87"/>
      <c r="BS7" s="87"/>
      <c r="BT7" s="87"/>
      <c r="BU7" s="87"/>
      <c r="BV7" s="87"/>
      <c r="BW7" s="91"/>
      <c r="BX7" s="92"/>
      <c r="BY7" s="351"/>
      <c r="BZ7" s="87"/>
      <c r="CA7" s="87"/>
      <c r="CB7" s="88"/>
      <c r="CC7" s="88"/>
      <c r="CD7" s="88"/>
      <c r="CE7" s="88"/>
      <c r="CF7" s="88"/>
      <c r="CG7" s="87"/>
      <c r="CH7" s="87"/>
      <c r="CI7" s="87"/>
      <c r="CJ7" s="87"/>
      <c r="CK7" s="87"/>
      <c r="CL7" s="87"/>
      <c r="CM7" s="87"/>
      <c r="CN7" s="87"/>
      <c r="CO7" s="87"/>
      <c r="CP7" s="87"/>
      <c r="CQ7" s="93"/>
      <c r="CR7" s="87"/>
      <c r="CS7" s="87"/>
      <c r="CT7" s="87"/>
      <c r="CU7" s="87"/>
      <c r="CV7" s="88"/>
      <c r="CW7" s="87"/>
      <c r="CX7" s="87"/>
      <c r="CY7" s="87"/>
      <c r="CZ7" s="87"/>
      <c r="DA7" s="87"/>
      <c r="DB7" s="87"/>
      <c r="DC7" s="87"/>
      <c r="DD7" s="87"/>
      <c r="DE7" s="87"/>
      <c r="DF7" s="87"/>
      <c r="DG7" s="87"/>
      <c r="DH7" s="87"/>
      <c r="DI7" s="93"/>
      <c r="DJ7" s="87"/>
      <c r="DK7" s="87" t="s">
        <v>28</v>
      </c>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row>
    <row r="8" spans="1:142" s="132" customFormat="1" x14ac:dyDescent="0.25">
      <c r="A8" s="23"/>
      <c r="B8" s="148" t="s">
        <v>301</v>
      </c>
      <c r="C8" s="148"/>
      <c r="D8" s="149"/>
      <c r="E8" s="148"/>
      <c r="F8" s="23"/>
      <c r="G8" s="23"/>
      <c r="H8" s="18"/>
      <c r="I8" s="18"/>
      <c r="J8" s="23"/>
      <c r="K8" s="23"/>
      <c r="L8" s="23"/>
      <c r="M8" s="23"/>
      <c r="N8" s="23"/>
      <c r="O8" s="23"/>
      <c r="P8" s="23"/>
      <c r="Q8" s="73"/>
      <c r="R8" s="56"/>
      <c r="S8" s="148" t="s">
        <v>294</v>
      </c>
      <c r="T8" s="148"/>
      <c r="U8" s="149"/>
      <c r="V8" s="148"/>
      <c r="W8" s="148"/>
      <c r="X8" s="148"/>
      <c r="Y8" s="148"/>
      <c r="Z8" s="148"/>
      <c r="AA8" s="148"/>
      <c r="AB8" s="23"/>
      <c r="AC8" s="23"/>
      <c r="AD8" s="142"/>
      <c r="AE8" s="144"/>
      <c r="AF8" s="73"/>
      <c r="AG8" s="56"/>
      <c r="AH8" s="148" t="s">
        <v>328</v>
      </c>
      <c r="AI8" s="148"/>
      <c r="AJ8" s="149"/>
      <c r="AK8" s="148"/>
      <c r="AL8" s="148"/>
      <c r="AM8" s="23"/>
      <c r="AN8" s="23"/>
      <c r="AO8" s="23"/>
      <c r="AP8" s="23"/>
      <c r="AQ8" s="23"/>
      <c r="AR8" s="23"/>
      <c r="AS8" s="142"/>
      <c r="AT8" s="144"/>
      <c r="AU8" s="73"/>
      <c r="AV8" s="23"/>
      <c r="AW8" s="148" t="s">
        <v>347</v>
      </c>
      <c r="AX8" s="148"/>
      <c r="AY8" s="149"/>
      <c r="AZ8" s="148"/>
      <c r="BA8" s="148"/>
      <c r="BB8" s="23"/>
      <c r="BC8" s="23"/>
      <c r="BD8" s="23"/>
      <c r="BE8" s="23"/>
      <c r="BF8" s="23"/>
      <c r="BG8" s="23"/>
      <c r="BH8" s="142"/>
      <c r="BI8" s="144"/>
      <c r="BJ8" s="372"/>
      <c r="BK8" s="56"/>
      <c r="BL8" s="148" t="s">
        <v>348</v>
      </c>
      <c r="BM8" s="148"/>
      <c r="BN8" s="149"/>
      <c r="BO8" s="148"/>
      <c r="BP8" s="148"/>
      <c r="BQ8" s="23"/>
      <c r="BR8" s="23"/>
      <c r="BS8" s="23"/>
      <c r="BT8" s="23"/>
      <c r="BU8" s="23"/>
      <c r="BV8" s="23"/>
      <c r="BW8" s="142"/>
      <c r="BX8" s="144"/>
      <c r="BY8" s="372"/>
      <c r="BZ8" s="56"/>
      <c r="CA8" s="148" t="s">
        <v>303</v>
      </c>
      <c r="CB8" s="148"/>
      <c r="CC8" s="149"/>
      <c r="CD8" s="148"/>
      <c r="CE8" s="148"/>
      <c r="CF8" s="148"/>
      <c r="CG8" s="23"/>
      <c r="CH8" s="23"/>
      <c r="CI8" s="23"/>
      <c r="CJ8" s="23"/>
      <c r="CK8" s="23"/>
      <c r="CL8" s="23"/>
      <c r="CM8" s="23"/>
      <c r="CN8" s="23"/>
      <c r="CO8" s="90"/>
      <c r="CP8" s="23"/>
      <c r="CQ8" s="73"/>
      <c r="CR8" s="23"/>
      <c r="CS8" s="148" t="s">
        <v>370</v>
      </c>
      <c r="CT8" s="148"/>
      <c r="CU8" s="149"/>
      <c r="CV8" s="149"/>
      <c r="CW8" s="151"/>
      <c r="CX8" s="151"/>
      <c r="CY8" s="23"/>
      <c r="CZ8" s="23"/>
      <c r="DA8" s="23"/>
      <c r="DB8" s="23"/>
      <c r="DC8" s="23"/>
      <c r="DD8" s="23"/>
      <c r="DE8" s="23"/>
      <c r="DF8" s="23"/>
      <c r="DG8" s="90"/>
      <c r="DH8" s="23"/>
      <c r="DI8" s="73"/>
      <c r="DJ8" s="23"/>
      <c r="DK8" s="148" t="s">
        <v>305</v>
      </c>
      <c r="DL8" s="148"/>
      <c r="DM8" s="149"/>
      <c r="DN8" s="148"/>
      <c r="DO8" s="23"/>
      <c r="DP8" s="23"/>
      <c r="DQ8" s="23"/>
      <c r="DR8" s="23"/>
      <c r="DS8" s="23"/>
      <c r="DT8" s="23"/>
      <c r="DU8" s="23"/>
      <c r="DV8" s="23"/>
      <c r="DW8" s="23"/>
      <c r="DX8" s="23"/>
      <c r="DY8" s="23"/>
      <c r="DZ8" s="23"/>
      <c r="EA8" s="23"/>
      <c r="EB8" s="23"/>
      <c r="EC8" s="23"/>
      <c r="ED8" s="23"/>
      <c r="EE8" s="23"/>
      <c r="EF8" s="23"/>
      <c r="EG8" s="23"/>
      <c r="EH8" s="23"/>
      <c r="EI8" s="23"/>
      <c r="EJ8" s="23"/>
      <c r="EK8" s="23"/>
      <c r="EL8" s="23"/>
    </row>
    <row r="9" spans="1:142" ht="14.4" thickBot="1" x14ac:dyDescent="0.3">
      <c r="A9" s="14"/>
      <c r="B9" s="23"/>
      <c r="C9" s="23"/>
      <c r="D9" s="18"/>
      <c r="E9" s="23"/>
      <c r="F9" s="23"/>
      <c r="G9" s="23"/>
      <c r="H9" s="18"/>
      <c r="I9" s="21"/>
      <c r="J9" s="14"/>
      <c r="K9" s="14"/>
      <c r="L9" s="14"/>
      <c r="M9" s="14"/>
      <c r="N9" s="14"/>
      <c r="O9" s="14"/>
      <c r="P9" s="14"/>
      <c r="Q9" s="47"/>
      <c r="R9" s="19"/>
      <c r="S9" s="14"/>
      <c r="T9" s="14"/>
      <c r="U9" s="14"/>
      <c r="V9" s="14"/>
      <c r="W9" s="14"/>
      <c r="X9" s="14"/>
      <c r="Y9" s="14"/>
      <c r="Z9" s="14"/>
      <c r="AA9" s="14"/>
      <c r="AB9" s="14"/>
      <c r="AC9" s="14"/>
      <c r="AD9" s="65"/>
      <c r="AE9" s="19"/>
      <c r="AF9" s="47"/>
      <c r="AG9" s="19"/>
      <c r="AH9" s="14"/>
      <c r="AI9" s="14"/>
      <c r="AJ9" s="14"/>
      <c r="AK9" s="14"/>
      <c r="AL9" s="14"/>
      <c r="AM9" s="14"/>
      <c r="AN9" s="14"/>
      <c r="AO9" s="14"/>
      <c r="AP9" s="14"/>
      <c r="AQ9" s="14"/>
      <c r="AR9" s="14"/>
      <c r="AS9" s="65" t="s">
        <v>324</v>
      </c>
      <c r="AT9" s="19"/>
      <c r="AU9" s="47"/>
      <c r="AV9" s="14"/>
      <c r="AW9" s="14"/>
      <c r="AX9" s="14"/>
      <c r="AY9" s="14"/>
      <c r="AZ9" s="14"/>
      <c r="BA9" s="14"/>
      <c r="BB9" s="14"/>
      <c r="BC9" s="14"/>
      <c r="BD9" s="14"/>
      <c r="BE9" s="14"/>
      <c r="BF9" s="14"/>
      <c r="BG9" s="14"/>
      <c r="BH9" s="65"/>
      <c r="BI9" s="63"/>
      <c r="BJ9" s="352"/>
      <c r="BK9" s="19"/>
      <c r="BL9" s="14"/>
      <c r="BM9" s="14"/>
      <c r="BN9" s="14"/>
      <c r="BO9" s="14"/>
      <c r="BP9" s="14"/>
      <c r="BQ9" s="14"/>
      <c r="BR9" s="14"/>
      <c r="BS9" s="14"/>
      <c r="BT9" s="14"/>
      <c r="BU9" s="14"/>
      <c r="BV9" s="14"/>
      <c r="BW9" s="65"/>
      <c r="BX9" s="63"/>
      <c r="BY9" s="352"/>
      <c r="BZ9" s="14"/>
      <c r="CA9" s="14"/>
      <c r="CB9" s="21"/>
      <c r="CC9" s="21"/>
      <c r="CD9" s="21"/>
      <c r="CE9" s="21"/>
      <c r="CF9" s="21"/>
      <c r="CG9" s="14"/>
      <c r="CH9" s="14"/>
      <c r="CI9" s="14"/>
      <c r="CJ9" s="14"/>
      <c r="CK9" s="14"/>
      <c r="CL9" s="14"/>
      <c r="CM9" s="14"/>
      <c r="CN9" s="14"/>
      <c r="CO9" s="129"/>
      <c r="CP9" s="14"/>
      <c r="CQ9" s="47"/>
      <c r="CR9" s="14"/>
      <c r="CS9" s="14"/>
      <c r="CT9" s="14"/>
      <c r="CU9" s="14"/>
      <c r="CV9" s="21"/>
      <c r="CW9" s="14"/>
      <c r="CX9" s="14"/>
      <c r="CY9" s="14"/>
      <c r="CZ9" s="14"/>
      <c r="DA9" s="14"/>
      <c r="DB9" s="14"/>
      <c r="DC9" s="14"/>
      <c r="DD9" s="14"/>
      <c r="DE9" s="14"/>
      <c r="DF9" s="14"/>
      <c r="DG9" s="129"/>
      <c r="DH9" s="14"/>
      <c r="DI9" s="47"/>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row>
    <row r="10" spans="1:142" s="19" customFormat="1" ht="33.75" customHeight="1" x14ac:dyDescent="0.25">
      <c r="A10" s="14"/>
      <c r="B10" s="258" t="s">
        <v>676</v>
      </c>
      <c r="C10" s="24"/>
      <c r="D10" s="25"/>
      <c r="E10" s="158" t="s">
        <v>27</v>
      </c>
      <c r="F10" s="24"/>
      <c r="G10" s="24"/>
      <c r="H10" s="74"/>
      <c r="I10" s="21"/>
      <c r="J10" s="524" t="s">
        <v>753</v>
      </c>
      <c r="K10" s="525"/>
      <c r="L10" s="129"/>
      <c r="M10" s="129"/>
      <c r="N10" s="129"/>
      <c r="O10" s="129"/>
      <c r="P10" s="129"/>
      <c r="Q10" s="82"/>
      <c r="R10" s="260"/>
      <c r="S10" s="522" t="s">
        <v>676</v>
      </c>
      <c r="T10" s="523"/>
      <c r="U10" s="523"/>
      <c r="V10" s="24" t="s">
        <v>464</v>
      </c>
      <c r="W10" s="24"/>
      <c r="X10" s="24"/>
      <c r="Y10" s="26"/>
      <c r="Z10" s="14"/>
      <c r="AA10" s="524" t="s">
        <v>753</v>
      </c>
      <c r="AB10" s="525"/>
      <c r="AC10" s="129"/>
      <c r="AD10" s="80"/>
      <c r="AE10" s="131"/>
      <c r="AF10" s="82"/>
      <c r="AH10" s="522" t="s">
        <v>676</v>
      </c>
      <c r="AI10" s="523"/>
      <c r="AJ10" s="523"/>
      <c r="AK10" s="24" t="s">
        <v>5</v>
      </c>
      <c r="AL10" s="24"/>
      <c r="AM10" s="24"/>
      <c r="AN10" s="26"/>
      <c r="AO10" s="14"/>
      <c r="AP10" s="524" t="s">
        <v>753</v>
      </c>
      <c r="AQ10" s="525"/>
      <c r="AR10" s="129"/>
      <c r="AS10" s="80" t="s">
        <v>325</v>
      </c>
      <c r="AT10" s="131"/>
      <c r="AU10" s="82"/>
      <c r="AV10" s="14"/>
      <c r="AW10" s="522" t="s">
        <v>676</v>
      </c>
      <c r="AX10" s="523"/>
      <c r="AY10" s="523"/>
      <c r="AZ10" s="24" t="s">
        <v>464</v>
      </c>
      <c r="BA10" s="24"/>
      <c r="BB10" s="24"/>
      <c r="BC10" s="26"/>
      <c r="BD10" s="14"/>
      <c r="BE10" s="524" t="s">
        <v>753</v>
      </c>
      <c r="BF10" s="525"/>
      <c r="BG10" s="129"/>
      <c r="BH10" s="80"/>
      <c r="BI10" s="81"/>
      <c r="BJ10" s="373"/>
      <c r="BL10" s="522" t="s">
        <v>676</v>
      </c>
      <c r="BM10" s="523"/>
      <c r="BN10" s="523"/>
      <c r="BO10" s="24" t="s">
        <v>464</v>
      </c>
      <c r="BP10" s="24"/>
      <c r="BQ10" s="24"/>
      <c r="BR10" s="26"/>
      <c r="BS10" s="14"/>
      <c r="BT10" s="524" t="s">
        <v>753</v>
      </c>
      <c r="BU10" s="525"/>
      <c r="BV10" s="129"/>
      <c r="BW10" s="80"/>
      <c r="BX10" s="81"/>
      <c r="BY10" s="373"/>
      <c r="BZ10" s="14"/>
      <c r="CA10" s="109" t="s">
        <v>14</v>
      </c>
      <c r="CB10" s="110"/>
      <c r="CC10" s="110" t="s">
        <v>149</v>
      </c>
      <c r="CD10" s="109" t="s">
        <v>150</v>
      </c>
      <c r="CE10" s="110" t="s">
        <v>151</v>
      </c>
      <c r="CF10" s="109" t="s">
        <v>152</v>
      </c>
      <c r="CG10" s="14"/>
      <c r="CH10" s="110" t="s">
        <v>560</v>
      </c>
      <c r="CI10" s="110" t="s">
        <v>385</v>
      </c>
      <c r="CJ10" s="201"/>
      <c r="CK10" s="201"/>
      <c r="CL10" s="201"/>
      <c r="CM10" s="201"/>
      <c r="CN10" s="201"/>
      <c r="CO10" s="325"/>
      <c r="CP10" s="14"/>
      <c r="CQ10" s="47"/>
      <c r="CR10" s="14"/>
      <c r="CS10" s="109" t="s">
        <v>14</v>
      </c>
      <c r="CT10" s="110"/>
      <c r="CU10" s="110" t="s">
        <v>149</v>
      </c>
      <c r="CV10" s="110" t="s">
        <v>150</v>
      </c>
      <c r="CW10" s="110" t="s">
        <v>151</v>
      </c>
      <c r="CX10" s="109" t="s">
        <v>152</v>
      </c>
      <c r="CY10" s="14"/>
      <c r="CZ10" s="110" t="s">
        <v>560</v>
      </c>
      <c r="DA10" s="110" t="s">
        <v>385</v>
      </c>
      <c r="DB10" s="201"/>
      <c r="DC10" s="201"/>
      <c r="DD10" s="201"/>
      <c r="DE10" s="201"/>
      <c r="DF10" s="201"/>
      <c r="DG10" s="325"/>
      <c r="DH10" s="14"/>
      <c r="DI10" s="47"/>
      <c r="DJ10" s="14"/>
      <c r="DK10" s="522" t="s">
        <v>676</v>
      </c>
      <c r="DL10" s="523"/>
      <c r="DM10" s="523"/>
      <c r="DN10" s="24" t="s">
        <v>478</v>
      </c>
      <c r="DO10" s="24"/>
      <c r="DP10" s="24"/>
      <c r="DQ10" s="26"/>
      <c r="DR10" s="14"/>
      <c r="DS10" s="524" t="s">
        <v>753</v>
      </c>
      <c r="DT10" s="525"/>
      <c r="DU10" s="14"/>
      <c r="DV10" s="14"/>
      <c r="DW10" s="14"/>
      <c r="DX10" s="14"/>
      <c r="DY10" s="14"/>
      <c r="DZ10" s="14"/>
      <c r="EA10" s="14"/>
      <c r="EB10" s="14"/>
      <c r="EC10" s="14"/>
      <c r="ED10" s="14"/>
      <c r="EE10" s="14"/>
      <c r="EF10" s="14"/>
      <c r="EG10" s="14"/>
      <c r="EH10" s="14"/>
      <c r="EI10" s="14"/>
      <c r="EJ10" s="14"/>
      <c r="EK10" s="14"/>
      <c r="EL10" s="14"/>
    </row>
    <row r="11" spans="1:142" s="260" customFormat="1" ht="15" customHeight="1" x14ac:dyDescent="0.25">
      <c r="A11" s="129"/>
      <c r="B11" s="536" t="s">
        <v>669</v>
      </c>
      <c r="C11" s="537"/>
      <c r="D11" s="537"/>
      <c r="E11" s="537"/>
      <c r="F11" s="537"/>
      <c r="G11" s="537"/>
      <c r="H11" s="538"/>
      <c r="I11" s="285"/>
      <c r="J11" s="526"/>
      <c r="K11" s="527"/>
      <c r="L11" s="129"/>
      <c r="M11" s="129"/>
      <c r="N11" s="129"/>
      <c r="O11" s="129"/>
      <c r="P11" s="129"/>
      <c r="Q11" s="82"/>
      <c r="S11" s="536" t="s">
        <v>670</v>
      </c>
      <c r="T11" s="537"/>
      <c r="U11" s="537"/>
      <c r="V11" s="537"/>
      <c r="W11" s="537"/>
      <c r="X11" s="537"/>
      <c r="Y11" s="538"/>
      <c r="Z11" s="129"/>
      <c r="AA11" s="526"/>
      <c r="AB11" s="527"/>
      <c r="AC11" s="129"/>
      <c r="AD11" s="80"/>
      <c r="AE11" s="131"/>
      <c r="AF11" s="82"/>
      <c r="AH11" s="530" t="s">
        <v>671</v>
      </c>
      <c r="AI11" s="531"/>
      <c r="AJ11" s="531"/>
      <c r="AK11" s="531"/>
      <c r="AL11" s="531"/>
      <c r="AM11" s="531"/>
      <c r="AN11" s="532"/>
      <c r="AO11" s="129"/>
      <c r="AP11" s="526"/>
      <c r="AQ11" s="527"/>
      <c r="AR11" s="129"/>
      <c r="AS11" s="80" t="s">
        <v>326</v>
      </c>
      <c r="AT11" s="131"/>
      <c r="AU11" s="82"/>
      <c r="AV11" s="129"/>
      <c r="AW11" s="530" t="s">
        <v>477</v>
      </c>
      <c r="AX11" s="531"/>
      <c r="AY11" s="531"/>
      <c r="AZ11" s="531"/>
      <c r="BA11" s="531"/>
      <c r="BB11" s="531"/>
      <c r="BC11" s="532"/>
      <c r="BD11" s="129"/>
      <c r="BE11" s="526"/>
      <c r="BF11" s="527"/>
      <c r="BG11" s="129"/>
      <c r="BH11" s="80"/>
      <c r="BI11" s="81"/>
      <c r="BJ11" s="373"/>
      <c r="BL11" s="536" t="s">
        <v>536</v>
      </c>
      <c r="BM11" s="537"/>
      <c r="BN11" s="537"/>
      <c r="BO11" s="537"/>
      <c r="BP11" s="537"/>
      <c r="BQ11" s="537"/>
      <c r="BR11" s="538"/>
      <c r="BS11" s="129"/>
      <c r="BT11" s="526"/>
      <c r="BU11" s="527"/>
      <c r="BV11" s="129"/>
      <c r="BW11" s="80"/>
      <c r="BX11" s="81"/>
      <c r="BY11" s="373"/>
      <c r="BZ11" s="129"/>
      <c r="CA11" s="140" t="s">
        <v>701</v>
      </c>
      <c r="CB11" s="139"/>
      <c r="CC11" s="141">
        <f>IF(ISBLANK($CA11),"",IFERROR(CC64/$CB$58,0)+IFERROR(CC91/$CG$82,0)+IFERROR(CC118/$CB$112,0)+IFERROR(CC145/$CB$139,0)+IFERROR(CC172/$CB$166,0)+IFERROR(CC199/$CB$193,0))</f>
        <v>4.5</v>
      </c>
      <c r="CD11" s="141">
        <f t="shared" ref="CD11:CE11" si="0">IF(ISBLANK($CA11),"",IFERROR(CD64/$CB$58,0)+IFERROR(CD91/$CG$82,0)+IFERROR(CD118/$CB$112,0)+IFERROR(CD145/$CB$139,0)+IFERROR(CD172/$CB$166,0)+IFERROR(CD199/$CB$193,0))</f>
        <v>1.25</v>
      </c>
      <c r="CE11" s="141">
        <f t="shared" si="0"/>
        <v>0.25</v>
      </c>
      <c r="CF11" s="141">
        <f>IF(ISBLANK(CA11),"",ROUND(SUMPRODUCT(CC11:CE11,Rank_score)/MAX(SUM($CC$11:$CC$18),SUM($CD$11:$CD$18),SUM($CE$11:$CE$18)),4)+(0.000001*ROWS(CF$10:$CF10)))</f>
        <v>3.4211010000000002</v>
      </c>
      <c r="CG11" s="129"/>
      <c r="CH11" s="206">
        <f t="shared" ref="CH11:CH17" si="1">IF(ISBLANK($CA11),"",SUM(CO64,CO91,CO118,CO145,CO172,CO199)/COUNTIF($CB$22:$CB$27,"&gt;0"))</f>
        <v>0.66666666666666663</v>
      </c>
      <c r="CI11" s="314" t="str">
        <f t="shared" ref="CI11:CI18" si="2">IF(ISBLANK(CA11),"",IF(SUM(CC11:CE11)=0,not_ranked,IF(CH11=0,not_estimated,VLOOKUP(ROUNDDOWN(CH11,ScoresDPs),ScoresToLikelihoods,3,1))))</f>
        <v>Very unlikely</v>
      </c>
      <c r="CJ11" s="139"/>
      <c r="CK11" s="139"/>
      <c r="CL11" s="139"/>
      <c r="CM11" s="139"/>
      <c r="CN11" s="139"/>
      <c r="CO11" s="141"/>
      <c r="CP11" s="129"/>
      <c r="CQ11" s="82"/>
      <c r="CR11" s="129"/>
      <c r="CS11" s="140" t="s">
        <v>373</v>
      </c>
      <c r="CT11" s="139"/>
      <c r="CU11" s="141">
        <f>IF(ISBLANK($CS11),"",IFERROR(CU64/$CT$58,0)+IFERROR(CU91/$CT$85,0)+IFERROR(CU118/$CT$112,0)+IFERROR(CU145/$CT$139,0)+IFERROR(CU172/$CT$166,0)+IFERROR(CU199/$CT$193,0))</f>
        <v>2.5</v>
      </c>
      <c r="CV11" s="141">
        <f t="shared" ref="CV11:CW11" si="3">IF(ISBLANK($CS11),"",IFERROR(CV64/$CT$58,0)+IFERROR(CV91/$CT$85,0)+IFERROR(CV118/$CT$112,0)+IFERROR(CV145/$CT$139,0)+IFERROR(CV172/$CT$166,0)+IFERROR(CV199/$CT$193,0))</f>
        <v>0.5</v>
      </c>
      <c r="CW11" s="141">
        <f t="shared" si="3"/>
        <v>0</v>
      </c>
      <c r="CX11" s="141">
        <f>IF(ISBLANK($CS11),"",ROUND(SUMPRODUCT(CU11:CW11,Rank_score)/MAX(SUM($CU$11:$CU$18),SUM($CV$11:$CV$18),SUM($CW$11:$CW$18)),4)+(0.000001*ROWS($CX$10:CX10)))</f>
        <v>2.8333010000000001</v>
      </c>
      <c r="CY11" s="129"/>
      <c r="CZ11" s="206">
        <f t="shared" ref="CZ11:CZ18" si="4">IF(ISBLANK(CS11),"",SUM(DG64,DG91,DG118,DG145,DG172,DG199)/COUNTIF($CT$22:$CT$27,"&gt;0"))</f>
        <v>3.3333333333333335</v>
      </c>
      <c r="DA11" s="314" t="str">
        <f t="shared" ref="DA11:DA18" si="5">IF(ISBLANK(CS11),"",IF(SUM(CU11:CW11)=0,not_ranked,IF(CZ11=0,not_estimated,VLOOKUP(ROUNDDOWN(CZ11,ScoresDPs),ScoresToLikelihoods,3,1))))</f>
        <v>Moderately likely</v>
      </c>
      <c r="DB11" s="139"/>
      <c r="DC11" s="139"/>
      <c r="DD11" s="139"/>
      <c r="DE11" s="139"/>
      <c r="DF11" s="139"/>
      <c r="DG11" s="141"/>
      <c r="DH11" s="129"/>
      <c r="DI11" s="82"/>
      <c r="DJ11" s="129"/>
      <c r="DK11" s="530" t="s">
        <v>467</v>
      </c>
      <c r="DL11" s="531"/>
      <c r="DM11" s="531"/>
      <c r="DN11" s="531"/>
      <c r="DO11" s="531"/>
      <c r="DP11" s="531"/>
      <c r="DQ11" s="532"/>
      <c r="DR11" s="129"/>
      <c r="DS11" s="526"/>
      <c r="DT11" s="527"/>
      <c r="DU11" s="129"/>
      <c r="DV11" s="129"/>
      <c r="DW11" s="129"/>
      <c r="DX11" s="129"/>
      <c r="DY11" s="129"/>
      <c r="DZ11" s="129"/>
      <c r="EA11" s="129"/>
      <c r="EB11" s="129"/>
      <c r="EC11" s="129"/>
      <c r="ED11" s="129"/>
      <c r="EE11" s="129"/>
      <c r="EF11" s="129"/>
      <c r="EG11" s="129"/>
      <c r="EH11" s="129"/>
      <c r="EI11" s="129"/>
      <c r="EJ11" s="129"/>
      <c r="EK11" s="129"/>
      <c r="EL11" s="129"/>
    </row>
    <row r="12" spans="1:142" s="260" customFormat="1" ht="15" customHeight="1" x14ac:dyDescent="0.25">
      <c r="A12" s="129"/>
      <c r="B12" s="536"/>
      <c r="C12" s="537"/>
      <c r="D12" s="537"/>
      <c r="E12" s="537"/>
      <c r="F12" s="537"/>
      <c r="G12" s="537"/>
      <c r="H12" s="538"/>
      <c r="I12" s="285"/>
      <c r="J12" s="526"/>
      <c r="K12" s="527"/>
      <c r="L12" s="129"/>
      <c r="M12" s="129"/>
      <c r="N12" s="129"/>
      <c r="O12" s="129"/>
      <c r="P12" s="129"/>
      <c r="Q12" s="82"/>
      <c r="S12" s="536"/>
      <c r="T12" s="537"/>
      <c r="U12" s="537"/>
      <c r="V12" s="537"/>
      <c r="W12" s="537"/>
      <c r="X12" s="537"/>
      <c r="Y12" s="538"/>
      <c r="Z12" s="129"/>
      <c r="AA12" s="526"/>
      <c r="AB12" s="527"/>
      <c r="AC12" s="129"/>
      <c r="AD12" s="80"/>
      <c r="AE12" s="131"/>
      <c r="AF12" s="82"/>
      <c r="AH12" s="530"/>
      <c r="AI12" s="531"/>
      <c r="AJ12" s="531"/>
      <c r="AK12" s="531"/>
      <c r="AL12" s="531"/>
      <c r="AM12" s="531"/>
      <c r="AN12" s="532"/>
      <c r="AO12" s="129"/>
      <c r="AP12" s="526"/>
      <c r="AQ12" s="527"/>
      <c r="AR12" s="129"/>
      <c r="AS12" s="80" t="s">
        <v>327</v>
      </c>
      <c r="AT12" s="131"/>
      <c r="AU12" s="82"/>
      <c r="AV12" s="129"/>
      <c r="AW12" s="530"/>
      <c r="AX12" s="531"/>
      <c r="AY12" s="531"/>
      <c r="AZ12" s="531"/>
      <c r="BA12" s="531"/>
      <c r="BB12" s="531"/>
      <c r="BC12" s="532"/>
      <c r="BD12" s="129"/>
      <c r="BE12" s="526"/>
      <c r="BF12" s="527"/>
      <c r="BG12" s="129"/>
      <c r="BH12" s="80"/>
      <c r="BI12" s="81"/>
      <c r="BJ12" s="373"/>
      <c r="BL12" s="536"/>
      <c r="BM12" s="537"/>
      <c r="BN12" s="537"/>
      <c r="BO12" s="537"/>
      <c r="BP12" s="537"/>
      <c r="BQ12" s="537"/>
      <c r="BR12" s="538"/>
      <c r="BS12" s="129"/>
      <c r="BT12" s="526"/>
      <c r="BU12" s="527"/>
      <c r="BV12" s="129"/>
      <c r="BW12" s="80"/>
      <c r="BX12" s="81"/>
      <c r="BY12" s="373"/>
      <c r="BZ12" s="129"/>
      <c r="CA12" s="140" t="s">
        <v>344</v>
      </c>
      <c r="CB12" s="139"/>
      <c r="CC12" s="141">
        <f t="shared" ref="CC12:CE12" si="6">IF(ISBLANK($CA12),"",IFERROR(CC65/$CB$58,0)+IFERROR(CC92/$CG$82,0)+IFERROR(CC119/$CB$112,0)+IFERROR(CC146/$CB$139,0)+IFERROR(CC173/$CB$166,0)+IFERROR(CC200/$CB$193,0))</f>
        <v>0</v>
      </c>
      <c r="CD12" s="141">
        <f t="shared" si="6"/>
        <v>0.91666666666666663</v>
      </c>
      <c r="CE12" s="141">
        <f t="shared" si="6"/>
        <v>0.33333333333333331</v>
      </c>
      <c r="CF12" s="141">
        <f>IF(ISBLANK(CA12),"",ROUND(SUMPRODUCT(CC12:CE12,Rank_score)/MAX(SUM($CC$11:$CC$18),SUM($CD$11:$CD$18),SUM($CE$11:$CE$18)),4)+(0.000001*ROWS(CF$10:$CF11)))</f>
        <v>0.45610200000000001</v>
      </c>
      <c r="CG12" s="129"/>
      <c r="CH12" s="206">
        <f t="shared" si="1"/>
        <v>0.83333333333333337</v>
      </c>
      <c r="CI12" s="314" t="str">
        <f t="shared" si="2"/>
        <v>Very unlikely</v>
      </c>
      <c r="CJ12" s="139"/>
      <c r="CK12" s="139"/>
      <c r="CL12" s="139"/>
      <c r="CM12" s="139"/>
      <c r="CN12" s="139"/>
      <c r="CO12" s="141"/>
      <c r="CP12" s="129"/>
      <c r="CQ12" s="82"/>
      <c r="CR12" s="129"/>
      <c r="CS12" s="140" t="s">
        <v>338</v>
      </c>
      <c r="CT12" s="139"/>
      <c r="CU12" s="141">
        <f t="shared" ref="CU12:CW12" si="7">IF(ISBLANK($CS12),"",IFERROR(CU65/$CT$58,0)+IFERROR(CU92/$CT$85,0)+IFERROR(CU119/$CT$112,0)+IFERROR(CU146/$CT$139,0)+IFERROR(CU173/$CT$166,0)+IFERROR(CU200/$CT$193,0))</f>
        <v>0.5</v>
      </c>
      <c r="CV12" s="141">
        <f t="shared" si="7"/>
        <v>0.66666666666666663</v>
      </c>
      <c r="CW12" s="141">
        <f t="shared" si="7"/>
        <v>0.5</v>
      </c>
      <c r="CX12" s="141">
        <f>IF(ISBLANK($CS12),"",ROUND(SUMPRODUCT(CU12:CW12,Rank_score)/MAX(SUM($CU$11:$CU$18),SUM($CV$11:$CV$18),SUM($CW$11:$CW$18)),4)+(0.000001*ROWS($CX$10:CX11)))</f>
        <v>1.111102</v>
      </c>
      <c r="CY12" s="129"/>
      <c r="CZ12" s="206">
        <f t="shared" si="4"/>
        <v>0.33333333333333331</v>
      </c>
      <c r="DA12" s="314" t="str">
        <f t="shared" si="5"/>
        <v>Very unlikely</v>
      </c>
      <c r="DB12" s="139"/>
      <c r="DC12" s="139"/>
      <c r="DD12" s="139"/>
      <c r="DE12" s="139"/>
      <c r="DF12" s="139"/>
      <c r="DG12" s="141"/>
      <c r="DH12" s="129"/>
      <c r="DI12" s="82"/>
      <c r="DJ12" s="129"/>
      <c r="DK12" s="530"/>
      <c r="DL12" s="531"/>
      <c r="DM12" s="531"/>
      <c r="DN12" s="531"/>
      <c r="DO12" s="531"/>
      <c r="DP12" s="531"/>
      <c r="DQ12" s="532"/>
      <c r="DR12" s="129"/>
      <c r="DS12" s="526"/>
      <c r="DT12" s="527"/>
      <c r="DU12" s="129"/>
      <c r="DV12" s="129"/>
      <c r="DW12" s="129"/>
      <c r="DX12" s="129"/>
      <c r="DY12" s="129"/>
      <c r="DZ12" s="129"/>
      <c r="EA12" s="129"/>
      <c r="EB12" s="129"/>
      <c r="EC12" s="129"/>
      <c r="ED12" s="129"/>
      <c r="EE12" s="129"/>
      <c r="EF12" s="129"/>
      <c r="EG12" s="129"/>
      <c r="EH12" s="129"/>
      <c r="EI12" s="129"/>
      <c r="EJ12" s="129"/>
      <c r="EK12" s="129"/>
      <c r="EL12" s="129"/>
    </row>
    <row r="13" spans="1:142" s="260" customFormat="1" ht="15" customHeight="1" x14ac:dyDescent="0.25">
      <c r="A13" s="129"/>
      <c r="B13" s="536"/>
      <c r="C13" s="537"/>
      <c r="D13" s="537"/>
      <c r="E13" s="537"/>
      <c r="F13" s="537"/>
      <c r="G13" s="537"/>
      <c r="H13" s="538"/>
      <c r="I13" s="285"/>
      <c r="J13" s="528"/>
      <c r="K13" s="529"/>
      <c r="L13" s="129"/>
      <c r="M13" s="129"/>
      <c r="N13" s="129"/>
      <c r="O13" s="129"/>
      <c r="P13" s="129"/>
      <c r="Q13" s="82"/>
      <c r="S13" s="536"/>
      <c r="T13" s="537"/>
      <c r="U13" s="537"/>
      <c r="V13" s="537"/>
      <c r="W13" s="537"/>
      <c r="X13" s="537"/>
      <c r="Y13" s="538"/>
      <c r="Z13" s="129"/>
      <c r="AA13" s="528"/>
      <c r="AB13" s="529"/>
      <c r="AC13" s="129"/>
      <c r="AD13" s="80"/>
      <c r="AE13" s="81"/>
      <c r="AF13" s="82"/>
      <c r="AH13" s="530"/>
      <c r="AI13" s="531"/>
      <c r="AJ13" s="531"/>
      <c r="AK13" s="531"/>
      <c r="AL13" s="531"/>
      <c r="AM13" s="531"/>
      <c r="AN13" s="532"/>
      <c r="AO13" s="129"/>
      <c r="AP13" s="528"/>
      <c r="AQ13" s="529"/>
      <c r="AR13" s="129"/>
      <c r="AS13" s="80"/>
      <c r="AT13" s="81"/>
      <c r="AU13" s="82"/>
      <c r="AV13" s="129"/>
      <c r="AW13" s="530"/>
      <c r="AX13" s="531"/>
      <c r="AY13" s="531"/>
      <c r="AZ13" s="531"/>
      <c r="BA13" s="531"/>
      <c r="BB13" s="531"/>
      <c r="BC13" s="532"/>
      <c r="BD13" s="129"/>
      <c r="BE13" s="528"/>
      <c r="BF13" s="529"/>
      <c r="BG13" s="129"/>
      <c r="BH13" s="80"/>
      <c r="BI13" s="81"/>
      <c r="BJ13" s="373"/>
      <c r="BL13" s="536"/>
      <c r="BM13" s="537"/>
      <c r="BN13" s="537"/>
      <c r="BO13" s="537"/>
      <c r="BP13" s="537"/>
      <c r="BQ13" s="537"/>
      <c r="BR13" s="538"/>
      <c r="BS13" s="129"/>
      <c r="BT13" s="528"/>
      <c r="BU13" s="529"/>
      <c r="BV13" s="129"/>
      <c r="BW13" s="80"/>
      <c r="BX13" s="81"/>
      <c r="BY13" s="373"/>
      <c r="BZ13" s="129"/>
      <c r="CA13" s="140" t="s">
        <v>146</v>
      </c>
      <c r="CB13" s="139"/>
      <c r="CC13" s="141">
        <f t="shared" ref="CC13:CE13" si="8">IF(ISBLANK($CA13),"",IFERROR(CC66/$CB$58,0)+IFERROR(CC93/$CG$82,0)+IFERROR(CC120/$CB$112,0)+IFERROR(CC147/$CB$139,0)+IFERROR(CC174/$CB$166,0)+IFERROR(CC201/$CB$193,0))</f>
        <v>0.25</v>
      </c>
      <c r="CD13" s="141">
        <f t="shared" si="8"/>
        <v>0.33333333333333331</v>
      </c>
      <c r="CE13" s="141">
        <f t="shared" si="8"/>
        <v>0.33333333333333331</v>
      </c>
      <c r="CF13" s="141">
        <f>IF(ISBLANK(CA13),"",ROUND(SUMPRODUCT(CC13:CE13,Rank_score)/MAX(SUM($CC$11:$CC$18),SUM($CD$11:$CD$18),SUM($CE$11:$CE$18)),4)+(0.000001*ROWS(CF$10:$CF12)))</f>
        <v>0.36840299999999998</v>
      </c>
      <c r="CG13" s="129"/>
      <c r="CH13" s="206">
        <f t="shared" si="1"/>
        <v>0.16666666666666666</v>
      </c>
      <c r="CI13" s="314" t="str">
        <f t="shared" si="2"/>
        <v>Very unlikely</v>
      </c>
      <c r="CJ13" s="139"/>
      <c r="CK13" s="139"/>
      <c r="CL13" s="139"/>
      <c r="CM13" s="139"/>
      <c r="CN13" s="139"/>
      <c r="CO13" s="141"/>
      <c r="CP13" s="129"/>
      <c r="CQ13" s="82"/>
      <c r="CR13" s="129"/>
      <c r="CS13" s="140" t="s">
        <v>339</v>
      </c>
      <c r="CT13" s="139"/>
      <c r="CU13" s="141">
        <f t="shared" ref="CU13:CW13" si="9">IF(ISBLANK($CS13),"",IFERROR(CU66/$CT$58,0)+IFERROR(CU93/$CT$85,0)+IFERROR(CU120/$CT$112,0)+IFERROR(CU147/$CT$139,0)+IFERROR(CU174/$CT$166,0)+IFERROR(CU201/$CT$193,0))</f>
        <v>0</v>
      </c>
      <c r="CV13" s="141">
        <f t="shared" si="9"/>
        <v>0</v>
      </c>
      <c r="CW13" s="141">
        <f t="shared" si="9"/>
        <v>0.33333333333333331</v>
      </c>
      <c r="CX13" s="141">
        <f>IF(ISBLANK($CS13),"",ROUND(SUMPRODUCT(CU13:CW13,Rank_score)/MAX(SUM($CU$11:$CU$18),SUM($CV$11:$CV$18),SUM($CW$11:$CW$18)),4)+(0.000001*ROWS($CX$10:CX12)))</f>
        <v>0.11110300000000001</v>
      </c>
      <c r="CY13" s="129"/>
      <c r="CZ13" s="206">
        <f t="shared" si="4"/>
        <v>1.6666666666666667</v>
      </c>
      <c r="DA13" s="314" t="str">
        <f t="shared" si="5"/>
        <v>Unlikely</v>
      </c>
      <c r="DB13" s="139"/>
      <c r="DC13" s="139"/>
      <c r="DD13" s="139"/>
      <c r="DE13" s="139"/>
      <c r="DF13" s="139"/>
      <c r="DG13" s="141"/>
      <c r="DH13" s="129"/>
      <c r="DI13" s="82"/>
      <c r="DJ13" s="129"/>
      <c r="DK13" s="530"/>
      <c r="DL13" s="531"/>
      <c r="DM13" s="531"/>
      <c r="DN13" s="531"/>
      <c r="DO13" s="531"/>
      <c r="DP13" s="531"/>
      <c r="DQ13" s="532"/>
      <c r="DR13" s="287"/>
      <c r="DS13" s="528"/>
      <c r="DT13" s="529"/>
      <c r="DU13" s="129"/>
      <c r="DV13" s="129"/>
      <c r="DW13" s="129"/>
      <c r="DX13" s="129"/>
      <c r="DY13" s="129"/>
      <c r="DZ13" s="129"/>
      <c r="EA13" s="129"/>
      <c r="EB13" s="129"/>
      <c r="EC13" s="129"/>
      <c r="ED13" s="129"/>
      <c r="EE13" s="129"/>
      <c r="EF13" s="129"/>
      <c r="EG13" s="129"/>
      <c r="EH13" s="129"/>
      <c r="EI13" s="129"/>
      <c r="EJ13" s="129"/>
      <c r="EK13" s="129"/>
      <c r="EL13" s="129"/>
    </row>
    <row r="14" spans="1:142" s="260" customFormat="1" ht="15" customHeight="1" x14ac:dyDescent="0.25">
      <c r="A14" s="129"/>
      <c r="B14" s="536"/>
      <c r="C14" s="537"/>
      <c r="D14" s="537"/>
      <c r="E14" s="537"/>
      <c r="F14" s="537"/>
      <c r="G14" s="537"/>
      <c r="H14" s="538"/>
      <c r="I14" s="285"/>
      <c r="J14" s="129"/>
      <c r="K14" s="129"/>
      <c r="L14" s="129"/>
      <c r="M14" s="129"/>
      <c r="N14" s="129"/>
      <c r="O14" s="129"/>
      <c r="P14" s="129"/>
      <c r="Q14" s="82"/>
      <c r="S14" s="536"/>
      <c r="T14" s="537"/>
      <c r="U14" s="537"/>
      <c r="V14" s="537"/>
      <c r="W14" s="537"/>
      <c r="X14" s="537"/>
      <c r="Y14" s="538"/>
      <c r="Z14" s="129"/>
      <c r="AA14" s="129"/>
      <c r="AB14" s="129"/>
      <c r="AC14" s="129"/>
      <c r="AD14" s="80"/>
      <c r="AE14" s="81"/>
      <c r="AF14" s="82"/>
      <c r="AH14" s="530"/>
      <c r="AI14" s="531"/>
      <c r="AJ14" s="531"/>
      <c r="AK14" s="531"/>
      <c r="AL14" s="531"/>
      <c r="AM14" s="531"/>
      <c r="AN14" s="532"/>
      <c r="AO14" s="129"/>
      <c r="AP14" s="129"/>
      <c r="AQ14" s="129"/>
      <c r="AR14" s="129"/>
      <c r="AS14" s="80"/>
      <c r="AT14" s="81"/>
      <c r="AU14" s="82"/>
      <c r="AV14" s="129"/>
      <c r="AW14" s="530"/>
      <c r="AX14" s="531"/>
      <c r="AY14" s="531"/>
      <c r="AZ14" s="531"/>
      <c r="BA14" s="531"/>
      <c r="BB14" s="531"/>
      <c r="BC14" s="532"/>
      <c r="BD14" s="129"/>
      <c r="BE14" s="129"/>
      <c r="BF14" s="129"/>
      <c r="BG14" s="129"/>
      <c r="BH14" s="80"/>
      <c r="BI14" s="81"/>
      <c r="BJ14" s="373"/>
      <c r="BL14" s="536"/>
      <c r="BM14" s="537"/>
      <c r="BN14" s="537"/>
      <c r="BO14" s="537"/>
      <c r="BP14" s="537"/>
      <c r="BQ14" s="537"/>
      <c r="BR14" s="538"/>
      <c r="BS14" s="129"/>
      <c r="BT14" s="129"/>
      <c r="BU14" s="129"/>
      <c r="BV14" s="129"/>
      <c r="BW14" s="80"/>
      <c r="BX14" s="81"/>
      <c r="BY14" s="373"/>
      <c r="BZ14" s="129"/>
      <c r="CA14" s="140" t="s">
        <v>147</v>
      </c>
      <c r="CB14" s="139"/>
      <c r="CC14" s="141">
        <f t="shared" ref="CC14:CE14" si="10">IF(ISBLANK($CA14),"",IFERROR(CC67/$CB$58,0)+IFERROR(CC94/$CG$82,0)+IFERROR(CC121/$CB$112,0)+IFERROR(CC148/$CB$139,0)+IFERROR(CC175/$CB$166,0)+IFERROR(CC202/$CB$193,0))</f>
        <v>0</v>
      </c>
      <c r="CD14" s="141">
        <f t="shared" si="10"/>
        <v>1.5</v>
      </c>
      <c r="CE14" s="141">
        <f t="shared" si="10"/>
        <v>0.25</v>
      </c>
      <c r="CF14" s="141">
        <f>IF(ISBLANK(CA14),"",ROUND(SUMPRODUCT(CC14:CE14,Rank_score)/MAX(SUM($CC$11:$CC$18),SUM($CD$11:$CD$18),SUM($CE$11:$CE$18)),4)+(0.000001*ROWS(CF$10:$CF13)))</f>
        <v>0.68420400000000003</v>
      </c>
      <c r="CG14" s="129"/>
      <c r="CH14" s="206">
        <f t="shared" si="1"/>
        <v>0.33333333333333331</v>
      </c>
      <c r="CI14" s="314" t="str">
        <f t="shared" si="2"/>
        <v>Very unlikely</v>
      </c>
      <c r="CJ14" s="139"/>
      <c r="CK14" s="139"/>
      <c r="CL14" s="139"/>
      <c r="CM14" s="139"/>
      <c r="CN14" s="139"/>
      <c r="CO14" s="141"/>
      <c r="CP14" s="129"/>
      <c r="CQ14" s="82"/>
      <c r="CR14" s="129"/>
      <c r="CS14" s="140" t="s">
        <v>345</v>
      </c>
      <c r="CT14" s="139"/>
      <c r="CU14" s="141">
        <f t="shared" ref="CU14:CW14" si="11">IF(ISBLANK($CS14),"",IFERROR(CU67/$CT$58,0)+IFERROR(CU94/$CT$85,0)+IFERROR(CU121/$CT$112,0)+IFERROR(CU148/$CT$139,0)+IFERROR(CU175/$CT$166,0)+IFERROR(CU202/$CT$193,0))</f>
        <v>0</v>
      </c>
      <c r="CV14" s="141">
        <f t="shared" si="11"/>
        <v>0.83333333333333326</v>
      </c>
      <c r="CW14" s="141">
        <f t="shared" si="11"/>
        <v>0.5</v>
      </c>
      <c r="CX14" s="141">
        <f>IF(ISBLANK($CS14),"",ROUND(SUMPRODUCT(CU14:CW14,Rank_score)/MAX(SUM($CU$11:$CU$18),SUM($CV$11:$CV$18),SUM($CW$11:$CW$18)),4)+(0.000001*ROWS($CX$10:CX13)))</f>
        <v>0.72220399999999996</v>
      </c>
      <c r="CY14" s="129"/>
      <c r="CZ14" s="206">
        <f t="shared" si="4"/>
        <v>3</v>
      </c>
      <c r="DA14" s="314" t="str">
        <f t="shared" si="5"/>
        <v>Moderately likely</v>
      </c>
      <c r="DB14" s="139"/>
      <c r="DC14" s="139"/>
      <c r="DD14" s="139"/>
      <c r="DE14" s="139"/>
      <c r="DF14" s="139"/>
      <c r="DG14" s="141"/>
      <c r="DH14" s="129"/>
      <c r="DI14" s="82"/>
      <c r="DJ14" s="129"/>
      <c r="DK14" s="530"/>
      <c r="DL14" s="531"/>
      <c r="DM14" s="531"/>
      <c r="DN14" s="531"/>
      <c r="DO14" s="531"/>
      <c r="DP14" s="531"/>
      <c r="DQ14" s="532"/>
      <c r="DR14" s="287"/>
      <c r="DS14" s="129"/>
      <c r="DT14" s="129"/>
      <c r="DU14" s="129"/>
      <c r="DV14" s="129"/>
      <c r="DW14" s="129"/>
      <c r="DX14" s="129"/>
      <c r="DY14" s="129"/>
      <c r="DZ14" s="129"/>
      <c r="EA14" s="129"/>
      <c r="EB14" s="129"/>
      <c r="EC14" s="129"/>
      <c r="ED14" s="129"/>
      <c r="EE14" s="129"/>
      <c r="EF14" s="129"/>
      <c r="EG14" s="129"/>
      <c r="EH14" s="129"/>
      <c r="EI14" s="129"/>
      <c r="EJ14" s="129"/>
      <c r="EK14" s="129"/>
      <c r="EL14" s="129"/>
    </row>
    <row r="15" spans="1:142" s="260" customFormat="1" ht="15" customHeight="1" x14ac:dyDescent="0.25">
      <c r="A15" s="129"/>
      <c r="B15" s="536"/>
      <c r="C15" s="537"/>
      <c r="D15" s="537"/>
      <c r="E15" s="537"/>
      <c r="F15" s="537"/>
      <c r="G15" s="537"/>
      <c r="H15" s="538"/>
      <c r="I15" s="285"/>
      <c r="J15" s="129"/>
      <c r="K15" s="129"/>
      <c r="L15" s="129"/>
      <c r="M15" s="129"/>
      <c r="N15" s="129"/>
      <c r="O15" s="129"/>
      <c r="P15" s="129"/>
      <c r="Q15" s="82"/>
      <c r="S15" s="536"/>
      <c r="T15" s="537"/>
      <c r="U15" s="537"/>
      <c r="V15" s="537"/>
      <c r="W15" s="537"/>
      <c r="X15" s="537"/>
      <c r="Y15" s="538"/>
      <c r="Z15" s="129"/>
      <c r="AA15" s="129"/>
      <c r="AB15" s="129"/>
      <c r="AC15" s="129"/>
      <c r="AD15" s="80"/>
      <c r="AE15" s="81"/>
      <c r="AF15" s="82"/>
      <c r="AH15" s="530"/>
      <c r="AI15" s="531"/>
      <c r="AJ15" s="531"/>
      <c r="AK15" s="531"/>
      <c r="AL15" s="531"/>
      <c r="AM15" s="531"/>
      <c r="AN15" s="532"/>
      <c r="AO15" s="129"/>
      <c r="AP15" s="129"/>
      <c r="AQ15" s="129"/>
      <c r="AR15" s="129"/>
      <c r="AS15" s="80"/>
      <c r="AT15" s="81"/>
      <c r="AU15" s="82"/>
      <c r="AV15" s="129"/>
      <c r="AW15" s="530"/>
      <c r="AX15" s="531"/>
      <c r="AY15" s="531"/>
      <c r="AZ15" s="531"/>
      <c r="BA15" s="531"/>
      <c r="BB15" s="531"/>
      <c r="BC15" s="532"/>
      <c r="BD15" s="129"/>
      <c r="BE15" s="129"/>
      <c r="BF15" s="129"/>
      <c r="BG15" s="129"/>
      <c r="BH15" s="80"/>
      <c r="BI15" s="81"/>
      <c r="BJ15" s="373"/>
      <c r="BL15" s="536"/>
      <c r="BM15" s="537"/>
      <c r="BN15" s="537"/>
      <c r="BO15" s="537"/>
      <c r="BP15" s="537"/>
      <c r="BQ15" s="537"/>
      <c r="BR15" s="538"/>
      <c r="BS15" s="129"/>
      <c r="BT15" s="129"/>
      <c r="BU15" s="129"/>
      <c r="BV15" s="129"/>
      <c r="BW15" s="80"/>
      <c r="BX15" s="81"/>
      <c r="BY15" s="373"/>
      <c r="BZ15" s="129"/>
      <c r="CA15" s="140" t="s">
        <v>341</v>
      </c>
      <c r="CB15" s="139"/>
      <c r="CC15" s="141">
        <f t="shared" ref="CC15:CE15" si="12">IF(ISBLANK($CA15),"",IFERROR(CC68/$CB$58,0)+IFERROR(CC95/$CG$82,0)+IFERROR(CC122/$CB$112,0)+IFERROR(CC149/$CB$139,0)+IFERROR(CC176/$CB$166,0)+IFERROR(CC203/$CB$193,0))</f>
        <v>0</v>
      </c>
      <c r="CD15" s="141">
        <f t="shared" si="12"/>
        <v>0</v>
      </c>
      <c r="CE15" s="141">
        <f t="shared" si="12"/>
        <v>1</v>
      </c>
      <c r="CF15" s="141">
        <f>IF(ISBLANK(CA15),"",ROUND(SUMPRODUCT(CC15:CE15,Rank_score)/MAX(SUM($CC$11:$CC$18),SUM($CD$11:$CD$18),SUM($CE$11:$CE$18)),4)+(0.000001*ROWS(CF$10:$CF14)))</f>
        <v>0.210505</v>
      </c>
      <c r="CG15" s="129"/>
      <c r="CH15" s="206">
        <f t="shared" si="1"/>
        <v>0</v>
      </c>
      <c r="CI15" s="314" t="str">
        <f t="shared" si="2"/>
        <v>Ranked, but likelihood not estimated</v>
      </c>
      <c r="CJ15" s="139"/>
      <c r="CK15" s="139"/>
      <c r="CL15" s="139"/>
      <c r="CM15" s="139"/>
      <c r="CN15" s="139"/>
      <c r="CO15" s="141"/>
      <c r="CP15" s="129"/>
      <c r="CQ15" s="82"/>
      <c r="CR15" s="129"/>
      <c r="CS15" s="140" t="s">
        <v>561</v>
      </c>
      <c r="CT15" s="139"/>
      <c r="CU15" s="141">
        <f t="shared" ref="CU15:CW15" si="13">IF(ISBLANK($CS15),"",IFERROR(CU68/$CT$58,0)+IFERROR(CU95/$CT$85,0)+IFERROR(CU122/$CT$112,0)+IFERROR(CU149/$CT$139,0)+IFERROR(CU176/$CT$166,0)+IFERROR(CU203/$CT$193,0))</f>
        <v>0</v>
      </c>
      <c r="CV15" s="141">
        <f t="shared" si="13"/>
        <v>1</v>
      </c>
      <c r="CW15" s="141">
        <f t="shared" si="13"/>
        <v>0</v>
      </c>
      <c r="CX15" s="141">
        <f>IF(ISBLANK($CS15),"",ROUND(SUMPRODUCT(CU15:CW15,Rank_score)/MAX(SUM($CU$11:$CU$18),SUM($CV$11:$CV$18),SUM($CW$11:$CW$18)),4)+(0.000001*ROWS($CX$10:CX14)))</f>
        <v>0.66670499999999999</v>
      </c>
      <c r="CY15" s="129"/>
      <c r="CZ15" s="206">
        <f t="shared" si="4"/>
        <v>0</v>
      </c>
      <c r="DA15" s="314" t="str">
        <f t="shared" si="5"/>
        <v>Ranked, but likelihood not estimated</v>
      </c>
      <c r="DB15" s="139"/>
      <c r="DC15" s="139"/>
      <c r="DD15" s="139"/>
      <c r="DE15" s="139"/>
      <c r="DF15" s="139"/>
      <c r="DG15" s="141"/>
      <c r="DH15" s="129"/>
      <c r="DI15" s="82"/>
      <c r="DJ15" s="129"/>
      <c r="DK15" s="530"/>
      <c r="DL15" s="531"/>
      <c r="DM15" s="531"/>
      <c r="DN15" s="531"/>
      <c r="DO15" s="531"/>
      <c r="DP15" s="531"/>
      <c r="DQ15" s="532"/>
      <c r="DR15" s="287"/>
      <c r="DS15" s="129"/>
      <c r="DT15" s="129"/>
      <c r="DU15" s="129"/>
      <c r="DV15" s="129"/>
      <c r="DW15" s="129"/>
      <c r="DX15" s="129"/>
      <c r="DY15" s="129"/>
      <c r="DZ15" s="129"/>
      <c r="EA15" s="129"/>
      <c r="EB15" s="129"/>
      <c r="EC15" s="129"/>
      <c r="ED15" s="129"/>
      <c r="EE15" s="129"/>
      <c r="EF15" s="129"/>
      <c r="EG15" s="129"/>
      <c r="EH15" s="129"/>
      <c r="EI15" s="129"/>
      <c r="EJ15" s="129"/>
      <c r="EK15" s="129"/>
      <c r="EL15" s="129"/>
    </row>
    <row r="16" spans="1:142" s="260" customFormat="1" ht="13.5" customHeight="1" x14ac:dyDescent="0.25">
      <c r="A16" s="129"/>
      <c r="B16" s="536"/>
      <c r="C16" s="537"/>
      <c r="D16" s="537"/>
      <c r="E16" s="537"/>
      <c r="F16" s="537"/>
      <c r="G16" s="537"/>
      <c r="H16" s="538"/>
      <c r="I16" s="285"/>
      <c r="J16" s="129"/>
      <c r="K16" s="129"/>
      <c r="L16" s="129"/>
      <c r="M16" s="129"/>
      <c r="N16" s="129"/>
      <c r="O16" s="129"/>
      <c r="P16" s="129"/>
      <c r="Q16" s="82"/>
      <c r="S16" s="536"/>
      <c r="T16" s="537"/>
      <c r="U16" s="537"/>
      <c r="V16" s="537"/>
      <c r="W16" s="537"/>
      <c r="X16" s="537"/>
      <c r="Y16" s="538"/>
      <c r="Z16" s="129"/>
      <c r="AA16" s="129"/>
      <c r="AB16" s="129"/>
      <c r="AC16" s="129"/>
      <c r="AD16" s="80"/>
      <c r="AE16" s="81"/>
      <c r="AF16" s="82"/>
      <c r="AH16" s="530"/>
      <c r="AI16" s="531"/>
      <c r="AJ16" s="531"/>
      <c r="AK16" s="531"/>
      <c r="AL16" s="531"/>
      <c r="AM16" s="531"/>
      <c r="AN16" s="532"/>
      <c r="AO16" s="129"/>
      <c r="AP16" s="129"/>
      <c r="AQ16" s="129"/>
      <c r="AR16" s="129"/>
      <c r="AS16" s="80"/>
      <c r="AT16" s="81"/>
      <c r="AU16" s="82"/>
      <c r="AV16" s="129"/>
      <c r="AW16" s="530"/>
      <c r="AX16" s="531"/>
      <c r="AY16" s="531"/>
      <c r="AZ16" s="531"/>
      <c r="BA16" s="531"/>
      <c r="BB16" s="531"/>
      <c r="BC16" s="532"/>
      <c r="BD16" s="129"/>
      <c r="BE16" s="129"/>
      <c r="BF16" s="129"/>
      <c r="BG16" s="129"/>
      <c r="BH16" s="80"/>
      <c r="BI16" s="81"/>
      <c r="BJ16" s="373"/>
      <c r="BL16" s="536"/>
      <c r="BM16" s="537"/>
      <c r="BN16" s="537"/>
      <c r="BO16" s="537"/>
      <c r="BP16" s="537"/>
      <c r="BQ16" s="537"/>
      <c r="BR16" s="538"/>
      <c r="BS16" s="129"/>
      <c r="BT16" s="129"/>
      <c r="BU16" s="129"/>
      <c r="BV16" s="129"/>
      <c r="BW16" s="80"/>
      <c r="BX16" s="81"/>
      <c r="BY16" s="373"/>
      <c r="BZ16" s="129"/>
      <c r="CA16" s="140" t="s">
        <v>148</v>
      </c>
      <c r="CB16" s="139"/>
      <c r="CC16" s="141">
        <f t="shared" ref="CC16:CE17" si="14">IF(ISBLANK($CA16),"",IFERROR(CC69/$CB$58,0)+IFERROR(CC96/$CG$82,0)+IFERROR(CC123/$CB$112,0)+IFERROR(CC150/$CB$139,0)+IFERROR(CC177/$CB$166,0)+IFERROR(CC204/$CB$193,0))</f>
        <v>0</v>
      </c>
      <c r="CD16" s="141">
        <f t="shared" si="14"/>
        <v>0</v>
      </c>
      <c r="CE16" s="141">
        <f t="shared" si="14"/>
        <v>0.33333333333333331</v>
      </c>
      <c r="CF16" s="141">
        <f>IF(ISBLANK(CA16),"",ROUND(SUMPRODUCT(CC16:CE16,Rank_score)/MAX(SUM($CC$11:$CC$18),SUM($CD$11:$CD$18),SUM($CE$11:$CE$18)),4)+(0.000001*ROWS(CF$10:$CF15)))</f>
        <v>7.0206000000000005E-2</v>
      </c>
      <c r="CG16" s="287"/>
      <c r="CH16" s="206">
        <f t="shared" si="1"/>
        <v>0.33333333333333331</v>
      </c>
      <c r="CI16" s="314" t="str">
        <f t="shared" si="2"/>
        <v>Very unlikely</v>
      </c>
      <c r="CJ16" s="139"/>
      <c r="CK16" s="139"/>
      <c r="CL16" s="139"/>
      <c r="CM16" s="139"/>
      <c r="CN16" s="139"/>
      <c r="CO16" s="141"/>
      <c r="CP16" s="287"/>
      <c r="CQ16" s="82"/>
      <c r="CR16" s="129"/>
      <c r="CS16" s="140" t="s">
        <v>49</v>
      </c>
      <c r="CT16" s="139"/>
      <c r="CU16" s="141">
        <f t="shared" ref="CU16:CW16" si="15">IF(ISBLANK($CS16),"",IFERROR(CU69/$CT$58,0)+IFERROR(CU96/$CT$85,0)+IFERROR(CU123/$CT$112,0)+IFERROR(CU150/$CT$139,0)+IFERROR(CU177/$CT$166,0)+IFERROR(CU204/$CT$193,0))</f>
        <v>0</v>
      </c>
      <c r="CV16" s="141">
        <f t="shared" si="15"/>
        <v>0</v>
      </c>
      <c r="CW16" s="141">
        <f t="shared" si="15"/>
        <v>0</v>
      </c>
      <c r="CX16" s="141">
        <f>IF(ISBLANK($CS16),"",ROUND(SUMPRODUCT(CU16:CW16,Rank_score)/MAX(SUM($CU$11:$CU$18),SUM($CV$11:$CV$18),SUM($CW$11:$CW$18)),4)+(0.000001*ROWS($CX$10:CX15)))</f>
        <v>6.0000000000000002E-6</v>
      </c>
      <c r="CY16" s="287"/>
      <c r="CZ16" s="206">
        <f t="shared" si="4"/>
        <v>0</v>
      </c>
      <c r="DA16" s="314" t="str">
        <f t="shared" si="5"/>
        <v>Factor not ranked</v>
      </c>
      <c r="DB16" s="139"/>
      <c r="DC16" s="139"/>
      <c r="DD16" s="139"/>
      <c r="DE16" s="139"/>
      <c r="DF16" s="139"/>
      <c r="DG16" s="141"/>
      <c r="DH16" s="287"/>
      <c r="DI16" s="82"/>
      <c r="DJ16" s="287"/>
      <c r="DK16" s="530"/>
      <c r="DL16" s="531"/>
      <c r="DM16" s="531"/>
      <c r="DN16" s="531"/>
      <c r="DO16" s="531"/>
      <c r="DP16" s="531"/>
      <c r="DQ16" s="532"/>
      <c r="DR16" s="287"/>
      <c r="DS16" s="129"/>
      <c r="DT16" s="129"/>
      <c r="DU16" s="129"/>
      <c r="DV16" s="129"/>
      <c r="DW16" s="129"/>
      <c r="DX16" s="129"/>
      <c r="DY16" s="129"/>
      <c r="DZ16" s="129"/>
      <c r="EA16" s="129"/>
      <c r="EB16" s="129"/>
      <c r="EC16" s="129"/>
      <c r="ED16" s="129"/>
      <c r="EE16" s="129"/>
      <c r="EF16" s="129"/>
      <c r="EG16" s="129"/>
      <c r="EH16" s="129"/>
      <c r="EI16" s="129"/>
      <c r="EJ16" s="129"/>
      <c r="EK16" s="129"/>
      <c r="EL16" s="129"/>
    </row>
    <row r="17" spans="1:142" s="260" customFormat="1" ht="15" customHeight="1" thickBot="1" x14ac:dyDescent="0.3">
      <c r="A17" s="129"/>
      <c r="B17" s="539"/>
      <c r="C17" s="540"/>
      <c r="D17" s="540"/>
      <c r="E17" s="540"/>
      <c r="F17" s="540"/>
      <c r="G17" s="540"/>
      <c r="H17" s="541"/>
      <c r="I17" s="285"/>
      <c r="J17" s="129"/>
      <c r="K17" s="129"/>
      <c r="L17" s="129"/>
      <c r="M17" s="129"/>
      <c r="N17" s="129"/>
      <c r="O17" s="129"/>
      <c r="P17" s="129"/>
      <c r="Q17" s="82"/>
      <c r="S17" s="539"/>
      <c r="T17" s="540"/>
      <c r="U17" s="540"/>
      <c r="V17" s="540"/>
      <c r="W17" s="540"/>
      <c r="X17" s="540"/>
      <c r="Y17" s="541"/>
      <c r="Z17" s="129"/>
      <c r="AA17" s="129"/>
      <c r="AB17" s="129"/>
      <c r="AC17" s="129"/>
      <c r="AD17" s="80"/>
      <c r="AE17" s="81"/>
      <c r="AF17" s="82"/>
      <c r="AH17" s="533"/>
      <c r="AI17" s="534"/>
      <c r="AJ17" s="534"/>
      <c r="AK17" s="534"/>
      <c r="AL17" s="534"/>
      <c r="AM17" s="534"/>
      <c r="AN17" s="535"/>
      <c r="AO17" s="129"/>
      <c r="AP17" s="129"/>
      <c r="AQ17" s="129"/>
      <c r="AR17" s="129"/>
      <c r="AS17" s="80"/>
      <c r="AT17" s="81"/>
      <c r="AU17" s="82"/>
      <c r="AV17" s="129"/>
      <c r="AW17" s="533"/>
      <c r="AX17" s="534"/>
      <c r="AY17" s="534"/>
      <c r="AZ17" s="534"/>
      <c r="BA17" s="534"/>
      <c r="BB17" s="534"/>
      <c r="BC17" s="535"/>
      <c r="BD17" s="129"/>
      <c r="BE17" s="129"/>
      <c r="BF17" s="129"/>
      <c r="BG17" s="129"/>
      <c r="BH17" s="80"/>
      <c r="BI17" s="81"/>
      <c r="BJ17" s="373"/>
      <c r="BL17" s="539"/>
      <c r="BM17" s="540"/>
      <c r="BN17" s="540"/>
      <c r="BO17" s="540"/>
      <c r="BP17" s="540"/>
      <c r="BQ17" s="540"/>
      <c r="BR17" s="541"/>
      <c r="BS17" s="129"/>
      <c r="BT17" s="129"/>
      <c r="BU17" s="129"/>
      <c r="BV17" s="129"/>
      <c r="BW17" s="80"/>
      <c r="BX17" s="81"/>
      <c r="BY17" s="373"/>
      <c r="BZ17" s="129"/>
      <c r="CA17" s="140" t="s">
        <v>49</v>
      </c>
      <c r="CB17" s="139"/>
      <c r="CC17" s="141">
        <f t="shared" si="14"/>
        <v>0</v>
      </c>
      <c r="CD17" s="141">
        <f t="shared" si="14"/>
        <v>0</v>
      </c>
      <c r="CE17" s="141">
        <f t="shared" si="14"/>
        <v>0</v>
      </c>
      <c r="CF17" s="141">
        <f>IF(ISBLANK(CA17),"",ROUND(SUMPRODUCT(CC17:CE17,Rank_score)/MAX(SUM($CC$11:$CC$18),SUM($CD$11:$CD$18),SUM($CE$11:$CE$18)),4)+(0.000001*ROWS(CF$10:$CF16)))</f>
        <v>6.9999999999999999E-6</v>
      </c>
      <c r="CG17" s="38"/>
      <c r="CH17" s="206">
        <f t="shared" si="1"/>
        <v>0</v>
      </c>
      <c r="CI17" s="314" t="str">
        <f t="shared" si="2"/>
        <v>Factor not ranked</v>
      </c>
      <c r="CJ17" s="139"/>
      <c r="CK17" s="139"/>
      <c r="CL17" s="139"/>
      <c r="CM17" s="139"/>
      <c r="CN17" s="139"/>
      <c r="CO17" s="141"/>
      <c r="CP17" s="38"/>
      <c r="CQ17" s="82"/>
      <c r="CR17" s="129"/>
      <c r="CS17" s="140"/>
      <c r="CT17" s="139"/>
      <c r="CU17" s="141" t="str">
        <f t="shared" ref="CU17:CW17" si="16">IF(ISBLANK($CS17),"",IFERROR(CU70/$CT$58,0)+IFERROR(CU97/$CT$85,0)+IFERROR(CU124/$CT$112,0)+IFERROR(CU151/$CT$139,0)+IFERROR(CU178/$CT$166,0)+IFERROR(CU205/$CT$193,0))</f>
        <v/>
      </c>
      <c r="CV17" s="141" t="str">
        <f t="shared" si="16"/>
        <v/>
      </c>
      <c r="CW17" s="141" t="str">
        <f t="shared" si="16"/>
        <v/>
      </c>
      <c r="CX17" s="141" t="str">
        <f>IF(ISBLANK($CS17),"",ROUND(SUMPRODUCT(CU17:CW17,Rank_score)/MAX(SUM($CU$11:$CU$18),SUM($CV$11:$CV$18),SUM($CW$11:$CW$18)),4)+(0.000001*ROWS($CX$10:CX16)))</f>
        <v/>
      </c>
      <c r="CY17" s="38"/>
      <c r="CZ17" s="206" t="str">
        <f t="shared" si="4"/>
        <v/>
      </c>
      <c r="DA17" s="314" t="str">
        <f t="shared" si="5"/>
        <v/>
      </c>
      <c r="DB17" s="139"/>
      <c r="DC17" s="139"/>
      <c r="DD17" s="139"/>
      <c r="DE17" s="139"/>
      <c r="DF17" s="139"/>
      <c r="DG17" s="141"/>
      <c r="DH17" s="38"/>
      <c r="DI17" s="82"/>
      <c r="DJ17" s="38"/>
      <c r="DK17" s="533"/>
      <c r="DL17" s="534"/>
      <c r="DM17" s="534"/>
      <c r="DN17" s="534"/>
      <c r="DO17" s="534"/>
      <c r="DP17" s="534"/>
      <c r="DQ17" s="535"/>
      <c r="DR17" s="287"/>
      <c r="DS17" s="129"/>
      <c r="DT17" s="129"/>
      <c r="DU17" s="129"/>
      <c r="DV17" s="129"/>
      <c r="DW17" s="129"/>
      <c r="DX17" s="129"/>
      <c r="DY17" s="129"/>
      <c r="DZ17" s="129"/>
      <c r="EA17" s="129"/>
      <c r="EB17" s="129"/>
      <c r="EC17" s="129"/>
      <c r="ED17" s="129"/>
      <c r="EE17" s="129"/>
      <c r="EF17" s="129"/>
      <c r="EG17" s="129"/>
      <c r="EH17" s="129"/>
      <c r="EI17" s="129"/>
      <c r="EJ17" s="129"/>
      <c r="EK17" s="129"/>
      <c r="EL17" s="129"/>
    </row>
    <row r="18" spans="1:142" ht="14.4" x14ac:dyDescent="0.3">
      <c r="A18" s="14"/>
      <c r="B18" s="23"/>
      <c r="C18" s="14"/>
      <c r="D18" s="18"/>
      <c r="E18" s="14"/>
      <c r="F18" s="14"/>
      <c r="G18" s="14"/>
      <c r="H18" s="75"/>
      <c r="I18" s="21"/>
      <c r="J18" s="14"/>
      <c r="K18" s="14"/>
      <c r="L18" s="14"/>
      <c r="M18" s="14"/>
      <c r="N18" s="14"/>
      <c r="O18" s="14"/>
      <c r="P18" s="14"/>
      <c r="Q18" s="47"/>
      <c r="R18" s="19"/>
      <c r="S18" s="14"/>
      <c r="T18" s="14"/>
      <c r="U18" s="14"/>
      <c r="V18" s="14"/>
      <c r="W18" s="14"/>
      <c r="X18" s="14"/>
      <c r="Y18" s="14"/>
      <c r="Z18" s="14"/>
      <c r="AA18" s="14"/>
      <c r="AB18" s="14"/>
      <c r="AC18" s="14"/>
      <c r="AD18" s="65"/>
      <c r="AE18" s="63"/>
      <c r="AF18" s="47"/>
      <c r="AG18" s="19"/>
      <c r="AH18" s="14"/>
      <c r="AI18" s="14"/>
      <c r="AJ18" s="14"/>
      <c r="AK18" s="14"/>
      <c r="AL18" s="14"/>
      <c r="AM18" s="14"/>
      <c r="AN18" s="14"/>
      <c r="AO18" s="14"/>
      <c r="AP18" s="14"/>
      <c r="AQ18" s="14"/>
      <c r="AR18" s="14"/>
      <c r="AS18" s="65"/>
      <c r="AT18" s="63"/>
      <c r="AU18" s="47"/>
      <c r="AV18" s="14"/>
      <c r="AW18" s="14"/>
      <c r="AX18" s="14"/>
      <c r="AY18" s="14"/>
      <c r="AZ18" s="14"/>
      <c r="BA18" s="14"/>
      <c r="BB18" s="14"/>
      <c r="BC18" s="14"/>
      <c r="BD18" s="14"/>
      <c r="BE18" s="14"/>
      <c r="BF18" s="14"/>
      <c r="BG18" s="14"/>
      <c r="BH18" s="65"/>
      <c r="BI18" s="63"/>
      <c r="BJ18" s="352"/>
      <c r="BK18" s="19"/>
      <c r="BL18" s="14"/>
      <c r="BM18" s="14"/>
      <c r="BN18" s="14"/>
      <c r="BO18" s="14"/>
      <c r="BP18" s="14"/>
      <c r="BQ18" s="14"/>
      <c r="BR18" s="14"/>
      <c r="BS18" s="14"/>
      <c r="BT18" s="14"/>
      <c r="BU18" s="14"/>
      <c r="BV18" s="14"/>
      <c r="BW18" s="65"/>
      <c r="BX18" s="63"/>
      <c r="BY18" s="352"/>
      <c r="BZ18" s="14"/>
      <c r="CA18" s="107"/>
      <c r="CB18" s="27"/>
      <c r="CC18" s="141"/>
      <c r="CD18" s="141"/>
      <c r="CE18" s="141"/>
      <c r="CF18" s="141" t="str">
        <f>IF(ISBLANK(CA18),"",ROUND(SUMPRODUCT(CC18:CE18,Rank_score)/MAX(SUM($CC$11:$CC$18),SUM($CD$11:$CD$18),SUM($CE$11:$CE$18)),4)+(0.000001*ROWS(CF$10:$CF17)))</f>
        <v/>
      </c>
      <c r="CG18" s="29"/>
      <c r="CH18" s="206"/>
      <c r="CI18" s="314" t="str">
        <f t="shared" si="2"/>
        <v/>
      </c>
      <c r="CJ18" s="115"/>
      <c r="CK18" s="115"/>
      <c r="CL18" s="115"/>
      <c r="CM18" s="115"/>
      <c r="CN18" s="115"/>
      <c r="CO18" s="326"/>
      <c r="CP18" s="29"/>
      <c r="CQ18" s="47"/>
      <c r="CR18" s="14"/>
      <c r="CS18" s="107"/>
      <c r="CT18" s="27"/>
      <c r="CU18" s="141" t="str">
        <f t="shared" ref="CU18:CW18" si="17">IF(ISBLANK($CS18),"",IFERROR(CU71/$CT$58,0)+IFERROR(CU98/$CT$85,0)+IFERROR(CU125/$CT$112,0)+IFERROR(CU152/$CT$139,0)+IFERROR(CU179/$CT$166,0)+IFERROR(CU206/$CT$193,0))</f>
        <v/>
      </c>
      <c r="CV18" s="141" t="str">
        <f t="shared" si="17"/>
        <v/>
      </c>
      <c r="CW18" s="141" t="str">
        <f t="shared" si="17"/>
        <v/>
      </c>
      <c r="CX18" s="141" t="str">
        <f>IF(ISBLANK($CS18),"",ROUND(SUMPRODUCT(CU18:CW18,Rank_score)/MAX(SUM($CU$11:$CU$18),SUM($CV$11:$CV$18),SUM($CW$11:$CW$18)),4)+(0.000001*ROWS($CX$10:CX17)))</f>
        <v/>
      </c>
      <c r="CY18" s="29"/>
      <c r="CZ18" s="206" t="str">
        <f t="shared" si="4"/>
        <v/>
      </c>
      <c r="DA18" s="314" t="str">
        <f t="shared" si="5"/>
        <v/>
      </c>
      <c r="DB18" s="27"/>
      <c r="DC18" s="27"/>
      <c r="DD18" s="27"/>
      <c r="DE18" s="27"/>
      <c r="DF18" s="27"/>
      <c r="DG18" s="141"/>
      <c r="DH18" s="29"/>
      <c r="DI18" s="47"/>
      <c r="DJ18" s="29"/>
      <c r="DK18" s="14"/>
      <c r="DL18" s="14"/>
      <c r="DM18" s="14"/>
      <c r="DN18" s="14"/>
      <c r="DO18" s="14"/>
      <c r="DP18" s="14"/>
      <c r="DQ18" s="14"/>
      <c r="DR18" s="57"/>
      <c r="DS18" s="14"/>
      <c r="DT18" s="14"/>
      <c r="DU18" s="14"/>
      <c r="DV18" s="14"/>
      <c r="DW18" s="14"/>
      <c r="DX18" s="14"/>
      <c r="DY18" s="14"/>
      <c r="DZ18" s="14"/>
      <c r="EA18" s="14"/>
      <c r="EB18" s="14"/>
      <c r="EC18" s="14"/>
      <c r="ED18" s="14"/>
      <c r="EE18" s="14"/>
      <c r="EF18" s="14"/>
      <c r="EG18" s="14"/>
      <c r="EH18" s="14"/>
      <c r="EI18" s="14"/>
      <c r="EJ18" s="14"/>
      <c r="EK18" s="14"/>
      <c r="EL18" s="14"/>
    </row>
    <row r="19" spans="1:142" x14ac:dyDescent="0.25">
      <c r="A19" s="14"/>
      <c r="B19" s="23"/>
      <c r="C19" s="14"/>
      <c r="D19" s="18"/>
      <c r="E19" s="14"/>
      <c r="F19" s="14"/>
      <c r="G19" s="14"/>
      <c r="H19" s="21"/>
      <c r="I19" s="21"/>
      <c r="J19" s="14"/>
      <c r="K19" s="14"/>
      <c r="L19" s="14"/>
      <c r="M19" s="14"/>
      <c r="N19" s="14"/>
      <c r="O19" s="14"/>
      <c r="P19" s="14"/>
      <c r="Q19" s="47"/>
      <c r="R19" s="19"/>
      <c r="S19" s="14"/>
      <c r="T19" s="14"/>
      <c r="U19" s="14"/>
      <c r="V19" s="14"/>
      <c r="W19" s="14"/>
      <c r="X19" s="19"/>
      <c r="Y19" s="19"/>
      <c r="Z19" s="14"/>
      <c r="AA19" s="14"/>
      <c r="AB19" s="14"/>
      <c r="AC19" s="14"/>
      <c r="AD19" s="65"/>
      <c r="AE19" s="63"/>
      <c r="AF19" s="47"/>
      <c r="AG19" s="19"/>
      <c r="AH19" s="14"/>
      <c r="AI19" s="14"/>
      <c r="AJ19" s="14"/>
      <c r="AK19" s="14"/>
      <c r="AL19" s="14"/>
      <c r="AM19" s="19"/>
      <c r="AN19" s="14"/>
      <c r="AO19" s="14"/>
      <c r="AP19" s="14"/>
      <c r="AQ19" s="14"/>
      <c r="AR19" s="14"/>
      <c r="AS19" s="65"/>
      <c r="AT19" s="63"/>
      <c r="AU19" s="47"/>
      <c r="AV19" s="14"/>
      <c r="AW19" s="14"/>
      <c r="AX19" s="14"/>
      <c r="AY19" s="14"/>
      <c r="AZ19" s="14"/>
      <c r="BA19" s="14"/>
      <c r="BB19" s="19"/>
      <c r="BC19" s="19"/>
      <c r="BD19" s="14"/>
      <c r="BE19" s="14"/>
      <c r="BF19" s="14"/>
      <c r="BG19" s="14"/>
      <c r="BH19" s="65"/>
      <c r="BI19" s="63"/>
      <c r="BJ19" s="352"/>
      <c r="BK19" s="19"/>
      <c r="BL19" s="14"/>
      <c r="BM19" s="14"/>
      <c r="BN19" s="14"/>
      <c r="BO19" s="14"/>
      <c r="BP19" s="14"/>
      <c r="BQ19" s="19"/>
      <c r="BR19" s="19"/>
      <c r="BS19" s="14"/>
      <c r="BT19" s="14"/>
      <c r="BU19" s="14"/>
      <c r="BV19" s="14"/>
      <c r="BW19" s="65"/>
      <c r="BX19" s="63"/>
      <c r="BY19" s="352"/>
      <c r="BZ19" s="14"/>
      <c r="CA19" s="86"/>
      <c r="CB19" s="111"/>
      <c r="CC19" s="86"/>
      <c r="CD19" s="86"/>
      <c r="CE19" s="86"/>
      <c r="CF19" s="108"/>
      <c r="CG19" s="29"/>
      <c r="CH19" s="110"/>
      <c r="CI19" s="110"/>
      <c r="CJ19" s="115"/>
      <c r="CK19" s="115"/>
      <c r="CL19" s="115"/>
      <c r="CM19" s="115"/>
      <c r="CN19" s="115"/>
      <c r="CO19" s="129"/>
      <c r="CP19" s="29"/>
      <c r="CQ19" s="47"/>
      <c r="CR19" s="14"/>
      <c r="CS19" s="86"/>
      <c r="CT19" s="111"/>
      <c r="CU19" s="86"/>
      <c r="CV19" s="111"/>
      <c r="CW19" s="86"/>
      <c r="CX19" s="108"/>
      <c r="CY19" s="29"/>
      <c r="CZ19" s="110"/>
      <c r="DA19" s="110"/>
      <c r="DB19" s="115"/>
      <c r="DC19" s="115"/>
      <c r="DD19" s="115"/>
      <c r="DE19" s="115"/>
      <c r="DF19" s="115"/>
      <c r="DG19" s="326"/>
      <c r="DH19" s="29"/>
      <c r="DI19" s="47"/>
      <c r="DJ19" s="29"/>
      <c r="DK19" s="14"/>
      <c r="DL19" s="14"/>
      <c r="DM19" s="14"/>
      <c r="DN19" s="14"/>
      <c r="DO19" s="14"/>
      <c r="DP19" s="14"/>
      <c r="DQ19" s="14"/>
      <c r="DR19" s="57"/>
      <c r="DS19" s="14"/>
      <c r="DT19" s="14"/>
      <c r="DU19" s="14"/>
      <c r="DV19" s="14"/>
      <c r="DW19" s="14"/>
      <c r="DX19" s="14"/>
      <c r="DY19" s="14"/>
      <c r="DZ19" s="14"/>
      <c r="EA19" s="14"/>
      <c r="EB19" s="14"/>
      <c r="EC19" s="14"/>
      <c r="ED19" s="14"/>
      <c r="EE19" s="14"/>
      <c r="EF19" s="14"/>
      <c r="EG19" s="14"/>
      <c r="EH19" s="14"/>
      <c r="EI19" s="14"/>
      <c r="EJ19" s="14"/>
      <c r="EK19" s="14"/>
      <c r="EL19" s="14"/>
    </row>
    <row r="20" spans="1:142" x14ac:dyDescent="0.25">
      <c r="A20" s="14"/>
      <c r="B20" s="23"/>
      <c r="C20" s="14"/>
      <c r="D20" s="18"/>
      <c r="E20" s="14"/>
      <c r="F20" s="14"/>
      <c r="G20" s="14"/>
      <c r="H20" s="21"/>
      <c r="I20" s="21"/>
      <c r="J20" s="14"/>
      <c r="K20" s="14"/>
      <c r="L20" s="14"/>
      <c r="M20" s="14"/>
      <c r="N20" s="14"/>
      <c r="O20" s="14"/>
      <c r="P20" s="14"/>
      <c r="Q20" s="47"/>
      <c r="R20" s="19"/>
      <c r="S20" s="14"/>
      <c r="T20" s="14"/>
      <c r="U20" s="14"/>
      <c r="V20" s="14"/>
      <c r="W20" s="14"/>
      <c r="X20" s="19"/>
      <c r="Y20" s="19"/>
      <c r="Z20" s="14"/>
      <c r="AA20" s="14"/>
      <c r="AB20" s="14"/>
      <c r="AC20" s="14"/>
      <c r="AD20" s="65"/>
      <c r="AE20" s="63"/>
      <c r="AF20" s="47"/>
      <c r="AG20" s="19"/>
      <c r="AH20" s="14"/>
      <c r="AI20" s="14"/>
      <c r="AJ20" s="14"/>
      <c r="AK20" s="14"/>
      <c r="AL20" s="14"/>
      <c r="AM20" s="19"/>
      <c r="AN20" s="19"/>
      <c r="AO20" s="14"/>
      <c r="AP20" s="14"/>
      <c r="AQ20" s="14"/>
      <c r="AR20" s="14"/>
      <c r="AS20" s="65"/>
      <c r="AT20" s="63"/>
      <c r="AU20" s="47"/>
      <c r="AV20" s="14"/>
      <c r="AW20" s="14"/>
      <c r="AX20" s="14"/>
      <c r="AY20" s="14"/>
      <c r="AZ20" s="14"/>
      <c r="BA20" s="14"/>
      <c r="BB20" s="19"/>
      <c r="BC20" s="19"/>
      <c r="BD20" s="14"/>
      <c r="BE20" s="14"/>
      <c r="BF20" s="14"/>
      <c r="BG20" s="14"/>
      <c r="BH20" s="65"/>
      <c r="BI20" s="63"/>
      <c r="BJ20" s="352"/>
      <c r="BK20" s="19"/>
      <c r="BL20" s="14"/>
      <c r="BM20" s="14"/>
      <c r="BN20" s="14"/>
      <c r="BO20" s="14"/>
      <c r="BP20" s="14"/>
      <c r="BQ20" s="19"/>
      <c r="BR20" s="19"/>
      <c r="BS20" s="14"/>
      <c r="BT20" s="14"/>
      <c r="BU20" s="14"/>
      <c r="BV20" s="14"/>
      <c r="BW20" s="65"/>
      <c r="BX20" s="63"/>
      <c r="BY20" s="352"/>
      <c r="BZ20" s="14"/>
      <c r="CA20" s="14"/>
      <c r="CB20" s="21"/>
      <c r="CC20" s="14"/>
      <c r="CD20" s="14"/>
      <c r="CE20" s="14"/>
      <c r="CF20" s="14"/>
      <c r="CG20" s="29"/>
      <c r="CH20" s="14"/>
      <c r="CI20" s="13"/>
      <c r="CJ20" s="14"/>
      <c r="CK20" s="14"/>
      <c r="CL20" s="14"/>
      <c r="CM20" s="14"/>
      <c r="CN20" s="14"/>
      <c r="CO20" s="327"/>
      <c r="CP20" s="29"/>
      <c r="CQ20" s="47"/>
      <c r="CR20" s="14"/>
      <c r="CS20" s="14"/>
      <c r="CT20" s="21"/>
      <c r="CU20" s="14"/>
      <c r="CV20" s="21"/>
      <c r="CW20" s="14"/>
      <c r="CX20" s="14"/>
      <c r="CY20" s="29"/>
      <c r="CZ20" s="14"/>
      <c r="DA20" s="13"/>
      <c r="DB20" s="14"/>
      <c r="DC20" s="14"/>
      <c r="DD20" s="14"/>
      <c r="DE20" s="14"/>
      <c r="DF20" s="14"/>
      <c r="DG20" s="129"/>
      <c r="DH20" s="29"/>
      <c r="DI20" s="47"/>
      <c r="DJ20" s="29"/>
      <c r="DK20" s="14"/>
      <c r="DL20" s="14"/>
      <c r="DM20" s="14"/>
      <c r="DN20" s="14"/>
      <c r="DO20" s="14"/>
      <c r="DP20" s="14"/>
      <c r="DQ20" s="14"/>
      <c r="DR20" s="17"/>
      <c r="DS20" s="14"/>
      <c r="DT20" s="14"/>
      <c r="DU20" s="14"/>
      <c r="DV20" s="14"/>
      <c r="DW20" s="14"/>
      <c r="DX20" s="14"/>
      <c r="DY20" s="14"/>
      <c r="DZ20" s="14"/>
      <c r="EA20" s="14"/>
      <c r="EB20" s="14"/>
      <c r="EC20" s="14"/>
      <c r="ED20" s="14"/>
      <c r="EE20" s="14"/>
      <c r="EF20" s="14"/>
      <c r="EG20" s="14"/>
      <c r="EH20" s="14"/>
      <c r="EI20" s="14"/>
      <c r="EJ20" s="14"/>
      <c r="EK20" s="14"/>
      <c r="EL20" s="14"/>
    </row>
    <row r="21" spans="1:142" ht="27.6" x14ac:dyDescent="0.25">
      <c r="A21" s="14"/>
      <c r="B21" s="112" t="s">
        <v>23</v>
      </c>
      <c r="C21" s="113" t="s">
        <v>24</v>
      </c>
      <c r="D21" s="113" t="s">
        <v>145</v>
      </c>
      <c r="E21" s="113" t="s">
        <v>300</v>
      </c>
      <c r="F21" s="14"/>
      <c r="G21" s="524" t="s">
        <v>754</v>
      </c>
      <c r="H21" s="542"/>
      <c r="I21" s="525"/>
      <c r="J21" s="14"/>
      <c r="K21" s="14"/>
      <c r="L21" s="14"/>
      <c r="M21" s="14"/>
      <c r="N21" s="14"/>
      <c r="O21" s="14"/>
      <c r="P21" s="14"/>
      <c r="Q21" s="47"/>
      <c r="R21" s="19"/>
      <c r="S21" s="112" t="s">
        <v>23</v>
      </c>
      <c r="T21" s="113" t="s">
        <v>24</v>
      </c>
      <c r="U21" s="113" t="s">
        <v>145</v>
      </c>
      <c r="V21" s="113" t="s">
        <v>300</v>
      </c>
      <c r="W21" s="14"/>
      <c r="X21" s="19"/>
      <c r="Y21" s="524" t="s">
        <v>754</v>
      </c>
      <c r="Z21" s="542"/>
      <c r="AA21" s="525"/>
      <c r="AB21" s="14"/>
      <c r="AC21" s="14"/>
      <c r="AD21" s="65"/>
      <c r="AE21" s="63"/>
      <c r="AF21" s="47"/>
      <c r="AG21" s="19"/>
      <c r="AH21" s="112" t="s">
        <v>23</v>
      </c>
      <c r="AI21" s="113" t="s">
        <v>24</v>
      </c>
      <c r="AJ21" s="113" t="s">
        <v>145</v>
      </c>
      <c r="AK21" s="113" t="s">
        <v>300</v>
      </c>
      <c r="AL21" s="14"/>
      <c r="AM21" s="524" t="s">
        <v>754</v>
      </c>
      <c r="AN21" s="542"/>
      <c r="AO21" s="525"/>
      <c r="AP21" s="14"/>
      <c r="AQ21" s="14"/>
      <c r="AR21" s="14"/>
      <c r="AS21" s="65"/>
      <c r="AT21" s="63"/>
      <c r="AU21" s="47"/>
      <c r="AV21" s="14"/>
      <c r="AW21" s="112" t="s">
        <v>23</v>
      </c>
      <c r="AX21" s="113" t="s">
        <v>24</v>
      </c>
      <c r="AY21" s="113" t="s">
        <v>145</v>
      </c>
      <c r="AZ21" s="113" t="s">
        <v>300</v>
      </c>
      <c r="BA21" s="14"/>
      <c r="BB21" s="524" t="s">
        <v>754</v>
      </c>
      <c r="BC21" s="542"/>
      <c r="BD21" s="525"/>
      <c r="BE21" s="14"/>
      <c r="BF21" s="14"/>
      <c r="BG21" s="14"/>
      <c r="BH21" s="65"/>
      <c r="BI21" s="63"/>
      <c r="BJ21" s="352"/>
      <c r="BK21" s="19"/>
      <c r="BL21" s="112" t="s">
        <v>23</v>
      </c>
      <c r="BM21" s="113" t="s">
        <v>24</v>
      </c>
      <c r="BN21" s="113" t="s">
        <v>145</v>
      </c>
      <c r="BO21" s="113" t="s">
        <v>300</v>
      </c>
      <c r="BP21" s="14"/>
      <c r="BQ21" s="524" t="s">
        <v>754</v>
      </c>
      <c r="BR21" s="542"/>
      <c r="BS21" s="525"/>
      <c r="BT21" s="14"/>
      <c r="BU21" s="14"/>
      <c r="BV21" s="14"/>
      <c r="BW21" s="65"/>
      <c r="BX21" s="63"/>
      <c r="BY21" s="352"/>
      <c r="BZ21" s="14"/>
      <c r="CA21" s="112" t="s">
        <v>23</v>
      </c>
      <c r="CB21" s="113" t="s">
        <v>145</v>
      </c>
      <c r="CC21" s="14"/>
      <c r="CD21" s="205" t="s">
        <v>465</v>
      </c>
      <c r="CE21" s="316"/>
      <c r="CF21" s="316"/>
      <c r="CG21" s="316"/>
      <c r="CH21" s="202"/>
      <c r="CI21" s="205" t="s">
        <v>698</v>
      </c>
      <c r="CJ21" s="316"/>
      <c r="CK21" s="202"/>
      <c r="CL21" s="14"/>
      <c r="CM21" s="14"/>
      <c r="CN21" s="14"/>
      <c r="CO21" s="129"/>
      <c r="CP21" s="29"/>
      <c r="CQ21" s="47"/>
      <c r="CR21" s="14"/>
      <c r="CS21" s="112" t="s">
        <v>23</v>
      </c>
      <c r="CT21" s="113" t="s">
        <v>145</v>
      </c>
      <c r="CU21" s="14"/>
      <c r="CV21" s="333" t="s">
        <v>465</v>
      </c>
      <c r="CW21" s="316"/>
      <c r="CX21" s="316"/>
      <c r="CY21" s="316"/>
      <c r="CZ21" s="202"/>
      <c r="DA21" s="205" t="s">
        <v>698</v>
      </c>
      <c r="DB21" s="316"/>
      <c r="DC21" s="202"/>
      <c r="DD21" s="14"/>
      <c r="DE21" s="14"/>
      <c r="DF21" s="14"/>
      <c r="DG21" s="129"/>
      <c r="DH21" s="29"/>
      <c r="DI21" s="47"/>
      <c r="DJ21" s="29"/>
      <c r="DK21" s="112" t="s">
        <v>23</v>
      </c>
      <c r="DL21" s="113" t="s">
        <v>24</v>
      </c>
      <c r="DM21" s="113" t="s">
        <v>145</v>
      </c>
      <c r="DN21" s="113" t="s">
        <v>300</v>
      </c>
      <c r="DO21" s="14"/>
      <c r="DP21" s="14"/>
      <c r="DQ21" s="524" t="s">
        <v>754</v>
      </c>
      <c r="DR21" s="542"/>
      <c r="DS21" s="525"/>
      <c r="DT21" s="14"/>
      <c r="DU21" s="14"/>
      <c r="DV21" s="14"/>
      <c r="DW21" s="14"/>
      <c r="DX21" s="14"/>
      <c r="DY21" s="14"/>
      <c r="DZ21" s="14"/>
      <c r="EA21" s="14"/>
      <c r="EB21" s="14"/>
      <c r="EC21" s="14"/>
      <c r="ED21" s="14"/>
      <c r="EE21" s="14"/>
      <c r="EF21" s="14"/>
      <c r="EG21" s="14"/>
      <c r="EH21" s="14"/>
      <c r="EI21" s="14"/>
      <c r="EJ21" s="14"/>
      <c r="EK21" s="14"/>
      <c r="EL21" s="14"/>
    </row>
    <row r="22" spans="1:142" x14ac:dyDescent="0.25">
      <c r="A22" s="14"/>
      <c r="B22" s="57" t="s">
        <v>2</v>
      </c>
      <c r="C22" s="122" t="str">
        <f ca="1">IF(COUNTIF(C58:C60,"")=2,C58,                                                                                                                                                                                                IF(COUNTIF(C58:C60,"")=1,                                                                                                                                                                                                                                     IFERROR(IF(ABS(MATCH(C58,Responses_list1_frequency,0)-MATCH(C59,Responses_list1_frequency,0))=1,C58&amp;" / "&amp;C59,"No consensus"),"No consensus"),   IF(COUNTIF(C58:C60,"")=0,                                                                                                                                                                                                                                                       IFERROR(IF(AND(ABS(MATCH(C58,Responses_list1_frequency,0)-MATCH(C59,Responses_list1_frequency,0))=1,ABS(MATCH(C59,Responses_list1_frequency,0)-MATCH(C60,Responses_list1_frequency,0))=1),C58&amp;" / "&amp;C59&amp;" / "&amp;C60,"No consensus"),"No consensus"),C58)     ))</f>
        <v>I don’t know</v>
      </c>
      <c r="D22" s="58">
        <f>D58</f>
        <v>4</v>
      </c>
      <c r="E22" s="121">
        <f>E58</f>
        <v>3</v>
      </c>
      <c r="F22" s="14"/>
      <c r="G22" s="526"/>
      <c r="H22" s="543"/>
      <c r="I22" s="527"/>
      <c r="J22" s="33"/>
      <c r="K22" s="14"/>
      <c r="L22" s="14"/>
      <c r="M22" s="14"/>
      <c r="N22" s="14"/>
      <c r="O22" s="14"/>
      <c r="P22" s="14"/>
      <c r="Q22" s="47"/>
      <c r="R22" s="19"/>
      <c r="S22" s="34" t="s">
        <v>2</v>
      </c>
      <c r="T22" s="122" t="str">
        <f ca="1">IF(COUNTIF(T58:T60,"")=2,T58,                                                                                                                                                                                                IF(COUNTIF(T58:T60,"")=1,                                                                                                                                                                                                                                     IFERROR(IF(ABS(MATCH(T58,Responses_list1_frequency,0)-MATCH(T59,Responses_list1_frequency,0))=1,T58&amp;" / "&amp;T59,"No consensus"),"No consensus"),   IF(COUNTIF(T58:T60,"")=0,                                                                                                                                                                                                                                                       IFERROR(IF(AND(ABS(MATCH(T58,Responses_list1_frequency,0)-MATCH(T59,Responses_list1_frequency,0))=1,ABS(MATCH(T59,Responses_list1_frequency,0)-MATCH(T60,Responses_list1_frequency,0))=1),T58&amp;" / "&amp;T59&amp;" / "&amp;T60,"No consensus"),"No consensus"),T58)     ))</f>
        <v>I don’t know</v>
      </c>
      <c r="U22" s="33">
        <f>U58</f>
        <v>5</v>
      </c>
      <c r="V22" s="37">
        <f>V58</f>
        <v>3</v>
      </c>
      <c r="W22" s="14"/>
      <c r="X22" s="19"/>
      <c r="Y22" s="526"/>
      <c r="Z22" s="543"/>
      <c r="AA22" s="527"/>
      <c r="AB22" s="14"/>
      <c r="AC22" s="14"/>
      <c r="AD22" s="65"/>
      <c r="AE22" s="63"/>
      <c r="AF22" s="47"/>
      <c r="AG22" s="19"/>
      <c r="AH22" s="57" t="s">
        <v>2</v>
      </c>
      <c r="AI22" s="122" t="str">
        <f ca="1">IF(COUNTIF(AI58:AI60,"")=2,AI58,                                                                                                                                                                                                IF(COUNTIF(AI58:AI60,"")=1,                                                                                                                                                                                                                                     IFERROR(IF(ABS(MATCH(AI58,Responses_list1_frequency,0)-MATCH(AI59,Responses_list1_frequency,0))=1,AI58&amp;" / "&amp;AI59,"No consensus"),"No consensus"),   IF(COUNTIF(AI58:AI60,"")=0,                                                                                                                                                                                                                                                       IFERROR(IF(AND(ABS(MATCH(AI58,Responses_list1_frequency,0)-MATCH(AI59,Responses_list1_frequency,0))=1,ABS(MATCH(AI59,Responses_list1_frequency,0)-MATCH(AI60,Responses_list1_frequency,0))=1),AI58&amp;" / "&amp;AI59&amp;" / "&amp;AI60,"No consensus"),"No consensus"),AI58)     ))</f>
        <v>Very unlikely</v>
      </c>
      <c r="AJ22" s="58">
        <f>AJ58</f>
        <v>2</v>
      </c>
      <c r="AK22" s="58">
        <f>AK58</f>
        <v>0</v>
      </c>
      <c r="AL22" s="14"/>
      <c r="AM22" s="526"/>
      <c r="AN22" s="543"/>
      <c r="AO22" s="527"/>
      <c r="AP22" s="14"/>
      <c r="AQ22" s="14"/>
      <c r="AR22" s="14"/>
      <c r="AS22" s="65"/>
      <c r="AT22" s="63"/>
      <c r="AU22" s="47"/>
      <c r="AV22" s="14"/>
      <c r="AW22" s="57" t="s">
        <v>2</v>
      </c>
      <c r="AX22" s="122" t="str">
        <f ca="1">IF(COUNTIF(AX58:AX60,"")=2,AX58,                                                                                                                                                                                                IF(COUNTIF(AX58:AX60,"")=1,                                                                                                                                                                                                                                     IFERROR(IF(ABS(MATCH(AX58,Responses_list1_frequency,0)-MATCH(AX59,Responses_list1_frequency,0))=1,AX58&amp;" / "&amp;AX59,"No consensus"),"No consensus"),   IF(COUNTIF(AX58:AX60,"")=0,                                                                                                                                                                                                                                                       IFERROR(IF(AND(ABS(MATCH(AX58,Responses_list1_frequency,0)-MATCH(AX59,Responses_list1_frequency,0))=1,ABS(MATCH(AX59,Responses_list1_frequency,0)-MATCH(AX60,Responses_list1_frequency,0))=1),AX58&amp;" / "&amp;AX59&amp;" / "&amp;AX60,"No consensus"),"No consensus"),AX58)     ))</f>
        <v>Very unlikely</v>
      </c>
      <c r="AY22" s="58">
        <f>AY58</f>
        <v>2</v>
      </c>
      <c r="AZ22" s="121">
        <f>AZ58</f>
        <v>0</v>
      </c>
      <c r="BA22" s="14"/>
      <c r="BB22" s="526"/>
      <c r="BC22" s="543"/>
      <c r="BD22" s="527"/>
      <c r="BE22" s="14"/>
      <c r="BF22" s="14"/>
      <c r="BG22" s="14"/>
      <c r="BH22" s="65"/>
      <c r="BI22" s="63"/>
      <c r="BJ22" s="352"/>
      <c r="BK22" s="19"/>
      <c r="BL22" s="57" t="s">
        <v>2</v>
      </c>
      <c r="BM22" s="122" t="str">
        <f ca="1">IF(COUNTIF(BM58:BM60,"")=2,BM58,                                                                                                                                                                                                IF(COUNTIF(BM58:BM60,"")=1,                                                                                                                                                                                                                                     IFERROR(IF(ABS(MATCH(BM58,Responses_list1_frequency,0)-MATCH(BM59,Responses_list1_frequency,0))=1,BM58&amp;" / "&amp;BM59,"No consensus"),"No consensus"),   IF(COUNTIF(BM58:BM60,"")=0,                                                                                                                                                                                                                                                       IFERROR(IF(AND(ABS(MATCH(BM58,Responses_list1_frequency,0)-MATCH(BM59,Responses_list1_frequency,0))=1,ABS(MATCH(BM59,Responses_list1_frequency,0)-MATCH(BM60,Responses_list1_frequency,0))=1),BM58&amp;" / "&amp;BM59&amp;" / "&amp;BM60,"No consensus"),"No consensus"),BM58)     ))</f>
        <v>Very unlikely</v>
      </c>
      <c r="BN22" s="58">
        <f>BN58</f>
        <v>2</v>
      </c>
      <c r="BO22" s="121">
        <f>BO58</f>
        <v>0</v>
      </c>
      <c r="BP22" s="14"/>
      <c r="BQ22" s="526"/>
      <c r="BR22" s="543"/>
      <c r="BS22" s="527"/>
      <c r="BT22" s="14"/>
      <c r="BU22" s="14"/>
      <c r="BV22" s="14"/>
      <c r="BW22" s="65"/>
      <c r="BX22" s="63"/>
      <c r="BY22" s="352"/>
      <c r="BZ22" s="14"/>
      <c r="CA22" s="34" t="s">
        <v>2</v>
      </c>
      <c r="CB22" s="37">
        <f>CB58</f>
        <v>3</v>
      </c>
      <c r="CC22" s="14"/>
      <c r="CD22" s="203" t="str">
        <f>INDEX($CA$11:$CA$18,MATCH(LARGE($CF$11:$CF$18,1),$CF$11:$CF$18,0),1)</f>
        <v>Increased demand for pellet fibre provides sufficient financial return</v>
      </c>
      <c r="CE22" s="260"/>
      <c r="CF22" s="19"/>
      <c r="CG22" s="29"/>
      <c r="CH22" s="317"/>
      <c r="CI22" s="203" t="str">
        <f>VLOOKUP(CD22,$CA$11:$CI$18,9,0)</f>
        <v>Very unlikely</v>
      </c>
      <c r="CJ22" s="19"/>
      <c r="CK22" s="318"/>
      <c r="CL22" s="14"/>
      <c r="CM22" s="14"/>
      <c r="CN22" s="14"/>
      <c r="CO22" s="129"/>
      <c r="CP22" s="29"/>
      <c r="CQ22" s="47"/>
      <c r="CR22" s="14"/>
      <c r="CS22" s="34" t="s">
        <v>2</v>
      </c>
      <c r="CT22" s="37">
        <f>CT58</f>
        <v>3</v>
      </c>
      <c r="CU22" s="14"/>
      <c r="CV22" s="331" t="str">
        <f>INDEX($CS$11:$CS$18,MATCH(LARGE($CX$11:$CX$18,1),$CX$11:$CX$18,0),1)</f>
        <v>Insufficient financial return</v>
      </c>
      <c r="CW22" s="260"/>
      <c r="CX22" s="19"/>
      <c r="CY22" s="29"/>
      <c r="CZ22" s="317"/>
      <c r="DA22" s="203" t="str">
        <f>VLOOKUP(CV22,$CS$11:$DA$18,9,0)</f>
        <v>Moderately likely</v>
      </c>
      <c r="DB22" s="19"/>
      <c r="DC22" s="318"/>
      <c r="DD22" s="14"/>
      <c r="DE22" s="14"/>
      <c r="DF22" s="14"/>
      <c r="DG22" s="129"/>
      <c r="DH22" s="29"/>
      <c r="DI22" s="47"/>
      <c r="DJ22" s="29"/>
      <c r="DK22" s="34" t="s">
        <v>2</v>
      </c>
      <c r="DL22" s="122" t="str">
        <f ca="1">IF(COUNTIF(DL58:DL60,"")=2,DL58,                                                                                                                                                                                                IF(COUNTIF(DL58:DL60,"")=1,                                                                                                                                                                                                                                     IFERROR(IF(ABS(MATCH(DL58,Responses_list1_frequency,0)-MATCH(DL59,Responses_list1_frequency,0))=1,DL58&amp;" / "&amp;DL59,"No consensus"),"No consensus"),   IF(COUNTIF(DL58:DL60,"")=0,                                                                                                                                                                                                                                                       IFERROR(IF(AND(ABS(MATCH(DL58,Responses_list1_frequency,0)-MATCH(DL59,Responses_list1_frequency,0))=1,ABS(MATCH(DL59,Responses_list1_frequency,0)-MATCH(DL60,Responses_list1_frequency,0))=1),DL58&amp;" / "&amp;DL59&amp;" / "&amp;DL60,"No consensus"),"No consensus"),DL58)     ))</f>
        <v>No clear choice of the most common response</v>
      </c>
      <c r="DM22" s="33">
        <f>DM58</f>
        <v>4</v>
      </c>
      <c r="DN22" s="37">
        <f>DN58</f>
        <v>0</v>
      </c>
      <c r="DO22" s="14"/>
      <c r="DP22" s="14"/>
      <c r="DQ22" s="526"/>
      <c r="DR22" s="543"/>
      <c r="DS22" s="527"/>
      <c r="DT22" s="14"/>
      <c r="DU22" s="14"/>
      <c r="DV22" s="14"/>
      <c r="DW22" s="14"/>
      <c r="DX22" s="14"/>
      <c r="DY22" s="14"/>
      <c r="DZ22" s="14"/>
      <c r="EA22" s="14"/>
      <c r="EB22" s="14"/>
      <c r="EC22" s="14"/>
      <c r="ED22" s="14"/>
      <c r="EE22" s="14"/>
      <c r="EF22" s="14"/>
      <c r="EG22" s="14"/>
      <c r="EH22" s="14"/>
      <c r="EI22" s="14"/>
      <c r="EJ22" s="14"/>
      <c r="EK22" s="14"/>
      <c r="EL22" s="14"/>
    </row>
    <row r="23" spans="1:142" x14ac:dyDescent="0.25">
      <c r="A23" s="14"/>
      <c r="B23" s="57" t="s">
        <v>31</v>
      </c>
      <c r="C23" s="122" t="str">
        <f ca="1">IF(COUNTIF(C85:C87,"")=2,C85,                                                                                                                                                                                                IF(COUNTIF(C85:C87,"")=1,                                                                                                                                                                                                                                     IFERROR(IF(ABS(MATCH(C85,Responses_list1_frequency,0)-MATCH(C86,Responses_list1_frequency,0))=1,C85&amp;" / "&amp;C86,"No consensus"),"No consensus"),   IF(COUNTIF(C85:C87,"")=0,                                                                                                                                                                                                                                                       IFERROR(IF(AND(ABS(MATCH(C85,Responses_list1_frequency,0)-MATCH(C86,Responses_list1_frequency,0))=1,ABS(MATCH(C86,Responses_list1_frequency,0)-MATCH(C87,Responses_list1_frequency,0))=1),C85&amp;" / "&amp;C86&amp;" / "&amp;C87,"No consensus"),"No consensus"),C85)     ))</f>
        <v>na</v>
      </c>
      <c r="D23" s="58">
        <f>D85</f>
        <v>0</v>
      </c>
      <c r="E23" s="121">
        <f>E85</f>
        <v>0</v>
      </c>
      <c r="F23" s="14"/>
      <c r="G23" s="526"/>
      <c r="H23" s="543"/>
      <c r="I23" s="527"/>
      <c r="J23" s="33"/>
      <c r="K23" s="14"/>
      <c r="L23" s="14"/>
      <c r="M23" s="14"/>
      <c r="N23" s="14"/>
      <c r="O23" s="14"/>
      <c r="P23" s="14"/>
      <c r="Q23" s="47"/>
      <c r="R23" s="19"/>
      <c r="S23" s="34" t="s">
        <v>31</v>
      </c>
      <c r="T23" s="122" t="str">
        <f ca="1">IF(COUNTIF(T85:T87,"")=2,T85,                                                                                                                                                                                                IF(COUNTIF(T85:T87,"")=1,                                                                                                                                                                                                                                     IFERROR(IF(ABS(MATCH(T85,Responses_list1_frequency,0)-MATCH(T86,Responses_list1_frequency,0))=1,T85&amp;" / "&amp;T86,"No consensus"),"No consensus"),   IF(COUNTIF(T85:T87,"")=0,                                                                                                                                                                                                                                                       IFERROR(IF(AND(ABS(MATCH(T85,Responses_list1_frequency,0)-MATCH(T86,Responses_list1_frequency,0))=1,ABS(MATCH(T86,Responses_list1_frequency,0)-MATCH(T87,Responses_list1_frequency,0))=1),T85&amp;" / "&amp;T86&amp;" / "&amp;T87,"No consensus"),"No consensus"),T85)     ))</f>
        <v>na</v>
      </c>
      <c r="U23" s="33">
        <f>U85</f>
        <v>0</v>
      </c>
      <c r="V23" s="37">
        <f>V85</f>
        <v>0</v>
      </c>
      <c r="W23" s="14"/>
      <c r="X23" s="19"/>
      <c r="Y23" s="526"/>
      <c r="Z23" s="543"/>
      <c r="AA23" s="527"/>
      <c r="AB23" s="14"/>
      <c r="AC23" s="14"/>
      <c r="AD23" s="65"/>
      <c r="AE23" s="63"/>
      <c r="AF23" s="47"/>
      <c r="AG23" s="19"/>
      <c r="AH23" s="57" t="s">
        <v>31</v>
      </c>
      <c r="AI23" s="122" t="str">
        <f ca="1">IF(COUNTIF(AI85:AI87,"")=2,AI85,                                                                                                                                                                                                IF(COUNTIF(AI85:AI87,"")=1,                                                                                                                                                                                                                                     IFERROR(IF(ABS(MATCH(AI85,Responses_list1_frequency,0)-MATCH(AI86,Responses_list1_frequency,0))=1,AI85&amp;" / "&amp;AI86,"No consensus"),"No consensus"),   IF(COUNTIF(AI85:AI87,"")=0,                                                                                                                                                                                                                                                       IFERROR(IF(AND(ABS(MATCH(AI85,Responses_list1_frequency,0)-MATCH(AI86,Responses_list1_frequency,0))=1,ABS(MATCH(AI86,Responses_list1_frequency,0)-MATCH(AI87,Responses_list1_frequency,0))=1),AI85&amp;" / "&amp;AI86&amp;" / "&amp;AI87,"No consensus"),"No consensus"),AI85)     ))</f>
        <v>Very unlikely</v>
      </c>
      <c r="AJ23" s="58">
        <f>AJ85</f>
        <v>1</v>
      </c>
      <c r="AK23" s="58">
        <f>AK85</f>
        <v>0</v>
      </c>
      <c r="AL23" s="14"/>
      <c r="AM23" s="526"/>
      <c r="AN23" s="543"/>
      <c r="AO23" s="527"/>
      <c r="AP23" s="14"/>
      <c r="AQ23" s="14"/>
      <c r="AR23" s="14"/>
      <c r="AS23" s="65"/>
      <c r="AT23" s="63"/>
      <c r="AU23" s="47"/>
      <c r="AV23" s="14"/>
      <c r="AW23" s="57" t="s">
        <v>31</v>
      </c>
      <c r="AX23" s="122" t="str">
        <f ca="1">IF(COUNTIF(AX85:AX87,"")=2,AX85,                                                                                                                                                                                                IF(COUNTIF(AX85:AX87,"")=1,                                                                                                                                                                                                                                     IFERROR(IF(ABS(MATCH(AX85,Responses_list1_frequency,0)-MATCH(AX86,Responses_list1_frequency,0))=1,AX85&amp;" / "&amp;AX86,"No consensus"),"No consensus"),   IF(COUNTIF(AX85:AX87,"")=0,                                                                                                                                                                                                                                                       IFERROR(IF(AND(ABS(MATCH(AX85,Responses_list1_frequency,0)-MATCH(AX86,Responses_list1_frequency,0))=1,ABS(MATCH(AX86,Responses_list1_frequency,0)-MATCH(AX87,Responses_list1_frequency,0))=1),AX85&amp;" / "&amp;AX86&amp;" / "&amp;AX87,"No consensus"),"No consensus"),AX85)     ))</f>
        <v>Very unlikely</v>
      </c>
      <c r="AY23" s="58">
        <f>AY85</f>
        <v>1</v>
      </c>
      <c r="AZ23" s="121">
        <f>AZ85</f>
        <v>0</v>
      </c>
      <c r="BA23" s="14"/>
      <c r="BB23" s="526"/>
      <c r="BC23" s="543"/>
      <c r="BD23" s="527"/>
      <c r="BE23" s="14"/>
      <c r="BF23" s="14"/>
      <c r="BG23" s="14"/>
      <c r="BH23" s="65"/>
      <c r="BI23" s="63"/>
      <c r="BJ23" s="352"/>
      <c r="BK23" s="19"/>
      <c r="BL23" s="57" t="s">
        <v>31</v>
      </c>
      <c r="BM23" s="122" t="str">
        <f ca="1">IF(COUNTIF(BM85:BM87,"")=2,BM85,                                                                                                                                                                                                IF(COUNTIF(BM85:BM87,"")=1,                                                                                                                                                                                                                                     IFERROR(IF(ABS(MATCH(BM85,Responses_list1_frequency,0)-MATCH(BM86,Responses_list1_frequency,0))=1,BM85&amp;" / "&amp;BM86,"No consensus"),"No consensus"),   IF(COUNTIF(BM85:BM87,"")=0,                                                                                                                                                                                                                                                       IFERROR(IF(AND(ABS(MATCH(BM85,Responses_list1_frequency,0)-MATCH(BM86,Responses_list1_frequency,0))=1,ABS(MATCH(BM86,Responses_list1_frequency,0)-MATCH(BM87,Responses_list1_frequency,0))=1),BM85&amp;" / "&amp;BM86&amp;" / "&amp;BM87,"No consensus"),"No consensus"),BM85)     ))</f>
        <v>Very unlikely</v>
      </c>
      <c r="BN23" s="58">
        <f>BN85</f>
        <v>1</v>
      </c>
      <c r="BO23" s="121">
        <f>BO85</f>
        <v>0</v>
      </c>
      <c r="BP23" s="14"/>
      <c r="BQ23" s="526"/>
      <c r="BR23" s="543"/>
      <c r="BS23" s="527"/>
      <c r="BT23" s="14"/>
      <c r="BU23" s="14"/>
      <c r="BV23" s="14"/>
      <c r="BW23" s="65"/>
      <c r="BX23" s="63"/>
      <c r="BY23" s="352"/>
      <c r="BZ23" s="14"/>
      <c r="CA23" s="34" t="s">
        <v>31</v>
      </c>
      <c r="CB23" s="37">
        <f>CB85</f>
        <v>1</v>
      </c>
      <c r="CC23" s="14"/>
      <c r="CD23" s="203" t="str">
        <f>INDEX($CA$11:$CA$18,MATCH(LARGE($CF$11:$CF$18,2),$CF$11:$CF$18,0),1)</f>
        <v>Changes in forestry incentives</v>
      </c>
      <c r="CE23" s="260"/>
      <c r="CF23" s="19"/>
      <c r="CG23" s="29"/>
      <c r="CH23" s="317"/>
      <c r="CI23" s="203" t="str">
        <f>VLOOKUP(CD23,$CA$11:$CI$18,9,0)</f>
        <v>Very unlikely</v>
      </c>
      <c r="CJ23" s="19"/>
      <c r="CK23" s="318"/>
      <c r="CL23" s="14"/>
      <c r="CM23" s="14"/>
      <c r="CN23" s="14"/>
      <c r="CO23" s="129"/>
      <c r="CP23" s="29"/>
      <c r="CQ23" s="47"/>
      <c r="CR23" s="14"/>
      <c r="CS23" s="34" t="s">
        <v>31</v>
      </c>
      <c r="CT23" s="37">
        <f>CT85</f>
        <v>0</v>
      </c>
      <c r="CU23" s="14"/>
      <c r="CV23" s="331" t="str">
        <f>INDEX($CS$11:$CS$18,MATCH(LARGE($CX$11:$CX$18,2),$CX$11:$CX$18,0),1)</f>
        <v>Changes in legislation or policy</v>
      </c>
      <c r="CW23" s="260"/>
      <c r="CX23" s="19"/>
      <c r="CY23" s="29"/>
      <c r="CZ23" s="317"/>
      <c r="DA23" s="203" t="str">
        <f>VLOOKUP(CV23,$CS$11:$DA$18,9,0)</f>
        <v>Very unlikely</v>
      </c>
      <c r="DB23" s="19"/>
      <c r="DC23" s="318"/>
      <c r="DD23" s="14"/>
      <c r="DE23" s="14"/>
      <c r="DF23" s="14"/>
      <c r="DG23" s="129"/>
      <c r="DH23" s="29"/>
      <c r="DI23" s="47"/>
      <c r="DJ23" s="29"/>
      <c r="DK23" s="34" t="s">
        <v>31</v>
      </c>
      <c r="DL23" s="122" t="str">
        <f ca="1">IF(COUNTIF(DL85:DL87,"")=2,DL85,                                                                                                                                                                                                IF(COUNTIF(DL85:DL87,"")=1,                                                                                                                                                                                                                                     IFERROR(IF(ABS(MATCH(DL85,Responses_list1_frequency,0)-MATCH(DL86,Responses_list1_frequency,0))=1,DL85&amp;" / "&amp;DL86,"No consensus"),"No consensus"),   IF(COUNTIF(DL85:DL87,"")=0,                                                                                                                                                                                                                                                       IFERROR(IF(AND(ABS(MATCH(DL85,Responses_list1_frequency,0)-MATCH(DL86,Responses_list1_frequency,0))=1,ABS(MATCH(DL86,Responses_list1_frequency,0)-MATCH(DL87,Responses_list1_frequency,0))=1),DL85&amp;" / "&amp;DL86&amp;" / "&amp;DL87,"No consensus"),"No consensus"),DL85)     ))</f>
        <v>na</v>
      </c>
      <c r="DM23" s="33">
        <f>DM85</f>
        <v>0</v>
      </c>
      <c r="DN23" s="37">
        <f>DN85</f>
        <v>0</v>
      </c>
      <c r="DO23" s="14"/>
      <c r="DP23" s="14"/>
      <c r="DQ23" s="526"/>
      <c r="DR23" s="543"/>
      <c r="DS23" s="527"/>
      <c r="DT23" s="14"/>
      <c r="DU23" s="14"/>
      <c r="DV23" s="14"/>
      <c r="DW23" s="14"/>
      <c r="DX23" s="14"/>
      <c r="DY23" s="14"/>
      <c r="DZ23" s="14"/>
      <c r="EA23" s="14"/>
      <c r="EB23" s="14"/>
      <c r="EC23" s="14"/>
      <c r="ED23" s="14"/>
      <c r="EE23" s="14"/>
      <c r="EF23" s="14"/>
      <c r="EG23" s="14"/>
      <c r="EH23" s="14"/>
      <c r="EI23" s="14"/>
      <c r="EJ23" s="14"/>
      <c r="EK23" s="14"/>
      <c r="EL23" s="14"/>
    </row>
    <row r="24" spans="1:142" x14ac:dyDescent="0.25">
      <c r="A24" s="14"/>
      <c r="B24" s="57" t="s">
        <v>22</v>
      </c>
      <c r="C24" s="122" t="str">
        <f ca="1">IF(COUNTIF(C112:C114,"")=2,C112,                                                                                                                                                                                                IF(COUNTIF(C112:C114,"")=1,                                                                                                                                                                                                                                     IFERROR(IF(ABS(MATCH(C112,Responses_list1_frequency,0)-MATCH(C113,Responses_list1_frequency,0))=1,C112&amp;" / "&amp;C113,"No consensus"),"No consensus"),   IF(COUNTIF(C112:C114,"")=0,                                                                                                                                                                                                                                                       IFERROR(IF(AND(ABS(MATCH(C112,Responses_list1_frequency,0)-MATCH(C113,Responses_list1_frequency,0))=1,ABS(MATCH(C113,Responses_list1_frequency,0)-MATCH(C114,Responses_list1_frequency,0))=1),C112&amp;" / "&amp;C113&amp;" / "&amp;C114,"No consensus"),"No consensus"),C112)     ))</f>
        <v>Definitely not</v>
      </c>
      <c r="D24" s="58">
        <f>D112</f>
        <v>1</v>
      </c>
      <c r="E24" s="121">
        <f>E112</f>
        <v>0</v>
      </c>
      <c r="F24" s="14"/>
      <c r="G24" s="526"/>
      <c r="H24" s="543"/>
      <c r="I24" s="527"/>
      <c r="J24" s="33"/>
      <c r="K24" s="14"/>
      <c r="L24" s="14"/>
      <c r="M24" s="14"/>
      <c r="N24" s="14"/>
      <c r="O24" s="14"/>
      <c r="P24" s="14"/>
      <c r="Q24" s="47"/>
      <c r="R24" s="19"/>
      <c r="S24" s="34" t="s">
        <v>22</v>
      </c>
      <c r="T24" s="122" t="str">
        <f ca="1">IF(COUNTIF(T112:T114,"")=2,T112,                                                                                                                                                                                                IF(COUNTIF(T112:T114,"")=1,                                                                                                                                                                                                                                     IFERROR(IF(ABS(MATCH(T112,Responses_list1_frequency,0)-MATCH(T113,Responses_list1_frequency,0))=1,T112&amp;" / "&amp;T113,"No consensus"),"No consensus"),   IF(COUNTIF(T112:T114,"")=0,                                                                                                                                                                                                                                                       IFERROR(IF(AND(ABS(MATCH(T112,Responses_list1_frequency,0)-MATCH(T113,Responses_list1_frequency,0))=1,ABS(MATCH(T113,Responses_list1_frequency,0)-MATCH(T114,Responses_list1_frequency,0))=1),T112&amp;" / "&amp;T113&amp;" / "&amp;T114,"No consensus"),"No consensus"),T112)     ))</f>
        <v>Unlikely</v>
      </c>
      <c r="U24" s="33">
        <f>U112</f>
        <v>1</v>
      </c>
      <c r="V24" s="37">
        <f>V112</f>
        <v>0</v>
      </c>
      <c r="W24" s="14"/>
      <c r="X24" s="19"/>
      <c r="Y24" s="526"/>
      <c r="Z24" s="543"/>
      <c r="AA24" s="527"/>
      <c r="AB24" s="14"/>
      <c r="AC24" s="14"/>
      <c r="AD24" s="65"/>
      <c r="AE24" s="63"/>
      <c r="AF24" s="47"/>
      <c r="AG24" s="19"/>
      <c r="AH24" s="57" t="s">
        <v>22</v>
      </c>
      <c r="AI24" s="122" t="str">
        <f ca="1">IF(COUNTIF(AI112:AI114,"")=2,AI112,                                                                                                                                                                                                IF(COUNTIF(AI112:AI114,"")=1,                                                                                                                                                                                                                                     IFERROR(IF(ABS(MATCH(AI112,Responses_list1_frequency,0)-MATCH(AI113,Responses_list1_frequency,0))=1,AI112&amp;" / "&amp;AI113,"No consensus"),"No consensus"),   IF(COUNTIF(AI112:AI114,"")=0,                                                                                                                                                                                                                                                       IFERROR(IF(AND(ABS(MATCH(AI112,Responses_list1_frequency,0)-MATCH(AI113,Responses_list1_frequency,0))=1,ABS(MATCH(AI113,Responses_list1_frequency,0)-MATCH(AI114,Responses_list1_frequency,0))=1),AI112&amp;" / "&amp;AI113&amp;" / "&amp;AI114,"No consensus"),"No consensus"),AI112)     ))</f>
        <v>Unlikely</v>
      </c>
      <c r="AJ24" s="58">
        <f>AJ112</f>
        <v>1</v>
      </c>
      <c r="AK24" s="58">
        <f>AK112</f>
        <v>0</v>
      </c>
      <c r="AL24" s="14"/>
      <c r="AM24" s="526"/>
      <c r="AN24" s="543"/>
      <c r="AO24" s="527"/>
      <c r="AP24" s="14"/>
      <c r="AQ24" s="14"/>
      <c r="AR24" s="14"/>
      <c r="AS24" s="65"/>
      <c r="AT24" s="63"/>
      <c r="AU24" s="47"/>
      <c r="AV24" s="14"/>
      <c r="AW24" s="57" t="s">
        <v>22</v>
      </c>
      <c r="AX24" s="122" t="str">
        <f ca="1">IF(COUNTIF(AX112:AX114,"")=2,AX112,                                                                                                                                                                                                IF(COUNTIF(AX112:AX114,"")=1,                                                                                                                                                                                                                                     IFERROR(IF(ABS(MATCH(AX112,Responses_list1_frequency,0)-MATCH(AX113,Responses_list1_frequency,0))=1,AX112&amp;" / "&amp;AX113,"No consensus"),"No consensus"),   IF(COUNTIF(AX112:AX114,"")=0,                                                                                                                                                                                                                                                       IFERROR(IF(AND(ABS(MATCH(AX112,Responses_list1_frequency,0)-MATCH(AX113,Responses_list1_frequency,0))=1,ABS(MATCH(AX113,Responses_list1_frequency,0)-MATCH(AX114,Responses_list1_frequency,0))=1),AX112&amp;" / "&amp;AX113&amp;" / "&amp;AX114,"No consensus"),"No consensus"),AX112)     ))</f>
        <v>Unlikely</v>
      </c>
      <c r="AY24" s="58">
        <f>AY112</f>
        <v>1</v>
      </c>
      <c r="AZ24" s="121">
        <f>AZ112</f>
        <v>0</v>
      </c>
      <c r="BA24" s="14"/>
      <c r="BB24" s="526"/>
      <c r="BC24" s="543"/>
      <c r="BD24" s="527"/>
      <c r="BE24" s="14"/>
      <c r="BF24" s="14"/>
      <c r="BG24" s="14"/>
      <c r="BH24" s="65"/>
      <c r="BI24" s="63"/>
      <c r="BJ24" s="352"/>
      <c r="BK24" s="19"/>
      <c r="BL24" s="57" t="s">
        <v>22</v>
      </c>
      <c r="BM24" s="122" t="str">
        <f ca="1">IF(COUNTIF(BM112:BM114,"")=2,BM112,                                                                                                                                                                                                IF(COUNTIF(BM112:BM114,"")=1,                                                                                                                                                                                                                                     IFERROR(IF(ABS(MATCH(BM112,Responses_list1_frequency,0)-MATCH(BM113,Responses_list1_frequency,0))=1,BM112&amp;" / "&amp;BM113,"No consensus"),"No consensus"),   IF(COUNTIF(BM112:BM114,"")=0,                                                                                                                                                                                                                                                       IFERROR(IF(AND(ABS(MATCH(BM112,Responses_list1_frequency,0)-MATCH(BM113,Responses_list1_frequency,0))=1,ABS(MATCH(BM113,Responses_list1_frequency,0)-MATCH(BM114,Responses_list1_frequency,0))=1),BM112&amp;" / "&amp;BM113&amp;" / "&amp;BM114,"No consensus"),"No consensus"),BM112)     ))</f>
        <v>Unlikely</v>
      </c>
      <c r="BN24" s="58">
        <f>BN112</f>
        <v>1</v>
      </c>
      <c r="BO24" s="121">
        <f>BO112</f>
        <v>0</v>
      </c>
      <c r="BP24" s="14"/>
      <c r="BQ24" s="526"/>
      <c r="BR24" s="543"/>
      <c r="BS24" s="527"/>
      <c r="BT24" s="14"/>
      <c r="BU24" s="14"/>
      <c r="BV24" s="14"/>
      <c r="BW24" s="65"/>
      <c r="BX24" s="63"/>
      <c r="BY24" s="352"/>
      <c r="BZ24" s="14"/>
      <c r="CA24" s="34" t="s">
        <v>22</v>
      </c>
      <c r="CB24" s="37">
        <f>CB112</f>
        <v>1</v>
      </c>
      <c r="CC24" s="14"/>
      <c r="CD24" s="319" t="str">
        <f>CONCATENATE(INDEX(CA11:CA18,MATCH(LARGE(CF11:CF18,3),CF11:CF18,0),1),IF(ROUND(LARGE(CF11:CF18,3),4)=ROUND(LARGE(CF11:CF18,4),4),CONCATENATE(" / ",INDEX(CA11:CA18,MATCH(LARGE(CF11:CF18,4),CF11:CF18,0),1)),""),IF(ROUND(LARGE(CF11:CF18,3),4)=ROUND(LARGE(CF11:CF18,5),4),CONCATENATE(" / ",INDEX(CA11:CA18,MATCH(LARGE(CF11:CF18,5),CF11:CF18,0),1)),""))</f>
        <v>Increased demand for saw timber enables management of unmanaged forest</v>
      </c>
      <c r="CE24" s="320"/>
      <c r="CF24" s="321"/>
      <c r="CG24" s="322"/>
      <c r="CH24" s="323"/>
      <c r="CI24" s="319" t="str">
        <f>CONCATENATE(INDEX(CI11:CI18,MATCH(LARGE(CF11:CF18,3),CF11:CF18,0),1),IF(ROUND(LARGE(CF11:CF18,3),4)=ROUND(LARGE(CF11:CF18,4),4),CONCATENATE(" / ",INDEX(CI11:CI18,MATCH(LARGE(CF11:CF18,4),CF11:CF18,0),1)),""),IF(ROUND(LARGE(CF11:CF18,3),4)=ROUND(LARGE(CF11:CF18,5),4),CONCATENATE(" / ",INDEX(CI11:CI18,MATCH(LARGE(CF11:CF18,5),CF11:CF18,0),1)),""))</f>
        <v>Very unlikely</v>
      </c>
      <c r="CJ24" s="321"/>
      <c r="CK24" s="204"/>
      <c r="CL24" s="14"/>
      <c r="CM24" s="14"/>
      <c r="CN24" s="14"/>
      <c r="CO24" s="129"/>
      <c r="CP24" s="14"/>
      <c r="CQ24" s="47"/>
      <c r="CR24" s="14"/>
      <c r="CS24" s="34" t="s">
        <v>22</v>
      </c>
      <c r="CT24" s="37">
        <f>CT112</f>
        <v>0</v>
      </c>
      <c r="CU24" s="14"/>
      <c r="CV24" s="332" t="str">
        <f>CONCATENATE(INDEX(CS11:CS18,MATCH(LARGE(CX11:CX18,3),CX11:CX18,0),1),IF(ROUND(LARGE(CX11:CX18,3),4)=ROUND(LARGE(CX11:CX18,4),4),CONCATENATE(" / ",INDEX(CS11:CS18,MATCH(LARGE(CX11:$CX18,4),CX11:CX18,0),1)),""),IF(ROUND(LARGE(CX11:CX18,3),4)=ROUND(LARGE(CX11:CX18,5),4),CONCATENATE(" / ",INDEX(CS11:CS18,MATCH(LARGE(CX11:CX18,5),CX11:CX18,0),1)),""))</f>
        <v>Low roundwood demand - longer haulage</v>
      </c>
      <c r="CW24" s="320"/>
      <c r="CX24" s="321"/>
      <c r="CY24" s="322"/>
      <c r="CZ24" s="323"/>
      <c r="DA24" s="319" t="str">
        <f>CONCATENATE(INDEX($DA$11:$DA$18,MATCH(LARGE($CX$11:$CX$18,3),$CX$11:$CX$18,0),1),IF(ROUND(LARGE(CX11:CX18,3),4)=ROUND(LARGE(CX11:CX18,4),4),CONCATENATE(" / ",INDEX($DA$11:$DA$18,MATCH(LARGE($CX$11:$CX$18,4),$CX$11:$CX$18,0),1)),""),IF(ROUND(LARGE(CX11:CX18,3),4)=ROUND(LARGE(CX11:CX18,5),4),CONCATENATE(" / ",INDEX($DA$11:$DA$18,MATCH(LARGE($CX$11:$CX$18,5),$CX$11:$CX$18,0),1)),""))</f>
        <v>Moderately likely</v>
      </c>
      <c r="DB24" s="321"/>
      <c r="DC24" s="204"/>
      <c r="DD24" s="14"/>
      <c r="DE24" s="14"/>
      <c r="DF24" s="14"/>
      <c r="DG24" s="129"/>
      <c r="DH24" s="14"/>
      <c r="DI24" s="47"/>
      <c r="DJ24" s="14"/>
      <c r="DK24" s="34" t="s">
        <v>22</v>
      </c>
      <c r="DL24" s="122" t="str">
        <f ca="1">IF(COUNTIF(DL112:DL114,"")=2,DL112,                                                                                                                                                                                                IF(COUNTIF(DL112:DL114,"")=1,                                                                                                                                                                                                                                     IFERROR(IF(ABS(MATCH(DL112,Responses_list1_frequency,0)-MATCH(DL113,Responses_list1_frequency,0))=1,DL112&amp;" / "&amp;DL113,"No consensus"),"No consensus"),   IF(COUNTIF(DL112:DL114,"")=0,                                                                                                                                                                                                                                                       IFERROR(IF(AND(ABS(MATCH(DL112,Responses_list1_frequency,0)-MATCH(DL113,Responses_list1_frequency,0))=1,ABS(MATCH(DL113,Responses_list1_frequency,0)-MATCH(DL114,Responses_list1_frequency,0))=1),DL112&amp;" / "&amp;DL113&amp;" / "&amp;DL114,"No consensus"),"No consensus"),DL112)     ))</f>
        <v>Sometimes</v>
      </c>
      <c r="DM24" s="33">
        <f>DM112</f>
        <v>1</v>
      </c>
      <c r="DN24" s="37">
        <f>DN112</f>
        <v>0</v>
      </c>
      <c r="DO24" s="14"/>
      <c r="DP24" s="14"/>
      <c r="DQ24" s="526"/>
      <c r="DR24" s="543"/>
      <c r="DS24" s="527"/>
      <c r="DT24" s="14"/>
      <c r="DU24" s="14"/>
      <c r="DV24" s="14"/>
      <c r="DW24" s="14"/>
      <c r="DX24" s="14"/>
      <c r="DY24" s="14"/>
      <c r="DZ24" s="14"/>
      <c r="EA24" s="14"/>
      <c r="EB24" s="14"/>
      <c r="EC24" s="14"/>
      <c r="ED24" s="14"/>
      <c r="EE24" s="14"/>
      <c r="EF24" s="14"/>
      <c r="EG24" s="14"/>
      <c r="EH24" s="14"/>
      <c r="EI24" s="14"/>
      <c r="EJ24" s="14"/>
      <c r="EK24" s="14"/>
      <c r="EL24" s="14"/>
    </row>
    <row r="25" spans="1:142" x14ac:dyDescent="0.25">
      <c r="A25" s="14"/>
      <c r="B25" s="57" t="s">
        <v>32</v>
      </c>
      <c r="C25" s="122" t="str">
        <f ca="1">IF(COUNTIF(C139:C141,"")=2,C139,                                                                                                                                                                                                IF(COUNTIF(C139:C141,"")=1,                                                                                                                                                                                                                                     IFERROR(IF(ABS(MATCH(C139,Responses_list1_frequency,0)-MATCH(C140,Responses_list1_frequency,0))=1,C139&amp;" / "&amp;C140,"No consensus"),"No consensus"),   IF(COUNTIF(C139:C141,"")=0,                                                                                                                                                                                                                                                       IFERROR(IF(AND(ABS(MATCH(C139,Responses_list1_frequency,0)-MATCH(C140,Responses_list1_frequency,0))=1,ABS(MATCH(C140,Responses_list1_frequency,0)-MATCH(C141,Responses_list1_frequency,0))=1),C139&amp;" / "&amp;C140&amp;" / "&amp;C141,"No consensus"),"No consensus"),C139)     ))</f>
        <v>I don’t know</v>
      </c>
      <c r="D25" s="58">
        <f>D139</f>
        <v>1</v>
      </c>
      <c r="E25" s="121">
        <f>E139</f>
        <v>1</v>
      </c>
      <c r="F25" s="14"/>
      <c r="G25" s="528"/>
      <c r="H25" s="544"/>
      <c r="I25" s="529"/>
      <c r="J25" s="33"/>
      <c r="K25" s="14"/>
      <c r="L25" s="14"/>
      <c r="M25" s="14"/>
      <c r="N25" s="14"/>
      <c r="O25" s="14"/>
      <c r="P25" s="14"/>
      <c r="Q25" s="47"/>
      <c r="R25" s="19"/>
      <c r="S25" s="34" t="s">
        <v>32</v>
      </c>
      <c r="T25" s="122" t="str">
        <f ca="1">IF(COUNTIF(T139:T141,"")=2,T139,                                                                                                                                                                                                IF(COUNTIF(T139:T141,"")=1,                                                                                                                                                                                                                                     IFERROR(IF(ABS(MATCH(T139,Responses_list1_frequency,0)-MATCH(T140,Responses_list1_frequency,0))=1,T139&amp;" / "&amp;T140,"No consensus"),"No consensus"),   IF(COUNTIF(T139:T141,"")=0,                                                                                                                                                                                                                                                       IFERROR(IF(AND(ABS(MATCH(T139,Responses_list1_frequency,0)-MATCH(T140,Responses_list1_frequency,0))=1,ABS(MATCH(T140,Responses_list1_frequency,0)-MATCH(T141,Responses_list1_frequency,0))=1),T139&amp;" / "&amp;T140&amp;" / "&amp;T141,"No consensus"),"No consensus"),T139)     ))</f>
        <v>Unlikely</v>
      </c>
      <c r="U25" s="33">
        <f>U139</f>
        <v>1</v>
      </c>
      <c r="V25" s="37">
        <f>V139</f>
        <v>0</v>
      </c>
      <c r="W25" s="14"/>
      <c r="X25" s="19"/>
      <c r="Y25" s="528"/>
      <c r="Z25" s="544"/>
      <c r="AA25" s="529"/>
      <c r="AB25" s="14"/>
      <c r="AC25" s="14"/>
      <c r="AD25" s="65"/>
      <c r="AE25" s="63"/>
      <c r="AF25" s="47"/>
      <c r="AG25" s="19"/>
      <c r="AH25" s="57" t="s">
        <v>32</v>
      </c>
      <c r="AI25" s="122" t="str">
        <f ca="1">IF(COUNTIF(AI139:AI141,"")=2,AI139,                                                                                                                                                                                                IF(COUNTIF(AI139:AI141,"")=1,                                                                                                                                                                                                                                     IFERROR(IF(ABS(MATCH(AI139,Responses_list1_frequency,0)-MATCH(AI140,Responses_list1_frequency,0))=1,AI139&amp;" / "&amp;AI140,"No consensus"),"No consensus"),   IF(COUNTIF(AI139:AI141,"")=0,                                                                                                                                                                                                                                                       IFERROR(IF(AND(ABS(MATCH(AI139,Responses_list1_frequency,0)-MATCH(AI140,Responses_list1_frequency,0))=1,ABS(MATCH(AI140,Responses_list1_frequency,0)-MATCH(AI141,Responses_list1_frequency,0))=1),AI139&amp;" / "&amp;AI140&amp;" / "&amp;AI141,"No consensus"),"No consensus"),AI139)     ))</f>
        <v>Very unlikely</v>
      </c>
      <c r="AJ25" s="58">
        <f>AJ139</f>
        <v>1</v>
      </c>
      <c r="AK25" s="58">
        <f>AK139</f>
        <v>0</v>
      </c>
      <c r="AL25" s="14"/>
      <c r="AM25" s="528"/>
      <c r="AN25" s="544"/>
      <c r="AO25" s="529"/>
      <c r="AP25" s="14"/>
      <c r="AQ25" s="14"/>
      <c r="AR25" s="14"/>
      <c r="AS25" s="65"/>
      <c r="AT25" s="63"/>
      <c r="AU25" s="47"/>
      <c r="AV25" s="14"/>
      <c r="AW25" s="57" t="s">
        <v>32</v>
      </c>
      <c r="AX25" s="122" t="str">
        <f ca="1">IF(COUNTIF(AX139:AX141,"")=2,AX139,                                                                                                                                                                                                IF(COUNTIF(AX139:AX141,"")=1,                                                                                                                                                                                                                                     IFERROR(IF(ABS(MATCH(AX139,Responses_list1_frequency,0)-MATCH(AX140,Responses_list1_frequency,0))=1,AX139&amp;" / "&amp;AX140,"No consensus"),"No consensus"),   IF(COUNTIF(AX139:AX141,"")=0,                                                                                                                                                                                                                                                       IFERROR(IF(AND(ABS(MATCH(AX139,Responses_list1_frequency,0)-MATCH(AX140,Responses_list1_frequency,0))=1,ABS(MATCH(AX140,Responses_list1_frequency,0)-MATCH(AX141,Responses_list1_frequency,0))=1),AX139&amp;" / "&amp;AX140&amp;" / "&amp;AX141,"No consensus"),"No consensus"),AX139)     ))</f>
        <v>Unlikely</v>
      </c>
      <c r="AY25" s="58">
        <f>AY139</f>
        <v>1</v>
      </c>
      <c r="AZ25" s="121">
        <f>AZ139</f>
        <v>0</v>
      </c>
      <c r="BA25" s="14"/>
      <c r="BB25" s="528"/>
      <c r="BC25" s="544"/>
      <c r="BD25" s="529"/>
      <c r="BE25" s="14"/>
      <c r="BF25" s="14"/>
      <c r="BG25" s="14"/>
      <c r="BH25" s="65"/>
      <c r="BI25" s="63"/>
      <c r="BJ25" s="352"/>
      <c r="BK25" s="19"/>
      <c r="BL25" s="57" t="s">
        <v>32</v>
      </c>
      <c r="BM25" s="122" t="str">
        <f ca="1">IF(COUNTIF(BM139:BM141,"")=2,BM139,                                                                                                                                                                                                IF(COUNTIF(BM139:BM141,"")=1,                                                                                                                                                                                                                                     IFERROR(IF(ABS(MATCH(BM139,Responses_list1_frequency,0)-MATCH(BM140,Responses_list1_frequency,0))=1,BM139&amp;" / "&amp;BM140,"No consensus"),"No consensus"),   IF(COUNTIF(BM139:BM141,"")=0,                                                                                                                                                                                                                                                       IFERROR(IF(AND(ABS(MATCH(BM139,Responses_list1_frequency,0)-MATCH(BM140,Responses_list1_frequency,0))=1,ABS(MATCH(BM140,Responses_list1_frequency,0)-MATCH(BM141,Responses_list1_frequency,0))=1),BM139&amp;" / "&amp;BM140&amp;" / "&amp;BM141,"No consensus"),"No consensus"),BM139)     ))</f>
        <v>Moderately unlikely</v>
      </c>
      <c r="BN25" s="58">
        <f>BN139</f>
        <v>1</v>
      </c>
      <c r="BO25" s="121">
        <f>BO139</f>
        <v>0</v>
      </c>
      <c r="BP25" s="14"/>
      <c r="BQ25" s="528"/>
      <c r="BR25" s="544"/>
      <c r="BS25" s="529"/>
      <c r="BT25" s="14"/>
      <c r="BU25" s="14"/>
      <c r="BV25" s="14"/>
      <c r="BW25" s="65"/>
      <c r="BX25" s="63"/>
      <c r="BY25" s="352"/>
      <c r="BZ25" s="14"/>
      <c r="CA25" s="34" t="s">
        <v>32</v>
      </c>
      <c r="CB25" s="37">
        <f>CB139</f>
        <v>1</v>
      </c>
      <c r="CC25" s="14"/>
      <c r="CD25" s="19"/>
      <c r="CE25" s="19"/>
      <c r="CF25" s="19"/>
      <c r="CG25" s="39"/>
      <c r="CH25" s="19"/>
      <c r="CI25" s="19"/>
      <c r="CJ25" s="19"/>
      <c r="CK25" s="19"/>
      <c r="CL25" s="14"/>
      <c r="CM25" s="14"/>
      <c r="CN25" s="14"/>
      <c r="CO25" s="129"/>
      <c r="CP25" s="14"/>
      <c r="CQ25" s="47"/>
      <c r="CR25" s="14"/>
      <c r="CS25" s="34" t="s">
        <v>32</v>
      </c>
      <c r="CT25" s="37">
        <f>CT139</f>
        <v>1</v>
      </c>
      <c r="CU25" s="14"/>
      <c r="CV25" s="27"/>
      <c r="CW25" s="19"/>
      <c r="CX25" s="19"/>
      <c r="CY25" s="39"/>
      <c r="CZ25" s="19"/>
      <c r="DA25" s="19"/>
      <c r="DB25" s="19"/>
      <c r="DC25" s="19"/>
      <c r="DD25" s="14"/>
      <c r="DE25" s="14"/>
      <c r="DF25" s="14"/>
      <c r="DG25" s="129"/>
      <c r="DH25" s="14"/>
      <c r="DI25" s="47"/>
      <c r="DJ25" s="14"/>
      <c r="DK25" s="34" t="s">
        <v>32</v>
      </c>
      <c r="DL25" s="122" t="str">
        <f ca="1">IF(COUNTIF(DL139:DL141,"")=2,DL139,                                                                                                                                                                                                IF(COUNTIF(DL139:DL141,"")=1,                                                                                                                                                                                                                                     IFERROR(IF(ABS(MATCH(DL139,Responses_list1_frequency,0)-MATCH(DL140,Responses_list1_frequency,0))=1,DL139&amp;" / "&amp;DL140,"No consensus"),"No consensus"),   IF(COUNTIF(DL139:DL141,"")=0,                                                                                                                                                                                                                                                       IFERROR(IF(AND(ABS(MATCH(DL139,Responses_list1_frequency,0)-MATCH(DL140,Responses_list1_frequency,0))=1,ABS(MATCH(DL140,Responses_list1_frequency,0)-MATCH(DL141,Responses_list1_frequency,0))=1),DL139&amp;" / "&amp;DL140&amp;" / "&amp;DL141,"No consensus"),"No consensus"),DL139)     ))</f>
        <v>Yes, always</v>
      </c>
      <c r="DM25" s="33">
        <f>DM139</f>
        <v>1</v>
      </c>
      <c r="DN25" s="37">
        <f>DN139</f>
        <v>0</v>
      </c>
      <c r="DO25" s="14"/>
      <c r="DP25" s="14"/>
      <c r="DQ25" s="528"/>
      <c r="DR25" s="544"/>
      <c r="DS25" s="529"/>
      <c r="DT25" s="14"/>
      <c r="DU25" s="14"/>
      <c r="DV25" s="14"/>
      <c r="DW25" s="14"/>
      <c r="DX25" s="14"/>
      <c r="DY25" s="14"/>
      <c r="DZ25" s="14"/>
      <c r="EA25" s="14"/>
      <c r="EB25" s="14"/>
      <c r="EC25" s="14"/>
      <c r="ED25" s="14"/>
      <c r="EE25" s="14"/>
      <c r="EF25" s="14"/>
      <c r="EG25" s="14"/>
      <c r="EH25" s="14"/>
      <c r="EI25" s="14"/>
      <c r="EJ25" s="14"/>
      <c r="EK25" s="14"/>
      <c r="EL25" s="14"/>
    </row>
    <row r="26" spans="1:142" ht="27.6" x14ac:dyDescent="0.25">
      <c r="A26" s="14"/>
      <c r="B26" s="57" t="s">
        <v>153</v>
      </c>
      <c r="C26" s="122" t="str">
        <f ca="1">IF(COUNTIF(C166:C168,"")=2,C166,                                                                                                                                                                                                IF(COUNTIF(C166:C168,"")=1,                                                                                                                                                                                                                                     IFERROR(IF(ABS(MATCH(C166,Responses_list1_frequency,0)-MATCH(C167,Responses_list1_frequency,0))=1,C166&amp;" / "&amp;C167,"No consensus"),"No consensus"),   IF(COUNTIF(C166:C168,"")=0,                                                                                                                                                                                                                                                       IFERROR(IF(AND(ABS(MATCH(C166,Responses_list1_frequency,0)-MATCH(C167,Responses_list1_frequency,0))=1,ABS(MATCH(C167,Responses_list1_frequency,0)-MATCH(C168,Responses_list1_frequency,0))=1),C166&amp;" / "&amp;C167&amp;" / "&amp;C168,"No consensus"),"No consensus"),C166)     ))</f>
        <v>No clear choice of the most common response</v>
      </c>
      <c r="D26" s="58">
        <f>D166</f>
        <v>3</v>
      </c>
      <c r="E26" s="121">
        <f>E166</f>
        <v>0</v>
      </c>
      <c r="F26" s="14"/>
      <c r="G26" s="136"/>
      <c r="H26" s="138"/>
      <c r="I26" s="36"/>
      <c r="J26" s="33"/>
      <c r="K26" s="14"/>
      <c r="L26" s="14"/>
      <c r="M26" s="14"/>
      <c r="N26" s="14"/>
      <c r="O26" s="14"/>
      <c r="P26" s="14"/>
      <c r="Q26" s="47"/>
      <c r="R26" s="19"/>
      <c r="S26" s="34" t="s">
        <v>153</v>
      </c>
      <c r="T26" s="122" t="str">
        <f ca="1">IF(COUNTIF(T166:T168,"")=2,T166,                                                                                                                                                                                                IF(COUNTIF(T166:T168,"")=1,                                                                                                                                                                                                                                     IFERROR(IF(ABS(MATCH(T166,Responses_list1_frequency,0)-MATCH(T167,Responses_list1_frequency,0))=1,T166&amp;" / "&amp;T167,"No consensus"),"No consensus"),   IF(COUNTIF(T166:T168,"")=0,                                                                                                                                                                                                                                                       IFERROR(IF(AND(ABS(MATCH(T166,Responses_list1_frequency,0)-MATCH(T167,Responses_list1_frequency,0))=1,ABS(MATCH(T167,Responses_list1_frequency,0)-MATCH(T168,Responses_list1_frequency,0))=1),T166&amp;" / "&amp;T167&amp;" / "&amp;T168,"No consensus"),"No consensus"),T166)     ))</f>
        <v>No consensus</v>
      </c>
      <c r="U26" s="33">
        <f>U166</f>
        <v>3</v>
      </c>
      <c r="V26" s="37">
        <f>V166</f>
        <v>0</v>
      </c>
      <c r="W26" s="14"/>
      <c r="X26" s="19"/>
      <c r="Y26" s="19"/>
      <c r="Z26" s="14"/>
      <c r="AA26" s="14"/>
      <c r="AB26" s="14"/>
      <c r="AC26" s="14"/>
      <c r="AD26" s="65"/>
      <c r="AE26" s="63"/>
      <c r="AF26" s="47"/>
      <c r="AG26" s="19"/>
      <c r="AH26" s="57" t="s">
        <v>153</v>
      </c>
      <c r="AI26" s="122" t="str">
        <f ca="1">IF(COUNTIF(AI166:AI168,"")=2,AI166,                                                                                                                                                                                                IF(COUNTIF(AI166:AI168,"")=1,                                                                                                                                                                                                                                     IFERROR(IF(ABS(MATCH(AI166,Responses_list1_frequency,0)-MATCH(AI167,Responses_list1_frequency,0))=1,AI166&amp;" / "&amp;AI167,"No consensus"),"No consensus"),   IF(COUNTIF(AI166:AI168,"")=0,                                                                                                                                                                                                                                                       IFERROR(IF(AND(ABS(MATCH(AI166,Responses_list1_frequency,0)-MATCH(AI167,Responses_list1_frequency,0))=1,ABS(MATCH(AI167,Responses_list1_frequency,0)-MATCH(AI168,Responses_list1_frequency,0))=1),AI166&amp;" / "&amp;AI167&amp;" / "&amp;AI168,"No consensus"),"No consensus"),AI166)     ))</f>
        <v>Very unlikely</v>
      </c>
      <c r="AJ26" s="58">
        <f>AJ166</f>
        <v>1</v>
      </c>
      <c r="AK26" s="58">
        <f>AK166</f>
        <v>0</v>
      </c>
      <c r="AL26" s="14"/>
      <c r="AM26" s="19"/>
      <c r="AN26" s="14"/>
      <c r="AO26" s="14"/>
      <c r="AP26" s="14"/>
      <c r="AQ26" s="14"/>
      <c r="AR26" s="14"/>
      <c r="AS26" s="65"/>
      <c r="AT26" s="63"/>
      <c r="AU26" s="47"/>
      <c r="AV26" s="14"/>
      <c r="AW26" s="57" t="s">
        <v>153</v>
      </c>
      <c r="AX26" s="122" t="str">
        <f ca="1">IF(COUNTIF(AX166:AX168,"")=2,AX166,                                                                                                                                                                                                IF(COUNTIF(AX166:AX168,"")=1,                                                                                                                                                                                                                                     IFERROR(IF(ABS(MATCH(AX166,Responses_list1_frequency,0)-MATCH(AX167,Responses_list1_frequency,0))=1,AX166&amp;" / "&amp;AX167,"No consensus"),"No consensus"),   IF(COUNTIF(AX166:AX168,"")=0,                                                                                                                                                                                                                                                       IFERROR(IF(AND(ABS(MATCH(AX166,Responses_list1_frequency,0)-MATCH(AX167,Responses_list1_frequency,0))=1,ABS(MATCH(AX167,Responses_list1_frequency,0)-MATCH(AX168,Responses_list1_frequency,0))=1),AX166&amp;" / "&amp;AX167&amp;" / "&amp;AX168,"No consensus"),"No consensus"),AX166)     ))</f>
        <v>Very unlikely</v>
      </c>
      <c r="AY26" s="58">
        <f>AY166</f>
        <v>1</v>
      </c>
      <c r="AZ26" s="121">
        <f>AZ166</f>
        <v>0</v>
      </c>
      <c r="BA26" s="14"/>
      <c r="BB26" s="19"/>
      <c r="BC26" s="19"/>
      <c r="BD26" s="14"/>
      <c r="BE26" s="14"/>
      <c r="BF26" s="14"/>
      <c r="BG26" s="14"/>
      <c r="BH26" s="65"/>
      <c r="BI26" s="63"/>
      <c r="BJ26" s="352"/>
      <c r="BK26" s="19"/>
      <c r="BL26" s="57" t="s">
        <v>153</v>
      </c>
      <c r="BM26" s="122" t="str">
        <f ca="1">IF(COUNTIF(BM166:BM168,"")=2,BM166,                                                                                                                                                                                                IF(COUNTIF(BM166:BM168,"")=1,                                                                                                                                                                                                                                     IFERROR(IF(ABS(MATCH(BM166,Responses_list1_frequency,0)-MATCH(BM167,Responses_list1_frequency,0))=1,BM166&amp;" / "&amp;BM167,"No consensus"),"No consensus"),   IF(COUNTIF(BM166:BM168,"")=0,                                                                                                                                                                                                                                                       IFERROR(IF(AND(ABS(MATCH(BM166,Responses_list1_frequency,0)-MATCH(BM167,Responses_list1_frequency,0))=1,ABS(MATCH(BM167,Responses_list1_frequency,0)-MATCH(BM168,Responses_list1_frequency,0))=1),BM166&amp;" / "&amp;BM167&amp;" / "&amp;BM168,"No consensus"),"No consensus"),BM166)     ))</f>
        <v>Likely</v>
      </c>
      <c r="BN26" s="58">
        <f>BN166</f>
        <v>1</v>
      </c>
      <c r="BO26" s="121">
        <f>BO166</f>
        <v>0</v>
      </c>
      <c r="BP26" s="14"/>
      <c r="BQ26" s="19"/>
      <c r="BR26" s="19"/>
      <c r="BS26" s="14"/>
      <c r="BT26" s="14"/>
      <c r="BU26" s="14"/>
      <c r="BV26" s="14"/>
      <c r="BW26" s="65"/>
      <c r="BX26" s="63"/>
      <c r="BY26" s="352"/>
      <c r="BZ26" s="14"/>
      <c r="CA26" s="34" t="s">
        <v>153</v>
      </c>
      <c r="CB26" s="37">
        <f>CB166</f>
        <v>4</v>
      </c>
      <c r="CC26" s="19"/>
      <c r="CD26" s="19"/>
      <c r="CE26" s="19"/>
      <c r="CF26" s="19"/>
      <c r="CG26" s="14"/>
      <c r="CH26" s="68"/>
      <c r="CI26" s="14"/>
      <c r="CJ26" s="14"/>
      <c r="CK26" s="14"/>
      <c r="CL26" s="14"/>
      <c r="CM26" s="14"/>
      <c r="CN26" s="14"/>
      <c r="CO26" s="129"/>
      <c r="CP26" s="14"/>
      <c r="CQ26" s="47"/>
      <c r="CR26" s="14"/>
      <c r="CS26" s="34" t="s">
        <v>153</v>
      </c>
      <c r="CT26" s="37">
        <f>CT166</f>
        <v>2</v>
      </c>
      <c r="CU26" s="19"/>
      <c r="CV26" s="27"/>
      <c r="CW26" s="19"/>
      <c r="CX26" s="19"/>
      <c r="CY26" s="14"/>
      <c r="CZ26" s="68"/>
      <c r="DA26" s="14"/>
      <c r="DB26" s="14"/>
      <c r="DC26" s="14"/>
      <c r="DD26" s="14"/>
      <c r="DE26" s="14"/>
      <c r="DF26" s="14"/>
      <c r="DG26" s="129"/>
      <c r="DH26" s="14"/>
      <c r="DI26" s="47"/>
      <c r="DJ26" s="14"/>
      <c r="DK26" s="34" t="s">
        <v>153</v>
      </c>
      <c r="DL26" s="122" t="str">
        <f ca="1">IF(COUNTIF(DL166:DL168,"")=2,DL166,                                                                                                                                                                                                IF(COUNTIF(DL166:DL168,"")=1,                                                                                                                                                                                                                                     IFERROR(IF(ABS(MATCH(DL166,Responses_list1_frequency,0)-MATCH(DL167,Responses_list1_frequency,0))=1,DL166&amp;" / "&amp;DL167,"No consensus"),"No consensus"),   IF(COUNTIF(DL166:DL168,"")=0,                                                                                                                                                                                                                                                       IFERROR(IF(AND(ABS(MATCH(DL166,Responses_list1_frequency,0)-MATCH(DL167,Responses_list1_frequency,0))=1,ABS(MATCH(DL167,Responses_list1_frequency,0)-MATCH(DL168,Responses_list1_frequency,0))=1),DL166&amp;" / "&amp;DL167&amp;" / "&amp;DL168,"No consensus"),"No consensus"),DL166)     ))</f>
        <v>Most of the time</v>
      </c>
      <c r="DM26" s="33">
        <f>DM166</f>
        <v>3</v>
      </c>
      <c r="DN26" s="37">
        <f>DN166</f>
        <v>0</v>
      </c>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row>
    <row r="27" spans="1:142" x14ac:dyDescent="0.25">
      <c r="A27" s="14"/>
      <c r="B27" s="57" t="s">
        <v>154</v>
      </c>
      <c r="C27" s="122" t="str">
        <f ca="1">IF(COUNTIF(C193:C195,"")=2,C193,                                                                                                                                                                                                IF(COUNTIF(C193:C195,"")=1,                                                                                                                                                                                                                                     IFERROR(IF(ABS(MATCH(C193,Responses_list1_frequency,0)-MATCH(C194,Responses_list1_frequency,0))=1,C193&amp;" / "&amp;C194,"No consensus"),"No consensus"),   IF(COUNTIF(C193:C195,"")=0,                                                                                                                                                                                                                                                       IFERROR(IF(AND(ABS(MATCH(C193,Responses_list1_frequency,0)-MATCH(C194,Responses_list1_frequency,0))=1,ABS(MATCH(C194,Responses_list1_frequency,0)-MATCH(C195,Responses_list1_frequency,0))=1),C193&amp;" / "&amp;C194&amp;" / "&amp;C195,"No consensus"),"No consensus"),C193)     ))</f>
        <v>na</v>
      </c>
      <c r="D27" s="58">
        <f>D193</f>
        <v>0</v>
      </c>
      <c r="E27" s="121">
        <f>E193</f>
        <v>0</v>
      </c>
      <c r="F27" s="14"/>
      <c r="G27" s="136"/>
      <c r="H27" s="138"/>
      <c r="I27" s="36"/>
      <c r="J27" s="33"/>
      <c r="K27" s="14"/>
      <c r="L27" s="14"/>
      <c r="M27" s="14"/>
      <c r="N27" s="14"/>
      <c r="O27" s="14"/>
      <c r="P27" s="14"/>
      <c r="Q27" s="47"/>
      <c r="R27" s="19"/>
      <c r="S27" s="57" t="s">
        <v>154</v>
      </c>
      <c r="T27" s="122" t="str">
        <f ca="1">IF(COUNTIF(T193:T195,"")=2,T193,                                                                                                                                                                                                IF(COUNTIF(T193:T195,"")=1,                                                                                                                                                                                                                                     IFERROR(IF(ABS(MATCH(T193,Responses_list1_frequency,0)-MATCH(T194,Responses_list1_frequency,0))=1,T193&amp;" / "&amp;T194,"No consensus"),"No consensus"),   IF(COUNTIF(T193:T195,"")=0,                                                                                                                                                                                                                                                       IFERROR(IF(AND(ABS(MATCH(T193,Responses_list1_frequency,0)-MATCH(T194,Responses_list1_frequency,0))=1,ABS(MATCH(T194,Responses_list1_frequency,0)-MATCH(T195,Responses_list1_frequency,0))=1),T193&amp;" / "&amp;T194&amp;" / "&amp;T195,"No consensus"),"No consensus"),T193)     ))</f>
        <v>na</v>
      </c>
      <c r="U27" s="58">
        <f>U193</f>
        <v>0</v>
      </c>
      <c r="V27" s="58">
        <f>V193</f>
        <v>0</v>
      </c>
      <c r="W27" s="14"/>
      <c r="X27" s="19"/>
      <c r="Y27" s="19"/>
      <c r="Z27" s="14"/>
      <c r="AA27" s="14"/>
      <c r="AB27" s="14"/>
      <c r="AC27" s="14"/>
      <c r="AD27" s="65"/>
      <c r="AE27" s="63"/>
      <c r="AF27" s="47"/>
      <c r="AG27" s="19"/>
      <c r="AH27" s="57" t="s">
        <v>154</v>
      </c>
      <c r="AI27" s="122" t="str">
        <f ca="1">IF(COUNTIF(AI193:AI195,"")=2,AI193,                                                                                                                                                                                                IF(COUNTIF(AI193:AI195,"")=1,                                                                                                                                                                                                                                     IFERROR(IF(ABS(MATCH(AI193,Responses_list1_frequency,0)-MATCH(AI194,Responses_list1_frequency,0))=1,AI193&amp;" / "&amp;AI194,"No consensus"),"No consensus"),   IF(COUNTIF(AI193:AI195,"")=0,                                                                                                                                                                                                                                                       IFERROR(IF(AND(ABS(MATCH(AI193,Responses_list1_frequency,0)-MATCH(AI194,Responses_list1_frequency,0))=1,ABS(MATCH(AI194,Responses_list1_frequency,0)-MATCH(AI195,Responses_list1_frequency,0))=1),AI193&amp;" / "&amp;AI194&amp;" / "&amp;AI195,"No consensus"),"No consensus"),AI193)     ))</f>
        <v>na</v>
      </c>
      <c r="AJ27" s="58">
        <f>AJ193</f>
        <v>0</v>
      </c>
      <c r="AK27" s="58">
        <f>AK193</f>
        <v>0</v>
      </c>
      <c r="AL27" s="14"/>
      <c r="AM27" s="19"/>
      <c r="AN27" s="19"/>
      <c r="AO27" s="14"/>
      <c r="AP27" s="14"/>
      <c r="AQ27" s="14"/>
      <c r="AR27" s="14"/>
      <c r="AS27" s="65"/>
      <c r="AT27" s="63"/>
      <c r="AU27" s="47"/>
      <c r="AV27" s="14"/>
      <c r="AW27" s="57" t="s">
        <v>154</v>
      </c>
      <c r="AX27" s="122" t="str">
        <f ca="1">IF(COUNTIF(AX193:AX195,"")=2,AX193,                                                                                                                                                                                                IF(COUNTIF(AX193:AX195,"")=1,                                                                                                                                                                                                                                     IFERROR(IF(ABS(MATCH(AX193,Responses_list1_frequency,0)-MATCH(AX194,Responses_list1_frequency,0))=1,AX193&amp;" / "&amp;AX194,"No consensus"),"No consensus"),   IF(COUNTIF(AX193:AX195,"")=0,                                                                                                                                                                                                                                                       IFERROR(IF(AND(ABS(MATCH(AX193,Responses_list1_frequency,0)-MATCH(AX194,Responses_list1_frequency,0))=1,ABS(MATCH(AX194,Responses_list1_frequency,0)-MATCH(AX195,Responses_list1_frequency,0))=1),AX193&amp;" / "&amp;AX194&amp;" / "&amp;AX195,"No consensus"),"No consensus"),AX193)     ))</f>
        <v>na</v>
      </c>
      <c r="AY27" s="58">
        <f>AY193</f>
        <v>0</v>
      </c>
      <c r="AZ27" s="121">
        <f>AZ193</f>
        <v>0</v>
      </c>
      <c r="BA27" s="14"/>
      <c r="BB27" s="19"/>
      <c r="BC27" s="19"/>
      <c r="BD27" s="14"/>
      <c r="BE27" s="14"/>
      <c r="BF27" s="14"/>
      <c r="BG27" s="14"/>
      <c r="BH27" s="65"/>
      <c r="BI27" s="63"/>
      <c r="BJ27" s="352"/>
      <c r="BK27" s="19"/>
      <c r="BL27" s="57" t="s">
        <v>154</v>
      </c>
      <c r="BM27" s="122" t="str">
        <f ca="1">IF(COUNTIF(BM193:BM195,"")=2,BM193,                                                                                                                                                                                                IF(COUNTIF(BM193:BM195,"")=1,                                                                                                                                                                                                                                     IFERROR(IF(ABS(MATCH(BM193,Responses_list1_frequency,0)-MATCH(BM194,Responses_list1_frequency,0))=1,BM193&amp;" / "&amp;BM194,"No consensus"),"No consensus"),   IF(COUNTIF(BM193:BM195,"")=0,                                                                                                                                                                                                                                                       IFERROR(IF(AND(ABS(MATCH(BM193,Responses_list1_frequency,0)-MATCH(BM194,Responses_list1_frequency,0))=1,ABS(MATCH(BM194,Responses_list1_frequency,0)-MATCH(BM195,Responses_list1_frequency,0))=1),BM193&amp;" / "&amp;BM194&amp;" / "&amp;BM195,"No consensus"),"No consensus"),BM193)     ))</f>
        <v>na</v>
      </c>
      <c r="BN27" s="58">
        <f>BN193</f>
        <v>0</v>
      </c>
      <c r="BO27" s="121">
        <f>BO193</f>
        <v>0</v>
      </c>
      <c r="BP27" s="14"/>
      <c r="BQ27" s="19"/>
      <c r="BR27" s="19"/>
      <c r="BS27" s="14"/>
      <c r="BT27" s="14"/>
      <c r="BU27" s="14"/>
      <c r="BV27" s="14"/>
      <c r="BW27" s="65"/>
      <c r="BX27" s="63"/>
      <c r="BY27" s="352"/>
      <c r="BZ27" s="14"/>
      <c r="CA27" s="57" t="s">
        <v>154</v>
      </c>
      <c r="CB27" s="37">
        <f>CB193</f>
        <v>4</v>
      </c>
      <c r="CC27" s="19"/>
      <c r="CD27" s="19"/>
      <c r="CE27" s="19"/>
      <c r="CF27" s="19"/>
      <c r="CG27" s="14"/>
      <c r="CH27" s="14"/>
      <c r="CI27" s="14"/>
      <c r="CJ27" s="14"/>
      <c r="CK27" s="14"/>
      <c r="CL27" s="14"/>
      <c r="CM27" s="14"/>
      <c r="CN27" s="14"/>
      <c r="CO27" s="129"/>
      <c r="CP27" s="14"/>
      <c r="CQ27" s="47"/>
      <c r="CR27" s="14"/>
      <c r="CS27" s="57" t="s">
        <v>154</v>
      </c>
      <c r="CT27" s="37">
        <f>CT193</f>
        <v>0</v>
      </c>
      <c r="CU27" s="19"/>
      <c r="CV27" s="27"/>
      <c r="CW27" s="19"/>
      <c r="CX27" s="19"/>
      <c r="CY27" s="14"/>
      <c r="CZ27" s="14"/>
      <c r="DA27" s="14"/>
      <c r="DB27" s="14"/>
      <c r="DC27" s="14"/>
      <c r="DD27" s="14"/>
      <c r="DE27" s="14"/>
      <c r="DF27" s="14"/>
      <c r="DG27" s="129"/>
      <c r="DH27" s="14"/>
      <c r="DI27" s="47"/>
      <c r="DJ27" s="14"/>
      <c r="DK27" s="57" t="s">
        <v>154</v>
      </c>
      <c r="DL27" s="122" t="str">
        <f ca="1">IF(COUNTIF(DL193:DL195,"")=2,DL193,                                                                                                                                                                                                IF(COUNTIF(DL193:DL195,"")=1,                                                                                                                                                                                                                                     IFERROR(IF(ABS(MATCH(DL193,Responses_list1_frequency,0)-MATCH(DL194,Responses_list1_frequency,0))=1,DL193&amp;" / "&amp;DL194,"No consensus"),"No consensus"),   IF(COUNTIF(DL193:DL195,"")=0,                                                                                                                                                                                                                                                       IFERROR(IF(AND(ABS(MATCH(DL193,Responses_list1_frequency,0)-MATCH(DL194,Responses_list1_frequency,0))=1,ABS(MATCH(DL194,Responses_list1_frequency,0)-MATCH(DL195,Responses_list1_frequency,0))=1),DL193&amp;" / "&amp;DL194&amp;" / "&amp;DL195,"No consensus"),"No consensus"),DL193)     ))</f>
        <v>na</v>
      </c>
      <c r="DM27" s="58">
        <f>DM193</f>
        <v>0</v>
      </c>
      <c r="DN27" s="58">
        <f>DN193</f>
        <v>0</v>
      </c>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row>
    <row r="28" spans="1:142" s="132" customFormat="1" x14ac:dyDescent="0.25">
      <c r="A28" s="23"/>
      <c r="B28" s="112" t="s">
        <v>350</v>
      </c>
      <c r="C28" s="126"/>
      <c r="D28" s="113">
        <f>SUM(D22:D27)</f>
        <v>9</v>
      </c>
      <c r="E28" s="113">
        <f>SUM(E22:E27)</f>
        <v>4</v>
      </c>
      <c r="F28" s="23"/>
      <c r="G28" s="137"/>
      <c r="H28" s="137"/>
      <c r="I28" s="137"/>
      <c r="J28" s="53"/>
      <c r="K28" s="23"/>
      <c r="L28" s="23"/>
      <c r="M28" s="23"/>
      <c r="N28" s="23"/>
      <c r="O28" s="23"/>
      <c r="P28" s="23"/>
      <c r="Q28" s="73"/>
      <c r="R28" s="56"/>
      <c r="S28" s="112" t="s">
        <v>350</v>
      </c>
      <c r="T28" s="113"/>
      <c r="U28" s="113">
        <f>SUM(U22:U27)</f>
        <v>10</v>
      </c>
      <c r="V28" s="113">
        <f>SUM(V22:V27)</f>
        <v>3</v>
      </c>
      <c r="W28" s="23"/>
      <c r="X28" s="56"/>
      <c r="Y28" s="56"/>
      <c r="Z28" s="23"/>
      <c r="AA28" s="23"/>
      <c r="AB28" s="23"/>
      <c r="AC28" s="23"/>
      <c r="AD28" s="142"/>
      <c r="AE28" s="144"/>
      <c r="AF28" s="73"/>
      <c r="AG28" s="56"/>
      <c r="AH28" s="112" t="s">
        <v>350</v>
      </c>
      <c r="AI28" s="113"/>
      <c r="AJ28" s="113">
        <f>SUM(AJ22:AJ27)</f>
        <v>6</v>
      </c>
      <c r="AK28" s="113">
        <f>SUM(AK22:AK27)</f>
        <v>0</v>
      </c>
      <c r="AL28" s="23"/>
      <c r="AM28" s="56"/>
      <c r="AN28" s="56"/>
      <c r="AO28" s="23"/>
      <c r="AP28" s="23"/>
      <c r="AQ28" s="23"/>
      <c r="AR28" s="23"/>
      <c r="AS28" s="142"/>
      <c r="AT28" s="144"/>
      <c r="AU28" s="73"/>
      <c r="AV28" s="23"/>
      <c r="AW28" s="112" t="s">
        <v>350</v>
      </c>
      <c r="AX28" s="113"/>
      <c r="AY28" s="113">
        <f>SUM(AY22:AY27)</f>
        <v>6</v>
      </c>
      <c r="AZ28" s="113">
        <f>SUM(AZ22:AZ27)</f>
        <v>0</v>
      </c>
      <c r="BA28" s="23"/>
      <c r="BB28" s="56"/>
      <c r="BC28" s="56"/>
      <c r="BD28" s="23"/>
      <c r="BE28" s="23"/>
      <c r="BF28" s="23"/>
      <c r="BG28" s="23"/>
      <c r="BH28" s="142"/>
      <c r="BI28" s="144"/>
      <c r="BJ28" s="372"/>
      <c r="BK28" s="56"/>
      <c r="BL28" s="112" t="s">
        <v>350</v>
      </c>
      <c r="BM28" s="113"/>
      <c r="BN28" s="113">
        <f>SUM(BN22:BN27)</f>
        <v>6</v>
      </c>
      <c r="BO28" s="113">
        <f>SUM(BO22:BO27)</f>
        <v>0</v>
      </c>
      <c r="BP28" s="23"/>
      <c r="BQ28" s="56"/>
      <c r="BR28" s="56"/>
      <c r="BS28" s="23"/>
      <c r="BT28" s="23"/>
      <c r="BU28" s="23"/>
      <c r="BV28" s="23"/>
      <c r="BW28" s="142"/>
      <c r="BX28" s="144"/>
      <c r="BY28" s="372"/>
      <c r="BZ28" s="23"/>
      <c r="CA28" s="112" t="s">
        <v>350</v>
      </c>
      <c r="CB28" s="113">
        <f>SUM(CB22:CB27)</f>
        <v>14</v>
      </c>
      <c r="CC28" s="56"/>
      <c r="CD28" s="56"/>
      <c r="CE28" s="56"/>
      <c r="CF28" s="39"/>
      <c r="CG28" s="23"/>
      <c r="CH28" s="23"/>
      <c r="CI28" s="23"/>
      <c r="CJ28" s="23"/>
      <c r="CK28" s="23"/>
      <c r="CL28" s="23"/>
      <c r="CM28" s="23"/>
      <c r="CN28" s="23"/>
      <c r="CO28" s="90"/>
      <c r="CP28" s="23"/>
      <c r="CQ28" s="73"/>
      <c r="CR28" s="23"/>
      <c r="CS28" s="112" t="s">
        <v>350</v>
      </c>
      <c r="CT28" s="113">
        <f>SUM(CT22:CT27)</f>
        <v>6</v>
      </c>
      <c r="CU28" s="56"/>
      <c r="CV28" s="31"/>
      <c r="CW28" s="56"/>
      <c r="CX28" s="39"/>
      <c r="CY28" s="23"/>
      <c r="CZ28" s="23"/>
      <c r="DA28" s="23"/>
      <c r="DB28" s="23"/>
      <c r="DC28" s="23"/>
      <c r="DD28" s="23"/>
      <c r="DE28" s="23"/>
      <c r="DF28" s="23"/>
      <c r="DG28" s="90"/>
      <c r="DH28" s="23"/>
      <c r="DI28" s="73"/>
      <c r="DJ28" s="23"/>
      <c r="DK28" s="112" t="s">
        <v>350</v>
      </c>
      <c r="DL28" s="126"/>
      <c r="DM28" s="113">
        <f>SUM(DM22:DM27)</f>
        <v>9</v>
      </c>
      <c r="DN28" s="113">
        <f>SUM(DN22:DN27)</f>
        <v>0</v>
      </c>
      <c r="DO28" s="53"/>
      <c r="DP28" s="23"/>
      <c r="DQ28" s="23"/>
      <c r="DR28" s="23"/>
      <c r="DS28" s="23"/>
      <c r="DT28" s="23"/>
      <c r="DU28" s="23"/>
      <c r="DV28" s="23"/>
      <c r="DW28" s="23"/>
      <c r="DX28" s="23"/>
      <c r="DY28" s="23"/>
      <c r="DZ28" s="23"/>
      <c r="EA28" s="23"/>
      <c r="EB28" s="23"/>
      <c r="EC28" s="23"/>
      <c r="ED28" s="23"/>
      <c r="EE28" s="23"/>
      <c r="EF28" s="23"/>
      <c r="EG28" s="23"/>
      <c r="EH28" s="23"/>
      <c r="EI28" s="23"/>
      <c r="EJ28" s="23"/>
      <c r="EK28" s="23"/>
      <c r="EL28" s="23"/>
    </row>
    <row r="29" spans="1:142" x14ac:dyDescent="0.25">
      <c r="A29" s="14"/>
      <c r="B29" s="23"/>
      <c r="C29" s="14"/>
      <c r="D29" s="18"/>
      <c r="E29" s="14"/>
      <c r="F29" s="14"/>
      <c r="G29" s="14"/>
      <c r="H29" s="21"/>
      <c r="I29" s="21"/>
      <c r="J29" s="14"/>
      <c r="K29" s="14"/>
      <c r="L29" s="14"/>
      <c r="M29" s="14"/>
      <c r="N29" s="14"/>
      <c r="O29" s="14"/>
      <c r="P29" s="14"/>
      <c r="Q29" s="47"/>
      <c r="R29" s="19"/>
      <c r="S29" s="14"/>
      <c r="T29" s="14"/>
      <c r="U29" s="14"/>
      <c r="V29" s="14"/>
      <c r="W29" s="14"/>
      <c r="X29" s="19"/>
      <c r="Y29" s="19"/>
      <c r="Z29" s="14"/>
      <c r="AA29" s="14"/>
      <c r="AB29" s="14"/>
      <c r="AC29" s="14"/>
      <c r="AD29" s="65"/>
      <c r="AE29" s="63"/>
      <c r="AF29" s="47"/>
      <c r="AG29" s="19"/>
      <c r="AH29" s="14"/>
      <c r="AI29" s="14"/>
      <c r="AJ29" s="14"/>
      <c r="AK29" s="14"/>
      <c r="AL29" s="14"/>
      <c r="AM29" s="19"/>
      <c r="AN29" s="19"/>
      <c r="AO29" s="14"/>
      <c r="AP29" s="14"/>
      <c r="AQ29" s="14"/>
      <c r="AR29" s="14"/>
      <c r="AS29" s="65"/>
      <c r="AT29" s="63"/>
      <c r="AU29" s="47"/>
      <c r="AV29" s="14"/>
      <c r="AW29" s="14"/>
      <c r="AX29" s="14"/>
      <c r="AY29" s="14"/>
      <c r="AZ29" s="14"/>
      <c r="BA29" s="14"/>
      <c r="BB29" s="19"/>
      <c r="BC29" s="19"/>
      <c r="BD29" s="14"/>
      <c r="BE29" s="14"/>
      <c r="BF29" s="14"/>
      <c r="BG29" s="14"/>
      <c r="BH29" s="65"/>
      <c r="BI29" s="63"/>
      <c r="BJ29" s="352"/>
      <c r="BK29" s="19"/>
      <c r="BL29" s="14"/>
      <c r="BM29" s="14"/>
      <c r="BN29" s="14"/>
      <c r="BO29" s="14"/>
      <c r="BP29" s="14"/>
      <c r="BQ29" s="19"/>
      <c r="BR29" s="19"/>
      <c r="BS29" s="14"/>
      <c r="BT29" s="14"/>
      <c r="BU29" s="14"/>
      <c r="BV29" s="14"/>
      <c r="BW29" s="65"/>
      <c r="BX29" s="63"/>
      <c r="BY29" s="352"/>
      <c r="BZ29" s="14"/>
      <c r="CA29" s="19"/>
      <c r="CB29" s="27"/>
      <c r="CC29" s="27"/>
      <c r="CD29" s="27"/>
      <c r="CE29" s="27"/>
      <c r="CF29" s="59"/>
      <c r="CG29" s="15"/>
      <c r="CH29" s="14"/>
      <c r="CI29" s="14"/>
      <c r="CJ29" s="14"/>
      <c r="CK29" s="14"/>
      <c r="CL29" s="14"/>
      <c r="CM29" s="14"/>
      <c r="CN29" s="14"/>
      <c r="CO29" s="129"/>
      <c r="CP29" s="30"/>
      <c r="CQ29" s="47"/>
      <c r="CR29" s="14"/>
      <c r="CS29" s="14"/>
      <c r="CT29" s="19"/>
      <c r="CU29" s="19"/>
      <c r="CV29" s="27"/>
      <c r="CW29" s="19"/>
      <c r="CX29" s="59"/>
      <c r="CY29" s="14"/>
      <c r="CZ29" s="14"/>
      <c r="DA29" s="14"/>
      <c r="DB29" s="14"/>
      <c r="DC29" s="14"/>
      <c r="DD29" s="14"/>
      <c r="DE29" s="14"/>
      <c r="DF29" s="14"/>
      <c r="DG29" s="129"/>
      <c r="DH29" s="14"/>
      <c r="DI29" s="47"/>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row>
    <row r="30" spans="1:142" s="133" customFormat="1" x14ac:dyDescent="0.25">
      <c r="A30" s="21"/>
      <c r="B30" s="266"/>
      <c r="C30" s="27"/>
      <c r="D30" s="31"/>
      <c r="E30" s="27"/>
      <c r="F30" s="27"/>
      <c r="G30" s="21"/>
      <c r="H30" s="21"/>
      <c r="I30" s="21"/>
      <c r="J30" s="21"/>
      <c r="K30" s="21"/>
      <c r="L30" s="21"/>
      <c r="M30" s="21"/>
      <c r="N30" s="21"/>
      <c r="O30" s="21"/>
      <c r="P30" s="21"/>
      <c r="Q30" s="47"/>
      <c r="R30" s="21"/>
      <c r="S30" s="21"/>
      <c r="T30" s="21"/>
      <c r="U30" s="21"/>
      <c r="V30" s="21"/>
      <c r="W30" s="21"/>
      <c r="X30" s="19"/>
      <c r="Y30" s="19"/>
      <c r="Z30" s="21"/>
      <c r="AA30" s="21"/>
      <c r="AB30" s="21"/>
      <c r="AC30" s="21"/>
      <c r="AD30" s="143"/>
      <c r="AE30" s="145"/>
      <c r="AF30" s="46"/>
      <c r="AG30" s="21"/>
      <c r="AH30" s="21"/>
      <c r="AI30" s="21"/>
      <c r="AJ30" s="21"/>
      <c r="AK30" s="21"/>
      <c r="AL30" s="21"/>
      <c r="AM30" s="19"/>
      <c r="AN30" s="19"/>
      <c r="AO30" s="21"/>
      <c r="AP30" s="21"/>
      <c r="AQ30" s="21"/>
      <c r="AR30" s="21"/>
      <c r="AS30" s="143"/>
      <c r="AT30" s="145"/>
      <c r="AU30" s="46"/>
      <c r="AV30" s="21"/>
      <c r="AW30" s="21"/>
      <c r="AX30" s="21"/>
      <c r="AY30" s="21"/>
      <c r="AZ30" s="21"/>
      <c r="BA30" s="21"/>
      <c r="BB30" s="19"/>
      <c r="BC30" s="19"/>
      <c r="BD30" s="21"/>
      <c r="BE30" s="21"/>
      <c r="BF30" s="21"/>
      <c r="BG30" s="21"/>
      <c r="BH30" s="143"/>
      <c r="BI30" s="145"/>
      <c r="BJ30" s="374"/>
      <c r="BK30" s="21"/>
      <c r="BL30" s="21"/>
      <c r="BM30" s="21"/>
      <c r="BN30" s="21"/>
      <c r="BO30" s="21"/>
      <c r="BP30" s="21"/>
      <c r="BQ30" s="19"/>
      <c r="BR30" s="19"/>
      <c r="BS30" s="21"/>
      <c r="BT30" s="21"/>
      <c r="BU30" s="21"/>
      <c r="BV30" s="21"/>
      <c r="BW30" s="143"/>
      <c r="BX30" s="145"/>
      <c r="BY30" s="374"/>
      <c r="BZ30" s="21"/>
      <c r="CA30" s="27"/>
      <c r="CB30" s="27"/>
      <c r="CC30" s="27"/>
      <c r="CD30" s="51"/>
      <c r="CE30" s="96"/>
      <c r="CF30" s="32"/>
      <c r="CG30" s="32"/>
      <c r="CH30" s="21"/>
      <c r="CI30" s="14"/>
      <c r="CJ30" s="14"/>
      <c r="CK30" s="14"/>
      <c r="CL30" s="14"/>
      <c r="CM30" s="14"/>
      <c r="CN30" s="14"/>
      <c r="CO30" s="129"/>
      <c r="CP30" s="28"/>
      <c r="CQ30" s="46"/>
      <c r="CR30" s="21"/>
      <c r="CS30" s="21"/>
      <c r="CT30" s="21"/>
      <c r="CU30" s="21"/>
      <c r="CV30" s="21"/>
      <c r="CW30" s="21"/>
      <c r="CX30" s="21"/>
      <c r="CY30" s="21"/>
      <c r="CZ30" s="21"/>
      <c r="DA30" s="21"/>
      <c r="DB30" s="21"/>
      <c r="DC30" s="21"/>
      <c r="DD30" s="21"/>
      <c r="DE30" s="21"/>
      <c r="DF30" s="21"/>
      <c r="DG30" s="285"/>
      <c r="DH30" s="21"/>
      <c r="DI30" s="46"/>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row>
    <row r="31" spans="1:142" s="133" customFormat="1" x14ac:dyDescent="0.25">
      <c r="A31" s="21"/>
      <c r="B31" s="269"/>
      <c r="C31" s="267"/>
      <c r="D31" s="267"/>
      <c r="E31" s="267"/>
      <c r="F31" s="267"/>
      <c r="G31" s="21"/>
      <c r="H31" s="21"/>
      <c r="I31" s="21"/>
      <c r="J31" s="21"/>
      <c r="K31" s="21"/>
      <c r="L31" s="21"/>
      <c r="M31" s="21"/>
      <c r="N31" s="21"/>
      <c r="O31" s="21"/>
      <c r="P31" s="21"/>
      <c r="Q31" s="47"/>
      <c r="R31" s="27"/>
      <c r="S31" s="159" t="s">
        <v>692</v>
      </c>
      <c r="T31" s="160">
        <f>IF(U28=0,"",IF(U38&gt;=0.5,"No consensus",IF(AND(U39&gt;0,U40&gt;0),U39/U40,IF(U39&gt;U40,"Likely","Unlikely"))))</f>
        <v>0.10869565217391304</v>
      </c>
      <c r="U31" s="161" t="str">
        <f>IFERROR(IF(T31/2&gt;=0,IF(T31&gt;2,"Likely",IF(T31&lt;0.5,"Unlikely","No clear consensus on the likelihood"))),"")</f>
        <v>Unlikely</v>
      </c>
      <c r="V31" s="21"/>
      <c r="W31" s="21"/>
      <c r="X31" s="19"/>
      <c r="Y31" s="19"/>
      <c r="Z31" s="21"/>
      <c r="AA31" s="21"/>
      <c r="AB31" s="21"/>
      <c r="AC31" s="21"/>
      <c r="AD31" s="143"/>
      <c r="AE31" s="145"/>
      <c r="AF31" s="46"/>
      <c r="AG31" s="27"/>
      <c r="AH31" s="159" t="s">
        <v>692</v>
      </c>
      <c r="AI31" s="160" t="str">
        <f>IF(AJ28=0,"",IF(AJ38&gt;=0.5,"No consensus",IF(AND(AJ39&gt;0,AJ40&gt;0),AJ39/AJ40,IF(AJ39&gt;AJ40,"Likely","Unlikely"))))</f>
        <v>Unlikely</v>
      </c>
      <c r="AJ31" s="161" t="str">
        <f>IFERROR(IF(AI31/2&gt;=0,IF(AI31&gt;2,"Likely",IF(AI31&lt;0.5,"Unlikely","No clear consensus on the likelihood"))),"")</f>
        <v/>
      </c>
      <c r="AK31" s="21"/>
      <c r="AL31" s="21"/>
      <c r="AM31" s="19"/>
      <c r="AN31" s="19"/>
      <c r="AO31" s="21"/>
      <c r="AP31" s="21"/>
      <c r="AQ31" s="21"/>
      <c r="AR31" s="21"/>
      <c r="AS31" s="143"/>
      <c r="AT31" s="145"/>
      <c r="AU31" s="46"/>
      <c r="AV31" s="21"/>
      <c r="AW31" s="159" t="s">
        <v>692</v>
      </c>
      <c r="AX31" s="160" t="str">
        <f>IF(AY28=0,"",IF(AY38&gt;=0.5,"No consensus",IF(AND(AY39&gt;0,AY40&gt;0),AY39/AY40,IF(AY39&gt;AY40,"Likely","Unlikely"))))</f>
        <v>Unlikely</v>
      </c>
      <c r="AY31" s="161" t="str">
        <f>IFERROR(IF(AX31/2&gt;=0,IF(AX31&gt;2,"Likely",IF(AX31&lt;0.5,"Unlikely","No clear consensus on the likelihood"))),"")</f>
        <v/>
      </c>
      <c r="AZ31" s="21"/>
      <c r="BA31" s="21"/>
      <c r="BB31" s="19"/>
      <c r="BC31" s="19"/>
      <c r="BD31" s="21"/>
      <c r="BE31" s="21"/>
      <c r="BF31" s="21"/>
      <c r="BG31" s="21"/>
      <c r="BH31" s="143"/>
      <c r="BI31" s="145"/>
      <c r="BJ31" s="374"/>
      <c r="BK31" s="27"/>
      <c r="BL31" s="159" t="s">
        <v>692</v>
      </c>
      <c r="BM31" s="160">
        <f>IF(BN28=0,"",IF(BN38&gt;=0.5,"No consensus",IF(AND(BN39&gt;0,BN40&gt;0),BN39/BN40,IF(BN39&gt;BN40,"Likely","Unlikely"))))</f>
        <v>0.25</v>
      </c>
      <c r="BN31" s="161" t="str">
        <f>IFERROR(IF(BM31/2&gt;=0,IF(BM31&gt;=2,"Likely",IF(BM31&lt;=0.5,"Unlikely","No clear consensus on the likelihood"))),"")</f>
        <v>Unlikely</v>
      </c>
      <c r="BO31" s="21"/>
      <c r="BP31" s="21"/>
      <c r="BQ31" s="19"/>
      <c r="BR31" s="19"/>
      <c r="BS31" s="21"/>
      <c r="BT31" s="21"/>
      <c r="BU31" s="21"/>
      <c r="BV31" s="21"/>
      <c r="BW31" s="143"/>
      <c r="BX31" s="145"/>
      <c r="BY31" s="374"/>
      <c r="BZ31" s="21"/>
      <c r="CA31" s="43"/>
      <c r="CB31" s="209"/>
      <c r="CC31" s="518"/>
      <c r="CD31" s="518"/>
      <c r="CE31" s="518"/>
      <c r="CF31" s="518"/>
      <c r="CG31" s="518"/>
      <c r="CH31" s="518"/>
      <c r="CI31" s="518"/>
      <c r="CJ31" s="518"/>
      <c r="CK31" s="518"/>
      <c r="CL31" s="518"/>
      <c r="CM31" s="518"/>
      <c r="CN31" s="518"/>
      <c r="CO31" s="518"/>
      <c r="CP31" s="27"/>
      <c r="CQ31" s="46"/>
      <c r="CR31" s="21"/>
      <c r="CS31" s="212"/>
      <c r="CT31" s="209"/>
      <c r="CU31" s="519"/>
      <c r="CV31" s="519"/>
      <c r="CW31" s="519"/>
      <c r="CX31" s="519"/>
      <c r="CY31" s="519"/>
      <c r="CZ31" s="519"/>
      <c r="DA31" s="519"/>
      <c r="DB31" s="519"/>
      <c r="DC31" s="519"/>
      <c r="DD31" s="519"/>
      <c r="DE31" s="519"/>
      <c r="DF31" s="519"/>
      <c r="DG31" s="519"/>
      <c r="DH31" s="21"/>
      <c r="DI31" s="46"/>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row>
    <row r="32" spans="1:142" s="133" customFormat="1" ht="15" customHeight="1" x14ac:dyDescent="0.25">
      <c r="A32" s="21"/>
      <c r="B32" s="211"/>
      <c r="C32" s="265"/>
      <c r="D32" s="270"/>
      <c r="E32" s="270"/>
      <c r="F32" s="270"/>
      <c r="G32" s="21"/>
      <c r="H32" s="21"/>
      <c r="I32" s="21"/>
      <c r="J32" s="21"/>
      <c r="K32" s="21"/>
      <c r="L32" s="21"/>
      <c r="M32" s="21"/>
      <c r="N32" s="21"/>
      <c r="O32" s="21"/>
      <c r="P32" s="21"/>
      <c r="Q32" s="47"/>
      <c r="R32" s="27"/>
      <c r="S32" s="21"/>
      <c r="T32" s="21"/>
      <c r="U32" s="21"/>
      <c r="V32" s="21"/>
      <c r="W32" s="21"/>
      <c r="X32" s="19"/>
      <c r="Y32" s="19"/>
      <c r="Z32" s="21"/>
      <c r="AA32" s="21"/>
      <c r="AB32" s="21"/>
      <c r="AC32" s="21"/>
      <c r="AD32" s="143"/>
      <c r="AE32" s="145"/>
      <c r="AF32" s="46"/>
      <c r="AG32" s="27"/>
      <c r="AH32" s="21"/>
      <c r="AI32" s="21"/>
      <c r="AJ32" s="21"/>
      <c r="AK32" s="21"/>
      <c r="AL32" s="21"/>
      <c r="AM32" s="19"/>
      <c r="AN32" s="19"/>
      <c r="AO32" s="21"/>
      <c r="AP32" s="21"/>
      <c r="AQ32" s="21"/>
      <c r="AR32" s="21"/>
      <c r="AS32" s="143"/>
      <c r="AT32" s="145"/>
      <c r="AU32" s="46"/>
      <c r="AV32" s="21"/>
      <c r="AW32" s="21"/>
      <c r="AX32" s="21"/>
      <c r="AY32" s="21"/>
      <c r="AZ32" s="21"/>
      <c r="BA32" s="21"/>
      <c r="BB32" s="19"/>
      <c r="BC32" s="19"/>
      <c r="BD32" s="21"/>
      <c r="BE32" s="21"/>
      <c r="BF32" s="21"/>
      <c r="BG32" s="21"/>
      <c r="BH32" s="143"/>
      <c r="BI32" s="145"/>
      <c r="BJ32" s="374"/>
      <c r="BK32" s="27"/>
      <c r="BL32" s="21"/>
      <c r="BM32" s="21"/>
      <c r="BN32" s="21"/>
      <c r="BO32" s="21"/>
      <c r="BP32" s="21"/>
      <c r="BQ32" s="19"/>
      <c r="BR32" s="19"/>
      <c r="BS32" s="21"/>
      <c r="BT32" s="21"/>
      <c r="BU32" s="21"/>
      <c r="BV32" s="21"/>
      <c r="BW32" s="143"/>
      <c r="BX32" s="145"/>
      <c r="BY32" s="374"/>
      <c r="BZ32" s="21"/>
      <c r="CA32" s="210"/>
      <c r="CB32" s="211"/>
      <c r="CC32" s="515"/>
      <c r="CD32" s="515"/>
      <c r="CE32" s="515"/>
      <c r="CF32" s="515"/>
      <c r="CG32" s="515"/>
      <c r="CH32" s="515"/>
      <c r="CI32" s="515"/>
      <c r="CJ32" s="515"/>
      <c r="CK32" s="515"/>
      <c r="CL32" s="515"/>
      <c r="CM32" s="515"/>
      <c r="CN32" s="515"/>
      <c r="CO32" s="515"/>
      <c r="CP32" s="27"/>
      <c r="CQ32" s="46"/>
      <c r="CR32" s="21"/>
      <c r="CS32" s="71"/>
      <c r="CT32" s="71"/>
      <c r="CU32" s="516"/>
      <c r="CV32" s="516"/>
      <c r="CW32" s="516"/>
      <c r="CX32" s="516"/>
      <c r="CY32" s="516"/>
      <c r="CZ32" s="516"/>
      <c r="DA32" s="516"/>
      <c r="DB32" s="516"/>
      <c r="DC32" s="516"/>
      <c r="DD32" s="516"/>
      <c r="DE32" s="516"/>
      <c r="DF32" s="516"/>
      <c r="DG32" s="516"/>
      <c r="DH32" s="21"/>
      <c r="DI32" s="46"/>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row>
    <row r="33" spans="1:142" ht="42.75" customHeight="1" x14ac:dyDescent="0.25">
      <c r="A33" s="14"/>
      <c r="B33" s="211"/>
      <c r="C33" s="265"/>
      <c r="D33" s="270"/>
      <c r="E33" s="270"/>
      <c r="F33" s="270"/>
      <c r="G33" s="14"/>
      <c r="H33" s="21"/>
      <c r="I33" s="21"/>
      <c r="J33" s="14"/>
      <c r="K33" s="14"/>
      <c r="L33" s="14"/>
      <c r="M33" s="14"/>
      <c r="N33" s="14"/>
      <c r="O33" s="14"/>
      <c r="P33" s="14"/>
      <c r="Q33" s="47"/>
      <c r="R33" s="19"/>
      <c r="S33" s="545" t="s">
        <v>757</v>
      </c>
      <c r="T33" s="546"/>
      <c r="U33" s="547"/>
      <c r="V33" s="14"/>
      <c r="W33" s="14"/>
      <c r="X33" s="19"/>
      <c r="Y33" s="19"/>
      <c r="Z33" s="14"/>
      <c r="AA33" s="14"/>
      <c r="AB33" s="14"/>
      <c r="AC33" s="14"/>
      <c r="AD33" s="65"/>
      <c r="AE33" s="63"/>
      <c r="AF33" s="47"/>
      <c r="AG33" s="19"/>
      <c r="AH33" s="545" t="s">
        <v>757</v>
      </c>
      <c r="AI33" s="546"/>
      <c r="AJ33" s="547"/>
      <c r="AK33" s="14"/>
      <c r="AL33" s="14"/>
      <c r="AM33" s="19"/>
      <c r="AN33" s="19"/>
      <c r="AO33" s="14"/>
      <c r="AP33" s="14"/>
      <c r="AQ33" s="14"/>
      <c r="AR33" s="14"/>
      <c r="AS33" s="65"/>
      <c r="AT33" s="63"/>
      <c r="AU33" s="47"/>
      <c r="AV33" s="14"/>
      <c r="AW33" s="545" t="s">
        <v>757</v>
      </c>
      <c r="AX33" s="546"/>
      <c r="AY33" s="547"/>
      <c r="AZ33" s="14"/>
      <c r="BA33" s="14"/>
      <c r="BB33" s="19"/>
      <c r="BC33" s="19"/>
      <c r="BD33" s="14"/>
      <c r="BE33" s="14"/>
      <c r="BF33" s="14"/>
      <c r="BG33" s="14"/>
      <c r="BH33" s="65"/>
      <c r="BI33" s="63"/>
      <c r="BJ33" s="352"/>
      <c r="BK33" s="19"/>
      <c r="BL33" s="545" t="s">
        <v>757</v>
      </c>
      <c r="BM33" s="546"/>
      <c r="BN33" s="547"/>
      <c r="BO33" s="14"/>
      <c r="BP33" s="14"/>
      <c r="BQ33" s="19"/>
      <c r="BR33" s="19"/>
      <c r="BS33" s="14"/>
      <c r="BT33" s="14"/>
      <c r="BU33" s="14"/>
      <c r="BV33" s="14"/>
      <c r="BW33" s="65"/>
      <c r="BX33" s="63"/>
      <c r="BY33" s="352"/>
      <c r="BZ33" s="14"/>
      <c r="CA33" s="210"/>
      <c r="CB33" s="211"/>
      <c r="CC33" s="515"/>
      <c r="CD33" s="515"/>
      <c r="CE33" s="515"/>
      <c r="CF33" s="515"/>
      <c r="CG33" s="515"/>
      <c r="CH33" s="515"/>
      <c r="CI33" s="515"/>
      <c r="CJ33" s="515"/>
      <c r="CK33" s="515"/>
      <c r="CL33" s="515"/>
      <c r="CM33" s="515"/>
      <c r="CN33" s="515"/>
      <c r="CO33" s="515"/>
      <c r="CP33" s="14"/>
      <c r="CQ33" s="47"/>
      <c r="CR33" s="14"/>
      <c r="CS33" s="71"/>
      <c r="CT33" s="71"/>
      <c r="CU33" s="516"/>
      <c r="CV33" s="516"/>
      <c r="CW33" s="516"/>
      <c r="CX33" s="516"/>
      <c r="CY33" s="516"/>
      <c r="CZ33" s="516"/>
      <c r="DA33" s="516"/>
      <c r="DB33" s="516"/>
      <c r="DC33" s="516"/>
      <c r="DD33" s="516"/>
      <c r="DE33" s="516"/>
      <c r="DF33" s="516"/>
      <c r="DG33" s="516"/>
      <c r="DH33" s="14"/>
      <c r="DI33" s="47"/>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row>
    <row r="34" spans="1:142" ht="28.5" customHeight="1" x14ac:dyDescent="0.25">
      <c r="A34" s="14"/>
      <c r="B34" s="211"/>
      <c r="C34" s="265"/>
      <c r="D34" s="270"/>
      <c r="E34" s="270"/>
      <c r="F34" s="270"/>
      <c r="G34" s="14"/>
      <c r="H34" s="21"/>
      <c r="I34" s="21"/>
      <c r="J34" s="14"/>
      <c r="K34" s="14"/>
      <c r="L34" s="14"/>
      <c r="M34" s="14"/>
      <c r="N34" s="14"/>
      <c r="O34" s="14"/>
      <c r="P34" s="14"/>
      <c r="Q34" s="47"/>
      <c r="R34" s="19"/>
      <c r="S34" s="548"/>
      <c r="T34" s="549"/>
      <c r="U34" s="550"/>
      <c r="V34" s="14"/>
      <c r="W34" s="14"/>
      <c r="X34" s="19"/>
      <c r="Y34" s="19"/>
      <c r="Z34" s="14"/>
      <c r="AA34" s="14"/>
      <c r="AB34" s="14"/>
      <c r="AC34" s="14"/>
      <c r="AD34" s="65"/>
      <c r="AE34" s="63"/>
      <c r="AF34" s="47"/>
      <c r="AG34" s="19"/>
      <c r="AH34" s="548"/>
      <c r="AI34" s="549"/>
      <c r="AJ34" s="550"/>
      <c r="AK34" s="14"/>
      <c r="AL34" s="14"/>
      <c r="AM34" s="19"/>
      <c r="AN34" s="19"/>
      <c r="AO34" s="14"/>
      <c r="AP34" s="14"/>
      <c r="AQ34" s="14"/>
      <c r="AR34" s="14"/>
      <c r="AS34" s="65"/>
      <c r="AT34" s="63"/>
      <c r="AU34" s="47"/>
      <c r="AV34" s="14"/>
      <c r="AW34" s="548"/>
      <c r="AX34" s="549"/>
      <c r="AY34" s="550"/>
      <c r="AZ34" s="14"/>
      <c r="BA34" s="14"/>
      <c r="BB34" s="19"/>
      <c r="BC34" s="19"/>
      <c r="BD34" s="14"/>
      <c r="BE34" s="14"/>
      <c r="BF34" s="14"/>
      <c r="BG34" s="14"/>
      <c r="BH34" s="65"/>
      <c r="BI34" s="63"/>
      <c r="BJ34" s="352"/>
      <c r="BK34" s="19"/>
      <c r="BL34" s="548"/>
      <c r="BM34" s="549"/>
      <c r="BN34" s="550"/>
      <c r="BO34" s="14"/>
      <c r="BP34" s="14"/>
      <c r="BQ34" s="19"/>
      <c r="BR34" s="19"/>
      <c r="BS34" s="14"/>
      <c r="BT34" s="14"/>
      <c r="BU34" s="14"/>
      <c r="BV34" s="14"/>
      <c r="BW34" s="65"/>
      <c r="BX34" s="63"/>
      <c r="BY34" s="352"/>
      <c r="BZ34" s="14"/>
      <c r="CA34" s="210"/>
      <c r="CB34" s="211"/>
      <c r="CC34" s="515"/>
      <c r="CD34" s="515"/>
      <c r="CE34" s="515"/>
      <c r="CF34" s="515"/>
      <c r="CG34" s="515"/>
      <c r="CH34" s="515"/>
      <c r="CI34" s="515"/>
      <c r="CJ34" s="515"/>
      <c r="CK34" s="515"/>
      <c r="CL34" s="515"/>
      <c r="CM34" s="515"/>
      <c r="CN34" s="515"/>
      <c r="CO34" s="515"/>
      <c r="CP34" s="14"/>
      <c r="CQ34" s="47"/>
      <c r="CR34" s="14"/>
      <c r="CS34" s="71"/>
      <c r="CT34" s="71"/>
      <c r="CU34" s="516"/>
      <c r="CV34" s="516"/>
      <c r="CW34" s="516"/>
      <c r="CX34" s="516"/>
      <c r="CY34" s="516"/>
      <c r="CZ34" s="516"/>
      <c r="DA34" s="516"/>
      <c r="DB34" s="516"/>
      <c r="DC34" s="516"/>
      <c r="DD34" s="516"/>
      <c r="DE34" s="516"/>
      <c r="DF34" s="516"/>
      <c r="DG34" s="516"/>
      <c r="DH34" s="14"/>
      <c r="DI34" s="47"/>
      <c r="DJ34" s="14"/>
      <c r="DK34" s="14"/>
      <c r="DL34" s="14"/>
      <c r="DM34" s="14"/>
      <c r="DN34" s="14"/>
      <c r="DO34" s="14"/>
      <c r="DP34" s="14"/>
      <c r="DQ34" s="14"/>
      <c r="DR34" s="103"/>
      <c r="DS34" s="104"/>
      <c r="DT34" s="104"/>
      <c r="DU34" s="104"/>
      <c r="DV34" s="104"/>
      <c r="DW34" s="104"/>
      <c r="DX34" s="104"/>
      <c r="DY34" s="104"/>
      <c r="DZ34" s="14"/>
      <c r="EA34" s="14"/>
      <c r="EB34" s="14"/>
      <c r="EC34" s="14"/>
      <c r="ED34" s="14"/>
      <c r="EE34" s="14"/>
      <c r="EF34" s="14"/>
      <c r="EG34" s="14"/>
      <c r="EH34" s="14"/>
      <c r="EI34" s="14"/>
      <c r="EJ34" s="14"/>
      <c r="EK34" s="14"/>
      <c r="EL34" s="14"/>
    </row>
    <row r="35" spans="1:142" ht="42.75" customHeight="1" x14ac:dyDescent="0.25">
      <c r="A35" s="14"/>
      <c r="B35" s="211"/>
      <c r="C35" s="265"/>
      <c r="D35" s="270"/>
      <c r="E35" s="270"/>
      <c r="F35" s="270"/>
      <c r="G35" s="14"/>
      <c r="H35" s="21"/>
      <c r="I35" s="21"/>
      <c r="J35" s="14"/>
      <c r="K35" s="14"/>
      <c r="L35" s="14"/>
      <c r="M35" s="14"/>
      <c r="N35" s="14"/>
      <c r="O35" s="14"/>
      <c r="P35" s="14"/>
      <c r="Q35" s="47"/>
      <c r="R35" s="19"/>
      <c r="S35" s="551"/>
      <c r="T35" s="552"/>
      <c r="U35" s="553"/>
      <c r="V35" s="14"/>
      <c r="W35" s="14"/>
      <c r="X35" s="19"/>
      <c r="Y35" s="19"/>
      <c r="Z35" s="14"/>
      <c r="AA35" s="14"/>
      <c r="AB35" s="14"/>
      <c r="AC35" s="14"/>
      <c r="AD35" s="65"/>
      <c r="AE35" s="63"/>
      <c r="AF35" s="47"/>
      <c r="AG35" s="19"/>
      <c r="AH35" s="551"/>
      <c r="AI35" s="552"/>
      <c r="AJ35" s="553"/>
      <c r="AK35" s="14"/>
      <c r="AL35" s="14"/>
      <c r="AM35" s="19"/>
      <c r="AN35" s="19"/>
      <c r="AO35" s="14"/>
      <c r="AP35" s="14"/>
      <c r="AQ35" s="14"/>
      <c r="AR35" s="14"/>
      <c r="AS35" s="65"/>
      <c r="AT35" s="63"/>
      <c r="AU35" s="47"/>
      <c r="AV35" s="14"/>
      <c r="AW35" s="551"/>
      <c r="AX35" s="552"/>
      <c r="AY35" s="553"/>
      <c r="AZ35" s="14"/>
      <c r="BA35" s="14"/>
      <c r="BB35" s="19"/>
      <c r="BC35" s="19"/>
      <c r="BD35" s="14"/>
      <c r="BE35" s="14"/>
      <c r="BF35" s="14"/>
      <c r="BG35" s="14"/>
      <c r="BH35" s="65"/>
      <c r="BI35" s="63"/>
      <c r="BJ35" s="352"/>
      <c r="BK35" s="19"/>
      <c r="BL35" s="551"/>
      <c r="BM35" s="552"/>
      <c r="BN35" s="553"/>
      <c r="BO35" s="14"/>
      <c r="BP35" s="14"/>
      <c r="BQ35" s="19"/>
      <c r="BR35" s="19"/>
      <c r="BS35" s="14"/>
      <c r="BT35" s="14"/>
      <c r="BU35" s="14"/>
      <c r="BV35" s="14"/>
      <c r="BW35" s="65"/>
      <c r="BX35" s="63"/>
      <c r="BY35" s="352"/>
      <c r="BZ35" s="14"/>
      <c r="CA35" s="210"/>
      <c r="CB35" s="211"/>
      <c r="CC35" s="515"/>
      <c r="CD35" s="515"/>
      <c r="CE35" s="515"/>
      <c r="CF35" s="515"/>
      <c r="CG35" s="515"/>
      <c r="CH35" s="515"/>
      <c r="CI35" s="515"/>
      <c r="CJ35" s="515"/>
      <c r="CK35" s="515"/>
      <c r="CL35" s="515"/>
      <c r="CM35" s="515"/>
      <c r="CN35" s="515"/>
      <c r="CO35" s="515"/>
      <c r="CP35" s="14"/>
      <c r="CQ35" s="47"/>
      <c r="CR35" s="14"/>
      <c r="CS35" s="71"/>
      <c r="CT35" s="71"/>
      <c r="CU35" s="516"/>
      <c r="CV35" s="516"/>
      <c r="CW35" s="516"/>
      <c r="CX35" s="516"/>
      <c r="CY35" s="516"/>
      <c r="CZ35" s="516"/>
      <c r="DA35" s="516"/>
      <c r="DB35" s="516"/>
      <c r="DC35" s="516"/>
      <c r="DD35" s="516"/>
      <c r="DE35" s="516"/>
      <c r="DF35" s="516"/>
      <c r="DG35" s="516"/>
      <c r="DH35" s="14"/>
      <c r="DI35" s="47"/>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row>
    <row r="36" spans="1:142" ht="15" customHeight="1" x14ac:dyDescent="0.25">
      <c r="A36" s="14"/>
      <c r="B36" s="211"/>
      <c r="C36" s="265"/>
      <c r="D36" s="270"/>
      <c r="E36" s="270"/>
      <c r="F36" s="270"/>
      <c r="G36" s="14"/>
      <c r="H36" s="21"/>
      <c r="I36" s="21"/>
      <c r="J36" s="14"/>
      <c r="K36" s="14"/>
      <c r="L36" s="14"/>
      <c r="M36" s="14"/>
      <c r="N36" s="14"/>
      <c r="O36" s="14"/>
      <c r="P36" s="14"/>
      <c r="Q36" s="47"/>
      <c r="R36" s="19"/>
      <c r="S36" s="362" t="s">
        <v>763</v>
      </c>
      <c r="T36" s="354"/>
      <c r="U36" s="355"/>
      <c r="V36" s="14"/>
      <c r="W36" s="14"/>
      <c r="X36" s="19"/>
      <c r="Y36" s="19"/>
      <c r="Z36" s="14"/>
      <c r="AA36" s="14"/>
      <c r="AB36" s="14"/>
      <c r="AC36" s="14"/>
      <c r="AD36" s="65"/>
      <c r="AE36" s="63"/>
      <c r="AF36" s="47"/>
      <c r="AG36" s="19"/>
      <c r="AH36" s="362" t="s">
        <v>763</v>
      </c>
      <c r="AI36" s="354"/>
      <c r="AJ36" s="355"/>
      <c r="AK36" s="14"/>
      <c r="AL36" s="14"/>
      <c r="AM36" s="19"/>
      <c r="AN36" s="19"/>
      <c r="AO36" s="14"/>
      <c r="AP36" s="14"/>
      <c r="AQ36" s="14"/>
      <c r="AR36" s="14"/>
      <c r="AS36" s="65"/>
      <c r="AT36" s="63"/>
      <c r="AU36" s="47"/>
      <c r="AV36" s="14"/>
      <c r="AW36" s="362" t="s">
        <v>763</v>
      </c>
      <c r="AX36" s="354"/>
      <c r="AY36" s="355"/>
      <c r="AZ36" s="14"/>
      <c r="BA36" s="14"/>
      <c r="BB36" s="19"/>
      <c r="BC36" s="19"/>
      <c r="BD36" s="14"/>
      <c r="BE36" s="14"/>
      <c r="BF36" s="14"/>
      <c r="BG36" s="14"/>
      <c r="BH36" s="65"/>
      <c r="BI36" s="63"/>
      <c r="BJ36" s="352"/>
      <c r="BK36" s="19"/>
      <c r="BL36" s="362" t="s">
        <v>763</v>
      </c>
      <c r="BM36" s="354"/>
      <c r="BN36" s="355"/>
      <c r="BO36" s="14"/>
      <c r="BP36" s="14"/>
      <c r="BQ36" s="19"/>
      <c r="BR36" s="19"/>
      <c r="BS36" s="14"/>
      <c r="BT36" s="14"/>
      <c r="BU36" s="14"/>
      <c r="BV36" s="14"/>
      <c r="BW36" s="65"/>
      <c r="BX36" s="63"/>
      <c r="BY36" s="352"/>
      <c r="BZ36" s="14"/>
      <c r="CA36" s="210"/>
      <c r="CB36" s="211"/>
      <c r="CC36" s="515"/>
      <c r="CD36" s="515"/>
      <c r="CE36" s="515"/>
      <c r="CF36" s="515"/>
      <c r="CG36" s="515"/>
      <c r="CH36" s="515"/>
      <c r="CI36" s="515"/>
      <c r="CJ36" s="515"/>
      <c r="CK36" s="515"/>
      <c r="CL36" s="515"/>
      <c r="CM36" s="515"/>
      <c r="CN36" s="515"/>
      <c r="CO36" s="515"/>
      <c r="CP36" s="14"/>
      <c r="CQ36" s="47"/>
      <c r="CR36" s="14"/>
      <c r="CS36" s="71"/>
      <c r="CT36" s="71"/>
      <c r="CU36" s="516"/>
      <c r="CV36" s="516"/>
      <c r="CW36" s="516"/>
      <c r="CX36" s="516"/>
      <c r="CY36" s="516"/>
      <c r="CZ36" s="516"/>
      <c r="DA36" s="516"/>
      <c r="DB36" s="516"/>
      <c r="DC36" s="516"/>
      <c r="DD36" s="516"/>
      <c r="DE36" s="516"/>
      <c r="DF36" s="516"/>
      <c r="DG36" s="516"/>
      <c r="DH36" s="14"/>
      <c r="DI36" s="47"/>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row>
    <row r="37" spans="1:142" ht="15" customHeight="1" x14ac:dyDescent="0.25">
      <c r="A37" s="14"/>
      <c r="B37" s="211"/>
      <c r="C37" s="265"/>
      <c r="D37" s="270"/>
      <c r="E37" s="270"/>
      <c r="F37" s="270"/>
      <c r="G37" s="14"/>
      <c r="H37" s="21"/>
      <c r="I37" s="21"/>
      <c r="J37" s="14"/>
      <c r="K37" s="14"/>
      <c r="L37" s="14"/>
      <c r="M37" s="14"/>
      <c r="N37" s="14"/>
      <c r="O37" s="14"/>
      <c r="P37" s="14"/>
      <c r="Q37" s="367"/>
      <c r="R37" s="19"/>
      <c r="S37" s="42" t="s">
        <v>759</v>
      </c>
      <c r="T37" s="19"/>
      <c r="U37" s="318">
        <f>COUNTIF(U22:U27,"&lt;&gt;0")</f>
        <v>4</v>
      </c>
      <c r="V37" s="14"/>
      <c r="W37" s="14"/>
      <c r="X37" s="19"/>
      <c r="Y37" s="19"/>
      <c r="Z37" s="14"/>
      <c r="AA37" s="14"/>
      <c r="AB37" s="14"/>
      <c r="AC37" s="14"/>
      <c r="AD37" s="367"/>
      <c r="AE37" s="63"/>
      <c r="AF37" s="47"/>
      <c r="AG37" s="19"/>
      <c r="AH37" s="42" t="s">
        <v>759</v>
      </c>
      <c r="AI37" s="19"/>
      <c r="AJ37" s="318">
        <f>COUNTIF(AJ22:AJ27,"&lt;&gt;0")</f>
        <v>5</v>
      </c>
      <c r="AK37" s="14"/>
      <c r="AL37" s="14"/>
      <c r="AM37" s="19"/>
      <c r="AN37" s="19"/>
      <c r="AO37" s="14"/>
      <c r="AP37" s="14"/>
      <c r="AQ37" s="14"/>
      <c r="AR37" s="14"/>
      <c r="AS37" s="65"/>
      <c r="AT37" s="63"/>
      <c r="AU37" s="47"/>
      <c r="AV37" s="14"/>
      <c r="AW37" s="42" t="s">
        <v>759</v>
      </c>
      <c r="AX37" s="19"/>
      <c r="AY37" s="318">
        <f>COUNTIF(AY22:AY27,"&lt;&gt;0")</f>
        <v>5</v>
      </c>
      <c r="AZ37" s="14"/>
      <c r="BA37" s="14"/>
      <c r="BB37" s="19"/>
      <c r="BC37" s="19"/>
      <c r="BD37" s="14"/>
      <c r="BE37" s="14"/>
      <c r="BF37" s="14"/>
      <c r="BG37" s="14"/>
      <c r="BH37" s="65"/>
      <c r="BI37" s="63"/>
      <c r="BJ37" s="352"/>
      <c r="BK37" s="19"/>
      <c r="BL37" s="42" t="s">
        <v>759</v>
      </c>
      <c r="BM37" s="19"/>
      <c r="BN37" s="318">
        <f>COUNTIF(BN22:BN27,"&lt;&gt;0")</f>
        <v>5</v>
      </c>
      <c r="BO37" s="14"/>
      <c r="BP37" s="14"/>
      <c r="BQ37" s="19"/>
      <c r="BR37" s="19"/>
      <c r="BS37" s="14"/>
      <c r="BT37" s="14"/>
      <c r="BU37" s="14"/>
      <c r="BV37" s="14"/>
      <c r="BW37" s="65"/>
      <c r="BX37" s="63"/>
      <c r="BY37" s="352"/>
      <c r="BZ37" s="14"/>
      <c r="CA37" s="210"/>
      <c r="CB37" s="211"/>
      <c r="CC37" s="515"/>
      <c r="CD37" s="515"/>
      <c r="CE37" s="515"/>
      <c r="CF37" s="515"/>
      <c r="CG37" s="515"/>
      <c r="CH37" s="515"/>
      <c r="CI37" s="515"/>
      <c r="CJ37" s="515"/>
      <c r="CK37" s="515"/>
      <c r="CL37" s="515"/>
      <c r="CM37" s="515"/>
      <c r="CN37" s="515"/>
      <c r="CO37" s="515"/>
      <c r="CP37" s="14"/>
      <c r="CQ37" s="47"/>
      <c r="CR37" s="14"/>
      <c r="CS37" s="71"/>
      <c r="CT37" s="71"/>
      <c r="CU37" s="516"/>
      <c r="CV37" s="516"/>
      <c r="CW37" s="516"/>
      <c r="CX37" s="516"/>
      <c r="CY37" s="516"/>
      <c r="CZ37" s="516"/>
      <c r="DA37" s="516"/>
      <c r="DB37" s="516"/>
      <c r="DC37" s="516"/>
      <c r="DD37" s="516"/>
      <c r="DE37" s="516"/>
      <c r="DF37" s="516"/>
      <c r="DG37" s="516"/>
      <c r="DH37" s="14"/>
      <c r="DI37" s="47"/>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row>
    <row r="38" spans="1:142" ht="15" customHeight="1" x14ac:dyDescent="0.25">
      <c r="A38" s="14"/>
      <c r="B38" s="211"/>
      <c r="C38" s="265"/>
      <c r="D38" s="270"/>
      <c r="E38" s="270"/>
      <c r="F38" s="270"/>
      <c r="G38" s="14"/>
      <c r="H38" s="21"/>
      <c r="I38" s="21"/>
      <c r="J38" s="14"/>
      <c r="K38" s="14"/>
      <c r="L38" s="14"/>
      <c r="M38" s="14"/>
      <c r="N38" s="14"/>
      <c r="O38" s="14"/>
      <c r="P38" s="14"/>
      <c r="Q38" s="368"/>
      <c r="R38" s="19"/>
      <c r="S38" s="42" t="s">
        <v>760</v>
      </c>
      <c r="T38" s="19"/>
      <c r="U38" s="364">
        <f>(IFERROR(V22/U22/U37,0)+IFERROR(V23/U23/U37,0)+IFERROR(V24/U24/U37,0)+IFERROR(V25/U25/U37,0)+IFERROR(V26/U26/U37,0)+IFERROR(V27/U27/U37,0))</f>
        <v>0.15</v>
      </c>
      <c r="V38" s="14"/>
      <c r="W38" s="14"/>
      <c r="X38" s="19"/>
      <c r="Y38" s="19"/>
      <c r="Z38" s="14"/>
      <c r="AA38" s="14"/>
      <c r="AB38" s="14"/>
      <c r="AC38" s="14"/>
      <c r="AD38" s="368"/>
      <c r="AE38" s="63"/>
      <c r="AF38" s="47"/>
      <c r="AG38" s="19"/>
      <c r="AH38" s="42" t="s">
        <v>760</v>
      </c>
      <c r="AI38" s="19"/>
      <c r="AJ38" s="364">
        <f>(IFERROR(AK22/AJ22/AJ37,0)+IFERROR(AK23/AJ23/AJ37,0)+IFERROR(AK24/AJ24/AJ37,0)+IFERROR(AK25/AJ25/AJ37,0)+IFERROR(AK26/AJ26/AJ37,0)+IFERROR(AK27/AJ27/AJ37,0))</f>
        <v>0</v>
      </c>
      <c r="AK38" s="14"/>
      <c r="AL38" s="14"/>
      <c r="AM38" s="19"/>
      <c r="AN38" s="19"/>
      <c r="AO38" s="14"/>
      <c r="AP38" s="14"/>
      <c r="AQ38" s="14"/>
      <c r="AR38" s="14"/>
      <c r="AS38" s="65"/>
      <c r="AT38" s="63"/>
      <c r="AU38" s="47"/>
      <c r="AV38" s="14"/>
      <c r="AW38" s="42" t="s">
        <v>760</v>
      </c>
      <c r="AX38" s="19"/>
      <c r="AY38" s="364">
        <f>(IFERROR(AZ22/AY22/AY37,0)+IFERROR(AZ23/AY23/AY37,0)+IFERROR(AZ24/AY24/AY37,0)+IFERROR(AZ25/AY25/AY37,0)+IFERROR(AZ26/AY26/AY37,0)+IFERROR(AZ27/AY27/AY37,0))</f>
        <v>0</v>
      </c>
      <c r="AZ38" s="14"/>
      <c r="BA38" s="14"/>
      <c r="BB38" s="19"/>
      <c r="BC38" s="19"/>
      <c r="BD38" s="14"/>
      <c r="BE38" s="14"/>
      <c r="BF38" s="14"/>
      <c r="BG38" s="14"/>
      <c r="BH38" s="65"/>
      <c r="BI38" s="63"/>
      <c r="BJ38" s="352"/>
      <c r="BK38" s="19"/>
      <c r="BL38" s="42" t="s">
        <v>760</v>
      </c>
      <c r="BM38" s="19"/>
      <c r="BN38" s="364">
        <f>(IFERROR(BO22/BN22/BN37,0)+IFERROR(BO23/BN23/BN37,0)+IFERROR(BO24/BN24/BN37,0)+IFERROR(BO25/BN25/BN37,0)+IFERROR(BO26/BN26/BN37,0)+IFERROR(BO27/BN27/BN37,0))</f>
        <v>0</v>
      </c>
      <c r="BO38" s="14"/>
      <c r="BP38" s="14"/>
      <c r="BQ38" s="19"/>
      <c r="BR38" s="19"/>
      <c r="BS38" s="14"/>
      <c r="BT38" s="14"/>
      <c r="BU38" s="14"/>
      <c r="BV38" s="14"/>
      <c r="BW38" s="65"/>
      <c r="BX38" s="63"/>
      <c r="BY38" s="352"/>
      <c r="BZ38" s="14"/>
      <c r="CA38" s="210"/>
      <c r="CB38" s="211"/>
      <c r="CC38" s="515"/>
      <c r="CD38" s="515"/>
      <c r="CE38" s="515"/>
      <c r="CF38" s="515"/>
      <c r="CG38" s="515"/>
      <c r="CH38" s="515"/>
      <c r="CI38" s="515"/>
      <c r="CJ38" s="515"/>
      <c r="CK38" s="515"/>
      <c r="CL38" s="515"/>
      <c r="CM38" s="515"/>
      <c r="CN38" s="515"/>
      <c r="CO38" s="515"/>
      <c r="CP38" s="14"/>
      <c r="CQ38" s="47"/>
      <c r="CR38" s="14"/>
      <c r="CS38" s="71"/>
      <c r="CT38" s="71"/>
      <c r="CU38" s="516"/>
      <c r="CV38" s="516"/>
      <c r="CW38" s="516"/>
      <c r="CX38" s="516"/>
      <c r="CY38" s="516"/>
      <c r="CZ38" s="516"/>
      <c r="DA38" s="516"/>
      <c r="DB38" s="516"/>
      <c r="DC38" s="516"/>
      <c r="DD38" s="516"/>
      <c r="DE38" s="516"/>
      <c r="DF38" s="516"/>
      <c r="DG38" s="516"/>
      <c r="DH38" s="14"/>
      <c r="DI38" s="47"/>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row>
    <row r="39" spans="1:142" ht="15.75" customHeight="1" x14ac:dyDescent="0.25">
      <c r="A39" s="14"/>
      <c r="B39" s="211"/>
      <c r="C39" s="265"/>
      <c r="D39" s="270"/>
      <c r="E39" s="270"/>
      <c r="F39" s="270"/>
      <c r="G39" s="66"/>
      <c r="H39" s="76"/>
      <c r="I39" s="76"/>
      <c r="J39" s="14"/>
      <c r="K39" s="14"/>
      <c r="L39" s="14"/>
      <c r="M39" s="14"/>
      <c r="N39" s="14"/>
      <c r="O39" s="14"/>
      <c r="P39" s="14"/>
      <c r="Q39" s="368"/>
      <c r="R39" s="19"/>
      <c r="S39" s="42" t="s">
        <v>761</v>
      </c>
      <c r="T39" s="19"/>
      <c r="U39" s="364">
        <f>IFERROR(SUM(Y75:Y77)/U22/U37,0)+IFERROR(SUM(Y102:Y104)/U23/U37,0)+IFERROR(SUM(Y129:Y131)/U24/U37,0)+IFERROR(SUM(Y156:Y158)/U25/U37,0)+IFERROR(SUM(Y183:Y185)/U26/U37,0)+IFERROR(SUM(Y210:Y212)/U27/U37,0)</f>
        <v>8.3333333333333329E-2</v>
      </c>
      <c r="V39" s="14"/>
      <c r="W39" s="14"/>
      <c r="X39" s="19"/>
      <c r="Y39" s="19"/>
      <c r="Z39" s="14"/>
      <c r="AA39" s="14"/>
      <c r="AB39" s="14"/>
      <c r="AC39" s="14"/>
      <c r="AD39" s="368"/>
      <c r="AE39" s="63"/>
      <c r="AF39" s="47"/>
      <c r="AG39" s="19"/>
      <c r="AH39" s="42" t="s">
        <v>761</v>
      </c>
      <c r="AI39" s="19"/>
      <c r="AJ39" s="364">
        <f>IFERROR(SUM(AN75:AN77)/AJ22/AJ37,0)+IFERROR(SUM(AN102:AN104)/AJ23/AJ37,0)+IFERROR(SUM(AN129:AN131)/AJ24/AJ37,0)+IFERROR(SUM(AN156:AN158)/AJ25/AJ37,0)+IFERROR(SUM(AN183:AN185)/AJ26/AJ37,0)+IFERROR(SUM(AN210:AN212)/AJ27/AJ37,0)</f>
        <v>0</v>
      </c>
      <c r="AK39" s="14"/>
      <c r="AL39" s="14"/>
      <c r="AM39" s="19"/>
      <c r="AN39" s="19"/>
      <c r="AO39" s="14"/>
      <c r="AP39" s="14"/>
      <c r="AQ39" s="14"/>
      <c r="AR39" s="14"/>
      <c r="AS39" s="65"/>
      <c r="AT39" s="63"/>
      <c r="AU39" s="47"/>
      <c r="AV39" s="14"/>
      <c r="AW39" s="42" t="s">
        <v>761</v>
      </c>
      <c r="AX39" s="19"/>
      <c r="AY39" s="364">
        <f>IFERROR(SUM(BC75:BC77)/AY22/AY37,0)+IFERROR(SUM(BC102:BC104)/AY23/AY37,0)+IFERROR(SUM(BC129:BC131)/AY24/AY37,0)+IFERROR(SUM(BC156:BC158)/AY25/AY37,0)+IFERROR(SUM(BC183:BC185)/AY26/AY37,0)+IFERROR(SUM(BC210:BC212)/AY27/AY37,0)</f>
        <v>0</v>
      </c>
      <c r="AZ39" s="14"/>
      <c r="BA39" s="14"/>
      <c r="BB39" s="19"/>
      <c r="BC39" s="19"/>
      <c r="BD39" s="14"/>
      <c r="BE39" s="14"/>
      <c r="BF39" s="14"/>
      <c r="BG39" s="14"/>
      <c r="BH39" s="65"/>
      <c r="BI39" s="63"/>
      <c r="BJ39" s="352"/>
      <c r="BK39" s="19"/>
      <c r="BL39" s="42" t="s">
        <v>761</v>
      </c>
      <c r="BM39" s="19"/>
      <c r="BN39" s="364">
        <f>IFERROR(SUM(BR75:BR77)/BN22/BN37,0)+IFERROR(SUM(BR102:BR104)/BN23/BN37,0)+IFERROR(SUM(BR129:BR131)/BN24/BN37,0)+IFERROR(SUM(BR156:BR158)/BN25/BN37,0)+IFERROR(SUM(BR183:BR185)/BN26/BN37,0)+IFERROR(SUM(BR210:BR212)/BN27/BN37,0)</f>
        <v>0.2</v>
      </c>
      <c r="BO39" s="14"/>
      <c r="BP39" s="14"/>
      <c r="BQ39" s="19"/>
      <c r="BR39" s="19"/>
      <c r="BS39" s="14"/>
      <c r="BT39" s="14"/>
      <c r="BU39" s="14"/>
      <c r="BV39" s="14"/>
      <c r="BW39" s="65"/>
      <c r="BX39" s="63"/>
      <c r="BY39" s="352"/>
      <c r="BZ39" s="14"/>
      <c r="CA39" s="210"/>
      <c r="CB39" s="211"/>
      <c r="CC39" s="515"/>
      <c r="CD39" s="515"/>
      <c r="CE39" s="515"/>
      <c r="CF39" s="515"/>
      <c r="CG39" s="515"/>
      <c r="CH39" s="515"/>
      <c r="CI39" s="515"/>
      <c r="CJ39" s="515"/>
      <c r="CK39" s="515"/>
      <c r="CL39" s="515"/>
      <c r="CM39" s="515"/>
      <c r="CN39" s="515"/>
      <c r="CO39" s="515"/>
      <c r="CP39" s="14"/>
      <c r="CQ39" s="47"/>
      <c r="CR39" s="14"/>
      <c r="CS39" s="71"/>
      <c r="CT39" s="71"/>
      <c r="CU39" s="516"/>
      <c r="CV39" s="516"/>
      <c r="CW39" s="516"/>
      <c r="CX39" s="516"/>
      <c r="CY39" s="516"/>
      <c r="CZ39" s="516"/>
      <c r="DA39" s="516"/>
      <c r="DB39" s="516"/>
      <c r="DC39" s="516"/>
      <c r="DD39" s="516"/>
      <c r="DE39" s="516"/>
      <c r="DF39" s="516"/>
      <c r="DG39" s="516"/>
      <c r="DH39" s="14"/>
      <c r="DI39" s="47"/>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row>
    <row r="40" spans="1:142" s="134" customFormat="1" ht="29.25" customHeight="1" x14ac:dyDescent="0.25">
      <c r="A40" s="8"/>
      <c r="B40" s="211"/>
      <c r="C40" s="265"/>
      <c r="D40" s="270"/>
      <c r="E40" s="270"/>
      <c r="F40" s="270"/>
      <c r="G40" s="8"/>
      <c r="H40" s="77"/>
      <c r="I40" s="77"/>
      <c r="J40" s="8"/>
      <c r="K40" s="8"/>
      <c r="L40" s="14"/>
      <c r="M40" s="14"/>
      <c r="N40" s="14"/>
      <c r="O40" s="14"/>
      <c r="P40" s="14"/>
      <c r="Q40" s="369"/>
      <c r="R40" s="44"/>
      <c r="S40" s="359" t="s">
        <v>762</v>
      </c>
      <c r="T40" s="360"/>
      <c r="U40" s="365">
        <f>IFERROR(SUM(Y72:Y74)/U22/U37,0)+IFERROR(SUM(Y99:Y101)/U23/U37,0)+IFERROR(SUM(Y126:Y128)/U24/U37,0)+IFERROR(SUM(Y153:Y155)/U25/U37,0)+IFERROR(SUM(Y180:Y182)/U26/U37,0)+IFERROR(SUM(Y207:Y209)/U27/U37,0)</f>
        <v>0.76666666666666661</v>
      </c>
      <c r="V40" s="58"/>
      <c r="W40" s="58"/>
      <c r="X40" s="8"/>
      <c r="Y40" s="8"/>
      <c r="Z40" s="8"/>
      <c r="AA40" s="8"/>
      <c r="AB40" s="8"/>
      <c r="AC40" s="8"/>
      <c r="AD40" s="369"/>
      <c r="AE40" s="101"/>
      <c r="AF40" s="48"/>
      <c r="AG40" s="44"/>
      <c r="AH40" s="359" t="s">
        <v>762</v>
      </c>
      <c r="AI40" s="360"/>
      <c r="AJ40" s="365">
        <f>IFERROR(SUM(AN72:AN74)/AJ22/AJ37,0)+IFERROR(SUM(AN99:AN101)/AJ23/AJ37,0)+IFERROR(SUM(AN126:AN128)/AJ24/AJ37,0)+IFERROR(SUM(AN153:AN155)/AJ25/AJ37,0)+IFERROR(SUM(AN180:AN182)/AJ26/AJ37,0)+IFERROR(SUM(AN207:AN209)/AJ27/AJ37,0)</f>
        <v>1</v>
      </c>
      <c r="AK40" s="58"/>
      <c r="AL40" s="58"/>
      <c r="AM40" s="8"/>
      <c r="AN40" s="8"/>
      <c r="AO40" s="8"/>
      <c r="AP40" s="8"/>
      <c r="AQ40" s="8"/>
      <c r="AR40" s="8"/>
      <c r="AS40" s="102"/>
      <c r="AT40" s="101"/>
      <c r="AU40" s="48"/>
      <c r="AV40" s="8"/>
      <c r="AW40" s="359" t="s">
        <v>762</v>
      </c>
      <c r="AX40" s="360"/>
      <c r="AY40" s="365">
        <f>IFERROR(SUM(BC72:BC74)/AY22/AY37,0)+IFERROR(SUM(BC99:BC101)/AY23/AY37,0)+IFERROR(SUM(BC126:BC128)/AY24/AY37,0)+IFERROR(SUM(BC153:BC155)/AY25/AY37,0)+IFERROR(SUM(BC180:BC182)/AY26/AY37,0)+IFERROR(SUM(BC207:BC209)/AY27/AY37,0)</f>
        <v>1</v>
      </c>
      <c r="AZ40" s="58"/>
      <c r="BA40" s="58"/>
      <c r="BB40" s="8"/>
      <c r="BC40" s="8"/>
      <c r="BD40" s="8"/>
      <c r="BE40" s="8"/>
      <c r="BF40" s="8"/>
      <c r="BG40" s="8"/>
      <c r="BH40" s="102"/>
      <c r="BI40" s="101"/>
      <c r="BJ40" s="371"/>
      <c r="BK40" s="44"/>
      <c r="BL40" s="359" t="s">
        <v>762</v>
      </c>
      <c r="BM40" s="360"/>
      <c r="BN40" s="365">
        <f>IFERROR(SUM(BR72:BR74)/BN22/BN37,0)+IFERROR(SUM(BR99:BR101)/BN23/BN37,0)+IFERROR(SUM(BR126:BR128)/BN24/BN37,0)+IFERROR(SUM(BR153:BR155)/BN25/BN37,0)+IFERROR(SUM(BR180:BR182)/BN26/BN37,0)+IFERROR(SUM(BR207:BR209)/BN27/BN37,0)</f>
        <v>0.8</v>
      </c>
      <c r="BO40" s="58"/>
      <c r="BP40" s="58"/>
      <c r="BQ40" s="8"/>
      <c r="BR40" s="8"/>
      <c r="BS40" s="8"/>
      <c r="BT40" s="8"/>
      <c r="BU40" s="8"/>
      <c r="BV40" s="8"/>
      <c r="BW40" s="102"/>
      <c r="BX40" s="101"/>
      <c r="BY40" s="371"/>
      <c r="BZ40" s="8"/>
      <c r="CA40" s="210"/>
      <c r="CB40" s="211"/>
      <c r="CC40" s="515"/>
      <c r="CD40" s="515"/>
      <c r="CE40" s="515"/>
      <c r="CF40" s="515"/>
      <c r="CG40" s="515"/>
      <c r="CH40" s="515"/>
      <c r="CI40" s="515"/>
      <c r="CJ40" s="515"/>
      <c r="CK40" s="515"/>
      <c r="CL40" s="515"/>
      <c r="CM40" s="515"/>
      <c r="CN40" s="515"/>
      <c r="CO40" s="515"/>
      <c r="CP40" s="8"/>
      <c r="CQ40" s="48"/>
      <c r="CR40" s="8"/>
      <c r="CS40" s="71"/>
      <c r="CT40" s="71"/>
      <c r="CU40" s="516"/>
      <c r="CV40" s="516"/>
      <c r="CW40" s="516"/>
      <c r="CX40" s="516"/>
      <c r="CY40" s="516"/>
      <c r="CZ40" s="516"/>
      <c r="DA40" s="516"/>
      <c r="DB40" s="516"/>
      <c r="DC40" s="516"/>
      <c r="DD40" s="516"/>
      <c r="DE40" s="516"/>
      <c r="DF40" s="516"/>
      <c r="DG40" s="516"/>
      <c r="DH40" s="8"/>
      <c r="DI40" s="48"/>
      <c r="DJ40" s="8"/>
      <c r="DK40" s="8"/>
      <c r="DL40" s="8"/>
      <c r="DM40" s="8"/>
      <c r="DN40" s="8"/>
      <c r="DO40" s="8"/>
      <c r="DP40" s="8"/>
      <c r="DQ40" s="8"/>
      <c r="DR40" s="2"/>
      <c r="DS40" s="2"/>
      <c r="DT40" s="2"/>
      <c r="DU40" s="2"/>
      <c r="DV40" s="2"/>
      <c r="DW40" s="2"/>
      <c r="DX40" s="2"/>
      <c r="DY40" s="2"/>
      <c r="DZ40" s="8"/>
      <c r="EA40" s="8"/>
      <c r="EB40" s="8"/>
      <c r="EC40" s="8"/>
      <c r="ED40" s="8"/>
      <c r="EE40" s="8"/>
      <c r="EF40" s="8"/>
      <c r="EG40" s="8"/>
      <c r="EH40" s="8"/>
      <c r="EI40" s="8"/>
      <c r="EJ40" s="8"/>
      <c r="EK40" s="8"/>
      <c r="EL40" s="8"/>
    </row>
    <row r="41" spans="1:142" ht="28.5" customHeight="1" x14ac:dyDescent="0.25">
      <c r="A41" s="14"/>
      <c r="B41" s="211"/>
      <c r="C41" s="265"/>
      <c r="D41" s="270"/>
      <c r="E41" s="270"/>
      <c r="F41" s="270"/>
      <c r="G41" s="14"/>
      <c r="H41" s="21"/>
      <c r="I41" s="21"/>
      <c r="J41" s="14"/>
      <c r="K41" s="14"/>
      <c r="L41" s="8"/>
      <c r="M41" s="8"/>
      <c r="N41" s="8"/>
      <c r="O41" s="8"/>
      <c r="P41" s="8"/>
      <c r="Q41" s="48"/>
      <c r="R41" s="44"/>
      <c r="S41" s="19"/>
      <c r="T41" s="19"/>
      <c r="U41" s="50"/>
      <c r="V41" s="19"/>
      <c r="W41" s="50"/>
      <c r="X41" s="14"/>
      <c r="Y41" s="14"/>
      <c r="Z41" s="8"/>
      <c r="AA41" s="8"/>
      <c r="AB41" s="8"/>
      <c r="AC41" s="8"/>
      <c r="AD41" s="102"/>
      <c r="AE41" s="101"/>
      <c r="AF41" s="48"/>
      <c r="AG41" s="44"/>
      <c r="AH41" s="19"/>
      <c r="AI41" s="19"/>
      <c r="AJ41" s="50"/>
      <c r="AK41" s="19"/>
      <c r="AL41" s="50"/>
      <c r="AM41" s="14"/>
      <c r="AN41" s="14"/>
      <c r="AO41" s="8"/>
      <c r="AP41" s="8"/>
      <c r="AQ41" s="8"/>
      <c r="AR41" s="8"/>
      <c r="AS41" s="102"/>
      <c r="AT41" s="101"/>
      <c r="AU41" s="48"/>
      <c r="AV41" s="8"/>
      <c r="AW41" s="19"/>
      <c r="AX41" s="19"/>
      <c r="AY41" s="50"/>
      <c r="AZ41" s="19"/>
      <c r="BA41" s="50"/>
      <c r="BB41" s="14"/>
      <c r="BC41" s="14"/>
      <c r="BD41" s="8"/>
      <c r="BE41" s="8"/>
      <c r="BF41" s="8"/>
      <c r="BG41" s="8"/>
      <c r="BH41" s="102"/>
      <c r="BI41" s="101"/>
      <c r="BJ41" s="371"/>
      <c r="BK41" s="44"/>
      <c r="BL41" s="19"/>
      <c r="BM41" s="19"/>
      <c r="BN41" s="50"/>
      <c r="BO41" s="19"/>
      <c r="BP41" s="50"/>
      <c r="BQ41" s="14"/>
      <c r="BR41" s="14"/>
      <c r="BS41" s="8"/>
      <c r="BT41" s="8"/>
      <c r="BU41" s="8"/>
      <c r="BV41" s="8"/>
      <c r="BW41" s="102"/>
      <c r="BX41" s="101"/>
      <c r="BY41" s="371"/>
      <c r="BZ41" s="8"/>
      <c r="CA41" s="210"/>
      <c r="CB41" s="211"/>
      <c r="CC41" s="515"/>
      <c r="CD41" s="515"/>
      <c r="CE41" s="515"/>
      <c r="CF41" s="515"/>
      <c r="CG41" s="515"/>
      <c r="CH41" s="515"/>
      <c r="CI41" s="515"/>
      <c r="CJ41" s="515"/>
      <c r="CK41" s="515"/>
      <c r="CL41" s="515"/>
      <c r="CM41" s="515"/>
      <c r="CN41" s="515"/>
      <c r="CO41" s="515"/>
      <c r="CP41" s="14"/>
      <c r="CQ41" s="48"/>
      <c r="CR41" s="14"/>
      <c r="CS41" s="71"/>
      <c r="CT41" s="71"/>
      <c r="CU41" s="516"/>
      <c r="CV41" s="516"/>
      <c r="CW41" s="516"/>
      <c r="CX41" s="516"/>
      <c r="CY41" s="516"/>
      <c r="CZ41" s="516"/>
      <c r="DA41" s="516"/>
      <c r="DB41" s="516"/>
      <c r="DC41" s="516"/>
      <c r="DD41" s="516"/>
      <c r="DE41" s="516"/>
      <c r="DF41" s="516"/>
      <c r="DG41" s="516"/>
      <c r="DH41" s="14"/>
      <c r="DI41" s="48"/>
      <c r="DJ41" s="14"/>
      <c r="DK41" s="14"/>
      <c r="DL41" s="14"/>
      <c r="DM41" s="14"/>
      <c r="DN41" s="14"/>
      <c r="DO41" s="14"/>
      <c r="DP41" s="14"/>
      <c r="DQ41" s="14"/>
      <c r="DR41" s="2"/>
      <c r="DS41" s="2"/>
      <c r="DT41" s="2"/>
      <c r="DU41" s="2"/>
      <c r="DV41" s="2"/>
      <c r="DW41" s="2"/>
      <c r="DX41" s="2"/>
      <c r="DY41" s="2"/>
      <c r="DZ41" s="14"/>
      <c r="EA41" s="14"/>
      <c r="EB41" s="14"/>
      <c r="EC41" s="14"/>
      <c r="ED41" s="14"/>
      <c r="EE41" s="14"/>
      <c r="EF41" s="14"/>
      <c r="EG41" s="14"/>
      <c r="EH41" s="14"/>
      <c r="EI41" s="14"/>
      <c r="EJ41" s="14"/>
      <c r="EK41" s="14"/>
      <c r="EL41" s="14"/>
    </row>
    <row r="42" spans="1:142" ht="28.5" customHeight="1" x14ac:dyDescent="0.25">
      <c r="A42" s="14"/>
      <c r="B42" s="211"/>
      <c r="C42" s="265"/>
      <c r="D42" s="270"/>
      <c r="E42" s="270"/>
      <c r="F42" s="270"/>
      <c r="G42" s="14"/>
      <c r="H42" s="21"/>
      <c r="I42" s="21"/>
      <c r="J42" s="14"/>
      <c r="K42" s="14"/>
      <c r="L42" s="14"/>
      <c r="M42" s="14"/>
      <c r="N42" s="14"/>
      <c r="O42" s="14"/>
      <c r="P42" s="14"/>
      <c r="Q42" s="47"/>
      <c r="R42" s="19"/>
      <c r="S42" s="19"/>
      <c r="T42" s="19"/>
      <c r="U42" s="50"/>
      <c r="V42" s="19"/>
      <c r="W42" s="50"/>
      <c r="X42" s="14"/>
      <c r="Y42" s="14"/>
      <c r="Z42" s="14"/>
      <c r="AA42" s="14"/>
      <c r="AB42" s="14"/>
      <c r="AC42" s="14"/>
      <c r="AD42" s="65"/>
      <c r="AE42" s="63"/>
      <c r="AF42" s="47"/>
      <c r="AG42" s="19"/>
      <c r="AH42" s="19"/>
      <c r="AI42" s="19"/>
      <c r="AJ42" s="50"/>
      <c r="AK42" s="19"/>
      <c r="AL42" s="50"/>
      <c r="AM42" s="14"/>
      <c r="AN42" s="14"/>
      <c r="AO42" s="14"/>
      <c r="AP42" s="14"/>
      <c r="AQ42" s="14"/>
      <c r="AR42" s="14"/>
      <c r="AS42" s="65"/>
      <c r="AT42" s="63"/>
      <c r="AU42" s="47"/>
      <c r="AV42" s="14"/>
      <c r="AW42" s="19"/>
      <c r="AX42" s="19"/>
      <c r="AY42" s="50"/>
      <c r="AZ42" s="19"/>
      <c r="BA42" s="50"/>
      <c r="BB42" s="14"/>
      <c r="BC42" s="14"/>
      <c r="BD42" s="14"/>
      <c r="BE42" s="14"/>
      <c r="BF42" s="14"/>
      <c r="BG42" s="14"/>
      <c r="BH42" s="65"/>
      <c r="BI42" s="63"/>
      <c r="BJ42" s="352"/>
      <c r="BK42" s="19"/>
      <c r="BL42" s="19"/>
      <c r="BM42" s="19"/>
      <c r="BN42" s="50"/>
      <c r="BO42" s="19"/>
      <c r="BP42" s="50"/>
      <c r="BQ42" s="14"/>
      <c r="BR42" s="14"/>
      <c r="BS42" s="14"/>
      <c r="BT42" s="14"/>
      <c r="BU42" s="14"/>
      <c r="BV42" s="14"/>
      <c r="BW42" s="65"/>
      <c r="BX42" s="63"/>
      <c r="BY42" s="352"/>
      <c r="BZ42" s="14"/>
      <c r="CA42" s="210"/>
      <c r="CB42" s="211"/>
      <c r="CC42" s="515"/>
      <c r="CD42" s="515"/>
      <c r="CE42" s="515"/>
      <c r="CF42" s="515"/>
      <c r="CG42" s="515"/>
      <c r="CH42" s="515"/>
      <c r="CI42" s="515"/>
      <c r="CJ42" s="515"/>
      <c r="CK42" s="515"/>
      <c r="CL42" s="515"/>
      <c r="CM42" s="515"/>
      <c r="CN42" s="515"/>
      <c r="CO42" s="515"/>
      <c r="CP42" s="14"/>
      <c r="CQ42" s="47"/>
      <c r="CR42" s="14"/>
      <c r="CS42" s="71"/>
      <c r="CT42" s="71"/>
      <c r="CU42" s="516"/>
      <c r="CV42" s="516"/>
      <c r="CW42" s="516"/>
      <c r="CX42" s="516"/>
      <c r="CY42" s="516"/>
      <c r="CZ42" s="516"/>
      <c r="DA42" s="516"/>
      <c r="DB42" s="516"/>
      <c r="DC42" s="516"/>
      <c r="DD42" s="516"/>
      <c r="DE42" s="516"/>
      <c r="DF42" s="516"/>
      <c r="DG42" s="516"/>
      <c r="DH42" s="14"/>
      <c r="DI42" s="47"/>
      <c r="DJ42" s="14"/>
      <c r="DK42" s="14"/>
      <c r="DL42" s="14"/>
      <c r="DM42" s="14"/>
      <c r="DN42" s="14"/>
      <c r="DO42" s="14"/>
      <c r="DP42" s="14"/>
      <c r="DQ42" s="14"/>
      <c r="DR42" s="127"/>
      <c r="DS42" s="128"/>
      <c r="DT42" s="128"/>
      <c r="DU42" s="128"/>
      <c r="DV42" s="128"/>
      <c r="DW42" s="128"/>
      <c r="DX42" s="128"/>
      <c r="DY42" s="128"/>
      <c r="DZ42" s="14"/>
      <c r="EA42" s="14"/>
      <c r="EB42" s="14"/>
      <c r="EC42" s="14"/>
      <c r="ED42" s="14"/>
      <c r="EE42" s="14"/>
      <c r="EF42" s="14"/>
      <c r="EG42" s="14"/>
      <c r="EH42" s="14"/>
      <c r="EI42" s="14"/>
      <c r="EJ42" s="14"/>
      <c r="EK42" s="14"/>
      <c r="EL42" s="14"/>
    </row>
    <row r="43" spans="1:142" ht="28.5" customHeight="1" x14ac:dyDescent="0.25">
      <c r="A43" s="14"/>
      <c r="B43" s="211"/>
      <c r="C43" s="265"/>
      <c r="D43" s="270"/>
      <c r="E43" s="270"/>
      <c r="F43" s="270"/>
      <c r="G43" s="14"/>
      <c r="H43" s="21"/>
      <c r="I43" s="21"/>
      <c r="J43" s="14"/>
      <c r="K43" s="14"/>
      <c r="L43" s="14"/>
      <c r="M43" s="14"/>
      <c r="N43" s="14"/>
      <c r="O43" s="14"/>
      <c r="P43" s="14"/>
      <c r="Q43" s="47"/>
      <c r="R43" s="19"/>
      <c r="S43" s="19"/>
      <c r="T43" s="19"/>
      <c r="U43" s="50"/>
      <c r="V43" s="19"/>
      <c r="W43" s="50"/>
      <c r="X43" s="14"/>
      <c r="Y43" s="14"/>
      <c r="Z43" s="14"/>
      <c r="AA43" s="14"/>
      <c r="AB43" s="14"/>
      <c r="AC43" s="14"/>
      <c r="AD43" s="65"/>
      <c r="AE43" s="63"/>
      <c r="AF43" s="47"/>
      <c r="AG43" s="19"/>
      <c r="AH43" s="19"/>
      <c r="AI43" s="19"/>
      <c r="AJ43" s="50"/>
      <c r="AK43" s="19"/>
      <c r="AL43" s="50"/>
      <c r="AM43" s="14"/>
      <c r="AN43" s="14"/>
      <c r="AO43" s="14"/>
      <c r="AP43" s="14"/>
      <c r="AQ43" s="14"/>
      <c r="AR43" s="14"/>
      <c r="AS43" s="65"/>
      <c r="AT43" s="63"/>
      <c r="AU43" s="47"/>
      <c r="AV43" s="14"/>
      <c r="AW43" s="19"/>
      <c r="AX43" s="19"/>
      <c r="AY43" s="50"/>
      <c r="AZ43" s="19"/>
      <c r="BA43" s="50"/>
      <c r="BB43" s="14"/>
      <c r="BC43" s="14"/>
      <c r="BD43" s="14"/>
      <c r="BE43" s="14"/>
      <c r="BF43" s="14"/>
      <c r="BG43" s="14"/>
      <c r="BH43" s="65"/>
      <c r="BI43" s="63"/>
      <c r="BJ43" s="352"/>
      <c r="BK43" s="19"/>
      <c r="BL43" s="19"/>
      <c r="BM43" s="19"/>
      <c r="BN43" s="50"/>
      <c r="BO43" s="19"/>
      <c r="BP43" s="50"/>
      <c r="BQ43" s="14"/>
      <c r="BR43" s="14"/>
      <c r="BS43" s="14"/>
      <c r="BT43" s="14"/>
      <c r="BU43" s="14"/>
      <c r="BV43" s="14"/>
      <c r="BW43" s="65"/>
      <c r="BX43" s="63"/>
      <c r="BY43" s="352"/>
      <c r="BZ43" s="14"/>
      <c r="CA43" s="210"/>
      <c r="CB43" s="211"/>
      <c r="CC43" s="515"/>
      <c r="CD43" s="515"/>
      <c r="CE43" s="515"/>
      <c r="CF43" s="515"/>
      <c r="CG43" s="515"/>
      <c r="CH43" s="515"/>
      <c r="CI43" s="515"/>
      <c r="CJ43" s="515"/>
      <c r="CK43" s="515"/>
      <c r="CL43" s="515"/>
      <c r="CM43" s="515"/>
      <c r="CN43" s="515"/>
      <c r="CO43" s="515"/>
      <c r="CP43" s="14"/>
      <c r="CQ43" s="47"/>
      <c r="CR43" s="14"/>
      <c r="CS43" s="71"/>
      <c r="CT43" s="71"/>
      <c r="CU43" s="516"/>
      <c r="CV43" s="516"/>
      <c r="CW43" s="516"/>
      <c r="CX43" s="516"/>
      <c r="CY43" s="516"/>
      <c r="CZ43" s="516"/>
      <c r="DA43" s="516"/>
      <c r="DB43" s="516"/>
      <c r="DC43" s="516"/>
      <c r="DD43" s="516"/>
      <c r="DE43" s="516"/>
      <c r="DF43" s="516"/>
      <c r="DG43" s="516"/>
      <c r="DH43" s="14"/>
      <c r="DI43" s="47"/>
      <c r="DJ43" s="14"/>
      <c r="DK43" s="14"/>
      <c r="DL43" s="14"/>
      <c r="DM43" s="14"/>
      <c r="DN43" s="14"/>
      <c r="DO43" s="14"/>
      <c r="DP43" s="14"/>
      <c r="DQ43" s="14"/>
      <c r="DR43" s="127"/>
      <c r="DS43" s="128"/>
      <c r="DT43" s="128"/>
      <c r="DU43" s="128"/>
      <c r="DV43" s="128"/>
      <c r="DW43" s="128"/>
      <c r="DX43" s="128"/>
      <c r="DY43" s="128"/>
      <c r="DZ43" s="14"/>
      <c r="EA43" s="14"/>
      <c r="EB43" s="14"/>
      <c r="EC43" s="14"/>
      <c r="ED43" s="14"/>
      <c r="EE43" s="14"/>
      <c r="EF43" s="14"/>
      <c r="EG43" s="14"/>
      <c r="EH43" s="14"/>
      <c r="EI43" s="14"/>
      <c r="EJ43" s="14"/>
      <c r="EK43" s="14"/>
      <c r="EL43" s="14"/>
    </row>
    <row r="44" spans="1:142" ht="42.75" customHeight="1" x14ac:dyDescent="0.25">
      <c r="A44" s="14"/>
      <c r="B44" s="211"/>
      <c r="C44" s="265"/>
      <c r="D44" s="265"/>
      <c r="E44" s="265"/>
      <c r="F44" s="265"/>
      <c r="G44" s="524" t="s">
        <v>755</v>
      </c>
      <c r="H44" s="542"/>
      <c r="I44" s="542"/>
      <c r="J44" s="525"/>
      <c r="K44" s="14"/>
      <c r="L44" s="14"/>
      <c r="M44" s="14"/>
      <c r="N44" s="14"/>
      <c r="O44" s="14"/>
      <c r="P44" s="14"/>
      <c r="Q44" s="47"/>
      <c r="R44" s="19"/>
      <c r="S44" s="19"/>
      <c r="T44" s="19"/>
      <c r="U44" s="50"/>
      <c r="V44" s="19"/>
      <c r="W44" s="50"/>
      <c r="X44" s="524" t="s">
        <v>755</v>
      </c>
      <c r="Y44" s="542"/>
      <c r="Z44" s="542"/>
      <c r="AA44" s="525"/>
      <c r="AB44" s="14"/>
      <c r="AC44" s="14"/>
      <c r="AD44" s="65"/>
      <c r="AE44" s="63"/>
      <c r="AF44" s="47"/>
      <c r="AG44" s="19"/>
      <c r="AH44" s="19"/>
      <c r="AI44" s="19"/>
      <c r="AJ44" s="50"/>
      <c r="AK44" s="19"/>
      <c r="AL44" s="50"/>
      <c r="AM44" s="524" t="s">
        <v>755</v>
      </c>
      <c r="AN44" s="542"/>
      <c r="AO44" s="542"/>
      <c r="AP44" s="525"/>
      <c r="AQ44" s="14"/>
      <c r="AR44" s="14"/>
      <c r="AS44" s="65"/>
      <c r="AT44" s="63"/>
      <c r="AU44" s="47"/>
      <c r="AV44" s="14"/>
      <c r="AW44" s="19"/>
      <c r="AX44" s="19"/>
      <c r="AY44" s="50"/>
      <c r="AZ44" s="19"/>
      <c r="BA44" s="524" t="s">
        <v>755</v>
      </c>
      <c r="BB44" s="542"/>
      <c r="BC44" s="542"/>
      <c r="BD44" s="525"/>
      <c r="BE44" s="14"/>
      <c r="BF44" s="14"/>
      <c r="BG44" s="14"/>
      <c r="BH44" s="65"/>
      <c r="BI44" s="63"/>
      <c r="BJ44" s="352"/>
      <c r="BK44" s="19"/>
      <c r="BL44" s="19"/>
      <c r="BM44" s="19"/>
      <c r="BN44" s="50"/>
      <c r="BO44" s="19"/>
      <c r="BP44" s="50"/>
      <c r="BQ44" s="524" t="s">
        <v>755</v>
      </c>
      <c r="BR44" s="542"/>
      <c r="BS44" s="542"/>
      <c r="BT44" s="525"/>
      <c r="BU44" s="14"/>
      <c r="BV44" s="14"/>
      <c r="BW44" s="65"/>
      <c r="BX44" s="63"/>
      <c r="BY44" s="352"/>
      <c r="BZ44" s="14"/>
      <c r="CA44" s="210"/>
      <c r="CB44" s="211"/>
      <c r="CC44" s="515"/>
      <c r="CD44" s="515"/>
      <c r="CE44" s="515"/>
      <c r="CF44" s="515"/>
      <c r="CG44" s="515"/>
      <c r="CH44" s="515"/>
      <c r="CI44" s="515"/>
      <c r="CJ44" s="515"/>
      <c r="CK44" s="515"/>
      <c r="CL44" s="515"/>
      <c r="CM44" s="515"/>
      <c r="CN44" s="515"/>
      <c r="CO44" s="515"/>
      <c r="CP44" s="14"/>
      <c r="CQ44" s="47"/>
      <c r="CR44" s="14"/>
      <c r="CS44" s="71"/>
      <c r="CT44" s="71"/>
      <c r="CU44" s="516"/>
      <c r="CV44" s="516"/>
      <c r="CW44" s="516"/>
      <c r="CX44" s="516"/>
      <c r="CY44" s="516"/>
      <c r="CZ44" s="516"/>
      <c r="DA44" s="516"/>
      <c r="DB44" s="516"/>
      <c r="DC44" s="516"/>
      <c r="DD44" s="516"/>
      <c r="DE44" s="516"/>
      <c r="DF44" s="516"/>
      <c r="DG44" s="516"/>
      <c r="DH44" s="14"/>
      <c r="DI44" s="47"/>
      <c r="DJ44" s="14"/>
      <c r="DK44" s="14"/>
      <c r="DL44" s="14"/>
      <c r="DM44" s="14"/>
      <c r="DN44" s="14"/>
      <c r="DO44" s="14"/>
      <c r="DP44" s="524" t="s">
        <v>755</v>
      </c>
      <c r="DQ44" s="542"/>
      <c r="DR44" s="542"/>
      <c r="DS44" s="525"/>
      <c r="DT44" s="128"/>
      <c r="DU44" s="128"/>
      <c r="DV44" s="128"/>
      <c r="DW44" s="128"/>
      <c r="DX44" s="128"/>
      <c r="DY44" s="128"/>
      <c r="DZ44" s="14"/>
      <c r="EA44" s="14"/>
      <c r="EB44" s="14"/>
      <c r="EC44" s="14"/>
      <c r="ED44" s="14"/>
      <c r="EE44" s="14"/>
      <c r="EF44" s="14"/>
      <c r="EG44" s="14"/>
      <c r="EH44" s="14"/>
      <c r="EI44" s="14"/>
      <c r="EJ44" s="14"/>
      <c r="EK44" s="14"/>
      <c r="EL44" s="14"/>
    </row>
    <row r="45" spans="1:142" ht="28.5" customHeight="1" x14ac:dyDescent="0.25">
      <c r="A45" s="14"/>
      <c r="B45" s="211"/>
      <c r="C45" s="265"/>
      <c r="D45" s="265"/>
      <c r="E45" s="265"/>
      <c r="F45" s="265"/>
      <c r="G45" s="526"/>
      <c r="H45" s="543"/>
      <c r="I45" s="543"/>
      <c r="J45" s="527"/>
      <c r="K45" s="14"/>
      <c r="L45" s="14"/>
      <c r="M45" s="14"/>
      <c r="N45" s="14"/>
      <c r="O45" s="14"/>
      <c r="P45" s="14"/>
      <c r="Q45" s="47"/>
      <c r="R45" s="19"/>
      <c r="S45" s="19"/>
      <c r="T45" s="19"/>
      <c r="U45" s="50"/>
      <c r="V45" s="19"/>
      <c r="W45" s="50"/>
      <c r="X45" s="526"/>
      <c r="Y45" s="543"/>
      <c r="Z45" s="543"/>
      <c r="AA45" s="527"/>
      <c r="AB45" s="14"/>
      <c r="AC45" s="14"/>
      <c r="AD45" s="65"/>
      <c r="AE45" s="63"/>
      <c r="AF45" s="47"/>
      <c r="AG45" s="19"/>
      <c r="AH45" s="19"/>
      <c r="AI45" s="19"/>
      <c r="AJ45" s="50"/>
      <c r="AK45" s="19"/>
      <c r="AL45" s="50"/>
      <c r="AM45" s="526"/>
      <c r="AN45" s="543"/>
      <c r="AO45" s="543"/>
      <c r="AP45" s="527"/>
      <c r="AQ45" s="14"/>
      <c r="AR45" s="14"/>
      <c r="AS45" s="65"/>
      <c r="AT45" s="63"/>
      <c r="AU45" s="47"/>
      <c r="AV45" s="14"/>
      <c r="AW45" s="19"/>
      <c r="AX45" s="19"/>
      <c r="AY45" s="50"/>
      <c r="AZ45" s="19"/>
      <c r="BA45" s="526"/>
      <c r="BB45" s="543"/>
      <c r="BC45" s="543"/>
      <c r="BD45" s="527"/>
      <c r="BE45" s="14"/>
      <c r="BF45" s="14"/>
      <c r="BG45" s="14"/>
      <c r="BH45" s="65"/>
      <c r="BI45" s="63"/>
      <c r="BJ45" s="352"/>
      <c r="BK45" s="19"/>
      <c r="BL45" s="19"/>
      <c r="BM45" s="19"/>
      <c r="BN45" s="50"/>
      <c r="BO45" s="19"/>
      <c r="BP45" s="50"/>
      <c r="BQ45" s="526"/>
      <c r="BR45" s="543"/>
      <c r="BS45" s="543"/>
      <c r="BT45" s="527"/>
      <c r="BU45" s="14"/>
      <c r="BV45" s="14"/>
      <c r="BW45" s="65"/>
      <c r="BX45" s="63"/>
      <c r="BY45" s="352"/>
      <c r="BZ45" s="14"/>
      <c r="CA45" s="210"/>
      <c r="CB45" s="211"/>
      <c r="CC45" s="515"/>
      <c r="CD45" s="515"/>
      <c r="CE45" s="515"/>
      <c r="CF45" s="515"/>
      <c r="CG45" s="515"/>
      <c r="CH45" s="515"/>
      <c r="CI45" s="515"/>
      <c r="CJ45" s="515"/>
      <c r="CK45" s="515"/>
      <c r="CL45" s="515"/>
      <c r="CM45" s="515"/>
      <c r="CN45" s="515"/>
      <c r="CO45" s="515"/>
      <c r="CP45" s="14"/>
      <c r="CQ45" s="47"/>
      <c r="CR45" s="14"/>
      <c r="CS45" s="71"/>
      <c r="CT45" s="71"/>
      <c r="CU45" s="516"/>
      <c r="CV45" s="516"/>
      <c r="CW45" s="516"/>
      <c r="CX45" s="516"/>
      <c r="CY45" s="516"/>
      <c r="CZ45" s="516"/>
      <c r="DA45" s="516"/>
      <c r="DB45" s="516"/>
      <c r="DC45" s="516"/>
      <c r="DD45" s="516"/>
      <c r="DE45" s="516"/>
      <c r="DF45" s="516"/>
      <c r="DG45" s="516"/>
      <c r="DH45" s="14"/>
      <c r="DI45" s="47"/>
      <c r="DJ45" s="14"/>
      <c r="DK45" s="14"/>
      <c r="DL45" s="14"/>
      <c r="DM45" s="14"/>
      <c r="DN45" s="14"/>
      <c r="DO45" s="14"/>
      <c r="DP45" s="526"/>
      <c r="DQ45" s="543"/>
      <c r="DR45" s="543"/>
      <c r="DS45" s="527"/>
      <c r="DT45" s="128"/>
      <c r="DU45" s="128"/>
      <c r="DV45" s="128"/>
      <c r="DW45" s="128"/>
      <c r="DX45" s="128"/>
      <c r="DY45" s="128"/>
      <c r="DZ45" s="14"/>
      <c r="EA45" s="14"/>
      <c r="EB45" s="14"/>
      <c r="EC45" s="14"/>
      <c r="ED45" s="14"/>
      <c r="EE45" s="14"/>
      <c r="EF45" s="14"/>
      <c r="EG45" s="14"/>
      <c r="EH45" s="14"/>
      <c r="EI45" s="14"/>
      <c r="EJ45" s="14"/>
      <c r="EK45" s="14"/>
      <c r="EL45" s="14"/>
    </row>
    <row r="46" spans="1:142" ht="15.75" customHeight="1" x14ac:dyDescent="0.25">
      <c r="A46" s="14"/>
      <c r="B46" s="211"/>
      <c r="C46" s="265"/>
      <c r="D46" s="265"/>
      <c r="E46" s="265"/>
      <c r="F46" s="265"/>
      <c r="G46" s="526"/>
      <c r="H46" s="543"/>
      <c r="I46" s="543"/>
      <c r="J46" s="527"/>
      <c r="K46" s="14"/>
      <c r="L46" s="14"/>
      <c r="M46" s="14"/>
      <c r="N46" s="14"/>
      <c r="O46" s="14"/>
      <c r="P46" s="14"/>
      <c r="Q46" s="47"/>
      <c r="R46" s="19"/>
      <c r="S46" s="19"/>
      <c r="T46" s="19"/>
      <c r="U46" s="50"/>
      <c r="V46" s="19"/>
      <c r="W46" s="50"/>
      <c r="X46" s="526"/>
      <c r="Y46" s="543"/>
      <c r="Z46" s="543"/>
      <c r="AA46" s="527"/>
      <c r="AB46" s="14"/>
      <c r="AC46" s="14"/>
      <c r="AD46" s="65"/>
      <c r="AE46" s="63"/>
      <c r="AF46" s="47"/>
      <c r="AG46" s="19"/>
      <c r="AH46" s="19"/>
      <c r="AI46" s="19"/>
      <c r="AJ46" s="50"/>
      <c r="AK46" s="19"/>
      <c r="AL46" s="50"/>
      <c r="AM46" s="526"/>
      <c r="AN46" s="543"/>
      <c r="AO46" s="543"/>
      <c r="AP46" s="527"/>
      <c r="AQ46" s="14"/>
      <c r="AR46" s="14"/>
      <c r="AS46" s="65"/>
      <c r="AT46" s="63"/>
      <c r="AU46" s="47"/>
      <c r="AV46" s="14"/>
      <c r="AW46" s="19"/>
      <c r="AX46" s="19"/>
      <c r="AY46" s="50"/>
      <c r="AZ46" s="19"/>
      <c r="BA46" s="526"/>
      <c r="BB46" s="543"/>
      <c r="BC46" s="543"/>
      <c r="BD46" s="527"/>
      <c r="BE46" s="14"/>
      <c r="BF46" s="14"/>
      <c r="BG46" s="14"/>
      <c r="BH46" s="65"/>
      <c r="BI46" s="63"/>
      <c r="BJ46" s="352"/>
      <c r="BK46" s="19"/>
      <c r="BL46" s="19"/>
      <c r="BM46" s="19"/>
      <c r="BN46" s="50"/>
      <c r="BO46" s="19"/>
      <c r="BP46" s="50"/>
      <c r="BQ46" s="526"/>
      <c r="BR46" s="543"/>
      <c r="BS46" s="543"/>
      <c r="BT46" s="527"/>
      <c r="BU46" s="14"/>
      <c r="BV46" s="14"/>
      <c r="BW46" s="65"/>
      <c r="BX46" s="63"/>
      <c r="BY46" s="352"/>
      <c r="BZ46" s="14"/>
      <c r="CA46" s="210"/>
      <c r="CB46" s="211"/>
      <c r="CC46" s="515"/>
      <c r="CD46" s="515"/>
      <c r="CE46" s="515"/>
      <c r="CF46" s="515"/>
      <c r="CG46" s="515"/>
      <c r="CH46" s="515"/>
      <c r="CI46" s="515"/>
      <c r="CJ46" s="515"/>
      <c r="CK46" s="515"/>
      <c r="CL46" s="515"/>
      <c r="CM46" s="515"/>
      <c r="CN46" s="515"/>
      <c r="CO46" s="515"/>
      <c r="CP46" s="14"/>
      <c r="CQ46" s="47"/>
      <c r="CR46" s="14"/>
      <c r="CS46" s="71"/>
      <c r="CT46" s="71"/>
      <c r="CU46" s="516"/>
      <c r="CV46" s="516"/>
      <c r="CW46" s="516"/>
      <c r="CX46" s="516"/>
      <c r="CY46" s="516"/>
      <c r="CZ46" s="516"/>
      <c r="DA46" s="516"/>
      <c r="DB46" s="516"/>
      <c r="DC46" s="516"/>
      <c r="DD46" s="516"/>
      <c r="DE46" s="516"/>
      <c r="DF46" s="516"/>
      <c r="DG46" s="516"/>
      <c r="DH46" s="14"/>
      <c r="DI46" s="47"/>
      <c r="DJ46" s="14"/>
      <c r="DK46" s="14"/>
      <c r="DL46" s="14"/>
      <c r="DM46" s="14"/>
      <c r="DN46" s="14"/>
      <c r="DO46" s="14"/>
      <c r="DP46" s="526"/>
      <c r="DQ46" s="543"/>
      <c r="DR46" s="543"/>
      <c r="DS46" s="527"/>
      <c r="DT46" s="128"/>
      <c r="DU46" s="128"/>
      <c r="DV46" s="128"/>
      <c r="DW46" s="128"/>
      <c r="DX46" s="128"/>
      <c r="DY46" s="128"/>
      <c r="DZ46" s="14"/>
      <c r="EA46" s="14"/>
      <c r="EB46" s="14"/>
      <c r="EC46" s="14"/>
      <c r="ED46" s="14"/>
      <c r="EE46" s="14"/>
      <c r="EF46" s="14"/>
      <c r="EG46" s="14"/>
      <c r="EH46" s="14"/>
      <c r="EI46" s="14"/>
      <c r="EJ46" s="14"/>
      <c r="EK46" s="14"/>
      <c r="EL46" s="14"/>
    </row>
    <row r="47" spans="1:142" ht="15.75" customHeight="1" x14ac:dyDescent="0.25">
      <c r="A47" s="14"/>
      <c r="B47" s="211"/>
      <c r="C47" s="265"/>
      <c r="D47" s="265"/>
      <c r="E47" s="265"/>
      <c r="F47" s="265"/>
      <c r="G47" s="528"/>
      <c r="H47" s="544"/>
      <c r="I47" s="544"/>
      <c r="J47" s="529"/>
      <c r="K47" s="14"/>
      <c r="L47" s="14"/>
      <c r="M47" s="14"/>
      <c r="N47" s="14"/>
      <c r="O47" s="14"/>
      <c r="P47" s="14"/>
      <c r="Q47" s="47"/>
      <c r="R47" s="19"/>
      <c r="S47" s="34"/>
      <c r="T47" s="33"/>
      <c r="U47" s="517"/>
      <c r="V47" s="517"/>
      <c r="W47" s="53"/>
      <c r="X47" s="528"/>
      <c r="Y47" s="544"/>
      <c r="Z47" s="544"/>
      <c r="AA47" s="529"/>
      <c r="AB47" s="14"/>
      <c r="AC47" s="14"/>
      <c r="AD47" s="65"/>
      <c r="AE47" s="63"/>
      <c r="AF47" s="47"/>
      <c r="AG47" s="19"/>
      <c r="AH47" s="34"/>
      <c r="AI47" s="33"/>
      <c r="AJ47" s="517"/>
      <c r="AK47" s="517"/>
      <c r="AL47" s="53"/>
      <c r="AM47" s="528"/>
      <c r="AN47" s="544"/>
      <c r="AO47" s="544"/>
      <c r="AP47" s="529"/>
      <c r="AQ47" s="14"/>
      <c r="AR47" s="14"/>
      <c r="AS47" s="65"/>
      <c r="AT47" s="63"/>
      <c r="AU47" s="47"/>
      <c r="AV47" s="14"/>
      <c r="AW47" s="34"/>
      <c r="AX47" s="33"/>
      <c r="AY47" s="517"/>
      <c r="AZ47" s="517"/>
      <c r="BA47" s="528"/>
      <c r="BB47" s="544"/>
      <c r="BC47" s="544"/>
      <c r="BD47" s="529"/>
      <c r="BE47" s="14"/>
      <c r="BF47" s="14"/>
      <c r="BG47" s="14"/>
      <c r="BH47" s="65"/>
      <c r="BI47" s="63"/>
      <c r="BJ47" s="352"/>
      <c r="BK47" s="19"/>
      <c r="BL47" s="34"/>
      <c r="BM47" s="33"/>
      <c r="BN47" s="517"/>
      <c r="BO47" s="517"/>
      <c r="BP47" s="53"/>
      <c r="BQ47" s="528"/>
      <c r="BR47" s="544"/>
      <c r="BS47" s="544"/>
      <c r="BT47" s="529"/>
      <c r="BU47" s="14"/>
      <c r="BV47" s="14"/>
      <c r="BW47" s="65"/>
      <c r="BX47" s="63"/>
      <c r="BY47" s="352"/>
      <c r="BZ47" s="14"/>
      <c r="CA47" s="210"/>
      <c r="CB47" s="211"/>
      <c r="CC47" s="515"/>
      <c r="CD47" s="515"/>
      <c r="CE47" s="515"/>
      <c r="CF47" s="515"/>
      <c r="CG47" s="515"/>
      <c r="CH47" s="515"/>
      <c r="CI47" s="515"/>
      <c r="CJ47" s="515"/>
      <c r="CK47" s="515"/>
      <c r="CL47" s="515"/>
      <c r="CM47" s="515"/>
      <c r="CN47" s="515"/>
      <c r="CO47" s="515"/>
      <c r="CP47" s="14"/>
      <c r="CQ47" s="47"/>
      <c r="CR47" s="14"/>
      <c r="CS47" s="71"/>
      <c r="CT47" s="71"/>
      <c r="CU47" s="516"/>
      <c r="CV47" s="516"/>
      <c r="CW47" s="516"/>
      <c r="CX47" s="516"/>
      <c r="CY47" s="516"/>
      <c r="CZ47" s="516"/>
      <c r="DA47" s="516"/>
      <c r="DB47" s="516"/>
      <c r="DC47" s="516"/>
      <c r="DD47" s="516"/>
      <c r="DE47" s="516"/>
      <c r="DF47" s="516"/>
      <c r="DG47" s="516"/>
      <c r="DH47" s="14"/>
      <c r="DI47" s="47"/>
      <c r="DJ47" s="14"/>
      <c r="DK47" s="14"/>
      <c r="DL47" s="14"/>
      <c r="DM47" s="14"/>
      <c r="DN47" s="14"/>
      <c r="DO47" s="14"/>
      <c r="DP47" s="528"/>
      <c r="DQ47" s="544"/>
      <c r="DR47" s="544"/>
      <c r="DS47" s="529"/>
      <c r="DT47" s="2"/>
      <c r="DU47" s="14"/>
      <c r="DV47" s="14"/>
      <c r="DW47" s="14"/>
      <c r="DX47" s="14"/>
      <c r="DY47" s="14"/>
      <c r="DZ47" s="14"/>
      <c r="EA47" s="14"/>
      <c r="EB47" s="14"/>
      <c r="EC47" s="14"/>
      <c r="ED47" s="14"/>
      <c r="EE47" s="14"/>
      <c r="EF47" s="14"/>
      <c r="EG47" s="14"/>
      <c r="EH47" s="14"/>
      <c r="EI47" s="14"/>
      <c r="EJ47" s="14"/>
      <c r="EK47" s="14"/>
      <c r="EL47" s="14"/>
    </row>
    <row r="48" spans="1:142" ht="15" customHeight="1" x14ac:dyDescent="0.25">
      <c r="A48" s="14"/>
      <c r="B48" s="211"/>
      <c r="C48" s="265"/>
      <c r="D48" s="265"/>
      <c r="E48" s="265"/>
      <c r="F48" s="265"/>
      <c r="G48" s="23"/>
      <c r="H48" s="18"/>
      <c r="I48" s="27"/>
      <c r="J48" s="14"/>
      <c r="K48" s="14"/>
      <c r="L48" s="14"/>
      <c r="M48" s="14"/>
      <c r="N48" s="14"/>
      <c r="O48" s="14"/>
      <c r="P48" s="14"/>
      <c r="Q48" s="47"/>
      <c r="R48" s="19"/>
      <c r="S48" s="14"/>
      <c r="T48" s="14"/>
      <c r="U48" s="14"/>
      <c r="V48" s="14"/>
      <c r="W48" s="14"/>
      <c r="X48" s="14"/>
      <c r="Y48" s="14"/>
      <c r="Z48" s="14"/>
      <c r="AA48" s="14"/>
      <c r="AB48" s="14"/>
      <c r="AC48" s="14"/>
      <c r="AD48" s="65"/>
      <c r="AE48" s="63"/>
      <c r="AF48" s="47"/>
      <c r="AG48" s="19"/>
      <c r="AH48" s="14"/>
      <c r="AI48" s="14"/>
      <c r="AJ48" s="14"/>
      <c r="AK48" s="14"/>
      <c r="AL48" s="14"/>
      <c r="AM48" s="14"/>
      <c r="AN48" s="14"/>
      <c r="AO48" s="14"/>
      <c r="AP48" s="14"/>
      <c r="AQ48" s="14"/>
      <c r="AR48" s="14"/>
      <c r="AS48" s="65"/>
      <c r="AT48" s="63"/>
      <c r="AU48" s="47"/>
      <c r="AV48" s="14"/>
      <c r="AW48" s="14"/>
      <c r="AX48" s="14"/>
      <c r="AY48" s="14"/>
      <c r="AZ48" s="14"/>
      <c r="BA48" s="14"/>
      <c r="BB48" s="14"/>
      <c r="BC48" s="14"/>
      <c r="BD48" s="14"/>
      <c r="BE48" s="14"/>
      <c r="BF48" s="14"/>
      <c r="BG48" s="14"/>
      <c r="BH48" s="65"/>
      <c r="BI48" s="63"/>
      <c r="BJ48" s="352"/>
      <c r="BK48" s="19"/>
      <c r="BL48" s="14"/>
      <c r="BM48" s="14"/>
      <c r="BN48" s="14"/>
      <c r="BO48" s="14"/>
      <c r="BP48" s="14"/>
      <c r="BQ48" s="14"/>
      <c r="BR48" s="14"/>
      <c r="BS48" s="14"/>
      <c r="BT48" s="14"/>
      <c r="BU48" s="14"/>
      <c r="BV48" s="14"/>
      <c r="BW48" s="65"/>
      <c r="BX48" s="63"/>
      <c r="BY48" s="352"/>
      <c r="BZ48" s="14"/>
      <c r="CA48" s="210"/>
      <c r="CB48" s="211"/>
      <c r="CC48" s="515"/>
      <c r="CD48" s="515"/>
      <c r="CE48" s="515"/>
      <c r="CF48" s="515"/>
      <c r="CG48" s="515"/>
      <c r="CH48" s="515"/>
      <c r="CI48" s="515"/>
      <c r="CJ48" s="515"/>
      <c r="CK48" s="515"/>
      <c r="CL48" s="515"/>
      <c r="CM48" s="515"/>
      <c r="CN48" s="515"/>
      <c r="CO48" s="515"/>
      <c r="CP48" s="14"/>
      <c r="CQ48" s="47"/>
      <c r="CR48" s="14"/>
      <c r="CS48" s="71"/>
      <c r="CT48" s="71"/>
      <c r="CU48" s="516"/>
      <c r="CV48" s="516"/>
      <c r="CW48" s="516"/>
      <c r="CX48" s="516"/>
      <c r="CY48" s="516"/>
      <c r="CZ48" s="516"/>
      <c r="DA48" s="516"/>
      <c r="DB48" s="516"/>
      <c r="DC48" s="516"/>
      <c r="DD48" s="516"/>
      <c r="DE48" s="516"/>
      <c r="DF48" s="516"/>
      <c r="DG48" s="516"/>
      <c r="DH48" s="14"/>
      <c r="DI48" s="47"/>
      <c r="DJ48" s="14"/>
      <c r="DK48" s="14"/>
      <c r="DL48" s="14"/>
      <c r="DM48" s="14"/>
      <c r="DN48" s="14"/>
      <c r="DO48" s="14"/>
      <c r="DP48" s="14"/>
      <c r="DQ48" s="14"/>
      <c r="DR48" s="2"/>
      <c r="DS48" s="2"/>
      <c r="DT48" s="2"/>
      <c r="DU48" s="14"/>
      <c r="DV48" s="14"/>
      <c r="DW48" s="14"/>
      <c r="DX48" s="14"/>
      <c r="DY48" s="14"/>
      <c r="DZ48" s="14"/>
      <c r="EA48" s="14"/>
      <c r="EB48" s="14"/>
      <c r="EC48" s="14"/>
      <c r="ED48" s="14"/>
      <c r="EE48" s="14"/>
      <c r="EF48" s="14"/>
      <c r="EG48" s="14"/>
      <c r="EH48" s="14"/>
      <c r="EI48" s="14"/>
      <c r="EJ48" s="14"/>
      <c r="EK48" s="14"/>
      <c r="EL48" s="14"/>
    </row>
    <row r="49" spans="1:142" x14ac:dyDescent="0.25">
      <c r="A49" s="14"/>
      <c r="B49" s="211"/>
      <c r="C49" s="265"/>
      <c r="D49" s="265"/>
      <c r="E49" s="265"/>
      <c r="F49" s="265"/>
      <c r="G49" s="14"/>
      <c r="H49" s="21"/>
      <c r="I49" s="21"/>
      <c r="J49" s="14"/>
      <c r="K49" s="14"/>
      <c r="L49" s="14"/>
      <c r="M49" s="14"/>
      <c r="N49" s="14"/>
      <c r="O49" s="14"/>
      <c r="P49" s="14"/>
      <c r="Q49" s="47"/>
      <c r="R49" s="19"/>
      <c r="S49" s="14"/>
      <c r="T49" s="14"/>
      <c r="U49" s="14"/>
      <c r="V49" s="14"/>
      <c r="W49" s="14"/>
      <c r="X49" s="14"/>
      <c r="Y49" s="14"/>
      <c r="Z49" s="14"/>
      <c r="AA49" s="14"/>
      <c r="AB49" s="14"/>
      <c r="AC49" s="14"/>
      <c r="AD49" s="65"/>
      <c r="AE49" s="63"/>
      <c r="AF49" s="47"/>
      <c r="AG49" s="19"/>
      <c r="AH49" s="14"/>
      <c r="AI49" s="14"/>
      <c r="AJ49" s="14"/>
      <c r="AK49" s="14"/>
      <c r="AL49" s="14"/>
      <c r="AM49" s="14"/>
      <c r="AN49" s="14"/>
      <c r="AO49" s="14"/>
      <c r="AP49" s="14"/>
      <c r="AQ49" s="14"/>
      <c r="AR49" s="14"/>
      <c r="AS49" s="65"/>
      <c r="AT49" s="63"/>
      <c r="AU49" s="47"/>
      <c r="AV49" s="14"/>
      <c r="AW49" s="14"/>
      <c r="AX49" s="14"/>
      <c r="AY49" s="14"/>
      <c r="AZ49" s="14"/>
      <c r="BA49" s="14"/>
      <c r="BB49" s="14"/>
      <c r="BC49" s="14"/>
      <c r="BD49" s="14"/>
      <c r="BE49" s="14"/>
      <c r="BF49" s="14"/>
      <c r="BG49" s="14"/>
      <c r="BH49" s="65"/>
      <c r="BI49" s="63"/>
      <c r="BJ49" s="352"/>
      <c r="BK49" s="19"/>
      <c r="BL49" s="14"/>
      <c r="BM49" s="14"/>
      <c r="BN49" s="14"/>
      <c r="BO49" s="14"/>
      <c r="BP49" s="14"/>
      <c r="BQ49" s="14"/>
      <c r="BR49" s="14"/>
      <c r="BS49" s="14"/>
      <c r="BT49" s="14"/>
      <c r="BU49" s="14"/>
      <c r="BV49" s="14"/>
      <c r="BW49" s="65"/>
      <c r="BX49" s="63"/>
      <c r="BY49" s="352"/>
      <c r="BZ49" s="14"/>
      <c r="CA49" s="210"/>
      <c r="CB49" s="211"/>
      <c r="CC49" s="515"/>
      <c r="CD49" s="515"/>
      <c r="CE49" s="515"/>
      <c r="CF49" s="515"/>
      <c r="CG49" s="515"/>
      <c r="CH49" s="515"/>
      <c r="CI49" s="515"/>
      <c r="CJ49" s="515"/>
      <c r="CK49" s="515"/>
      <c r="CL49" s="515"/>
      <c r="CM49" s="515"/>
      <c r="CN49" s="515"/>
      <c r="CO49" s="515"/>
      <c r="CP49" s="14"/>
      <c r="CQ49" s="47"/>
      <c r="CR49" s="14"/>
      <c r="CS49" s="71"/>
      <c r="CT49" s="71"/>
      <c r="CU49" s="516"/>
      <c r="CV49" s="516"/>
      <c r="CW49" s="516"/>
      <c r="CX49" s="516"/>
      <c r="CY49" s="516"/>
      <c r="CZ49" s="516"/>
      <c r="DA49" s="516"/>
      <c r="DB49" s="516"/>
      <c r="DC49" s="516"/>
      <c r="DD49" s="516"/>
      <c r="DE49" s="516"/>
      <c r="DF49" s="516"/>
      <c r="DG49" s="516"/>
      <c r="DH49" s="14"/>
      <c r="DI49" s="47"/>
      <c r="DJ49" s="14"/>
      <c r="DK49" s="14"/>
      <c r="DL49" s="14"/>
      <c r="DM49" s="14"/>
      <c r="DN49" s="14"/>
      <c r="DO49" s="14"/>
      <c r="DP49" s="14"/>
      <c r="DQ49" s="14"/>
      <c r="DR49" s="2"/>
      <c r="DS49" s="2"/>
      <c r="DT49" s="2"/>
      <c r="DU49" s="14"/>
      <c r="DV49" s="14"/>
      <c r="DW49" s="14"/>
      <c r="DX49" s="14"/>
      <c r="DY49" s="14"/>
      <c r="DZ49" s="14"/>
      <c r="EA49" s="14"/>
      <c r="EB49" s="14"/>
      <c r="EC49" s="14"/>
      <c r="ED49" s="14"/>
      <c r="EE49" s="14"/>
      <c r="EF49" s="14"/>
      <c r="EG49" s="14"/>
      <c r="EH49" s="14"/>
      <c r="EI49" s="14"/>
      <c r="EJ49" s="14"/>
      <c r="EK49" s="14"/>
      <c r="EL49" s="14"/>
    </row>
    <row r="50" spans="1:142" x14ac:dyDescent="0.25">
      <c r="A50" s="14"/>
      <c r="B50" s="211"/>
      <c r="C50" s="265"/>
      <c r="D50" s="265"/>
      <c r="E50" s="265"/>
      <c r="F50" s="265"/>
      <c r="G50" s="19"/>
      <c r="H50" s="27"/>
      <c r="I50" s="21"/>
      <c r="J50" s="14"/>
      <c r="K50" s="14"/>
      <c r="L50" s="14"/>
      <c r="M50" s="14"/>
      <c r="N50" s="14"/>
      <c r="O50" s="14"/>
      <c r="P50" s="14"/>
      <c r="Q50" s="47"/>
      <c r="R50" s="19"/>
      <c r="S50" s="14"/>
      <c r="T50" s="14"/>
      <c r="U50" s="14"/>
      <c r="V50" s="14"/>
      <c r="W50" s="14"/>
      <c r="X50" s="14"/>
      <c r="Y50" s="14"/>
      <c r="Z50" s="14"/>
      <c r="AA50" s="14"/>
      <c r="AB50" s="14"/>
      <c r="AC50" s="14"/>
      <c r="AD50" s="65"/>
      <c r="AE50" s="63"/>
      <c r="AF50" s="47"/>
      <c r="AG50" s="19"/>
      <c r="AH50" s="14"/>
      <c r="AI50" s="14"/>
      <c r="AJ50" s="14"/>
      <c r="AK50" s="14"/>
      <c r="AL50" s="14"/>
      <c r="AM50" s="14"/>
      <c r="AN50" s="14"/>
      <c r="AO50" s="14"/>
      <c r="AP50" s="14"/>
      <c r="AQ50" s="14"/>
      <c r="AR50" s="14"/>
      <c r="AS50" s="65"/>
      <c r="AT50" s="63"/>
      <c r="AU50" s="47"/>
      <c r="AV50" s="14"/>
      <c r="AW50" s="14"/>
      <c r="AX50" s="14"/>
      <c r="AY50" s="14"/>
      <c r="AZ50" s="14"/>
      <c r="BA50" s="14"/>
      <c r="BB50" s="14"/>
      <c r="BC50" s="14"/>
      <c r="BD50" s="14"/>
      <c r="BE50" s="14"/>
      <c r="BF50" s="14"/>
      <c r="BG50" s="14"/>
      <c r="BH50" s="65"/>
      <c r="BI50" s="63"/>
      <c r="BJ50" s="352"/>
      <c r="BK50" s="19"/>
      <c r="BL50" s="14"/>
      <c r="BM50" s="14"/>
      <c r="BN50" s="14"/>
      <c r="BO50" s="14"/>
      <c r="BP50" s="14"/>
      <c r="BQ50" s="14"/>
      <c r="BR50" s="14"/>
      <c r="BS50" s="14"/>
      <c r="BT50" s="14"/>
      <c r="BU50" s="14"/>
      <c r="BV50" s="14"/>
      <c r="BW50" s="65"/>
      <c r="BX50" s="63"/>
      <c r="BY50" s="352"/>
      <c r="BZ50" s="14"/>
      <c r="CA50" s="210"/>
      <c r="CB50" s="211"/>
      <c r="CC50" s="515"/>
      <c r="CD50" s="515"/>
      <c r="CE50" s="515"/>
      <c r="CF50" s="515"/>
      <c r="CG50" s="515"/>
      <c r="CH50" s="515"/>
      <c r="CI50" s="515"/>
      <c r="CJ50" s="515"/>
      <c r="CK50" s="515"/>
      <c r="CL50" s="515"/>
      <c r="CM50" s="515"/>
      <c r="CN50" s="515"/>
      <c r="CO50" s="515"/>
      <c r="CP50" s="14"/>
      <c r="CQ50" s="47"/>
      <c r="CR50" s="14"/>
      <c r="CS50" s="71"/>
      <c r="CT50" s="71"/>
      <c r="CU50" s="516"/>
      <c r="CV50" s="516"/>
      <c r="CW50" s="516"/>
      <c r="CX50" s="516"/>
      <c r="CY50" s="516"/>
      <c r="CZ50" s="516"/>
      <c r="DA50" s="516"/>
      <c r="DB50" s="516"/>
      <c r="DC50" s="516"/>
      <c r="DD50" s="516"/>
      <c r="DE50" s="516"/>
      <c r="DF50" s="516"/>
      <c r="DG50" s="516"/>
      <c r="DH50" s="14"/>
      <c r="DI50" s="47"/>
      <c r="DJ50" s="14"/>
      <c r="DK50" s="14"/>
      <c r="DL50" s="14"/>
      <c r="DM50" s="14"/>
      <c r="DN50" s="14"/>
      <c r="DO50" s="14"/>
      <c r="DP50" s="14"/>
      <c r="DQ50" s="14"/>
      <c r="DR50" s="2"/>
      <c r="DS50" s="2"/>
      <c r="DT50" s="2"/>
      <c r="DU50" s="14"/>
      <c r="DV50" s="14"/>
      <c r="DW50" s="14"/>
      <c r="DX50" s="14"/>
      <c r="DY50" s="14"/>
      <c r="DZ50" s="14"/>
      <c r="EA50" s="14"/>
      <c r="EB50" s="14"/>
      <c r="EC50" s="14"/>
      <c r="ED50" s="14"/>
      <c r="EE50" s="14"/>
      <c r="EF50" s="14"/>
      <c r="EG50" s="14"/>
      <c r="EH50" s="14"/>
      <c r="EI50" s="14"/>
      <c r="EJ50" s="14"/>
      <c r="EK50" s="14"/>
      <c r="EL50" s="14"/>
    </row>
    <row r="51" spans="1:142" x14ac:dyDescent="0.25">
      <c r="A51" s="14"/>
      <c r="B51" s="14"/>
      <c r="C51" s="14"/>
      <c r="D51" s="21"/>
      <c r="E51" s="14"/>
      <c r="F51" s="19"/>
      <c r="G51" s="19"/>
      <c r="H51" s="27"/>
      <c r="I51" s="21"/>
      <c r="J51" s="14"/>
      <c r="K51" s="14"/>
      <c r="L51" s="14"/>
      <c r="M51" s="14"/>
      <c r="N51" s="14"/>
      <c r="O51" s="14"/>
      <c r="P51" s="14"/>
      <c r="Q51" s="47"/>
      <c r="R51" s="19"/>
      <c r="S51" s="14"/>
      <c r="T51" s="14"/>
      <c r="U51" s="14"/>
      <c r="V51" s="14"/>
      <c r="W51" s="14"/>
      <c r="X51" s="14"/>
      <c r="Y51" s="14"/>
      <c r="Z51" s="14"/>
      <c r="AA51" s="14"/>
      <c r="AB51" s="14"/>
      <c r="AC51" s="14"/>
      <c r="AD51" s="65"/>
      <c r="AE51" s="63"/>
      <c r="AF51" s="47"/>
      <c r="AG51" s="19"/>
      <c r="AH51" s="14"/>
      <c r="AI51" s="14"/>
      <c r="AJ51" s="14"/>
      <c r="AK51" s="14"/>
      <c r="AL51" s="14"/>
      <c r="AM51" s="14"/>
      <c r="AN51" s="14"/>
      <c r="AO51" s="14"/>
      <c r="AP51" s="14"/>
      <c r="AQ51" s="14"/>
      <c r="AR51" s="14"/>
      <c r="AS51" s="65"/>
      <c r="AT51" s="63"/>
      <c r="AU51" s="47"/>
      <c r="AV51" s="14"/>
      <c r="AW51" s="14"/>
      <c r="AX51" s="14"/>
      <c r="AY51" s="14"/>
      <c r="AZ51" s="14"/>
      <c r="BA51" s="14"/>
      <c r="BB51" s="14"/>
      <c r="BC51" s="14"/>
      <c r="BD51" s="14"/>
      <c r="BE51" s="14"/>
      <c r="BF51" s="14"/>
      <c r="BG51" s="14"/>
      <c r="BH51" s="65"/>
      <c r="BI51" s="63"/>
      <c r="BJ51" s="352"/>
      <c r="BK51" s="19"/>
      <c r="BL51" s="14"/>
      <c r="BM51" s="14"/>
      <c r="BN51" s="14"/>
      <c r="BO51" s="14"/>
      <c r="BP51" s="14"/>
      <c r="BQ51" s="14"/>
      <c r="BR51" s="14"/>
      <c r="BS51" s="14"/>
      <c r="BT51" s="14"/>
      <c r="BU51" s="14"/>
      <c r="BV51" s="14"/>
      <c r="BW51" s="65"/>
      <c r="BX51" s="63"/>
      <c r="BY51" s="352"/>
      <c r="BZ51" s="14"/>
      <c r="CA51" s="14"/>
      <c r="CB51" s="21"/>
      <c r="CC51" s="21"/>
      <c r="CD51" s="21"/>
      <c r="CE51" s="21"/>
      <c r="CF51" s="21"/>
      <c r="CG51" s="14"/>
      <c r="CH51" s="71"/>
      <c r="CI51" s="71"/>
      <c r="CJ51" s="71"/>
      <c r="CK51" s="14"/>
      <c r="CL51" s="14"/>
      <c r="CM51" s="14"/>
      <c r="CN51" s="14"/>
      <c r="CO51" s="129"/>
      <c r="CP51" s="14"/>
      <c r="CQ51" s="47"/>
      <c r="CR51" s="14"/>
      <c r="CS51" s="71"/>
      <c r="CT51" s="71"/>
      <c r="CU51" s="71"/>
      <c r="CV51" s="330"/>
      <c r="CW51" s="71"/>
      <c r="CX51" s="71"/>
      <c r="CY51" s="71"/>
      <c r="CZ51" s="71"/>
      <c r="DA51" s="71"/>
      <c r="DB51" s="71"/>
      <c r="DC51" s="71"/>
      <c r="DD51" s="71"/>
      <c r="DE51" s="71"/>
      <c r="DF51" s="71"/>
      <c r="DG51" s="260"/>
      <c r="DH51" s="14"/>
      <c r="DI51" s="47"/>
      <c r="DJ51" s="14"/>
      <c r="DK51" s="14"/>
      <c r="DL51" s="14"/>
      <c r="DM51" s="14"/>
      <c r="DN51" s="14"/>
      <c r="DO51" s="14"/>
      <c r="DP51" s="14"/>
      <c r="DQ51" s="14"/>
      <c r="DR51" s="2"/>
      <c r="DS51" s="2"/>
      <c r="DT51" s="2"/>
      <c r="DU51" s="14"/>
      <c r="DV51" s="14"/>
      <c r="DW51" s="14"/>
      <c r="DX51" s="14"/>
      <c r="DY51" s="14"/>
      <c r="DZ51" s="14"/>
      <c r="EA51" s="14"/>
      <c r="EB51" s="14"/>
      <c r="EC51" s="14"/>
      <c r="ED51" s="14"/>
      <c r="EE51" s="14"/>
      <c r="EF51" s="14"/>
      <c r="EG51" s="14"/>
      <c r="EH51" s="14"/>
      <c r="EI51" s="14"/>
      <c r="EJ51" s="14"/>
      <c r="EK51" s="14"/>
      <c r="EL51" s="14"/>
    </row>
    <row r="52" spans="1:142" s="130" customFormat="1" x14ac:dyDescent="0.25">
      <c r="A52" s="87"/>
      <c r="B52" s="87" t="s">
        <v>756</v>
      </c>
      <c r="C52" s="87"/>
      <c r="D52" s="88"/>
      <c r="E52" s="87"/>
      <c r="F52" s="87"/>
      <c r="G52" s="87"/>
      <c r="H52" s="88"/>
      <c r="I52" s="88"/>
      <c r="J52" s="87"/>
      <c r="K52" s="87"/>
      <c r="L52" s="87"/>
      <c r="M52" s="87"/>
      <c r="N52" s="87"/>
      <c r="O52" s="87"/>
      <c r="P52" s="87"/>
      <c r="Q52" s="93"/>
      <c r="R52" s="196"/>
      <c r="S52" s="87" t="str">
        <f>$B52</f>
        <v>Analysis by stakeholder group</v>
      </c>
      <c r="T52" s="87"/>
      <c r="U52" s="87"/>
      <c r="V52" s="87"/>
      <c r="W52" s="87"/>
      <c r="X52" s="87"/>
      <c r="Y52" s="87"/>
      <c r="Z52" s="87"/>
      <c r="AA52" s="87"/>
      <c r="AB52" s="87"/>
      <c r="AC52" s="87"/>
      <c r="AD52" s="91"/>
      <c r="AE52" s="92"/>
      <c r="AF52" s="93"/>
      <c r="AG52" s="196"/>
      <c r="AH52" s="87" t="str">
        <f>$B52</f>
        <v>Analysis by stakeholder group</v>
      </c>
      <c r="AI52" s="87"/>
      <c r="AJ52" s="87"/>
      <c r="AK52" s="87"/>
      <c r="AL52" s="87"/>
      <c r="AM52" s="87"/>
      <c r="AN52" s="87"/>
      <c r="AO52" s="87"/>
      <c r="AP52" s="87"/>
      <c r="AQ52" s="87"/>
      <c r="AR52" s="87"/>
      <c r="AS52" s="91"/>
      <c r="AT52" s="92"/>
      <c r="AU52" s="93"/>
      <c r="AV52" s="87"/>
      <c r="AW52" s="87" t="str">
        <f>$B52</f>
        <v>Analysis by stakeholder group</v>
      </c>
      <c r="AX52" s="87"/>
      <c r="AY52" s="87"/>
      <c r="AZ52" s="87"/>
      <c r="BA52" s="87"/>
      <c r="BB52" s="87"/>
      <c r="BC52" s="87"/>
      <c r="BD52" s="87"/>
      <c r="BE52" s="87"/>
      <c r="BF52" s="87"/>
      <c r="BG52" s="87"/>
      <c r="BH52" s="91"/>
      <c r="BI52" s="92"/>
      <c r="BJ52" s="351"/>
      <c r="BK52" s="196"/>
      <c r="BL52" s="87" t="str">
        <f>$B52</f>
        <v>Analysis by stakeholder group</v>
      </c>
      <c r="BM52" s="87"/>
      <c r="BN52" s="87"/>
      <c r="BO52" s="87"/>
      <c r="BP52" s="87"/>
      <c r="BQ52" s="87"/>
      <c r="BR52" s="87"/>
      <c r="BS52" s="87"/>
      <c r="BT52" s="87"/>
      <c r="BU52" s="87"/>
      <c r="BV52" s="87"/>
      <c r="BW52" s="91"/>
      <c r="BX52" s="92"/>
      <c r="BY52" s="351"/>
      <c r="BZ52" s="87"/>
      <c r="CA52" s="87" t="str">
        <f>$B52</f>
        <v>Analysis by stakeholder group</v>
      </c>
      <c r="CB52" s="88"/>
      <c r="CC52" s="88"/>
      <c r="CD52" s="88"/>
      <c r="CE52" s="88"/>
      <c r="CF52" s="88"/>
      <c r="CG52" s="87"/>
      <c r="CH52" s="87"/>
      <c r="CI52" s="87"/>
      <c r="CJ52" s="87"/>
      <c r="CK52" s="87"/>
      <c r="CL52" s="87"/>
      <c r="CM52" s="87"/>
      <c r="CN52" s="87"/>
      <c r="CO52" s="87"/>
      <c r="CP52" s="87"/>
      <c r="CQ52" s="93"/>
      <c r="CR52" s="87"/>
      <c r="CS52" s="87" t="str">
        <f>$B52</f>
        <v>Analysis by stakeholder group</v>
      </c>
      <c r="CT52" s="87"/>
      <c r="CU52" s="87"/>
      <c r="CV52" s="88"/>
      <c r="CW52" s="87"/>
      <c r="CX52" s="87"/>
      <c r="CY52" s="87"/>
      <c r="CZ52" s="87"/>
      <c r="DA52" s="87"/>
      <c r="DB52" s="87"/>
      <c r="DC52" s="87"/>
      <c r="DD52" s="87"/>
      <c r="DE52" s="87"/>
      <c r="DF52" s="87"/>
      <c r="DG52" s="87"/>
      <c r="DH52" s="87"/>
      <c r="DI52" s="93"/>
      <c r="DJ52" s="87"/>
      <c r="DK52" s="87" t="str">
        <f>$B52</f>
        <v>Analysis by stakeholder group</v>
      </c>
      <c r="DL52" s="87"/>
      <c r="DM52" s="87"/>
      <c r="DN52" s="87"/>
      <c r="DO52" s="87"/>
      <c r="DP52" s="87"/>
      <c r="DQ52" s="87"/>
      <c r="DR52" s="87"/>
      <c r="DS52" s="87"/>
      <c r="DT52" s="87"/>
      <c r="DU52" s="87"/>
      <c r="DV52" s="87"/>
      <c r="DW52" s="87"/>
      <c r="DX52" s="87"/>
      <c r="DY52" s="87"/>
      <c r="DZ52" s="87"/>
      <c r="EA52" s="87"/>
      <c r="EB52" s="87"/>
      <c r="EC52" s="87"/>
      <c r="ED52" s="87"/>
      <c r="EE52" s="87"/>
      <c r="EF52" s="87"/>
      <c r="EG52" s="87"/>
      <c r="EH52" s="87"/>
      <c r="EI52" s="87"/>
      <c r="EJ52" s="87"/>
      <c r="EK52" s="87"/>
      <c r="EL52" s="87"/>
    </row>
    <row r="53" spans="1:142" x14ac:dyDescent="0.25">
      <c r="A53" s="14"/>
      <c r="B53" s="211"/>
      <c r="C53" s="345"/>
      <c r="D53" s="345"/>
      <c r="E53" s="345"/>
      <c r="F53" s="345"/>
      <c r="G53" s="19"/>
      <c r="H53" s="27"/>
      <c r="I53" s="21"/>
      <c r="J53" s="14"/>
      <c r="K53" s="14"/>
      <c r="L53" s="14"/>
      <c r="M53" s="14"/>
      <c r="N53" s="14"/>
      <c r="O53" s="14"/>
      <c r="P53" s="14"/>
      <c r="Q53" s="47"/>
      <c r="R53" s="19"/>
      <c r="S53" s="14"/>
      <c r="T53" s="14"/>
      <c r="U53" s="14"/>
      <c r="V53" s="14"/>
      <c r="W53" s="14"/>
      <c r="X53" s="14"/>
      <c r="Y53" s="14"/>
      <c r="Z53" s="14"/>
      <c r="AA53" s="14"/>
      <c r="AB53" s="14"/>
      <c r="AC53" s="14"/>
      <c r="AD53" s="65"/>
      <c r="AE53" s="63"/>
      <c r="AF53" s="47"/>
      <c r="AG53" s="19"/>
      <c r="AH53" s="14"/>
      <c r="AI53" s="14"/>
      <c r="AJ53" s="14"/>
      <c r="AK53" s="14"/>
      <c r="AL53" s="14"/>
      <c r="AM53" s="14"/>
      <c r="AN53" s="14"/>
      <c r="AO53" s="14"/>
      <c r="AP53" s="14"/>
      <c r="AQ53" s="14"/>
      <c r="AR53" s="14"/>
      <c r="AS53" s="65"/>
      <c r="AT53" s="63"/>
      <c r="AU53" s="47"/>
      <c r="AV53" s="14"/>
      <c r="AW53" s="14"/>
      <c r="AX53" s="14"/>
      <c r="AY53" s="14"/>
      <c r="AZ53" s="14"/>
      <c r="BA53" s="14"/>
      <c r="BB53" s="14"/>
      <c r="BC53" s="14"/>
      <c r="BD53" s="14"/>
      <c r="BE53" s="14"/>
      <c r="BF53" s="14"/>
      <c r="BG53" s="14"/>
      <c r="BH53" s="65"/>
      <c r="BI53" s="63"/>
      <c r="BJ53" s="352"/>
      <c r="BK53" s="19"/>
      <c r="BL53" s="14"/>
      <c r="BM53" s="14"/>
      <c r="BN53" s="14"/>
      <c r="BO53" s="14"/>
      <c r="BP53" s="14"/>
      <c r="BQ53" s="14"/>
      <c r="BR53" s="14"/>
      <c r="BS53" s="14"/>
      <c r="BT53" s="14"/>
      <c r="BU53" s="14"/>
      <c r="BV53" s="14"/>
      <c r="BW53" s="65"/>
      <c r="BX53" s="63"/>
      <c r="BY53" s="352"/>
      <c r="BZ53" s="14"/>
      <c r="CA53" s="345"/>
      <c r="CB53" s="211"/>
      <c r="CC53" s="345"/>
      <c r="CD53" s="345"/>
      <c r="CE53" s="345"/>
      <c r="CF53" s="345"/>
      <c r="CG53" s="345"/>
      <c r="CH53" s="345"/>
      <c r="CI53" s="345"/>
      <c r="CJ53" s="345"/>
      <c r="CK53" s="345"/>
      <c r="CL53" s="345"/>
      <c r="CM53" s="345"/>
      <c r="CN53" s="345"/>
      <c r="CO53" s="345"/>
      <c r="CP53" s="14"/>
      <c r="CQ53" s="47"/>
      <c r="CR53" s="14"/>
      <c r="CS53" s="71"/>
      <c r="CT53" s="71"/>
      <c r="CU53" s="346"/>
      <c r="CV53" s="346"/>
      <c r="CW53" s="346"/>
      <c r="CX53" s="346"/>
      <c r="CY53" s="346"/>
      <c r="CZ53" s="346"/>
      <c r="DA53" s="346"/>
      <c r="DB53" s="346"/>
      <c r="DC53" s="346"/>
      <c r="DD53" s="346"/>
      <c r="DE53" s="346"/>
      <c r="DF53" s="346"/>
      <c r="DG53" s="346"/>
      <c r="DH53" s="14"/>
      <c r="DI53" s="47"/>
      <c r="DJ53" s="14"/>
      <c r="DK53" s="14"/>
      <c r="DL53" s="14"/>
      <c r="DM53" s="14"/>
      <c r="DN53" s="14"/>
      <c r="DO53" s="14"/>
      <c r="DP53" s="14"/>
      <c r="DQ53" s="14"/>
      <c r="DR53" s="2"/>
      <c r="DS53" s="2"/>
      <c r="DT53" s="2"/>
      <c r="DU53" s="14"/>
      <c r="DV53" s="14"/>
      <c r="DW53" s="14"/>
      <c r="DX53" s="14"/>
      <c r="DY53" s="14"/>
      <c r="DZ53" s="14"/>
      <c r="EA53" s="14"/>
      <c r="EB53" s="14"/>
      <c r="EC53" s="14"/>
      <c r="ED53" s="14"/>
      <c r="EE53" s="14"/>
      <c r="EF53" s="14"/>
      <c r="EG53" s="14"/>
      <c r="EH53" s="14"/>
      <c r="EI53" s="14"/>
      <c r="EJ53" s="14"/>
      <c r="EK53" s="14"/>
      <c r="EL53" s="14"/>
    </row>
    <row r="54" spans="1:142" s="131" customFormat="1" x14ac:dyDescent="0.25">
      <c r="A54" s="78"/>
      <c r="B54" s="78" t="s">
        <v>2</v>
      </c>
      <c r="C54" s="78" t="s">
        <v>123</v>
      </c>
      <c r="D54" s="79"/>
      <c r="E54" s="78"/>
      <c r="F54" s="78"/>
      <c r="G54" s="78"/>
      <c r="H54" s="79"/>
      <c r="I54" s="79"/>
      <c r="J54" s="78"/>
      <c r="K54" s="78"/>
      <c r="L54" s="78"/>
      <c r="M54" s="78"/>
      <c r="N54" s="78"/>
      <c r="O54" s="78"/>
      <c r="P54" s="78"/>
      <c r="Q54" s="82"/>
      <c r="R54" s="83"/>
      <c r="S54" s="78" t="str">
        <f>$B54</f>
        <v>Forest owners/managers</v>
      </c>
      <c r="T54" s="78"/>
      <c r="U54" s="78"/>
      <c r="V54" s="78"/>
      <c r="W54" s="78"/>
      <c r="X54" s="78"/>
      <c r="Y54" s="78"/>
      <c r="Z54" s="78"/>
      <c r="AA54" s="78"/>
      <c r="AB54" s="78"/>
      <c r="AC54" s="78"/>
      <c r="AD54" s="80"/>
      <c r="AE54" s="81"/>
      <c r="AF54" s="82"/>
      <c r="AG54" s="83"/>
      <c r="AH54" s="78" t="str">
        <f>$B54</f>
        <v>Forest owners/managers</v>
      </c>
      <c r="AI54" s="78"/>
      <c r="AJ54" s="78"/>
      <c r="AK54" s="78"/>
      <c r="AL54" s="78"/>
      <c r="AM54" s="78"/>
      <c r="AN54" s="78"/>
      <c r="AO54" s="78"/>
      <c r="AP54" s="78"/>
      <c r="AQ54" s="78"/>
      <c r="AR54" s="78"/>
      <c r="AS54" s="80"/>
      <c r="AT54" s="81"/>
      <c r="AU54" s="82"/>
      <c r="AV54" s="78"/>
      <c r="AW54" s="78" t="str">
        <f>$B54</f>
        <v>Forest owners/managers</v>
      </c>
      <c r="AX54" s="78"/>
      <c r="AY54" s="78"/>
      <c r="AZ54" s="78"/>
      <c r="BA54" s="78"/>
      <c r="BB54" s="78"/>
      <c r="BC54" s="78"/>
      <c r="BD54" s="78"/>
      <c r="BE54" s="78"/>
      <c r="BF54" s="78"/>
      <c r="BG54" s="78"/>
      <c r="BH54" s="80"/>
      <c r="BI54" s="81"/>
      <c r="BJ54" s="373"/>
      <c r="BK54" s="83"/>
      <c r="BL54" s="78" t="str">
        <f>$B54</f>
        <v>Forest owners/managers</v>
      </c>
      <c r="BM54" s="78"/>
      <c r="BN54" s="78"/>
      <c r="BO54" s="78"/>
      <c r="BP54" s="78"/>
      <c r="BQ54" s="78"/>
      <c r="BR54" s="78"/>
      <c r="BS54" s="78"/>
      <c r="BT54" s="78"/>
      <c r="BU54" s="78"/>
      <c r="BV54" s="78"/>
      <c r="BW54" s="80"/>
      <c r="BX54" s="81"/>
      <c r="BY54" s="373"/>
      <c r="BZ54" s="78"/>
      <c r="CA54" s="78" t="str">
        <f>$B54</f>
        <v>Forest owners/managers</v>
      </c>
      <c r="CB54" s="79"/>
      <c r="CC54" s="79"/>
      <c r="CD54" s="79"/>
      <c r="CE54" s="79"/>
      <c r="CF54" s="79"/>
      <c r="CG54" s="78"/>
      <c r="CH54" s="78"/>
      <c r="CI54" s="78"/>
      <c r="CJ54" s="78"/>
      <c r="CK54" s="78"/>
      <c r="CL54" s="78"/>
      <c r="CM54" s="78"/>
      <c r="CN54" s="78"/>
      <c r="CO54" s="78"/>
      <c r="CP54" s="78"/>
      <c r="CQ54" s="82"/>
      <c r="CR54" s="78"/>
      <c r="CS54" s="78" t="str">
        <f>$B54</f>
        <v>Forest owners/managers</v>
      </c>
      <c r="CT54" s="78"/>
      <c r="CU54" s="78"/>
      <c r="CV54" s="79"/>
      <c r="CW54" s="78"/>
      <c r="CX54" s="78"/>
      <c r="CY54" s="78"/>
      <c r="CZ54" s="78"/>
      <c r="DA54" s="78"/>
      <c r="DB54" s="78"/>
      <c r="DC54" s="78"/>
      <c r="DD54" s="78"/>
      <c r="DE54" s="78"/>
      <c r="DF54" s="78"/>
      <c r="DG54" s="78"/>
      <c r="DH54" s="78"/>
      <c r="DI54" s="82"/>
      <c r="DJ54" s="78"/>
      <c r="DK54" s="78" t="str">
        <f>$B54</f>
        <v>Forest owners/managers</v>
      </c>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row>
    <row r="55" spans="1:142" x14ac:dyDescent="0.25">
      <c r="A55" s="14"/>
      <c r="B55" s="84" t="s">
        <v>301</v>
      </c>
      <c r="C55" s="84"/>
      <c r="D55" s="85"/>
      <c r="E55" s="84"/>
      <c r="F55" s="14"/>
      <c r="G55" s="14"/>
      <c r="H55" s="21"/>
      <c r="I55" s="21"/>
      <c r="J55" s="14"/>
      <c r="K55" s="14"/>
      <c r="L55" s="14"/>
      <c r="M55" s="14"/>
      <c r="N55" s="14"/>
      <c r="O55" s="14"/>
      <c r="P55" s="14"/>
      <c r="Q55" s="47"/>
      <c r="R55" s="19"/>
      <c r="S55" s="84" t="s">
        <v>322</v>
      </c>
      <c r="T55" s="84"/>
      <c r="U55" s="85"/>
      <c r="V55" s="84"/>
      <c r="W55" s="14"/>
      <c r="X55" s="14"/>
      <c r="Y55" s="14"/>
      <c r="Z55" s="14"/>
      <c r="AA55" s="14"/>
      <c r="AB55" s="14"/>
      <c r="AC55" s="14"/>
      <c r="AD55" s="65"/>
      <c r="AE55" s="63"/>
      <c r="AF55" s="47"/>
      <c r="AG55" s="19"/>
      <c r="AH55" s="84" t="s">
        <v>328</v>
      </c>
      <c r="AI55" s="84"/>
      <c r="AJ55" s="85"/>
      <c r="AK55" s="84"/>
      <c r="AL55" s="84"/>
      <c r="AM55" s="14"/>
      <c r="AN55" s="14"/>
      <c r="AO55" s="14"/>
      <c r="AP55" s="14"/>
      <c r="AQ55" s="14"/>
      <c r="AR55" s="14"/>
      <c r="AS55" s="65"/>
      <c r="AT55" s="63"/>
      <c r="AU55" s="47"/>
      <c r="AV55" s="14"/>
      <c r="AW55" s="84" t="s">
        <v>347</v>
      </c>
      <c r="AX55" s="84"/>
      <c r="AY55" s="85"/>
      <c r="AZ55" s="84"/>
      <c r="BA55" s="84"/>
      <c r="BB55" s="14"/>
      <c r="BC55" s="14"/>
      <c r="BD55" s="14"/>
      <c r="BE55" s="14"/>
      <c r="BF55" s="14"/>
      <c r="BG55" s="14"/>
      <c r="BH55" s="65"/>
      <c r="BI55" s="63"/>
      <c r="BJ55" s="352"/>
      <c r="BK55" s="19"/>
      <c r="BL55" s="84" t="s">
        <v>348</v>
      </c>
      <c r="BM55" s="84"/>
      <c r="BN55" s="85"/>
      <c r="BO55" s="84"/>
      <c r="BP55" s="84"/>
      <c r="BQ55" s="14"/>
      <c r="BR55" s="14"/>
      <c r="BS55" s="14"/>
      <c r="BT55" s="14"/>
      <c r="BU55" s="14"/>
      <c r="BV55" s="14"/>
      <c r="BW55" s="65"/>
      <c r="BX55" s="63"/>
      <c r="BY55" s="352"/>
      <c r="BZ55" s="14"/>
      <c r="CA55" s="148" t="s">
        <v>303</v>
      </c>
      <c r="CB55" s="85"/>
      <c r="CC55" s="85"/>
      <c r="CD55" s="147"/>
      <c r="CE55" s="147"/>
      <c r="CF55" s="147"/>
      <c r="CG55" s="14"/>
      <c r="CH55" s="14"/>
      <c r="CI55" s="14"/>
      <c r="CJ55" s="14"/>
      <c r="CK55" s="14"/>
      <c r="CL55" s="14"/>
      <c r="CM55" s="14"/>
      <c r="CN55" s="14"/>
      <c r="CO55" s="129"/>
      <c r="CP55" s="14"/>
      <c r="CQ55" s="47"/>
      <c r="CR55" s="14"/>
      <c r="CS55" s="148" t="s">
        <v>304</v>
      </c>
      <c r="CT55" s="84"/>
      <c r="CU55" s="85"/>
      <c r="CV55" s="85"/>
      <c r="CW55" s="150"/>
      <c r="CX55" s="150"/>
      <c r="CY55" s="14"/>
      <c r="CZ55" s="14"/>
      <c r="DA55" s="14"/>
      <c r="DB55" s="14"/>
      <c r="DC55" s="14"/>
      <c r="DD55" s="14"/>
      <c r="DE55" s="14"/>
      <c r="DF55" s="14"/>
      <c r="DG55" s="129"/>
      <c r="DH55" s="14"/>
      <c r="DI55" s="47"/>
      <c r="DJ55" s="14"/>
      <c r="DK55" s="84" t="s">
        <v>305</v>
      </c>
      <c r="DL55" s="84"/>
      <c r="DM55" s="85"/>
      <c r="DN55" s="8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row>
    <row r="56" spans="1:142" x14ac:dyDescent="0.25">
      <c r="A56" s="14"/>
      <c r="B56" s="14"/>
      <c r="C56" s="14"/>
      <c r="D56" s="14"/>
      <c r="E56" s="14"/>
      <c r="F56" s="14"/>
      <c r="G56" s="14"/>
      <c r="H56" s="21"/>
      <c r="I56" s="21"/>
      <c r="J56" s="14"/>
      <c r="K56" s="14"/>
      <c r="L56" s="14"/>
      <c r="M56" s="14"/>
      <c r="N56" s="14"/>
      <c r="O56" s="14"/>
      <c r="P56" s="14"/>
      <c r="Q56" s="47"/>
      <c r="R56" s="19"/>
      <c r="S56" s="14"/>
      <c r="T56" s="14"/>
      <c r="U56" s="15"/>
      <c r="V56" s="14"/>
      <c r="W56" s="14"/>
      <c r="X56" s="14"/>
      <c r="Y56" s="14"/>
      <c r="Z56" s="14"/>
      <c r="AA56" s="14"/>
      <c r="AB56" s="14"/>
      <c r="AC56" s="14"/>
      <c r="AD56" s="65"/>
      <c r="AE56" s="63"/>
      <c r="AF56" s="47"/>
      <c r="AG56" s="19"/>
      <c r="AH56" s="14"/>
      <c r="AI56" s="14"/>
      <c r="AJ56" s="15"/>
      <c r="AK56" s="14"/>
      <c r="AL56" s="14"/>
      <c r="AM56" s="14"/>
      <c r="AN56" s="14"/>
      <c r="AO56" s="14"/>
      <c r="AP56" s="14"/>
      <c r="AQ56" s="14"/>
      <c r="AR56" s="14"/>
      <c r="AS56" s="65"/>
      <c r="AT56" s="63"/>
      <c r="AU56" s="47"/>
      <c r="AV56" s="14"/>
      <c r="AW56" s="14"/>
      <c r="AX56" s="14"/>
      <c r="AY56" s="15"/>
      <c r="AZ56" s="14"/>
      <c r="BA56" s="14"/>
      <c r="BB56" s="14"/>
      <c r="BC56" s="14"/>
      <c r="BD56" s="14"/>
      <c r="BE56" s="14"/>
      <c r="BF56" s="14"/>
      <c r="BG56" s="14"/>
      <c r="BH56" s="65"/>
      <c r="BI56" s="63"/>
      <c r="BJ56" s="352"/>
      <c r="BK56" s="19"/>
      <c r="BL56" s="14"/>
      <c r="BM56" s="14"/>
      <c r="BN56" s="15"/>
      <c r="BO56" s="14"/>
      <c r="BP56" s="14"/>
      <c r="BQ56" s="14"/>
      <c r="BR56" s="14"/>
      <c r="BS56" s="14"/>
      <c r="BT56" s="14"/>
      <c r="BU56" s="14"/>
      <c r="BV56" s="14"/>
      <c r="BW56" s="65"/>
      <c r="BX56" s="63"/>
      <c r="BY56" s="352"/>
      <c r="BZ56" s="14"/>
      <c r="CA56" s="14"/>
      <c r="CB56" s="21"/>
      <c r="CC56" s="21"/>
      <c r="CD56" s="21"/>
      <c r="CE56" s="21"/>
      <c r="CF56" s="21"/>
      <c r="CG56" s="17"/>
      <c r="CH56" s="14"/>
      <c r="CI56" s="14"/>
      <c r="CJ56" s="14"/>
      <c r="CK56" s="14"/>
      <c r="CL56" s="14"/>
      <c r="CM56" s="14"/>
      <c r="CN56" s="14"/>
      <c r="CO56" s="129"/>
      <c r="CP56" s="14"/>
      <c r="CQ56" s="47"/>
      <c r="CR56" s="14"/>
      <c r="CS56" s="14"/>
      <c r="CT56" s="14"/>
      <c r="CU56" s="14"/>
      <c r="CV56" s="21"/>
      <c r="CW56" s="14"/>
      <c r="CX56" s="14"/>
      <c r="CY56" s="14"/>
      <c r="CZ56" s="14"/>
      <c r="DA56" s="14"/>
      <c r="DB56" s="14"/>
      <c r="DC56" s="14"/>
      <c r="DD56" s="14"/>
      <c r="DE56" s="14"/>
      <c r="DF56" s="14"/>
      <c r="DG56" s="129"/>
      <c r="DH56" s="14"/>
      <c r="DI56" s="47"/>
      <c r="DJ56" s="14"/>
      <c r="DK56" s="14"/>
      <c r="DL56" s="14"/>
      <c r="DM56" s="15"/>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row>
    <row r="57" spans="1:142" ht="27.6" x14ac:dyDescent="0.25">
      <c r="A57" s="14"/>
      <c r="B57" s="112" t="s">
        <v>23</v>
      </c>
      <c r="C57" s="113" t="s">
        <v>24</v>
      </c>
      <c r="D57" s="113" t="s">
        <v>145</v>
      </c>
      <c r="E57" s="113" t="s">
        <v>300</v>
      </c>
      <c r="F57" s="14"/>
      <c r="G57" s="14"/>
      <c r="H57" s="27"/>
      <c r="I57" s="21"/>
      <c r="J57" s="14"/>
      <c r="K57" s="14"/>
      <c r="L57" s="51"/>
      <c r="M57" s="51"/>
      <c r="N57" s="51"/>
      <c r="O57" s="51"/>
      <c r="P57" s="51"/>
      <c r="Q57" s="47"/>
      <c r="R57" s="19"/>
      <c r="S57" s="112" t="s">
        <v>23</v>
      </c>
      <c r="T57" s="113" t="s">
        <v>24</v>
      </c>
      <c r="U57" s="113" t="s">
        <v>145</v>
      </c>
      <c r="V57" s="113" t="s">
        <v>300</v>
      </c>
      <c r="W57" s="14"/>
      <c r="X57" s="14"/>
      <c r="Y57" s="14"/>
      <c r="Z57" s="14"/>
      <c r="AA57" s="14"/>
      <c r="AB57" s="14"/>
      <c r="AC57" s="14"/>
      <c r="AD57" s="65"/>
      <c r="AE57" s="63"/>
      <c r="AF57" s="47"/>
      <c r="AG57" s="19"/>
      <c r="AH57" s="112" t="s">
        <v>23</v>
      </c>
      <c r="AI57" s="113" t="s">
        <v>24</v>
      </c>
      <c r="AJ57" s="113" t="s">
        <v>145</v>
      </c>
      <c r="AK57" s="113" t="s">
        <v>300</v>
      </c>
      <c r="AL57" s="14"/>
      <c r="AM57" s="14"/>
      <c r="AN57" s="14"/>
      <c r="AO57" s="14"/>
      <c r="AP57" s="14"/>
      <c r="AQ57" s="14"/>
      <c r="AR57" s="14"/>
      <c r="AS57" s="65"/>
      <c r="AT57" s="63"/>
      <c r="AU57" s="47"/>
      <c r="AV57" s="19"/>
      <c r="AW57" s="112" t="s">
        <v>23</v>
      </c>
      <c r="AX57" s="113" t="s">
        <v>24</v>
      </c>
      <c r="AY57" s="113" t="s">
        <v>145</v>
      </c>
      <c r="AZ57" s="113" t="s">
        <v>300</v>
      </c>
      <c r="BA57" s="14"/>
      <c r="BB57" s="14"/>
      <c r="BC57" s="14"/>
      <c r="BD57" s="14"/>
      <c r="BE57" s="14"/>
      <c r="BF57" s="14"/>
      <c r="BG57" s="14"/>
      <c r="BH57" s="65"/>
      <c r="BI57" s="63"/>
      <c r="BJ57" s="352"/>
      <c r="BK57" s="19"/>
      <c r="BL57" s="112" t="s">
        <v>23</v>
      </c>
      <c r="BM57" s="113" t="s">
        <v>24</v>
      </c>
      <c r="BN57" s="113" t="s">
        <v>145</v>
      </c>
      <c r="BO57" s="113" t="s">
        <v>300</v>
      </c>
      <c r="BP57" s="14"/>
      <c r="BQ57" s="14"/>
      <c r="BR57" s="14"/>
      <c r="BS57" s="14"/>
      <c r="BT57" s="14"/>
      <c r="BU57" s="14"/>
      <c r="BV57" s="14"/>
      <c r="BW57" s="65"/>
      <c r="BX57" s="63"/>
      <c r="BY57" s="352"/>
      <c r="BZ57" s="14"/>
      <c r="CA57" s="112" t="s">
        <v>23</v>
      </c>
      <c r="CB57" s="113" t="s">
        <v>145</v>
      </c>
      <c r="CC57" s="58"/>
      <c r="CD57" s="58"/>
      <c r="CE57" s="21"/>
      <c r="CF57" s="21"/>
      <c r="CG57" s="14"/>
      <c r="CH57" s="14"/>
      <c r="CI57" s="14"/>
      <c r="CJ57" s="14"/>
      <c r="CK57" s="14"/>
      <c r="CL57" s="14"/>
      <c r="CM57" s="14"/>
      <c r="CN57" s="14"/>
      <c r="CO57" s="129"/>
      <c r="CP57" s="20"/>
      <c r="CQ57" s="47"/>
      <c r="CR57" s="14"/>
      <c r="CS57" s="112" t="s">
        <v>23</v>
      </c>
      <c r="CT57" s="113" t="s">
        <v>145</v>
      </c>
      <c r="CU57" s="14"/>
      <c r="CV57" s="21"/>
      <c r="CW57" s="14"/>
      <c r="CX57" s="14"/>
      <c r="CY57" s="14"/>
      <c r="CZ57" s="14"/>
      <c r="DA57" s="14"/>
      <c r="DB57" s="14"/>
      <c r="DC57" s="14"/>
      <c r="DD57" s="14"/>
      <c r="DE57" s="14"/>
      <c r="DF57" s="14"/>
      <c r="DG57" s="129"/>
      <c r="DH57" s="17"/>
      <c r="DI57" s="47"/>
      <c r="DJ57" s="17"/>
      <c r="DK57" s="112" t="s">
        <v>23</v>
      </c>
      <c r="DL57" s="113" t="s">
        <v>24</v>
      </c>
      <c r="DM57" s="113" t="s">
        <v>145</v>
      </c>
      <c r="DN57" s="113" t="s">
        <v>300</v>
      </c>
      <c r="DO57" s="14"/>
      <c r="DP57" s="14"/>
      <c r="DQ57" s="14"/>
      <c r="DR57" s="14"/>
      <c r="DS57" s="14"/>
      <c r="DT57" s="14"/>
      <c r="DU57" s="51"/>
      <c r="DV57" s="14"/>
      <c r="DW57" s="14"/>
      <c r="DX57" s="14"/>
      <c r="DY57" s="14"/>
      <c r="DZ57" s="14"/>
      <c r="EA57" s="14"/>
      <c r="EB57" s="14"/>
      <c r="EC57" s="14"/>
      <c r="ED57" s="14"/>
      <c r="EE57" s="14"/>
      <c r="EF57" s="14"/>
      <c r="EG57" s="14"/>
      <c r="EH57" s="14"/>
      <c r="EI57" s="14"/>
      <c r="EJ57" s="14"/>
      <c r="EK57" s="14"/>
      <c r="EL57" s="14"/>
    </row>
    <row r="58" spans="1:142" x14ac:dyDescent="0.25">
      <c r="A58" s="14"/>
      <c r="B58" s="57" t="s">
        <v>2</v>
      </c>
      <c r="C58" s="121" t="str">
        <f>IF(H77=0,"na",IF(COUNTIF(H72:H76,MAX(H72:H76))&gt;COUNTIF(G72:G76,"&lt;&gt;""")/2,"No clear choice of the most common response",INDEX(G72:G76,MATCH(MAX(H72:H76),H72:H76,0),1)))</f>
        <v>I don’t know</v>
      </c>
      <c r="D58" s="58">
        <f>COUNTIFS(S30_stakeholder_category,"FO",Response_Q173_3,"&lt;&gt;0")</f>
        <v>4</v>
      </c>
      <c r="E58" s="121">
        <f>COUNTIFS(S30_stakeholder_category,"FO",Response_Q173_3,"I don’t know")</f>
        <v>3</v>
      </c>
      <c r="F58" s="14"/>
      <c r="G58" s="14"/>
      <c r="H58" s="27"/>
      <c r="I58" s="21"/>
      <c r="J58" s="14"/>
      <c r="K58" s="14"/>
      <c r="L58" s="19"/>
      <c r="M58" s="19"/>
      <c r="N58" s="19"/>
      <c r="O58" s="19"/>
      <c r="P58" s="19"/>
      <c r="Q58" s="47"/>
      <c r="R58" s="19"/>
      <c r="S58" s="34" t="s">
        <v>2</v>
      </c>
      <c r="T58" s="37" t="str">
        <f>IF(Y79=0,"na",IF(COUNTIF(Y72:Y78,MAX(Y72:Y78))&gt;COUNTIF(X72:X78,"&lt;&gt;""")/2,"No clear choice of the most common response",INDEX(X72:X78,MATCH(MAX(Y72:Y78),Y72:Y78,0),1)))</f>
        <v>I don’t know</v>
      </c>
      <c r="U58" s="33">
        <f>COUNTIFS(S30_stakeholder_category,"FO",Response_Q176_2,"&lt;&gt;0")</f>
        <v>5</v>
      </c>
      <c r="V58" s="37">
        <f>COUNTIFS(S30_stakeholder_category,"FO",Response_Q176_2,"I don’t know")</f>
        <v>3</v>
      </c>
      <c r="W58" s="14"/>
      <c r="X58" s="14"/>
      <c r="Y58" s="14"/>
      <c r="Z58" s="14"/>
      <c r="AA58" s="14"/>
      <c r="AB58" s="14"/>
      <c r="AC58" s="14"/>
      <c r="AD58" s="65"/>
      <c r="AE58" s="63"/>
      <c r="AF58" s="47"/>
      <c r="AG58" s="19"/>
      <c r="AH58" s="57" t="s">
        <v>2</v>
      </c>
      <c r="AI58" s="121" t="str">
        <f>IF(AN79=0,"na",IF(COUNTIF(AN72:AN78,MAX(AN72:AN78))&gt;COUNTIF(AM72:AM78,"&lt;&gt;""")/2,"No clear choice of the most common response",INDEX(AM72:AM78,MATCH(MAX(AN72:AN78),AN72:AN78,0),1)))</f>
        <v>Very unlikely</v>
      </c>
      <c r="AJ58" s="58">
        <f>COUNTIFS(S30_stakeholder_category,"FO",Response_30b_CaseA,"&lt;&gt;0")</f>
        <v>2</v>
      </c>
      <c r="AK58" s="121">
        <f>COUNTIFS(S30_stakeholder_category,"FO",Response_30b_CaseA,"I don’t know")</f>
        <v>0</v>
      </c>
      <c r="AL58" s="14"/>
      <c r="AM58" s="14"/>
      <c r="AN58" s="14"/>
      <c r="AO58" s="14"/>
      <c r="AP58" s="14"/>
      <c r="AQ58" s="14"/>
      <c r="AR58" s="14"/>
      <c r="AS58" s="65"/>
      <c r="AT58" s="63"/>
      <c r="AU58" s="47"/>
      <c r="AV58" s="19"/>
      <c r="AW58" s="57" t="s">
        <v>2</v>
      </c>
      <c r="AX58" s="121" t="str">
        <f>IF(BC79=0,"na",IF(COUNTIF(BC72:BC78,MAX(BC72:BC78))&gt;COUNTIF(BB72:BB78,"&lt;&gt;""")/2,"No clear choice of the most common response",INDEX(BB72:BB78,MATCH(MAX(BC72:BC78),BC72:BC78,0),1)))</f>
        <v>Very unlikely</v>
      </c>
      <c r="AY58" s="58">
        <f>COUNTIFS(S30_stakeholder_category,"FO",Response_30b_CaseB,"&lt;&gt;0")</f>
        <v>2</v>
      </c>
      <c r="AZ58" s="121">
        <f>COUNTIFS(S30_stakeholder_category,"FO",Response_30b_CaseB,"I don’t know")</f>
        <v>0</v>
      </c>
      <c r="BA58" s="14"/>
      <c r="BB58" s="14"/>
      <c r="BC58" s="14"/>
      <c r="BD58" s="14"/>
      <c r="BE58" s="14"/>
      <c r="BF58" s="14"/>
      <c r="BG58" s="14"/>
      <c r="BH58" s="65"/>
      <c r="BI58" s="63"/>
      <c r="BJ58" s="352"/>
      <c r="BK58" s="19"/>
      <c r="BL58" s="57" t="s">
        <v>2</v>
      </c>
      <c r="BM58" s="121" t="str">
        <f>IF(BR79=0,"na",IF(COUNTIF(BR72:BR78,MAX(BR72:BR78))&gt;COUNTIF(BQ72:BQ78,"&lt;&gt;""")/2,"No clear choice of the most common response",INDEX(BQ72:BQ78,MATCH(MAX(BR72:BR78),BR72:BR78,0),1)))</f>
        <v>Very unlikely</v>
      </c>
      <c r="BN58" s="58">
        <f>COUNTIFS(S30_stakeholder_category,"FO",Response_30b_CaseC,"&lt;&gt;0")</f>
        <v>2</v>
      </c>
      <c r="BO58" s="121">
        <f>COUNTIFS(S30_stakeholder_category,"FO",Response_30b_CaseC,"I don’t know")</f>
        <v>0</v>
      </c>
      <c r="BP58" s="14"/>
      <c r="BQ58" s="14"/>
      <c r="BR58" s="14"/>
      <c r="BS58" s="14"/>
      <c r="BT58" s="14"/>
      <c r="BU58" s="14"/>
      <c r="BV58" s="14"/>
      <c r="BW58" s="65"/>
      <c r="BX58" s="63"/>
      <c r="BY58" s="352"/>
      <c r="BZ58" s="14"/>
      <c r="CA58" s="34" t="s">
        <v>2</v>
      </c>
      <c r="CB58" s="37">
        <f>MAX(SUM(CC64:CC70),SUM(CD64:CD70),SUM(CE64:CE70))</f>
        <v>3</v>
      </c>
      <c r="CC58" s="21"/>
      <c r="CD58" s="21"/>
      <c r="CE58" s="21"/>
      <c r="CF58" s="21"/>
      <c r="CG58" s="14"/>
      <c r="CH58" s="14"/>
      <c r="CI58" s="14"/>
      <c r="CJ58" s="14"/>
      <c r="CK58" s="14"/>
      <c r="CL58" s="14"/>
      <c r="CM58" s="14"/>
      <c r="CN58" s="14"/>
      <c r="CO58" s="129"/>
      <c r="CP58" s="38"/>
      <c r="CQ58" s="47"/>
      <c r="CR58" s="14"/>
      <c r="CS58" s="34" t="s">
        <v>2</v>
      </c>
      <c r="CT58" s="37">
        <f>MAX(SUM(CU64:CU70),SUM(CV64:CV70),SUM(CW64:CW70))</f>
        <v>3</v>
      </c>
      <c r="CU58" s="14"/>
      <c r="CV58" s="21"/>
      <c r="CW58" s="14"/>
      <c r="CX58" s="14"/>
      <c r="CY58" s="14"/>
      <c r="CZ58" s="14"/>
      <c r="DA58" s="14"/>
      <c r="DB58" s="14"/>
      <c r="DC58" s="14"/>
      <c r="DD58" s="14"/>
      <c r="DE58" s="14"/>
      <c r="DF58" s="14"/>
      <c r="DG58" s="129"/>
      <c r="DH58" s="29"/>
      <c r="DI58" s="47"/>
      <c r="DJ58" s="29"/>
      <c r="DK58" s="34" t="s">
        <v>2</v>
      </c>
      <c r="DL58" s="37" t="str">
        <f>IF(DQ77=0,"na",IF(COUNTIF(DQ72:DQ76,MAX(DQ72:DQ76))&gt;COUNTIF(DP72:DP76,"&lt;&gt;""")/2,"No clear choice of the most common response",INDEX(DP72:DP76,MATCH(MAX(DQ72:DQ76),DQ72:DQ76,0),1)))</f>
        <v>No clear choice of the most common response</v>
      </c>
      <c r="DM58" s="33">
        <f>COUNTIFS(S30_stakeholder_category,"FO",Response_Q172_1,"&lt;&gt;0",Response_Q173_3,"&lt;&gt;0")</f>
        <v>4</v>
      </c>
      <c r="DN58" s="37">
        <f>DQ76</f>
        <v>0</v>
      </c>
      <c r="DO58" s="14"/>
      <c r="DP58" s="14"/>
      <c r="DQ58" s="14"/>
      <c r="DR58" s="14"/>
      <c r="DS58" s="14"/>
      <c r="DT58" s="14"/>
      <c r="DU58" s="40"/>
      <c r="DV58" s="14"/>
      <c r="DW58" s="14"/>
      <c r="DX58" s="14"/>
      <c r="DY58" s="14"/>
      <c r="DZ58" s="14"/>
      <c r="EA58" s="14"/>
      <c r="EB58" s="14"/>
      <c r="EC58" s="14"/>
      <c r="ED58" s="14"/>
      <c r="EE58" s="14"/>
      <c r="EF58" s="14"/>
      <c r="EG58" s="14"/>
      <c r="EH58" s="14"/>
      <c r="EI58" s="14"/>
      <c r="EJ58" s="14"/>
      <c r="EK58" s="14"/>
      <c r="EL58" s="14"/>
    </row>
    <row r="59" spans="1:142" x14ac:dyDescent="0.25">
      <c r="A59" s="14"/>
      <c r="B59" s="57"/>
      <c r="C59" s="121" t="str">
        <f ca="1">IF(H77=0,"",IF(COUNTIF(H72:H76,MAX(H72:H76))=1,"",IF(COUNTIF(H72:H76,MAX(H72:H76))&gt;COUNTIF(G72:G76,"&lt;&gt;""")/2,"",INDEX(OFFSET(G72,MATCH(C58,G72:G77,0),0):G76,MATCH(MAX(H72:H76),OFFSET(H72,MATCH(C58,G72:G77,0),0):H76,0),1))))</f>
        <v/>
      </c>
      <c r="D59" s="58"/>
      <c r="E59" s="121"/>
      <c r="F59" s="14"/>
      <c r="G59" s="14"/>
      <c r="H59" s="27"/>
      <c r="I59" s="21"/>
      <c r="J59" s="14"/>
      <c r="K59" s="14"/>
      <c r="L59" s="19"/>
      <c r="M59" s="19"/>
      <c r="N59" s="19"/>
      <c r="O59" s="19"/>
      <c r="P59" s="19"/>
      <c r="Q59" s="47"/>
      <c r="R59" s="19"/>
      <c r="S59" s="34"/>
      <c r="T59" s="37" t="str">
        <f ca="1">IF(Y79=0,"",IF(COUNTIF(Y72:Y78,MAX(Y72:Y78))=1,"",IF(COUNTIF(Y72:Y78,MAX(Y72:Y78))&gt;COUNTIF(X72:X78,"&lt;&gt;""")/2,"",INDEX(OFFSET(X72,MATCH(T58,X72:X78,0),0):X78,MATCH(MAX(Y72:Y78),OFFSET(Y72,MATCH(T58,X72:X78,0),0):Y78,0),1))))</f>
        <v/>
      </c>
      <c r="U59" s="33"/>
      <c r="V59" s="37"/>
      <c r="W59" s="14"/>
      <c r="X59" s="14"/>
      <c r="Y59" s="14"/>
      <c r="Z59" s="14"/>
      <c r="AA59" s="14"/>
      <c r="AB59" s="14"/>
      <c r="AC59" s="14"/>
      <c r="AD59" s="65"/>
      <c r="AE59" s="63"/>
      <c r="AF59" s="47"/>
      <c r="AG59" s="19"/>
      <c r="AH59" s="57"/>
      <c r="AI59" s="121" t="str">
        <f ca="1">IF(AN79=0,"",IF(COUNTIF(AN72:AN78,MAX(AN72:AN78))=1,"",IF(COUNTIF(AN72:AN78,MAX(AN72:AN78))&gt;COUNTIF(AM72:AM78,"&lt;&gt;""")/2,"",INDEX(OFFSET(AM72,MATCH(AI58,AM72:AM78,0),0):AM78,MATCH(MAX(AN72:AN78),OFFSET(AN72,MATCH(AI58,AM72:AM78,0),0):AN78,0),1))))</f>
        <v/>
      </c>
      <c r="AJ59" s="58"/>
      <c r="AK59" s="121"/>
      <c r="AL59" s="14"/>
      <c r="AM59" s="14"/>
      <c r="AN59" s="14"/>
      <c r="AO59" s="14"/>
      <c r="AP59" s="14"/>
      <c r="AQ59" s="14"/>
      <c r="AR59" s="14"/>
      <c r="AS59" s="65"/>
      <c r="AT59" s="63"/>
      <c r="AU59" s="47"/>
      <c r="AV59" s="19"/>
      <c r="AW59" s="57"/>
      <c r="AX59" s="121" t="str">
        <f ca="1">IF(BC79=0,"",IF(COUNTIF(BC72:BC78,MAX(BC72:BC78))=1,"",IF(COUNTIF(BC72:BC78,MAX(BC72:BC78))&gt;COUNTIF(BB72:BB78,"&lt;&gt;""")/2,"",INDEX(OFFSET(BB72,MATCH(AX58,BB72:BB78,0),0):BB78,MATCH(MAX(BC72:BC78),OFFSET(BC72,MATCH(AX58,BB72:BB78,0),0):BC78,0),1))))</f>
        <v/>
      </c>
      <c r="AY59" s="58"/>
      <c r="AZ59" s="121"/>
      <c r="BA59" s="14"/>
      <c r="BB59" s="14"/>
      <c r="BC59" s="14"/>
      <c r="BD59" s="14"/>
      <c r="BE59" s="14"/>
      <c r="BF59" s="14"/>
      <c r="BG59" s="14"/>
      <c r="BH59" s="65"/>
      <c r="BI59" s="63"/>
      <c r="BJ59" s="352"/>
      <c r="BK59" s="19"/>
      <c r="BL59" s="57"/>
      <c r="BM59" s="121" t="str">
        <f ca="1">IF(BR79=0,"",IF(COUNTIF(BR72:BR78,MAX(BR72:BR78))=1,"",IF(COUNTIF(BR72:BR78,MAX(BR72:BR78))&gt;COUNTIF(BQ72:BQ78,"&lt;&gt;""")/2,"",INDEX(OFFSET(BQ72,MATCH(BM58,BQ72:BQ78,0),0):BQ78,MATCH(MAX(BR72:BR78),OFFSET(BR72,MATCH(BM58,BQ72:BQ78,0),0):BR78,0),1))))</f>
        <v/>
      </c>
      <c r="BN59" s="58"/>
      <c r="BO59" s="121"/>
      <c r="BP59" s="14"/>
      <c r="BQ59" s="14"/>
      <c r="BR59" s="14"/>
      <c r="BS59" s="14"/>
      <c r="BT59" s="14"/>
      <c r="BU59" s="14"/>
      <c r="BV59" s="14"/>
      <c r="BW59" s="65"/>
      <c r="BX59" s="63"/>
      <c r="BY59" s="352"/>
      <c r="BZ59" s="14"/>
      <c r="CA59" s="14"/>
      <c r="CB59" s="21"/>
      <c r="CC59" s="21"/>
      <c r="CD59" s="21"/>
      <c r="CE59" s="21"/>
      <c r="CF59" s="21"/>
      <c r="CG59" s="14"/>
      <c r="CH59" s="14"/>
      <c r="CI59" s="14"/>
      <c r="CJ59" s="14"/>
      <c r="CK59" s="14"/>
      <c r="CL59" s="14"/>
      <c r="CM59" s="14"/>
      <c r="CN59" s="14"/>
      <c r="CO59" s="129"/>
      <c r="CP59" s="38"/>
      <c r="CQ59" s="47"/>
      <c r="CR59" s="14"/>
      <c r="CS59" s="14"/>
      <c r="CT59" s="14"/>
      <c r="CU59" s="14"/>
      <c r="CV59" s="21"/>
      <c r="CW59" s="14"/>
      <c r="CX59" s="14"/>
      <c r="CY59" s="14"/>
      <c r="CZ59" s="14"/>
      <c r="DA59" s="14"/>
      <c r="DB59" s="14"/>
      <c r="DC59" s="14"/>
      <c r="DD59" s="14"/>
      <c r="DE59" s="14"/>
      <c r="DF59" s="14"/>
      <c r="DG59" s="129"/>
      <c r="DH59" s="29"/>
      <c r="DI59" s="47"/>
      <c r="DJ59" s="29"/>
      <c r="DK59" s="34"/>
      <c r="DL59" s="121" t="str">
        <f ca="1">IF(DQ77=0,"",IF(COUNTIF(DQ72:DQ76,MAX(DQ72:DQ76))=1,"",IF(COUNTIF(DQ72:DQ76,MAX(DQ72:DQ76))&gt;COUNTIF(DP72:DP76,"&lt;&gt;""")/2,"",INDEX(OFFSET(DP72,MATCH(DL58,DP72:DP77,0),0):DP76,MATCH(MAX(DQ72:DQ76),OFFSET(DQ72,MATCH(DL58,DP72:DP77,0),0):DQ76,0),1))))</f>
        <v/>
      </c>
      <c r="DM59" s="33"/>
      <c r="DN59" s="37"/>
      <c r="DO59" s="14"/>
      <c r="DP59" s="14"/>
      <c r="DQ59" s="14"/>
      <c r="DR59" s="14"/>
      <c r="DS59" s="14"/>
      <c r="DT59" s="14"/>
      <c r="DU59" s="40"/>
      <c r="DV59" s="14"/>
      <c r="DW59" s="14"/>
      <c r="DX59" s="14"/>
      <c r="DY59" s="14"/>
      <c r="DZ59" s="14"/>
      <c r="EA59" s="14"/>
      <c r="EB59" s="14"/>
      <c r="EC59" s="14"/>
      <c r="ED59" s="14"/>
      <c r="EE59" s="14"/>
      <c r="EF59" s="14"/>
      <c r="EG59" s="14"/>
      <c r="EH59" s="14"/>
      <c r="EI59" s="14"/>
      <c r="EJ59" s="14"/>
      <c r="EK59" s="14"/>
      <c r="EL59" s="14"/>
    </row>
    <row r="60" spans="1:142" x14ac:dyDescent="0.25">
      <c r="A60" s="14"/>
      <c r="B60" s="57"/>
      <c r="C60" s="121" t="str">
        <f ca="1" xml:space="preserve"> IF(H77=0,"",IF(H77=0,"", IF(COUNTIF(H72:H76,MAX(H72:H76))&lt;=2,"",IF(COUNTIF(H72:H76,MAX(H72:H76))&gt;COUNTIF(G72:G76,"&lt;&gt;""")/2,"", INDEX(OFFSET(G72,MATCH(C59,G72:G77,0),0):G76,         MATCH(MAX(H72:H76),        OFFSET(H72,MATCH(C59,G72:G77,0),0):H76,0),1)))))</f>
        <v/>
      </c>
      <c r="D60" s="58"/>
      <c r="E60" s="121"/>
      <c r="F60" s="14"/>
      <c r="G60" s="14"/>
      <c r="H60" s="27"/>
      <c r="I60" s="21"/>
      <c r="J60" s="14"/>
      <c r="K60" s="14"/>
      <c r="L60" s="19"/>
      <c r="M60" s="19"/>
      <c r="N60" s="19"/>
      <c r="O60" s="19"/>
      <c r="P60" s="19"/>
      <c r="Q60" s="47"/>
      <c r="R60" s="19"/>
      <c r="S60" s="34"/>
      <c r="T60" s="121" t="str">
        <f ca="1" xml:space="preserve"> IF(Y79=0,"",IF(Y79=0,"", IF(COUNTIF(Y72:Y78,MAX(Y72:Y78))&lt;=2,"",IF(COUNTIF(Y72:Y78,MAX(Y72:Y78))&gt;COUNTIF(X72:X78,"&lt;&gt;""")/2,"", INDEX(OFFSET(X72,MATCH(T59,X72:X78,0),0):X78,         MATCH(MAX(Y72:Y78),        OFFSET(Y72,MATCH(T59,X72:X78,0),0):Y78,0),1)))))</f>
        <v/>
      </c>
      <c r="U60" s="33"/>
      <c r="V60" s="37"/>
      <c r="W60" s="14"/>
      <c r="X60" s="14"/>
      <c r="Y60" s="14"/>
      <c r="Z60" s="14"/>
      <c r="AA60" s="14"/>
      <c r="AB60" s="14"/>
      <c r="AC60" s="14"/>
      <c r="AD60" s="65"/>
      <c r="AE60" s="63"/>
      <c r="AF60" s="47"/>
      <c r="AG60" s="19"/>
      <c r="AH60" s="57"/>
      <c r="AI60" s="121" t="str">
        <f ca="1" xml:space="preserve"> IF(AN79=0,"",IF(AN79=0,"", IF(COUNTIF(AN72:AN78,MAX(AN72:AN78))&lt;=2,"",IF(COUNTIF(AN72:AN78,MAX(AN72:AN78))&gt;COUNTIF(AM72:AM78,"&lt;&gt;""")/2,"", INDEX(OFFSET(AM72,MATCH(AI59,AM72:AM78,0),0):AM78,         MATCH(MAX(AN72:AN78),        OFFSET(AN72,MATCH(AI59,AM72:AM78,0),0):AN78,0),1)))))</f>
        <v/>
      </c>
      <c r="AJ60" s="58"/>
      <c r="AK60" s="121"/>
      <c r="AL60" s="14"/>
      <c r="AM60" s="14"/>
      <c r="AN60" s="14"/>
      <c r="AO60" s="14"/>
      <c r="AP60" s="14"/>
      <c r="AQ60" s="14"/>
      <c r="AR60" s="14"/>
      <c r="AS60" s="65"/>
      <c r="AT60" s="63"/>
      <c r="AU60" s="47"/>
      <c r="AV60" s="19"/>
      <c r="AW60" s="57"/>
      <c r="AX60" s="121" t="str">
        <f ca="1" xml:space="preserve"> IF(BC79=0,"",IF(BC79=0,"", IF(COUNTIF(BC72:BC78,MAX(BC72:BC78))&lt;=2,"",IF(COUNTIF(BC72:BC78,MAX(BC72:BC78))&gt;COUNTIF(BB72:BB78,"&lt;&gt;""")/2,"", INDEX(OFFSET(BB72,MATCH(AX59,BB72:BB78,0),0):BB78,         MATCH(MAX(BC72:BC78),        OFFSET(BC72,MATCH(AX59,BB72:BB78,0),0):BC78,0),1)))))</f>
        <v/>
      </c>
      <c r="AY60" s="58"/>
      <c r="AZ60" s="121"/>
      <c r="BA60" s="14"/>
      <c r="BB60" s="14"/>
      <c r="BC60" s="14"/>
      <c r="BD60" s="14"/>
      <c r="BE60" s="14"/>
      <c r="BF60" s="14"/>
      <c r="BG60" s="14"/>
      <c r="BH60" s="65"/>
      <c r="BI60" s="63"/>
      <c r="BJ60" s="352"/>
      <c r="BK60" s="19"/>
      <c r="BL60" s="57"/>
      <c r="BM60" s="121" t="str">
        <f ca="1" xml:space="preserve"> IF(BR79=0,"",IF(BR79=0,"", IF(COUNTIF(BR72:BR78,MAX(BR72:BR78))&lt;=2,"",IF(COUNTIF(BR72:BR78,MAX(BR72:BR78))&gt;COUNTIF(BQ72:BQ78,"&lt;&gt;""")/2,"", INDEX(OFFSET(BQ72,MATCH(BM59,BQ72:BQ78,0),0):BQ78,         MATCH(MAX(BR72:BR78),        OFFSET(BR72,MATCH(BM59,BQ72:BQ78,0),0):BR78,0),1)))))</f>
        <v/>
      </c>
      <c r="BN60" s="58"/>
      <c r="BO60" s="121"/>
      <c r="BP60" s="14"/>
      <c r="BQ60" s="14"/>
      <c r="BR60" s="14"/>
      <c r="BS60" s="14"/>
      <c r="BT60" s="14"/>
      <c r="BU60" s="14"/>
      <c r="BV60" s="14"/>
      <c r="BW60" s="65"/>
      <c r="BX60" s="63"/>
      <c r="BY60" s="352"/>
      <c r="BZ60" s="14"/>
      <c r="CA60" s="14"/>
      <c r="CB60" s="21"/>
      <c r="CC60" s="21"/>
      <c r="CD60" s="21"/>
      <c r="CE60" s="21"/>
      <c r="CF60" s="21"/>
      <c r="CG60" s="14"/>
      <c r="CH60" s="14"/>
      <c r="CI60" s="14"/>
      <c r="CJ60" s="14"/>
      <c r="CK60" s="14"/>
      <c r="CL60" s="14"/>
      <c r="CM60" s="14"/>
      <c r="CN60" s="14"/>
      <c r="CO60" s="129"/>
      <c r="CP60" s="38"/>
      <c r="CQ60" s="47"/>
      <c r="CR60" s="14"/>
      <c r="CS60" s="14"/>
      <c r="CT60" s="14"/>
      <c r="CU60" s="14"/>
      <c r="CV60" s="21"/>
      <c r="CW60" s="14"/>
      <c r="CX60" s="14"/>
      <c r="CY60" s="14"/>
      <c r="CZ60" s="14"/>
      <c r="DA60" s="14"/>
      <c r="DB60" s="14"/>
      <c r="DC60" s="14"/>
      <c r="DD60" s="14"/>
      <c r="DE60" s="14"/>
      <c r="DF60" s="14"/>
      <c r="DG60" s="129"/>
      <c r="DH60" s="29"/>
      <c r="DI60" s="47"/>
      <c r="DJ60" s="29"/>
      <c r="DK60" s="34"/>
      <c r="DL60" s="121" t="str">
        <f ca="1" xml:space="preserve"> IF(DQ77=0,"",IF(DQ77=0,"", IF(COUNTIF(DQ72:DQ76,MAX(DQ72:DQ76))&lt;=2,"",IF(COUNTIF(DQ72:DQ76,MAX(DQ72:DQ76))&gt;COUNTIF(DP72:DP76,"&lt;&gt;""")/2,"", INDEX(OFFSET(DP72,MATCH(DL59,DP72:DP77,0),0):DP76,         MATCH(MAX(DQ72:DQ76),        OFFSET(DQ72,MATCH(DL59,DP72:DP77,0),0):DQ76,0),1)))))</f>
        <v/>
      </c>
      <c r="DM60" s="33"/>
      <c r="DN60" s="37"/>
      <c r="DO60" s="14"/>
      <c r="DP60" s="14"/>
      <c r="DQ60" s="14"/>
      <c r="DR60" s="14"/>
      <c r="DS60" s="14"/>
      <c r="DT60" s="14"/>
      <c r="DU60" s="40"/>
      <c r="DV60" s="14"/>
      <c r="DW60" s="14"/>
      <c r="DX60" s="14"/>
      <c r="DY60" s="14"/>
      <c r="DZ60" s="14"/>
      <c r="EA60" s="14"/>
      <c r="EB60" s="14"/>
      <c r="EC60" s="14"/>
      <c r="ED60" s="14"/>
      <c r="EE60" s="14"/>
      <c r="EF60" s="14"/>
      <c r="EG60" s="14"/>
      <c r="EH60" s="14"/>
      <c r="EI60" s="14"/>
      <c r="EJ60" s="14"/>
      <c r="EK60" s="14"/>
      <c r="EL60" s="14"/>
    </row>
    <row r="61" spans="1:142" x14ac:dyDescent="0.25">
      <c r="A61" s="14"/>
      <c r="B61" s="19"/>
      <c r="C61" s="19"/>
      <c r="D61" s="27"/>
      <c r="E61" s="70"/>
      <c r="F61" s="14"/>
      <c r="G61" s="14"/>
      <c r="H61" s="27"/>
      <c r="I61" s="21"/>
      <c r="J61" s="14"/>
      <c r="K61" s="14"/>
      <c r="L61" s="19"/>
      <c r="M61" s="19"/>
      <c r="N61" s="19"/>
      <c r="O61" s="19"/>
      <c r="P61" s="19"/>
      <c r="Q61" s="47"/>
      <c r="R61" s="19"/>
      <c r="S61" s="19"/>
      <c r="T61" s="14"/>
      <c r="U61" s="27"/>
      <c r="V61" s="14"/>
      <c r="W61" s="14"/>
      <c r="X61" s="14"/>
      <c r="Y61" s="14"/>
      <c r="Z61" s="14"/>
      <c r="AA61" s="14"/>
      <c r="AB61" s="14"/>
      <c r="AC61" s="14"/>
      <c r="AD61" s="65"/>
      <c r="AE61" s="63"/>
      <c r="AF61" s="47"/>
      <c r="AG61" s="19"/>
      <c r="AH61" s="19"/>
      <c r="AI61" s="14"/>
      <c r="AJ61" s="27"/>
      <c r="AK61" s="14"/>
      <c r="AL61" s="14"/>
      <c r="AM61" s="14"/>
      <c r="AN61" s="14"/>
      <c r="AO61" s="14"/>
      <c r="AP61" s="14"/>
      <c r="AQ61" s="14"/>
      <c r="AR61" s="14"/>
      <c r="AS61" s="65"/>
      <c r="AT61" s="63"/>
      <c r="AU61" s="47"/>
      <c r="AV61" s="19"/>
      <c r="AW61" s="19"/>
      <c r="AX61" s="14"/>
      <c r="AY61" s="27"/>
      <c r="AZ61" s="14"/>
      <c r="BA61" s="14"/>
      <c r="BB61" s="14"/>
      <c r="BC61" s="14"/>
      <c r="BD61" s="14"/>
      <c r="BE61" s="14"/>
      <c r="BF61" s="14"/>
      <c r="BG61" s="14"/>
      <c r="BH61" s="65"/>
      <c r="BI61" s="63"/>
      <c r="BJ61" s="352"/>
      <c r="BK61" s="19"/>
      <c r="BL61" s="124"/>
      <c r="BM61" s="7"/>
      <c r="BN61" s="125"/>
      <c r="BO61" s="7"/>
      <c r="BP61" s="14"/>
      <c r="BQ61" s="14"/>
      <c r="BR61" s="14"/>
      <c r="BS61" s="14"/>
      <c r="BT61" s="14"/>
      <c r="BU61" s="14"/>
      <c r="BV61" s="14"/>
      <c r="BW61" s="65"/>
      <c r="BX61" s="63"/>
      <c r="BY61" s="352"/>
      <c r="BZ61" s="14"/>
      <c r="CA61" s="14"/>
      <c r="CB61" s="21"/>
      <c r="CC61" s="21"/>
      <c r="CD61" s="21"/>
      <c r="CE61" s="21"/>
      <c r="CF61" s="21"/>
      <c r="CG61" s="14"/>
      <c r="CH61" s="14"/>
      <c r="CI61" s="14"/>
      <c r="CJ61" s="14"/>
      <c r="CK61" s="14"/>
      <c r="CL61" s="14"/>
      <c r="CM61" s="14"/>
      <c r="CN61" s="14"/>
      <c r="CO61" s="129"/>
      <c r="CP61" s="38"/>
      <c r="CQ61" s="47"/>
      <c r="CR61" s="14"/>
      <c r="CS61" s="14"/>
      <c r="CT61" s="14"/>
      <c r="CU61" s="14"/>
      <c r="CV61" s="21"/>
      <c r="CW61" s="14"/>
      <c r="CX61" s="14"/>
      <c r="CY61" s="14"/>
      <c r="CZ61" s="14"/>
      <c r="DA61" s="14"/>
      <c r="DB61" s="14"/>
      <c r="DC61" s="14"/>
      <c r="DD61" s="14"/>
      <c r="DE61" s="14"/>
      <c r="DF61" s="14"/>
      <c r="DG61" s="129"/>
      <c r="DH61" s="29"/>
      <c r="DI61" s="47"/>
      <c r="DJ61" s="29"/>
      <c r="DK61" s="14"/>
      <c r="DL61" s="14"/>
      <c r="DM61" s="27"/>
      <c r="DN61" s="14"/>
      <c r="DO61" s="14"/>
      <c r="DP61" s="14"/>
      <c r="DQ61" s="14"/>
      <c r="DR61" s="14"/>
      <c r="DS61" s="14"/>
      <c r="DT61" s="14"/>
      <c r="DU61" s="40"/>
      <c r="DV61" s="14"/>
      <c r="DW61" s="14"/>
      <c r="DX61" s="14"/>
      <c r="DY61" s="14"/>
      <c r="DZ61" s="14"/>
      <c r="EA61" s="14"/>
      <c r="EB61" s="14"/>
      <c r="EC61" s="14"/>
      <c r="ED61" s="14"/>
      <c r="EE61" s="14"/>
      <c r="EF61" s="14"/>
      <c r="EG61" s="14"/>
      <c r="EH61" s="14"/>
      <c r="EI61" s="14"/>
      <c r="EJ61" s="14"/>
      <c r="EK61" s="14"/>
      <c r="EL61" s="14"/>
    </row>
    <row r="62" spans="1:142" x14ac:dyDescent="0.25">
      <c r="A62" s="14"/>
      <c r="B62" s="19"/>
      <c r="C62" s="19"/>
      <c r="D62" s="27"/>
      <c r="E62" s="19"/>
      <c r="F62" s="14"/>
      <c r="G62" s="14"/>
      <c r="H62" s="27"/>
      <c r="I62" s="21"/>
      <c r="J62" s="14"/>
      <c r="K62" s="14"/>
      <c r="L62" s="19"/>
      <c r="M62" s="19"/>
      <c r="N62" s="19"/>
      <c r="O62" s="19"/>
      <c r="P62" s="19"/>
      <c r="Q62" s="47"/>
      <c r="R62" s="19"/>
      <c r="S62" s="19"/>
      <c r="T62" s="14"/>
      <c r="U62" s="27"/>
      <c r="V62" s="14"/>
      <c r="W62" s="14"/>
      <c r="X62" s="14"/>
      <c r="Y62" s="14"/>
      <c r="Z62" s="14"/>
      <c r="AA62" s="14"/>
      <c r="AB62" s="14"/>
      <c r="AC62" s="14"/>
      <c r="AD62" s="65"/>
      <c r="AE62" s="63"/>
      <c r="AF62" s="47"/>
      <c r="AG62" s="19"/>
      <c r="AH62" s="19"/>
      <c r="AI62" s="14"/>
      <c r="AJ62" s="27"/>
      <c r="AK62" s="14"/>
      <c r="AL62" s="14"/>
      <c r="AM62" s="14"/>
      <c r="AN62" s="14"/>
      <c r="AO62" s="14"/>
      <c r="AP62" s="14"/>
      <c r="AQ62" s="14"/>
      <c r="AR62" s="14"/>
      <c r="AS62" s="65"/>
      <c r="AT62" s="63"/>
      <c r="AU62" s="47"/>
      <c r="AV62" s="19"/>
      <c r="AW62" s="19"/>
      <c r="AX62" s="14"/>
      <c r="AY62" s="27"/>
      <c r="AZ62" s="14"/>
      <c r="BA62" s="14"/>
      <c r="BB62" s="14"/>
      <c r="BC62" s="14"/>
      <c r="BD62" s="14"/>
      <c r="BE62" s="14"/>
      <c r="BF62" s="14"/>
      <c r="BG62" s="14"/>
      <c r="BH62" s="65"/>
      <c r="BI62" s="63"/>
      <c r="BJ62" s="352"/>
      <c r="BK62" s="19"/>
      <c r="BL62" s="19"/>
      <c r="BM62" s="14"/>
      <c r="BN62" s="27"/>
      <c r="BO62" s="14"/>
      <c r="BP62" s="14"/>
      <c r="BQ62" s="14"/>
      <c r="BR62" s="14"/>
      <c r="BS62" s="14"/>
      <c r="BT62" s="14"/>
      <c r="BU62" s="14"/>
      <c r="BV62" s="14"/>
      <c r="BW62" s="65"/>
      <c r="BX62" s="63"/>
      <c r="BY62" s="352"/>
      <c r="BZ62" s="14"/>
      <c r="CA62" s="14"/>
      <c r="CB62" s="21"/>
      <c r="CC62" s="21"/>
      <c r="CD62" s="21"/>
      <c r="CE62" s="21"/>
      <c r="CF62" s="21"/>
      <c r="CG62" s="14"/>
      <c r="CH62" s="14"/>
      <c r="CI62" s="14"/>
      <c r="CJ62" s="14"/>
      <c r="CK62" s="14"/>
      <c r="CL62" s="14"/>
      <c r="CM62" s="14"/>
      <c r="CN62" s="14"/>
      <c r="CO62" s="129"/>
      <c r="CP62" s="38"/>
      <c r="CQ62" s="47"/>
      <c r="CR62" s="14"/>
      <c r="CS62" s="14"/>
      <c r="CT62" s="14"/>
      <c r="CU62" s="14"/>
      <c r="CV62" s="21"/>
      <c r="CW62" s="14"/>
      <c r="CX62" s="14"/>
      <c r="CY62" s="14"/>
      <c r="CZ62" s="14"/>
      <c r="DA62" s="14"/>
      <c r="DB62" s="14"/>
      <c r="DC62" s="14"/>
      <c r="DD62" s="14"/>
      <c r="DE62" s="14"/>
      <c r="DF62" s="14"/>
      <c r="DG62" s="129"/>
      <c r="DH62" s="29"/>
      <c r="DI62" s="47"/>
      <c r="DJ62" s="29"/>
      <c r="DK62" s="19"/>
      <c r="DL62" s="19"/>
      <c r="DM62" s="27"/>
      <c r="DN62" s="14"/>
      <c r="DO62" s="14"/>
      <c r="DP62" s="14"/>
      <c r="DQ62" s="14"/>
      <c r="DR62" s="14"/>
      <c r="DS62" s="14"/>
      <c r="DT62" s="14"/>
      <c r="DU62" s="40"/>
      <c r="DV62" s="14"/>
      <c r="DW62" s="14"/>
      <c r="DX62" s="14"/>
      <c r="DY62" s="14"/>
      <c r="DZ62" s="14"/>
      <c r="EA62" s="14"/>
      <c r="EB62" s="14"/>
      <c r="EC62" s="14"/>
      <c r="ED62" s="14"/>
      <c r="EE62" s="14"/>
      <c r="EF62" s="14"/>
      <c r="EG62" s="14"/>
      <c r="EH62" s="14"/>
      <c r="EI62" s="14"/>
      <c r="EJ62" s="14"/>
      <c r="EK62" s="14"/>
      <c r="EL62" s="14"/>
    </row>
    <row r="63" spans="1:142" ht="27.6" x14ac:dyDescent="0.25">
      <c r="A63" s="14"/>
      <c r="B63" s="14"/>
      <c r="C63" s="19"/>
      <c r="D63" s="27"/>
      <c r="E63" s="14"/>
      <c r="F63" s="14"/>
      <c r="G63" s="14"/>
      <c r="H63" s="27"/>
      <c r="I63" s="21"/>
      <c r="J63" s="14"/>
      <c r="K63" s="14"/>
      <c r="L63" s="19"/>
      <c r="M63" s="19"/>
      <c r="N63" s="19"/>
      <c r="O63" s="19"/>
      <c r="P63" s="19"/>
      <c r="Q63" s="47"/>
      <c r="R63" s="19"/>
      <c r="S63" s="19"/>
      <c r="T63" s="14"/>
      <c r="U63" s="27"/>
      <c r="V63" s="14"/>
      <c r="W63" s="14"/>
      <c r="X63" s="14"/>
      <c r="Y63" s="14"/>
      <c r="Z63" s="14"/>
      <c r="AA63" s="14"/>
      <c r="AB63" s="14"/>
      <c r="AC63" s="14"/>
      <c r="AD63" s="65"/>
      <c r="AE63" s="63"/>
      <c r="AF63" s="47"/>
      <c r="AG63" s="19"/>
      <c r="AH63" s="19"/>
      <c r="AI63" s="14"/>
      <c r="AJ63" s="27"/>
      <c r="AK63" s="14"/>
      <c r="AL63" s="14"/>
      <c r="AM63" s="14"/>
      <c r="AN63" s="14"/>
      <c r="AO63" s="14"/>
      <c r="AP63" s="14"/>
      <c r="AQ63" s="14"/>
      <c r="AR63" s="14"/>
      <c r="AS63" s="65"/>
      <c r="AT63" s="63"/>
      <c r="AU63" s="47"/>
      <c r="AV63" s="19"/>
      <c r="AW63" s="19"/>
      <c r="AX63" s="14"/>
      <c r="AY63" s="27"/>
      <c r="AZ63" s="14"/>
      <c r="BA63" s="14"/>
      <c r="BB63" s="14"/>
      <c r="BC63" s="14"/>
      <c r="BD63" s="14"/>
      <c r="BE63" s="14"/>
      <c r="BF63" s="14"/>
      <c r="BG63" s="14"/>
      <c r="BH63" s="65"/>
      <c r="BI63" s="63"/>
      <c r="BJ63" s="352"/>
      <c r="BK63" s="19"/>
      <c r="BL63" s="19"/>
      <c r="BM63" s="14"/>
      <c r="BN63" s="27"/>
      <c r="BO63" s="14"/>
      <c r="BP63" s="14"/>
      <c r="BQ63" s="14"/>
      <c r="BR63" s="14"/>
      <c r="BS63" s="14"/>
      <c r="BT63" s="14"/>
      <c r="BU63" s="14"/>
      <c r="BV63" s="14"/>
      <c r="BW63" s="65"/>
      <c r="BX63" s="63"/>
      <c r="BY63" s="352"/>
      <c r="BZ63" s="14"/>
      <c r="CA63" s="109"/>
      <c r="CB63" s="110" t="s">
        <v>164</v>
      </c>
      <c r="CC63" s="110" t="s">
        <v>149</v>
      </c>
      <c r="CD63" s="110" t="s">
        <v>150</v>
      </c>
      <c r="CE63" s="110" t="s">
        <v>151</v>
      </c>
      <c r="CF63" s="110" t="s">
        <v>152</v>
      </c>
      <c r="CG63" s="14"/>
      <c r="CH63" s="109"/>
      <c r="CI63" s="110" t="s">
        <v>5</v>
      </c>
      <c r="CJ63" s="110" t="s">
        <v>4</v>
      </c>
      <c r="CK63" s="110" t="s">
        <v>33</v>
      </c>
      <c r="CL63" s="110" t="s">
        <v>29</v>
      </c>
      <c r="CM63" s="110" t="s">
        <v>3</v>
      </c>
      <c r="CN63" s="110" t="s">
        <v>54</v>
      </c>
      <c r="CO63" s="328" t="s">
        <v>160</v>
      </c>
      <c r="CP63" s="38"/>
      <c r="CQ63" s="47"/>
      <c r="CR63" s="14"/>
      <c r="CS63" s="109" t="s">
        <v>14</v>
      </c>
      <c r="CT63" s="110" t="s">
        <v>164</v>
      </c>
      <c r="CU63" s="110" t="s">
        <v>149</v>
      </c>
      <c r="CV63" s="110" t="s">
        <v>150</v>
      </c>
      <c r="CW63" s="110" t="s">
        <v>151</v>
      </c>
      <c r="CX63" s="109" t="s">
        <v>152</v>
      </c>
      <c r="CY63" s="14"/>
      <c r="CZ63" s="109" t="s">
        <v>14</v>
      </c>
      <c r="DA63" s="110" t="s">
        <v>5</v>
      </c>
      <c r="DB63" s="110" t="s">
        <v>4</v>
      </c>
      <c r="DC63" s="110" t="s">
        <v>33</v>
      </c>
      <c r="DD63" s="110" t="s">
        <v>29</v>
      </c>
      <c r="DE63" s="110" t="s">
        <v>3</v>
      </c>
      <c r="DF63" s="110" t="s">
        <v>54</v>
      </c>
      <c r="DG63" s="328" t="s">
        <v>160</v>
      </c>
      <c r="DH63" s="29"/>
      <c r="DI63" s="47"/>
      <c r="DJ63" s="29"/>
      <c r="DK63" s="19"/>
      <c r="DL63" s="19"/>
      <c r="DM63" s="27"/>
      <c r="DN63" s="14"/>
      <c r="DO63" s="14"/>
      <c r="DP63" s="14"/>
      <c r="DQ63" s="14"/>
      <c r="DR63" s="14"/>
      <c r="DS63" s="14"/>
      <c r="DT63" s="14"/>
      <c r="DU63" s="40"/>
      <c r="DV63" s="14"/>
      <c r="DW63" s="14"/>
      <c r="DX63" s="14"/>
      <c r="DY63" s="14"/>
      <c r="DZ63" s="14"/>
      <c r="EA63" s="14"/>
      <c r="EB63" s="14"/>
      <c r="EC63" s="14"/>
      <c r="ED63" s="14"/>
      <c r="EE63" s="14"/>
      <c r="EF63" s="14"/>
      <c r="EG63" s="14"/>
      <c r="EH63" s="14"/>
      <c r="EI63" s="14"/>
      <c r="EJ63" s="14"/>
      <c r="EK63" s="14"/>
      <c r="EL63" s="14"/>
    </row>
    <row r="64" spans="1:142" x14ac:dyDescent="0.25">
      <c r="A64" s="14"/>
      <c r="B64" s="14"/>
      <c r="C64" s="14"/>
      <c r="D64" s="21"/>
      <c r="E64" s="14"/>
      <c r="F64" s="14"/>
      <c r="G64" s="14"/>
      <c r="H64" s="27"/>
      <c r="I64" s="15"/>
      <c r="J64" s="13"/>
      <c r="K64" s="14"/>
      <c r="L64" s="14"/>
      <c r="M64" s="14"/>
      <c r="N64" s="14"/>
      <c r="O64" s="14"/>
      <c r="P64" s="14"/>
      <c r="Q64" s="47"/>
      <c r="R64" s="19"/>
      <c r="S64" s="14"/>
      <c r="T64" s="14"/>
      <c r="U64" s="14"/>
      <c r="V64" s="14"/>
      <c r="W64" s="14"/>
      <c r="X64" s="14"/>
      <c r="Y64" s="14"/>
      <c r="Z64" s="14"/>
      <c r="AA64" s="14"/>
      <c r="AB64" s="14"/>
      <c r="AC64" s="14"/>
      <c r="AD64" s="65"/>
      <c r="AE64" s="63"/>
      <c r="AF64" s="47"/>
      <c r="AG64" s="19"/>
      <c r="AH64" s="14"/>
      <c r="AI64" s="14"/>
      <c r="AJ64" s="14"/>
      <c r="AK64" s="14"/>
      <c r="AL64" s="14"/>
      <c r="AM64" s="14"/>
      <c r="AN64" s="14"/>
      <c r="AO64" s="14"/>
      <c r="AP64" s="14"/>
      <c r="AQ64" s="14"/>
      <c r="AR64" s="14"/>
      <c r="AS64" s="65"/>
      <c r="AT64" s="63"/>
      <c r="AU64" s="47"/>
      <c r="AV64" s="19"/>
      <c r="AW64" s="14"/>
      <c r="AX64" s="14"/>
      <c r="AY64" s="14"/>
      <c r="AZ64" s="14"/>
      <c r="BA64" s="14"/>
      <c r="BB64" s="14"/>
      <c r="BC64" s="14"/>
      <c r="BD64" s="14"/>
      <c r="BE64" s="14"/>
      <c r="BF64" s="14"/>
      <c r="BG64" s="14"/>
      <c r="BH64" s="65"/>
      <c r="BI64" s="63"/>
      <c r="BJ64" s="352"/>
      <c r="BK64" s="19"/>
      <c r="BL64" s="14"/>
      <c r="BM64" s="14"/>
      <c r="BN64" s="14"/>
      <c r="BO64" s="14"/>
      <c r="BP64" s="14"/>
      <c r="BQ64" s="14"/>
      <c r="BR64" s="14"/>
      <c r="BS64" s="14"/>
      <c r="BT64" s="14"/>
      <c r="BU64" s="14"/>
      <c r="BV64" s="14"/>
      <c r="BW64" s="65"/>
      <c r="BX64" s="63"/>
      <c r="BY64" s="352"/>
      <c r="BZ64" s="14"/>
      <c r="CA64" s="140" t="s">
        <v>701</v>
      </c>
      <c r="CB64" s="27">
        <f>COUNTIFS(S30_stakeholder_category,"FO",Response_Q177_1,"&lt;&gt;0",Response_Q173_3,"&lt;&gt;0")</f>
        <v>3</v>
      </c>
      <c r="CC64" s="37">
        <f>COUNTIFS(S30_stakeholder_category,"FO",Response_Q177_1,1,Response_Q173_3,"&lt;&gt;""0")</f>
        <v>3</v>
      </c>
      <c r="CD64" s="37">
        <f>COUNTIFS(S30_stakeholder_category,"FO",Response_Q177_1,2,Response_Q173_3,"&lt;&gt;""0")</f>
        <v>0</v>
      </c>
      <c r="CE64" s="37">
        <f>COUNTIFS(S30_stakeholder_category,"FO",Response_Q177_1,3,Response_Q173_3,"&lt;&gt;""0")</f>
        <v>0</v>
      </c>
      <c r="CF64" s="97">
        <f>IF(CB58=0,0,SUMPRODUCT(CC64:CE64,Rank_score)/$CB58)</f>
        <v>3</v>
      </c>
      <c r="CG64" s="14"/>
      <c r="CH64" s="140" t="s">
        <v>701</v>
      </c>
      <c r="CI64" s="27">
        <f t="shared" ref="CI64:CN64" si="18">COUNTIFS(S30_stakeholder_category,"FO",Response_Q177_1,"&lt;&gt;0",Response_Q177_2,CI$63,Response_Q173_3,"&lt;&gt;0")</f>
        <v>2</v>
      </c>
      <c r="CJ64" s="27">
        <f t="shared" si="18"/>
        <v>0</v>
      </c>
      <c r="CK64" s="27">
        <f t="shared" si="18"/>
        <v>0</v>
      </c>
      <c r="CL64" s="27">
        <f t="shared" si="18"/>
        <v>1</v>
      </c>
      <c r="CM64" s="27">
        <f t="shared" si="18"/>
        <v>0</v>
      </c>
      <c r="CN64" s="27">
        <f t="shared" si="18"/>
        <v>0</v>
      </c>
      <c r="CO64" s="141">
        <f>IF(ISBLANK(CH64),"",IF(CF64=0,not_ranked,IF(SUM(CI64:CN64)=0,not_estimated,IFERROR(SUMPRODUCT(CI64:CN64,Likekihood_score)/SUM(CI64:CN64),0))))</f>
        <v>2</v>
      </c>
      <c r="CP64" s="38"/>
      <c r="CQ64" s="47"/>
      <c r="CR64" s="14"/>
      <c r="CS64" s="140" t="s">
        <v>373</v>
      </c>
      <c r="CT64" s="27">
        <f>COUNTIFS(S30_stakeholder_category,"FO",Response_Q178_1,"&lt;&gt;0",Response_Q173_3,"&lt;&gt;0")</f>
        <v>3</v>
      </c>
      <c r="CU64" s="37">
        <f>COUNTIFS(S30_stakeholder_category,"FO",Response_Q178_1,1,Response_Q173_3,"&lt;&gt;0")</f>
        <v>3</v>
      </c>
      <c r="CV64" s="37">
        <f>COUNTIFS(S30_stakeholder_category,"FO",Response_Q178_1,2,Response_Q173_3,"&lt;&gt;0")</f>
        <v>0</v>
      </c>
      <c r="CW64" s="37">
        <f>COUNTIFS(S30_stakeholder_category,"FO",Response_Q178_1,3,Response_Q173_3,"&lt;&gt;0")</f>
        <v>0</v>
      </c>
      <c r="CX64" s="37">
        <f>IF(CT58=0,0,SUMPRODUCT(CU64:CW64,Rank_score)/CT$58)</f>
        <v>3</v>
      </c>
      <c r="CY64" s="14"/>
      <c r="CZ64" s="140" t="s">
        <v>373</v>
      </c>
      <c r="DA64" s="27">
        <f t="shared" ref="DA64:DF64" si="19">COUNTIFS(S30_stakeholder_category,"FO",Response_Q178_1,"&lt;&gt;0",Response_Q178_2,DA$63,Response_Q173_3,"&lt;&gt;0")</f>
        <v>0</v>
      </c>
      <c r="DB64" s="27">
        <f t="shared" si="19"/>
        <v>0</v>
      </c>
      <c r="DC64" s="27">
        <f t="shared" si="19"/>
        <v>0</v>
      </c>
      <c r="DD64" s="27">
        <f t="shared" si="19"/>
        <v>1</v>
      </c>
      <c r="DE64" s="27">
        <f t="shared" si="19"/>
        <v>0</v>
      </c>
      <c r="DF64" s="27">
        <f t="shared" si="19"/>
        <v>1</v>
      </c>
      <c r="DG64" s="141">
        <f t="shared" ref="DG64:DG71" si="20">IF(ISBLANK(CZ64),"",IF(CX64=0,not_ranked,IF(SUM(DA64:DF64)=0,not_estimated,IFERROR(SUMPRODUCT(DA64:DF64,Likekihood_score)/SUM(DA64:DF64),0))))</f>
        <v>5</v>
      </c>
      <c r="DH64" s="29"/>
      <c r="DI64" s="47"/>
      <c r="DJ64" s="29"/>
      <c r="DK64" s="56"/>
      <c r="DL64" s="29"/>
      <c r="DM64" s="14"/>
      <c r="DN64" s="14"/>
      <c r="DO64" s="14"/>
      <c r="DP64" s="107"/>
      <c r="DQ64" s="27"/>
      <c r="DR64" s="41"/>
      <c r="DS64" s="14"/>
      <c r="DT64" s="14"/>
      <c r="DU64" s="14"/>
      <c r="DV64" s="14"/>
      <c r="DW64" s="14"/>
      <c r="DX64" s="14"/>
      <c r="DY64" s="14"/>
      <c r="DZ64" s="14"/>
      <c r="EA64" s="14"/>
      <c r="EB64" s="14"/>
      <c r="EC64" s="14"/>
      <c r="ED64" s="14"/>
      <c r="EE64" s="14"/>
      <c r="EF64" s="14"/>
      <c r="EG64" s="14"/>
      <c r="EH64" s="14"/>
      <c r="EI64" s="14"/>
      <c r="EJ64" s="14"/>
      <c r="EK64" s="14"/>
      <c r="EL64" s="14"/>
    </row>
    <row r="65" spans="1:142" x14ac:dyDescent="0.25">
      <c r="A65" s="14"/>
      <c r="B65" s="56"/>
      <c r="C65" s="19"/>
      <c r="D65" s="59"/>
      <c r="E65" s="14"/>
      <c r="F65" s="14"/>
      <c r="G65" s="14"/>
      <c r="H65" s="21"/>
      <c r="I65" s="21"/>
      <c r="J65" s="14"/>
      <c r="K65" s="14"/>
      <c r="L65" s="14"/>
      <c r="M65" s="14"/>
      <c r="N65" s="14"/>
      <c r="O65" s="14"/>
      <c r="P65" s="14"/>
      <c r="Q65" s="47"/>
      <c r="R65" s="19"/>
      <c r="S65" s="19"/>
      <c r="T65" s="19"/>
      <c r="U65" s="59"/>
      <c r="V65" s="14"/>
      <c r="W65" s="14"/>
      <c r="X65" s="14"/>
      <c r="Y65" s="14"/>
      <c r="Z65" s="14"/>
      <c r="AA65" s="14"/>
      <c r="AB65" s="14"/>
      <c r="AC65" s="14"/>
      <c r="AD65" s="65"/>
      <c r="AE65" s="63"/>
      <c r="AF65" s="47"/>
      <c r="AG65" s="19"/>
      <c r="AH65" s="19"/>
      <c r="AI65" s="19"/>
      <c r="AJ65" s="59"/>
      <c r="AK65" s="14"/>
      <c r="AL65" s="14"/>
      <c r="AM65" s="14"/>
      <c r="AN65" s="14"/>
      <c r="AO65" s="14"/>
      <c r="AP65" s="14"/>
      <c r="AQ65" s="14"/>
      <c r="AR65" s="14"/>
      <c r="AS65" s="65"/>
      <c r="AT65" s="63"/>
      <c r="AU65" s="47"/>
      <c r="AV65" s="19"/>
      <c r="AW65" s="19"/>
      <c r="AX65" s="19"/>
      <c r="AY65" s="59"/>
      <c r="AZ65" s="14"/>
      <c r="BA65" s="14"/>
      <c r="BB65" s="14"/>
      <c r="BC65" s="14"/>
      <c r="BD65" s="14"/>
      <c r="BE65" s="14"/>
      <c r="BF65" s="14"/>
      <c r="BG65" s="14"/>
      <c r="BH65" s="65"/>
      <c r="BI65" s="63"/>
      <c r="BJ65" s="352"/>
      <c r="BK65" s="19"/>
      <c r="BL65" s="19"/>
      <c r="BM65" s="19"/>
      <c r="BN65" s="59"/>
      <c r="BO65" s="14"/>
      <c r="BP65" s="14"/>
      <c r="BQ65" s="14"/>
      <c r="BR65" s="14"/>
      <c r="BS65" s="14"/>
      <c r="BT65" s="14"/>
      <c r="BU65" s="14"/>
      <c r="BV65" s="14"/>
      <c r="BW65" s="65"/>
      <c r="BX65" s="63"/>
      <c r="BY65" s="352"/>
      <c r="BZ65" s="14"/>
      <c r="CA65" s="140" t="s">
        <v>344</v>
      </c>
      <c r="CB65" s="27">
        <f>COUNTIFS(S30_stakeholder_category,"FO",Response_Q177_3,"&lt;&gt;0",Response_Q173_3,"&lt;&gt;0")</f>
        <v>3</v>
      </c>
      <c r="CC65" s="37">
        <f>COUNTIFS(S30_stakeholder_category,"FO",Response_Q177_3,1,Response_Q173_3,"&lt;&gt;0")</f>
        <v>0</v>
      </c>
      <c r="CD65" s="37">
        <f>COUNTIFS(S30_stakeholder_category,"FO",Response_Q177_3,2,Response_Q173_3,"&lt;&gt;0")</f>
        <v>2</v>
      </c>
      <c r="CE65" s="37">
        <f>COUNTIFS(S30_stakeholder_category,"FO",Response_Q177_3,3,Response_Q173_3,"&lt;&gt;0")</f>
        <v>1</v>
      </c>
      <c r="CF65" s="97">
        <f>IF(CB58=0,0,SUMPRODUCT(CC65:CE65,Rank_score)/$CB58)</f>
        <v>1.6666666666666667</v>
      </c>
      <c r="CG65" s="14"/>
      <c r="CH65" s="140" t="s">
        <v>344</v>
      </c>
      <c r="CI65" s="27">
        <f t="shared" ref="CI65:CN65" si="21">COUNTIFS(S30_stakeholder_category,"FO",Response_Q177_3,"&lt;&gt;0",Response_Q177_4,CI$63,Response_Q173_3,"&lt;&gt;0")</f>
        <v>2</v>
      </c>
      <c r="CJ65" s="27">
        <f t="shared" si="21"/>
        <v>0</v>
      </c>
      <c r="CK65" s="27">
        <f t="shared" si="21"/>
        <v>0</v>
      </c>
      <c r="CL65" s="27">
        <f t="shared" si="21"/>
        <v>1</v>
      </c>
      <c r="CM65" s="27">
        <f t="shared" si="21"/>
        <v>0</v>
      </c>
      <c r="CN65" s="27">
        <f t="shared" si="21"/>
        <v>0</v>
      </c>
      <c r="CO65" s="141">
        <f t="shared" ref="CO65:CO70" si="22">IF(ISBLANK(CH65),"",IF(CF65=0,not_ranked,IF(SUM(CI65:CN65)=0,not_estimated,IFERROR(SUMPRODUCT(CI65:CN65,Likekihood_score)/SUM(CI65:CN65),0))))</f>
        <v>2</v>
      </c>
      <c r="CP65" s="14"/>
      <c r="CQ65" s="47"/>
      <c r="CR65" s="14"/>
      <c r="CS65" s="140" t="s">
        <v>338</v>
      </c>
      <c r="CT65" s="27">
        <f>COUNTIFS(S30_stakeholder_category,"FO",Response_Q178_3,"&lt;&gt;0",Response_Q173_3,"&lt;&gt;0")</f>
        <v>2</v>
      </c>
      <c r="CU65" s="37">
        <f>COUNTIFS(S30_stakeholder_category,"FO",Response_Q178_3,1,Response_Q173_3,"&lt;&gt;0")</f>
        <v>0</v>
      </c>
      <c r="CV65" s="37">
        <f>COUNTIFS(S30_stakeholder_category,"FO",Response_Q178_3,2,Response_Q173_3,"&lt;&gt;0")</f>
        <v>2</v>
      </c>
      <c r="CW65" s="37">
        <f>COUNTIFS(S30_stakeholder_category,"FO",Response_Q178_3,3,Response_Q173_3,"&lt;&gt;0")</f>
        <v>0</v>
      </c>
      <c r="CX65" s="37">
        <f>IF(CT58=0,0,SUMPRODUCT(CU65:CW65,Rank_score)/CT$58)</f>
        <v>1.3333333333333333</v>
      </c>
      <c r="CY65" s="14"/>
      <c r="CZ65" s="140" t="s">
        <v>338</v>
      </c>
      <c r="DA65" s="27">
        <f t="shared" ref="DA65:DF65" si="23">COUNTIFS(S30_stakeholder_category,"FO",Response_Q178_3,"&lt;&gt;0",Response_Q178_4,DA$63,Response_Q173_3,"&lt;&gt;0")</f>
        <v>0</v>
      </c>
      <c r="DB65" s="27">
        <f t="shared" si="23"/>
        <v>0</v>
      </c>
      <c r="DC65" s="27">
        <f t="shared" si="23"/>
        <v>0</v>
      </c>
      <c r="DD65" s="27">
        <f t="shared" si="23"/>
        <v>0</v>
      </c>
      <c r="DE65" s="27">
        <f t="shared" si="23"/>
        <v>0</v>
      </c>
      <c r="DF65" s="27">
        <f t="shared" si="23"/>
        <v>0</v>
      </c>
      <c r="DG65" s="141" t="str">
        <f t="shared" si="20"/>
        <v>Ranked, but likelihood not estimated</v>
      </c>
      <c r="DH65" s="14"/>
      <c r="DI65" s="47"/>
      <c r="DJ65" s="14"/>
      <c r="DK65" s="56"/>
      <c r="DL65" s="19"/>
      <c r="DM65" s="59"/>
      <c r="DN65" s="14"/>
      <c r="DO65" s="14"/>
      <c r="DP65" s="103"/>
      <c r="DQ65" s="114"/>
      <c r="DR65" s="120"/>
      <c r="DS65" s="14"/>
      <c r="DT65" s="14"/>
      <c r="DU65" s="14"/>
      <c r="DV65" s="14"/>
      <c r="DW65" s="14"/>
      <c r="DX65" s="14"/>
      <c r="DY65" s="14"/>
      <c r="DZ65" s="14"/>
      <c r="EA65" s="14"/>
      <c r="EB65" s="14"/>
      <c r="EC65" s="14"/>
      <c r="ED65" s="14"/>
      <c r="EE65" s="14"/>
      <c r="EF65" s="14"/>
      <c r="EG65" s="14"/>
      <c r="EH65" s="14"/>
      <c r="EI65" s="14"/>
      <c r="EJ65" s="14"/>
      <c r="EK65" s="14"/>
      <c r="EL65" s="14"/>
    </row>
    <row r="66" spans="1:142" x14ac:dyDescent="0.25">
      <c r="A66" s="14"/>
      <c r="B66" s="62"/>
      <c r="C66" s="19"/>
      <c r="D66" s="59"/>
      <c r="E66" s="14"/>
      <c r="F66" s="14"/>
      <c r="G66" s="14"/>
      <c r="H66" s="21"/>
      <c r="I66" s="21"/>
      <c r="J66" s="14"/>
      <c r="K66" s="14"/>
      <c r="L66" s="14"/>
      <c r="M66" s="14"/>
      <c r="N66" s="14"/>
      <c r="O66" s="14"/>
      <c r="P66" s="14"/>
      <c r="Q66" s="47"/>
      <c r="R66" s="19"/>
      <c r="S66" s="19"/>
      <c r="T66" s="19"/>
      <c r="U66" s="59"/>
      <c r="V66" s="14"/>
      <c r="W66" s="14"/>
      <c r="X66" s="14"/>
      <c r="Y66" s="14"/>
      <c r="Z66" s="14"/>
      <c r="AA66" s="14"/>
      <c r="AB66" s="14"/>
      <c r="AC66" s="14"/>
      <c r="AD66" s="65"/>
      <c r="AE66" s="63"/>
      <c r="AF66" s="47"/>
      <c r="AG66" s="19"/>
      <c r="AH66" s="19"/>
      <c r="AI66" s="19"/>
      <c r="AJ66" s="59"/>
      <c r="AK66" s="14"/>
      <c r="AL66" s="14"/>
      <c r="AM66" s="14"/>
      <c r="AN66" s="14"/>
      <c r="AO66" s="14"/>
      <c r="AP66" s="14"/>
      <c r="AQ66" s="14"/>
      <c r="AR66" s="14"/>
      <c r="AS66" s="65"/>
      <c r="AT66" s="63"/>
      <c r="AU66" s="47"/>
      <c r="AV66" s="19"/>
      <c r="AW66" s="19"/>
      <c r="AX66" s="19"/>
      <c r="AY66" s="59"/>
      <c r="AZ66" s="14"/>
      <c r="BA66" s="14"/>
      <c r="BB66" s="14"/>
      <c r="BC66" s="14"/>
      <c r="BD66" s="14"/>
      <c r="BE66" s="14"/>
      <c r="BF66" s="14"/>
      <c r="BG66" s="14"/>
      <c r="BH66" s="65"/>
      <c r="BI66" s="63"/>
      <c r="BJ66" s="352"/>
      <c r="BK66" s="19"/>
      <c r="BL66" s="19"/>
      <c r="BM66" s="19"/>
      <c r="BN66" s="59"/>
      <c r="BO66" s="14"/>
      <c r="BP66" s="14"/>
      <c r="BQ66" s="14"/>
      <c r="BR66" s="14"/>
      <c r="BS66" s="14"/>
      <c r="BT66" s="14"/>
      <c r="BU66" s="14"/>
      <c r="BV66" s="14"/>
      <c r="BW66" s="65"/>
      <c r="BX66" s="63"/>
      <c r="BY66" s="352"/>
      <c r="BZ66" s="14"/>
      <c r="CA66" s="140" t="s">
        <v>146</v>
      </c>
      <c r="CB66" s="27">
        <f>COUNTIFS(S30_stakeholder_category,"FO",Response_Q177_5,"&lt;&gt;0",Response_Q173_3,"&lt;&gt;0")</f>
        <v>2</v>
      </c>
      <c r="CC66" s="37">
        <f>COUNTIFS(S30_stakeholder_category,"FO",Response_Q177_5,1,Response_Q173_3,"&lt;&gt;0")</f>
        <v>0</v>
      </c>
      <c r="CD66" s="37">
        <f>COUNTIFS(S30_stakeholder_category,"FO",Response_Q177_5,2,Response_Q173_3,"&lt;&gt;0")</f>
        <v>1</v>
      </c>
      <c r="CE66" s="37">
        <f>COUNTIFS(S30_stakeholder_category,"FO",Response_Q177_5,3,Response_Q173_3,"&lt;&gt;0")</f>
        <v>1</v>
      </c>
      <c r="CF66" s="97">
        <f>IF(CB58=0,0,SUMPRODUCT(CC66:CE66,Rank_score)/$CB58)</f>
        <v>1</v>
      </c>
      <c r="CG66" s="14"/>
      <c r="CH66" s="140" t="s">
        <v>146</v>
      </c>
      <c r="CI66" s="27">
        <f t="shared" ref="CI66:CN66" si="24">COUNTIFS(S30_stakeholder_category,"FO",Response_Q177_5,"&lt;&gt;0",Response_Q177_6,CI$63,Response_Q173_3,"&lt;&gt;0")</f>
        <v>1</v>
      </c>
      <c r="CJ66" s="27">
        <f t="shared" si="24"/>
        <v>0</v>
      </c>
      <c r="CK66" s="27">
        <f t="shared" si="24"/>
        <v>0</v>
      </c>
      <c r="CL66" s="27">
        <f t="shared" si="24"/>
        <v>0</v>
      </c>
      <c r="CM66" s="27">
        <f t="shared" si="24"/>
        <v>0</v>
      </c>
      <c r="CN66" s="27">
        <f t="shared" si="24"/>
        <v>0</v>
      </c>
      <c r="CO66" s="141">
        <f t="shared" si="22"/>
        <v>1</v>
      </c>
      <c r="CP66" s="14"/>
      <c r="CQ66" s="47"/>
      <c r="CR66" s="14"/>
      <c r="CS66" s="106" t="s">
        <v>339</v>
      </c>
      <c r="CT66" s="27">
        <f>COUNTIFS(S30_stakeholder_category,"FO",Response_Q178_5,"&lt;&gt;0",Response_Q173_3,"&lt;&gt;0")</f>
        <v>1</v>
      </c>
      <c r="CU66" s="37">
        <f>COUNTIFS(S30_stakeholder_category,"FO",Response_Q178_5,1,Response_Q173_3,"&lt;&gt;0")</f>
        <v>0</v>
      </c>
      <c r="CV66" s="37">
        <f>COUNTIFS(S30_stakeholder_category,"FO",Response_Q178_5,2,Response_Q173_3,"&lt;&gt;0")</f>
        <v>0</v>
      </c>
      <c r="CW66" s="37">
        <f>COUNTIFS(S30_stakeholder_category,"FO",Response_Q178_5,3,Response_Q173_3,"&lt;&gt;0")</f>
        <v>1</v>
      </c>
      <c r="CX66" s="37">
        <f>IF(CT58=0,0,SUMPRODUCT(CU66:CW66,Rank_score)/CT$58)</f>
        <v>0.33333333333333331</v>
      </c>
      <c r="CY66" s="14"/>
      <c r="CZ66" s="106" t="s">
        <v>339</v>
      </c>
      <c r="DA66" s="27">
        <f t="shared" ref="DA66:DF66" si="25">COUNTIFS(S30_stakeholder_category,"FO",Response_Q178_5,"&lt;&gt;0",Response_Q178_6,DA$63,Response_Q173_3,"&lt;&gt;0")</f>
        <v>0</v>
      </c>
      <c r="DB66" s="27">
        <f t="shared" si="25"/>
        <v>0</v>
      </c>
      <c r="DC66" s="27">
        <f t="shared" si="25"/>
        <v>0</v>
      </c>
      <c r="DD66" s="27">
        <f t="shared" si="25"/>
        <v>0</v>
      </c>
      <c r="DE66" s="27">
        <f t="shared" si="25"/>
        <v>1</v>
      </c>
      <c r="DF66" s="27">
        <f t="shared" si="25"/>
        <v>0</v>
      </c>
      <c r="DG66" s="141">
        <f t="shared" si="20"/>
        <v>5</v>
      </c>
      <c r="DH66" s="14"/>
      <c r="DI66" s="47"/>
      <c r="DJ66" s="14"/>
      <c r="DK66" s="14"/>
      <c r="DL66" s="19"/>
      <c r="DM66" s="59"/>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row>
    <row r="67" spans="1:142" x14ac:dyDescent="0.25">
      <c r="A67" s="14"/>
      <c r="B67" s="62"/>
      <c r="C67" s="19"/>
      <c r="D67" s="59"/>
      <c r="E67" s="14"/>
      <c r="F67" s="14"/>
      <c r="G67" s="14"/>
      <c r="H67" s="21"/>
      <c r="I67" s="21"/>
      <c r="J67" s="14"/>
      <c r="K67" s="14"/>
      <c r="L67" s="14"/>
      <c r="M67" s="14"/>
      <c r="N67" s="14"/>
      <c r="O67" s="14"/>
      <c r="P67" s="14"/>
      <c r="Q67" s="47"/>
      <c r="R67" s="19"/>
      <c r="S67" s="56"/>
      <c r="T67" s="29"/>
      <c r="U67" s="59"/>
      <c r="V67" s="14"/>
      <c r="W67" s="14"/>
      <c r="X67" s="14"/>
      <c r="Y67" s="14"/>
      <c r="Z67" s="14"/>
      <c r="AA67" s="14"/>
      <c r="AB67" s="14"/>
      <c r="AC67" s="14"/>
      <c r="AD67" s="65"/>
      <c r="AE67" s="63"/>
      <c r="AF67" s="47"/>
      <c r="AG67" s="19"/>
      <c r="AH67" s="56"/>
      <c r="AI67" s="29"/>
      <c r="AJ67" s="59"/>
      <c r="AK67" s="14"/>
      <c r="AL67" s="14"/>
      <c r="AM67" s="14"/>
      <c r="AN67" s="14"/>
      <c r="AO67" s="14"/>
      <c r="AP67" s="14"/>
      <c r="AQ67" s="14"/>
      <c r="AR67" s="14"/>
      <c r="AS67" s="65"/>
      <c r="AT67" s="63"/>
      <c r="AU67" s="47"/>
      <c r="AV67" s="19"/>
      <c r="AW67" s="56"/>
      <c r="AX67" s="29"/>
      <c r="AY67" s="59"/>
      <c r="AZ67" s="14"/>
      <c r="BA67" s="14"/>
      <c r="BB67" s="14"/>
      <c r="BC67" s="14"/>
      <c r="BD67" s="14"/>
      <c r="BE67" s="14"/>
      <c r="BF67" s="14"/>
      <c r="BG67" s="14"/>
      <c r="BH67" s="65"/>
      <c r="BI67" s="63"/>
      <c r="BJ67" s="352"/>
      <c r="BK67" s="19"/>
      <c r="BL67" s="56"/>
      <c r="BM67" s="29"/>
      <c r="BN67" s="59"/>
      <c r="BO67" s="14"/>
      <c r="BP67" s="14"/>
      <c r="BQ67" s="14"/>
      <c r="BR67" s="14"/>
      <c r="BS67" s="14"/>
      <c r="BT67" s="14"/>
      <c r="BU67" s="14"/>
      <c r="BV67" s="14"/>
      <c r="BW67" s="65"/>
      <c r="BX67" s="63"/>
      <c r="BY67" s="352"/>
      <c r="BZ67" s="14"/>
      <c r="CA67" s="140" t="s">
        <v>147</v>
      </c>
      <c r="CB67" s="27">
        <f>COUNTIFS(S30_stakeholder_category,"FO",Response_Q177_7,"&lt;&gt;0",Response_Q173_3,"&lt;&gt;0")</f>
        <v>0</v>
      </c>
      <c r="CC67" s="37">
        <f>COUNTIFS(S30_stakeholder_category,"FO",Response_Q177_7,1,Response_Q173_3,"&lt;&gt;0")</f>
        <v>0</v>
      </c>
      <c r="CD67" s="37">
        <f>COUNTIFS(S30_stakeholder_category,"FO",Response_Q177_7,2,Response_Q173_3,"&lt;&gt;0")</f>
        <v>0</v>
      </c>
      <c r="CE67" s="37">
        <f>COUNTIFS(S30_stakeholder_category,"FO",Response_Q177_7,3,Response_Q173_3,"&lt;&gt;0")</f>
        <v>0</v>
      </c>
      <c r="CF67" s="97">
        <f>IF(CB58=0,0,SUMPRODUCT(CC67:CE67,Rank_score)/$CB58)</f>
        <v>0</v>
      </c>
      <c r="CG67" s="14"/>
      <c r="CH67" s="140" t="s">
        <v>147</v>
      </c>
      <c r="CI67" s="27">
        <f t="shared" ref="CI67:CN67" si="26">COUNTIFS(S30_stakeholder_category,"FO",Response_Q177_7,"&lt;&gt;0",Response_Q177_8,CI$63,Response_Q173_3,"&lt;&gt;0")</f>
        <v>0</v>
      </c>
      <c r="CJ67" s="27">
        <f t="shared" si="26"/>
        <v>0</v>
      </c>
      <c r="CK67" s="27">
        <f t="shared" si="26"/>
        <v>0</v>
      </c>
      <c r="CL67" s="27">
        <f t="shared" si="26"/>
        <v>0</v>
      </c>
      <c r="CM67" s="27">
        <f t="shared" si="26"/>
        <v>0</v>
      </c>
      <c r="CN67" s="27">
        <f t="shared" si="26"/>
        <v>0</v>
      </c>
      <c r="CO67" s="141" t="str">
        <f t="shared" si="22"/>
        <v>Factor not ranked</v>
      </c>
      <c r="CP67" s="14"/>
      <c r="CQ67" s="47"/>
      <c r="CR67" s="14"/>
      <c r="CS67" s="106" t="s">
        <v>345</v>
      </c>
      <c r="CT67" s="27">
        <f>COUNTIFS(S30_stakeholder_category,"FO",Response_Q178_7,"&lt;&gt;0",Response_Q173_3,"&lt;&gt;0")</f>
        <v>1</v>
      </c>
      <c r="CU67" s="37">
        <f>COUNTIFS(S30_stakeholder_category,"FO",Response_Q178_7,1,Response_Q173_3,"&lt;&gt;0")</f>
        <v>0</v>
      </c>
      <c r="CV67" s="37">
        <f>COUNTIFS(S30_stakeholder_category,"FO",Response_Q178_7,2,Response_Q173_3,"&lt;&gt;0")</f>
        <v>1</v>
      </c>
      <c r="CW67" s="37">
        <f>COUNTIFS(S30_stakeholder_category,"FO",Response_Q178_7,3,Response_Q173_3,"&lt;&gt;0")</f>
        <v>0</v>
      </c>
      <c r="CX67" s="37">
        <f>IF(CT58=0,0,SUMPRODUCT(CU67:CW67,Rank_score)/CT$58)</f>
        <v>0.66666666666666663</v>
      </c>
      <c r="CY67" s="14"/>
      <c r="CZ67" s="106" t="s">
        <v>345</v>
      </c>
      <c r="DA67" s="27">
        <f t="shared" ref="DA67:DF67" si="27">COUNTIFS(S30_stakeholder_category,"FO",Response_Q178_7,"&lt;&gt;0",Response_Q178_8,DA$63,Response_Q173_3,"&lt;&gt;0")</f>
        <v>0</v>
      </c>
      <c r="DB67" s="27">
        <f t="shared" si="27"/>
        <v>0</v>
      </c>
      <c r="DC67" s="27">
        <f t="shared" si="27"/>
        <v>0</v>
      </c>
      <c r="DD67" s="27">
        <f t="shared" si="27"/>
        <v>1</v>
      </c>
      <c r="DE67" s="27">
        <f t="shared" si="27"/>
        <v>0</v>
      </c>
      <c r="DF67" s="27">
        <f t="shared" si="27"/>
        <v>0</v>
      </c>
      <c r="DG67" s="141">
        <f t="shared" si="20"/>
        <v>4</v>
      </c>
      <c r="DH67" s="14"/>
      <c r="DI67" s="47"/>
      <c r="DJ67" s="14"/>
      <c r="DK67" s="14"/>
      <c r="DL67" s="19"/>
      <c r="DM67" s="59"/>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row>
    <row r="68" spans="1:142" x14ac:dyDescent="0.25">
      <c r="A68" s="14"/>
      <c r="B68" s="62"/>
      <c r="C68" s="19"/>
      <c r="D68" s="19"/>
      <c r="E68" s="14"/>
      <c r="F68" s="14"/>
      <c r="G68" s="14"/>
      <c r="H68" s="21"/>
      <c r="I68" s="21"/>
      <c r="J68" s="14"/>
      <c r="K68" s="14"/>
      <c r="L68" s="14"/>
      <c r="M68" s="14"/>
      <c r="N68" s="14"/>
      <c r="O68" s="14"/>
      <c r="P68" s="14"/>
      <c r="Q68" s="47"/>
      <c r="R68" s="19"/>
      <c r="S68" s="56"/>
      <c r="T68" s="19"/>
      <c r="U68" s="59"/>
      <c r="V68" s="14"/>
      <c r="W68" s="14"/>
      <c r="X68" s="14"/>
      <c r="Y68" s="14"/>
      <c r="Z68" s="14"/>
      <c r="AA68" s="14"/>
      <c r="AB68" s="14"/>
      <c r="AC68" s="14"/>
      <c r="AD68" s="65"/>
      <c r="AE68" s="63"/>
      <c r="AF68" s="47"/>
      <c r="AG68" s="19"/>
      <c r="AH68" s="56"/>
      <c r="AI68" s="19"/>
      <c r="AJ68" s="59"/>
      <c r="AK68" s="14"/>
      <c r="AL68" s="14"/>
      <c r="AM68" s="14"/>
      <c r="AN68" s="14"/>
      <c r="AO68" s="14"/>
      <c r="AP68" s="14"/>
      <c r="AQ68" s="14"/>
      <c r="AR68" s="14"/>
      <c r="AS68" s="65"/>
      <c r="AT68" s="63"/>
      <c r="AU68" s="47"/>
      <c r="AV68" s="14"/>
      <c r="AW68" s="56"/>
      <c r="AX68" s="19"/>
      <c r="AY68" s="59"/>
      <c r="AZ68" s="14"/>
      <c r="BA68" s="14"/>
      <c r="BB68" s="14"/>
      <c r="BC68" s="14"/>
      <c r="BD68" s="14"/>
      <c r="BE68" s="14"/>
      <c r="BF68" s="14"/>
      <c r="BG68" s="14"/>
      <c r="BH68" s="65"/>
      <c r="BI68" s="63"/>
      <c r="BJ68" s="352"/>
      <c r="BK68" s="19"/>
      <c r="BL68" s="56"/>
      <c r="BM68" s="19"/>
      <c r="BN68" s="59"/>
      <c r="BO68" s="14"/>
      <c r="BP68" s="14"/>
      <c r="BQ68" s="14"/>
      <c r="BR68" s="14"/>
      <c r="BS68" s="14"/>
      <c r="BT68" s="14"/>
      <c r="BU68" s="14"/>
      <c r="BV68" s="14"/>
      <c r="BW68" s="65"/>
      <c r="BX68" s="63"/>
      <c r="BY68" s="352"/>
      <c r="BZ68" s="14"/>
      <c r="CA68" s="140" t="s">
        <v>341</v>
      </c>
      <c r="CB68" s="27">
        <f>COUNTIFS(S30_stakeholder_category,"FO",Response_Q177_9,"&lt;&gt;0",Response_Q173_3,"&lt;&gt;0")</f>
        <v>0</v>
      </c>
      <c r="CC68" s="37">
        <f>COUNTIFS(S30_stakeholder_category,"FO",Response_Q177_9,1,Response_Q173_3,"&lt;&gt;0")</f>
        <v>0</v>
      </c>
      <c r="CD68" s="37">
        <f>COUNTIFS(S30_stakeholder_category,"FO",Response_Q177_9,2,Response_Q173_3,"&lt;&gt;0")</f>
        <v>0</v>
      </c>
      <c r="CE68" s="37">
        <f>COUNTIFS(S30_stakeholder_category,"FO",Response_Q177_9,3,Response_Q173_3,"&lt;&gt;0")</f>
        <v>0</v>
      </c>
      <c r="CF68" s="97">
        <f>IF(CB58=0,0,SUMPRODUCT(CC68:CE68,Rank_score)/$CB58)</f>
        <v>0</v>
      </c>
      <c r="CG68" s="14"/>
      <c r="CH68" s="140" t="s">
        <v>341</v>
      </c>
      <c r="CI68" s="27">
        <f t="shared" ref="CI68:CN68" si="28">COUNTIFS(S30_stakeholder_category,"FO",Response_Q177_9,"&lt;&gt;0",Response_Q177_10,CI$63,Response_Q173_3,"&lt;&gt;0")</f>
        <v>0</v>
      </c>
      <c r="CJ68" s="27">
        <f t="shared" si="28"/>
        <v>0</v>
      </c>
      <c r="CK68" s="27">
        <f t="shared" si="28"/>
        <v>0</v>
      </c>
      <c r="CL68" s="27">
        <f t="shared" si="28"/>
        <v>0</v>
      </c>
      <c r="CM68" s="27">
        <f t="shared" si="28"/>
        <v>0</v>
      </c>
      <c r="CN68" s="27">
        <f t="shared" si="28"/>
        <v>0</v>
      </c>
      <c r="CO68" s="141" t="str">
        <f t="shared" si="22"/>
        <v>Factor not ranked</v>
      </c>
      <c r="CP68" s="14"/>
      <c r="CQ68" s="47"/>
      <c r="CR68" s="14"/>
      <c r="CS68" s="106" t="s">
        <v>561</v>
      </c>
      <c r="CT68" s="27">
        <f>COUNTIFS(S30_stakeholder_category,"FO",Response_Q178_9,"&lt;&gt;0",Response_Q173_3,"&lt;&gt;0")</f>
        <v>0</v>
      </c>
      <c r="CU68" s="37">
        <f>COUNTIFS(S30_stakeholder_category,"FO",Response_Q178_9,1,Response_Q173_3,"&lt;&gt;0")</f>
        <v>0</v>
      </c>
      <c r="CV68" s="37">
        <f>COUNTIFS(S30_stakeholder_category,"FO",Response_Q178_9,2,Response_Q173_3,"&lt;&gt;0")</f>
        <v>0</v>
      </c>
      <c r="CW68" s="37">
        <f>COUNTIFS(S30_stakeholder_category,"FO",Response_Q178_9,3,Response_Q173_3,"&lt;&gt;0")</f>
        <v>0</v>
      </c>
      <c r="CX68" s="37">
        <f>IF(CT58=0,0,SUMPRODUCT(CU68:CW68,Rank_score)/CT$58)</f>
        <v>0</v>
      </c>
      <c r="CY68" s="14"/>
      <c r="CZ68" s="106" t="s">
        <v>561</v>
      </c>
      <c r="DA68" s="27">
        <f t="shared" ref="DA68:DF68" si="29">COUNTIFS(S30_stakeholder_category,"FO",Response_Q178_9,"&lt;&gt;0",Response_Q178_10,DA$63,Response_Q173_3,"&lt;&gt;0")</f>
        <v>0</v>
      </c>
      <c r="DB68" s="27">
        <f t="shared" si="29"/>
        <v>0</v>
      </c>
      <c r="DC68" s="27">
        <f t="shared" si="29"/>
        <v>0</v>
      </c>
      <c r="DD68" s="27">
        <f t="shared" si="29"/>
        <v>0</v>
      </c>
      <c r="DE68" s="27">
        <f t="shared" si="29"/>
        <v>0</v>
      </c>
      <c r="DF68" s="27">
        <f t="shared" si="29"/>
        <v>0</v>
      </c>
      <c r="DG68" s="141" t="str">
        <f t="shared" si="20"/>
        <v>Factor not ranked</v>
      </c>
      <c r="DH68" s="14"/>
      <c r="DI68" s="47"/>
      <c r="DJ68" s="14"/>
      <c r="DK68" s="14"/>
      <c r="DL68" s="19"/>
      <c r="DM68" s="59"/>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row>
    <row r="69" spans="1:142" x14ac:dyDescent="0.25">
      <c r="A69" s="14"/>
      <c r="B69" s="62"/>
      <c r="C69" s="19"/>
      <c r="D69" s="19"/>
      <c r="E69" s="14"/>
      <c r="F69" s="14"/>
      <c r="G69" s="14"/>
      <c r="H69" s="21"/>
      <c r="I69" s="21"/>
      <c r="J69" s="14"/>
      <c r="K69" s="14"/>
      <c r="L69" s="14"/>
      <c r="M69" s="14"/>
      <c r="N69" s="14"/>
      <c r="O69" s="14"/>
      <c r="P69" s="14"/>
      <c r="Q69" s="47"/>
      <c r="R69" s="19"/>
      <c r="S69" s="14"/>
      <c r="T69" s="19"/>
      <c r="U69" s="59"/>
      <c r="V69" s="14"/>
      <c r="W69" s="14"/>
      <c r="X69" s="14"/>
      <c r="Y69" s="19"/>
      <c r="Z69" s="19"/>
      <c r="AA69" s="19"/>
      <c r="AB69" s="19"/>
      <c r="AC69" s="19"/>
      <c r="AD69" s="65"/>
      <c r="AE69" s="63"/>
      <c r="AF69" s="47"/>
      <c r="AG69" s="19"/>
      <c r="AH69" s="14"/>
      <c r="AI69" s="19"/>
      <c r="AJ69" s="59"/>
      <c r="AK69" s="14"/>
      <c r="AL69" s="14"/>
      <c r="AM69" s="14"/>
      <c r="AN69" s="19"/>
      <c r="AO69" s="19"/>
      <c r="AP69" s="19"/>
      <c r="AQ69" s="19"/>
      <c r="AR69" s="19"/>
      <c r="AS69" s="65"/>
      <c r="AT69" s="63"/>
      <c r="AU69" s="47"/>
      <c r="AV69" s="14"/>
      <c r="AW69" s="14"/>
      <c r="AX69" s="19"/>
      <c r="AY69" s="59"/>
      <c r="AZ69" s="14"/>
      <c r="BA69" s="14"/>
      <c r="BB69" s="14"/>
      <c r="BC69" s="19"/>
      <c r="BD69" s="19"/>
      <c r="BE69" s="19"/>
      <c r="BF69" s="19"/>
      <c r="BG69" s="19"/>
      <c r="BH69" s="65"/>
      <c r="BI69" s="63"/>
      <c r="BJ69" s="352"/>
      <c r="BK69" s="19"/>
      <c r="BL69" s="14"/>
      <c r="BM69" s="19"/>
      <c r="BN69" s="59"/>
      <c r="BO69" s="14"/>
      <c r="BP69" s="14"/>
      <c r="BQ69" s="14"/>
      <c r="BR69" s="19"/>
      <c r="BS69" s="19"/>
      <c r="BT69" s="19"/>
      <c r="BU69" s="19"/>
      <c r="BV69" s="19"/>
      <c r="BW69" s="65"/>
      <c r="BX69" s="63"/>
      <c r="BY69" s="352"/>
      <c r="BZ69" s="14"/>
      <c r="CA69" s="106" t="s">
        <v>148</v>
      </c>
      <c r="CB69" s="27">
        <f>COUNTIFS(S30_stakeholder_category,"FO",Response_Q177_11,"&lt;&gt;0",Response_Q173_3,"&lt;&gt;0")</f>
        <v>1</v>
      </c>
      <c r="CC69" s="37">
        <f>COUNTIFS(S30_stakeholder_category,"FO",Response_Q177_11,1,Response_Q173_3,"&lt;&gt;0")</f>
        <v>0</v>
      </c>
      <c r="CD69" s="37">
        <f>COUNTIFS(S30_stakeholder_category,"FO",Response_Q177_11,2,Response_Q173_3,"&lt;&gt;0")</f>
        <v>0</v>
      </c>
      <c r="CE69" s="37">
        <f>COUNTIFS(S30_stakeholder_category,"FO",Response_Q177_11,3,Response_Q173_3,"&lt;&gt;0")</f>
        <v>1</v>
      </c>
      <c r="CF69" s="97">
        <f>IF(CB58=0,0,SUMPRODUCT(CC69:CE69,Rank_score)/$CB58)</f>
        <v>0.33333333333333331</v>
      </c>
      <c r="CG69" s="43"/>
      <c r="CH69" s="106" t="s">
        <v>148</v>
      </c>
      <c r="CI69" s="27">
        <f t="shared" ref="CI69:CN69" si="30">COUNTIFS(S30_stakeholder_category,"FO",Response_Q177_11,"&lt;&gt;0",Response_Q177_12,CI$63,Response_Q173_3,"&lt;&gt;0")</f>
        <v>0</v>
      </c>
      <c r="CJ69" s="27">
        <f t="shared" si="30"/>
        <v>1</v>
      </c>
      <c r="CK69" s="27">
        <f t="shared" si="30"/>
        <v>0</v>
      </c>
      <c r="CL69" s="27">
        <f t="shared" si="30"/>
        <v>0</v>
      </c>
      <c r="CM69" s="27">
        <f t="shared" si="30"/>
        <v>0</v>
      </c>
      <c r="CN69" s="27">
        <f t="shared" si="30"/>
        <v>0</v>
      </c>
      <c r="CO69" s="141">
        <f t="shared" si="22"/>
        <v>2</v>
      </c>
      <c r="CP69" s="14"/>
      <c r="CQ69" s="47"/>
      <c r="CR69" s="14"/>
      <c r="CS69" s="106" t="s">
        <v>49</v>
      </c>
      <c r="CT69" s="27">
        <f>COUNTIFS(S30_stakeholder_category,"FO",Response_Q178_11,"&lt;&gt;0",Response_Q173_3,"&lt;&gt;0")</f>
        <v>0</v>
      </c>
      <c r="CU69" s="37">
        <f>COUNTIFS(S30_stakeholder_category,"FO",Response_Q178_11,1,Response_Q173_3,"&lt;&gt;0")</f>
        <v>0</v>
      </c>
      <c r="CV69" s="37">
        <f>COUNTIFS(S30_stakeholder_category,"FO",Response_Q178_11,2,Response_Q173_3,"&lt;&gt;0")</f>
        <v>0</v>
      </c>
      <c r="CW69" s="37">
        <f>COUNTIFS(S30_stakeholder_category,"FO",Response_Q178_11,3,Response_Q173_3,"&lt;&gt;0")</f>
        <v>0</v>
      </c>
      <c r="CX69" s="37">
        <f>IF(CT58=0,0,SUMPRODUCT(CU69:CW69,Rank_score)/CT$58)</f>
        <v>0</v>
      </c>
      <c r="CY69" s="43"/>
      <c r="CZ69" s="106" t="s">
        <v>49</v>
      </c>
      <c r="DA69" s="27">
        <f t="shared" ref="DA69:DF69" si="31">COUNTIFS(S30_stakeholder_category,"FO",Response_Q178_11,"&lt;&gt;0",Response_Q178_12,DA$63,Response_Q173_3,"&lt;&gt;0")</f>
        <v>0</v>
      </c>
      <c r="DB69" s="27">
        <f t="shared" si="31"/>
        <v>0</v>
      </c>
      <c r="DC69" s="27">
        <f t="shared" si="31"/>
        <v>0</v>
      </c>
      <c r="DD69" s="27">
        <f t="shared" si="31"/>
        <v>0</v>
      </c>
      <c r="DE69" s="27">
        <f t="shared" si="31"/>
        <v>0</v>
      </c>
      <c r="DF69" s="27">
        <f t="shared" si="31"/>
        <v>0</v>
      </c>
      <c r="DG69" s="141" t="str">
        <f t="shared" si="20"/>
        <v>Factor not ranked</v>
      </c>
      <c r="DH69" s="14"/>
      <c r="DI69" s="47"/>
      <c r="DJ69" s="14"/>
      <c r="DK69" s="62"/>
      <c r="DL69" s="19"/>
      <c r="DM69" s="59"/>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row>
    <row r="70" spans="1:142" x14ac:dyDescent="0.25">
      <c r="A70" s="14"/>
      <c r="B70" s="62"/>
      <c r="C70" s="19"/>
      <c r="D70" s="59"/>
      <c r="E70" s="14"/>
      <c r="F70" s="14"/>
      <c r="G70" s="14"/>
      <c r="H70" s="21"/>
      <c r="I70" s="21"/>
      <c r="J70" s="14"/>
      <c r="K70" s="14"/>
      <c r="L70" s="14"/>
      <c r="M70" s="14"/>
      <c r="N70" s="14"/>
      <c r="O70" s="14"/>
      <c r="P70" s="14"/>
      <c r="Q70" s="47"/>
      <c r="R70" s="19"/>
      <c r="S70" s="14"/>
      <c r="T70" s="19"/>
      <c r="U70" s="59"/>
      <c r="V70" s="14"/>
      <c r="W70" s="14"/>
      <c r="X70" s="14"/>
      <c r="Y70" s="19"/>
      <c r="Z70" s="14"/>
      <c r="AA70" s="14"/>
      <c r="AB70" s="14"/>
      <c r="AC70" s="14"/>
      <c r="AD70" s="65"/>
      <c r="AE70" s="63"/>
      <c r="AF70" s="47"/>
      <c r="AG70" s="19"/>
      <c r="AH70" s="14"/>
      <c r="AI70" s="19"/>
      <c r="AJ70" s="59"/>
      <c r="AK70" s="14"/>
      <c r="AL70" s="14"/>
      <c r="AM70" s="14"/>
      <c r="AN70" s="19"/>
      <c r="AO70" s="14"/>
      <c r="AP70" s="14"/>
      <c r="AQ70" s="14"/>
      <c r="AR70" s="14"/>
      <c r="AS70" s="65"/>
      <c r="AT70" s="63"/>
      <c r="AU70" s="47"/>
      <c r="AV70" s="14"/>
      <c r="AW70" s="14"/>
      <c r="AX70" s="19"/>
      <c r="AY70" s="59"/>
      <c r="AZ70" s="14"/>
      <c r="BA70" s="14"/>
      <c r="BB70" s="14"/>
      <c r="BC70" s="19"/>
      <c r="BD70" s="14"/>
      <c r="BE70" s="14"/>
      <c r="BF70" s="14"/>
      <c r="BG70" s="14"/>
      <c r="BH70" s="65"/>
      <c r="BI70" s="63"/>
      <c r="BJ70" s="352"/>
      <c r="BK70" s="19"/>
      <c r="BL70" s="14"/>
      <c r="BM70" s="19"/>
      <c r="BN70" s="59"/>
      <c r="BO70" s="14"/>
      <c r="BP70" s="14"/>
      <c r="BQ70" s="14"/>
      <c r="BR70" s="19"/>
      <c r="BS70" s="14"/>
      <c r="BT70" s="14"/>
      <c r="BU70" s="14"/>
      <c r="BV70" s="14"/>
      <c r="BW70" s="65"/>
      <c r="BX70" s="63"/>
      <c r="BY70" s="352"/>
      <c r="BZ70" s="14"/>
      <c r="CA70" s="107" t="s">
        <v>49</v>
      </c>
      <c r="CB70" s="27">
        <f>COUNTIFS(S30_stakeholder_category,"FO",Response_Q177_13,"&lt;&gt;0",Response_Q173_3,"&lt;&gt;0")</f>
        <v>0</v>
      </c>
      <c r="CC70" s="37">
        <f>COUNTIFS(S30_stakeholder_category,"FO",Response_Q177_13,1,Response_Q173_3,"&lt;&gt;0")</f>
        <v>0</v>
      </c>
      <c r="CD70" s="37">
        <f>COUNTIFS(S30_stakeholder_category,"FO",Response_Q177_13,2,Response_Q173_3,"&lt;&gt;0")</f>
        <v>0</v>
      </c>
      <c r="CE70" s="37">
        <f>COUNTIFS(S30_stakeholder_category,"FO",Response_Q177_13,3,Response_Q173_3,"&lt;&gt;0")</f>
        <v>0</v>
      </c>
      <c r="CF70" s="97">
        <f>IF(CB58=0,0,SUMPRODUCT(CC70:CE70,Rank_score)/$CB58)</f>
        <v>0</v>
      </c>
      <c r="CG70" s="29"/>
      <c r="CH70" s="107" t="s">
        <v>49</v>
      </c>
      <c r="CI70" s="27">
        <f t="shared" ref="CI70:CN70" si="32">COUNTIFS(S30_stakeholder_category,"FO",Response_Q177_13,"&lt;&gt;0",Response_Q177_14,CI$63,Response_Q173_3,"&lt;&gt;0")</f>
        <v>0</v>
      </c>
      <c r="CJ70" s="27">
        <f t="shared" si="32"/>
        <v>0</v>
      </c>
      <c r="CK70" s="27">
        <f t="shared" si="32"/>
        <v>0</v>
      </c>
      <c r="CL70" s="27">
        <f t="shared" si="32"/>
        <v>0</v>
      </c>
      <c r="CM70" s="27">
        <f t="shared" si="32"/>
        <v>0</v>
      </c>
      <c r="CN70" s="27">
        <f t="shared" si="32"/>
        <v>0</v>
      </c>
      <c r="CO70" s="141" t="str">
        <f t="shared" si="22"/>
        <v>Factor not ranked</v>
      </c>
      <c r="CP70" s="14"/>
      <c r="CQ70" s="47"/>
      <c r="CR70" s="14"/>
      <c r="CS70" s="107"/>
      <c r="CT70" s="27"/>
      <c r="CU70" s="37"/>
      <c r="CV70" s="37"/>
      <c r="CW70" s="37"/>
      <c r="CX70" s="37"/>
      <c r="CY70" s="29"/>
      <c r="CZ70" s="106"/>
      <c r="DA70" s="27"/>
      <c r="DB70" s="27"/>
      <c r="DC70" s="27"/>
      <c r="DD70" s="27"/>
      <c r="DE70" s="27"/>
      <c r="DF70" s="27"/>
      <c r="DG70" s="141" t="str">
        <f t="shared" si="20"/>
        <v/>
      </c>
      <c r="DH70" s="14"/>
      <c r="DI70" s="47"/>
      <c r="DJ70" s="14"/>
      <c r="DK70" s="62"/>
      <c r="DL70" s="19"/>
      <c r="DM70" s="59"/>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row>
    <row r="71" spans="1:142" x14ac:dyDescent="0.25">
      <c r="A71" s="14"/>
      <c r="B71" s="62"/>
      <c r="C71" s="19"/>
      <c r="D71" s="59"/>
      <c r="E71" s="14"/>
      <c r="F71" s="14"/>
      <c r="G71" s="109" t="s">
        <v>14</v>
      </c>
      <c r="H71" s="110" t="s">
        <v>6</v>
      </c>
      <c r="I71" s="110" t="s">
        <v>7</v>
      </c>
      <c r="J71" s="14"/>
      <c r="K71" s="14"/>
      <c r="L71" s="14"/>
      <c r="M71" s="14"/>
      <c r="N71" s="14"/>
      <c r="O71" s="14"/>
      <c r="P71" s="14"/>
      <c r="Q71" s="47"/>
      <c r="R71" s="19"/>
      <c r="S71" s="14"/>
      <c r="T71" s="19"/>
      <c r="U71" s="59"/>
      <c r="V71" s="14"/>
      <c r="W71" s="14"/>
      <c r="X71" s="109" t="s">
        <v>14</v>
      </c>
      <c r="Y71" s="110" t="s">
        <v>6</v>
      </c>
      <c r="Z71" s="110" t="s">
        <v>7</v>
      </c>
      <c r="AA71" s="56"/>
      <c r="AB71" s="14"/>
      <c r="AC71" s="14"/>
      <c r="AD71" s="65"/>
      <c r="AE71" s="63"/>
      <c r="AF71" s="47"/>
      <c r="AG71" s="19"/>
      <c r="AH71" s="14"/>
      <c r="AI71" s="19"/>
      <c r="AJ71" s="59"/>
      <c r="AK71" s="14"/>
      <c r="AL71" s="14"/>
      <c r="AM71" s="109" t="s">
        <v>14</v>
      </c>
      <c r="AN71" s="110" t="s">
        <v>6</v>
      </c>
      <c r="AO71" s="110" t="s">
        <v>7</v>
      </c>
      <c r="AP71" s="56"/>
      <c r="AQ71" s="14"/>
      <c r="AR71" s="14"/>
      <c r="AS71" s="65"/>
      <c r="AT71" s="63"/>
      <c r="AU71" s="47"/>
      <c r="AV71" s="14"/>
      <c r="AW71" s="14"/>
      <c r="AX71" s="19"/>
      <c r="AY71" s="59"/>
      <c r="AZ71" s="14"/>
      <c r="BA71" s="14"/>
      <c r="BB71" s="109" t="s">
        <v>14</v>
      </c>
      <c r="BC71" s="110" t="s">
        <v>6</v>
      </c>
      <c r="BD71" s="110" t="s">
        <v>7</v>
      </c>
      <c r="BE71" s="56"/>
      <c r="BF71" s="14"/>
      <c r="BG71" s="14"/>
      <c r="BH71" s="65"/>
      <c r="BI71" s="63"/>
      <c r="BJ71" s="352"/>
      <c r="BK71" s="19"/>
      <c r="BL71" s="14"/>
      <c r="BM71" s="19"/>
      <c r="BN71" s="59"/>
      <c r="BO71" s="14"/>
      <c r="BP71" s="14"/>
      <c r="BQ71" s="109" t="s">
        <v>14</v>
      </c>
      <c r="BR71" s="110" t="s">
        <v>6</v>
      </c>
      <c r="BS71" s="110" t="s">
        <v>7</v>
      </c>
      <c r="BT71" s="56"/>
      <c r="BU71" s="14"/>
      <c r="BV71" s="14"/>
      <c r="BW71" s="65"/>
      <c r="BX71" s="63"/>
      <c r="BY71" s="352"/>
      <c r="BZ71" s="14"/>
      <c r="CA71" s="86"/>
      <c r="CB71" s="111"/>
      <c r="CC71" s="111"/>
      <c r="CD71" s="179"/>
      <c r="CE71" s="179"/>
      <c r="CF71" s="108"/>
      <c r="CG71" s="29"/>
      <c r="CH71" s="109"/>
      <c r="CI71" s="109"/>
      <c r="CJ71" s="109"/>
      <c r="CK71" s="109"/>
      <c r="CL71" s="109"/>
      <c r="CM71" s="109"/>
      <c r="CN71" s="109"/>
      <c r="CO71" s="329"/>
      <c r="CP71" s="14"/>
      <c r="CQ71" s="47"/>
      <c r="CR71" s="14"/>
      <c r="CS71" s="107"/>
      <c r="CT71" s="27"/>
      <c r="CU71" s="37"/>
      <c r="CV71" s="37"/>
      <c r="CW71" s="37"/>
      <c r="CX71" s="37"/>
      <c r="CY71" s="29"/>
      <c r="CZ71" s="106"/>
      <c r="DA71" s="27"/>
      <c r="DB71" s="27"/>
      <c r="DC71" s="27"/>
      <c r="DD71" s="27"/>
      <c r="DE71" s="27"/>
      <c r="DF71" s="27"/>
      <c r="DG71" s="141" t="str">
        <f t="shared" si="20"/>
        <v/>
      </c>
      <c r="DH71" s="14"/>
      <c r="DI71" s="47"/>
      <c r="DJ71" s="14"/>
      <c r="DK71" s="62"/>
      <c r="DL71" s="19"/>
      <c r="DM71" s="59"/>
      <c r="DN71" s="14"/>
      <c r="DO71" s="14"/>
      <c r="DP71" s="109" t="s">
        <v>14</v>
      </c>
      <c r="DQ71" s="110" t="s">
        <v>6</v>
      </c>
      <c r="DR71" s="110" t="s">
        <v>7</v>
      </c>
      <c r="DS71" s="14"/>
      <c r="DT71" s="14"/>
      <c r="DU71" s="14"/>
      <c r="DV71" s="14"/>
      <c r="DW71" s="14"/>
      <c r="DX71" s="14"/>
      <c r="DY71" s="14"/>
      <c r="DZ71" s="14"/>
      <c r="EA71" s="14"/>
      <c r="EB71" s="14"/>
      <c r="EC71" s="14"/>
      <c r="ED71" s="14"/>
      <c r="EE71" s="14"/>
      <c r="EF71" s="14"/>
      <c r="EG71" s="14"/>
      <c r="EH71" s="14"/>
      <c r="EI71" s="14"/>
      <c r="EJ71" s="14"/>
      <c r="EK71" s="14"/>
      <c r="EL71" s="14"/>
    </row>
    <row r="72" spans="1:142" x14ac:dyDescent="0.25">
      <c r="A72" s="14"/>
      <c r="B72" s="62"/>
      <c r="C72" s="19"/>
      <c r="D72" s="59"/>
      <c r="E72" s="14"/>
      <c r="F72" s="14"/>
      <c r="G72" s="107" t="s">
        <v>34</v>
      </c>
      <c r="H72" s="27">
        <f>COUNTIFS(S30_stakeholder_category,"FO",Response_Q173_3,G72)</f>
        <v>1</v>
      </c>
      <c r="I72" s="41">
        <f>IFERROR(H72/H$77,"")</f>
        <v>0.25</v>
      </c>
      <c r="J72" s="14"/>
      <c r="K72" s="14"/>
      <c r="L72" s="14"/>
      <c r="M72" s="14"/>
      <c r="N72" s="14"/>
      <c r="O72" s="14"/>
      <c r="P72" s="14"/>
      <c r="Q72" s="47"/>
      <c r="R72" s="19"/>
      <c r="S72" s="62"/>
      <c r="T72" s="19"/>
      <c r="U72" s="59"/>
      <c r="V72" s="14"/>
      <c r="W72" s="14"/>
      <c r="X72" s="107" t="s">
        <v>5</v>
      </c>
      <c r="Y72" s="27">
        <f t="shared" ref="Y72:Y78" si="33">COUNTIFS(S30_stakeholder_category,"FO",Response_Q176_2,X72)</f>
        <v>2</v>
      </c>
      <c r="Z72" s="41">
        <f t="shared" ref="Z72:Z79" si="34">IFERROR(Y72/Y$79,0)</f>
        <v>0.4</v>
      </c>
      <c r="AA72" s="19"/>
      <c r="AB72" s="14"/>
      <c r="AC72" s="14"/>
      <c r="AD72" s="65"/>
      <c r="AE72" s="63"/>
      <c r="AF72" s="47"/>
      <c r="AG72" s="19"/>
      <c r="AH72" s="62"/>
      <c r="AI72" s="19"/>
      <c r="AJ72" s="59"/>
      <c r="AK72" s="14"/>
      <c r="AL72" s="14"/>
      <c r="AM72" s="107" t="s">
        <v>5</v>
      </c>
      <c r="AN72" s="27">
        <f t="shared" ref="AN72:AN78" si="35">COUNTIFS(S30_stakeholder_category,"FO",Response_30b_CaseA,AM72)</f>
        <v>2</v>
      </c>
      <c r="AO72" s="41">
        <f>IFERROR(AN72/AN$79,0)</f>
        <v>1</v>
      </c>
      <c r="AP72" s="19"/>
      <c r="AQ72" s="14"/>
      <c r="AR72" s="14"/>
      <c r="AS72" s="65"/>
      <c r="AT72" s="63"/>
      <c r="AU72" s="47"/>
      <c r="AV72" s="14"/>
      <c r="AW72" s="62"/>
      <c r="AX72" s="19"/>
      <c r="AY72" s="59"/>
      <c r="AZ72" s="14"/>
      <c r="BA72" s="14"/>
      <c r="BB72" s="107" t="s">
        <v>5</v>
      </c>
      <c r="BC72" s="27">
        <f t="shared" ref="BC72:BC78" si="36">COUNTIFS(S30_stakeholder_category,"FO",Response_30b_CaseB,BB72)</f>
        <v>2</v>
      </c>
      <c r="BD72" s="41">
        <f>IFERROR(BC72/BC$79,0)</f>
        <v>1</v>
      </c>
      <c r="BE72" s="19"/>
      <c r="BF72" s="14"/>
      <c r="BG72" s="14"/>
      <c r="BH72" s="65"/>
      <c r="BI72" s="63"/>
      <c r="BJ72" s="352"/>
      <c r="BK72" s="19"/>
      <c r="BL72" s="62"/>
      <c r="BM72" s="19"/>
      <c r="BN72" s="59"/>
      <c r="BO72" s="14"/>
      <c r="BP72" s="14"/>
      <c r="BQ72" s="107" t="s">
        <v>5</v>
      </c>
      <c r="BR72" s="27">
        <f t="shared" ref="BR72:BR78" si="37">COUNTIFS(S30_stakeholder_category,"FO",Response_30b_CaseC,BQ72)</f>
        <v>2</v>
      </c>
      <c r="BS72" s="41">
        <f>IFERROR(BR72/BR$79,0)</f>
        <v>1</v>
      </c>
      <c r="BT72" s="19"/>
      <c r="BU72" s="14"/>
      <c r="BV72" s="14"/>
      <c r="BW72" s="65"/>
      <c r="BX72" s="63"/>
      <c r="BY72" s="352"/>
      <c r="BZ72" s="14"/>
      <c r="CA72" s="14"/>
      <c r="CB72" s="21"/>
      <c r="CC72" s="21"/>
      <c r="CD72" s="180"/>
      <c r="CE72" s="181"/>
      <c r="CF72" s="31"/>
      <c r="CG72" s="52"/>
      <c r="CH72" s="52"/>
      <c r="CI72" s="99"/>
      <c r="CJ72" s="14"/>
      <c r="CK72" s="14"/>
      <c r="CL72" s="14"/>
      <c r="CM72" s="14"/>
      <c r="CN72" s="14"/>
      <c r="CO72" s="129"/>
      <c r="CP72" s="14"/>
      <c r="CQ72" s="47"/>
      <c r="CR72" s="14"/>
      <c r="CS72" s="86"/>
      <c r="CT72" s="111"/>
      <c r="CU72" s="86"/>
      <c r="CV72" s="179"/>
      <c r="CW72" s="188"/>
      <c r="CX72" s="179"/>
      <c r="CY72" s="29"/>
      <c r="CZ72" s="109"/>
      <c r="DA72" s="109"/>
      <c r="DB72" s="109"/>
      <c r="DC72" s="109"/>
      <c r="DD72" s="109"/>
      <c r="DE72" s="109"/>
      <c r="DF72" s="109"/>
      <c r="DG72" s="329"/>
      <c r="DH72" s="14"/>
      <c r="DI72" s="47"/>
      <c r="DJ72" s="14"/>
      <c r="DK72" s="62"/>
      <c r="DL72" s="19"/>
      <c r="DM72" s="59"/>
      <c r="DN72" s="14"/>
      <c r="DO72" s="14"/>
      <c r="DP72" s="107" t="s">
        <v>34</v>
      </c>
      <c r="DQ72" s="27">
        <f>COUNTIFS(S30_stakeholder_category,"FO",Response_Q172_1,DP72,Response_Q173_3,"&lt;&gt;0")</f>
        <v>1</v>
      </c>
      <c r="DR72" s="41">
        <f>IF(DQ77=0,"",DQ72/DQ77)</f>
        <v>0.25</v>
      </c>
      <c r="DS72" s="14"/>
      <c r="DT72" s="14"/>
      <c r="DU72" s="14"/>
      <c r="DV72" s="14"/>
      <c r="DW72" s="14"/>
      <c r="DX72" s="14"/>
      <c r="DY72" s="14"/>
      <c r="DZ72" s="14"/>
      <c r="EA72" s="14"/>
      <c r="EB72" s="14"/>
      <c r="EC72" s="14"/>
      <c r="ED72" s="14"/>
      <c r="EE72" s="14"/>
      <c r="EF72" s="14"/>
      <c r="EG72" s="14"/>
      <c r="EH72" s="14"/>
      <c r="EI72" s="14"/>
      <c r="EJ72" s="14"/>
      <c r="EK72" s="14"/>
      <c r="EL72" s="14"/>
    </row>
    <row r="73" spans="1:142" x14ac:dyDescent="0.25">
      <c r="A73" s="14"/>
      <c r="B73" s="62"/>
      <c r="C73" s="19"/>
      <c r="D73" s="59"/>
      <c r="E73" s="14"/>
      <c r="F73" s="14"/>
      <c r="G73" s="107" t="s">
        <v>35</v>
      </c>
      <c r="H73" s="27">
        <f>COUNTIFS(S30_stakeholder_category,"FO",Response_Q173_3,G73)</f>
        <v>0</v>
      </c>
      <c r="I73" s="41">
        <f t="shared" ref="I73:I77" si="38">IFERROR(H73/H$77,"")</f>
        <v>0</v>
      </c>
      <c r="J73" s="14"/>
      <c r="K73" s="14"/>
      <c r="L73" s="14"/>
      <c r="M73" s="14"/>
      <c r="N73" s="14"/>
      <c r="O73" s="14"/>
      <c r="P73" s="14"/>
      <c r="Q73" s="47"/>
      <c r="R73" s="19"/>
      <c r="S73" s="62"/>
      <c r="T73" s="19"/>
      <c r="U73" s="59"/>
      <c r="V73" s="14"/>
      <c r="W73" s="14"/>
      <c r="X73" s="107" t="s">
        <v>4</v>
      </c>
      <c r="Y73" s="27">
        <f t="shared" si="33"/>
        <v>0</v>
      </c>
      <c r="Z73" s="41">
        <f t="shared" si="34"/>
        <v>0</v>
      </c>
      <c r="AA73" s="19"/>
      <c r="AB73" s="14"/>
      <c r="AC73" s="14"/>
      <c r="AD73" s="65"/>
      <c r="AE73" s="63"/>
      <c r="AF73" s="47"/>
      <c r="AG73" s="19"/>
      <c r="AH73" s="62"/>
      <c r="AI73" s="19"/>
      <c r="AJ73" s="59"/>
      <c r="AK73" s="14"/>
      <c r="AL73" s="14"/>
      <c r="AM73" s="107" t="s">
        <v>4</v>
      </c>
      <c r="AN73" s="27">
        <f t="shared" si="35"/>
        <v>0</v>
      </c>
      <c r="AO73" s="41">
        <f t="shared" ref="AO73:AO79" si="39">IFERROR(AN73/AN$79,0)</f>
        <v>0</v>
      </c>
      <c r="AP73" s="19"/>
      <c r="AQ73" s="14"/>
      <c r="AR73" s="14"/>
      <c r="AS73" s="65"/>
      <c r="AT73" s="63"/>
      <c r="AU73" s="47"/>
      <c r="AV73" s="14"/>
      <c r="AW73" s="62"/>
      <c r="AX73" s="19"/>
      <c r="AY73" s="59"/>
      <c r="AZ73" s="14"/>
      <c r="BA73" s="14"/>
      <c r="BB73" s="107" t="s">
        <v>4</v>
      </c>
      <c r="BC73" s="27">
        <f t="shared" si="36"/>
        <v>0</v>
      </c>
      <c r="BD73" s="41">
        <f t="shared" ref="BD73:BD79" si="40">IFERROR(BC73/BC$79,0)</f>
        <v>0</v>
      </c>
      <c r="BE73" s="19"/>
      <c r="BF73" s="14"/>
      <c r="BG73" s="14"/>
      <c r="BH73" s="65"/>
      <c r="BI73" s="63"/>
      <c r="BJ73" s="352"/>
      <c r="BK73" s="19"/>
      <c r="BL73" s="62"/>
      <c r="BM73" s="19"/>
      <c r="BN73" s="59"/>
      <c r="BO73" s="14"/>
      <c r="BP73" s="14"/>
      <c r="BQ73" s="107" t="s">
        <v>4</v>
      </c>
      <c r="BR73" s="27">
        <f t="shared" si="37"/>
        <v>0</v>
      </c>
      <c r="BS73" s="41">
        <f t="shared" ref="BS73:BS79" si="41">IFERROR(BR73/BR$79,0)</f>
        <v>0</v>
      </c>
      <c r="BT73" s="19"/>
      <c r="BU73" s="14"/>
      <c r="BV73" s="14"/>
      <c r="BW73" s="65"/>
      <c r="BX73" s="63"/>
      <c r="BY73" s="352"/>
      <c r="BZ73" s="14"/>
      <c r="CA73" s="14"/>
      <c r="CB73" s="21"/>
      <c r="CC73" s="21"/>
      <c r="CD73" s="180"/>
      <c r="CE73" s="181"/>
      <c r="CF73" s="31"/>
      <c r="CG73" s="52"/>
      <c r="CH73" s="52"/>
      <c r="CI73" s="99"/>
      <c r="CJ73" s="14"/>
      <c r="CK73" s="14"/>
      <c r="CL73" s="14"/>
      <c r="CM73" s="14"/>
      <c r="CN73" s="14"/>
      <c r="CO73" s="129"/>
      <c r="CP73" s="14"/>
      <c r="CQ73" s="47"/>
      <c r="CR73" s="14"/>
      <c r="CS73" s="14"/>
      <c r="CT73" s="14"/>
      <c r="CU73" s="14"/>
      <c r="CV73" s="180"/>
      <c r="CW73" s="190"/>
      <c r="CX73" s="191"/>
      <c r="CY73" s="52"/>
      <c r="CZ73" s="52"/>
      <c r="DA73" s="54"/>
      <c r="DB73" s="19"/>
      <c r="DC73" s="19"/>
      <c r="DD73" s="19"/>
      <c r="DE73" s="19"/>
      <c r="DF73" s="19"/>
      <c r="DG73" s="260"/>
      <c r="DH73" s="14"/>
      <c r="DI73" s="47"/>
      <c r="DJ73" s="14"/>
      <c r="DK73" s="62"/>
      <c r="DL73" s="19"/>
      <c r="DM73" s="59"/>
      <c r="DN73" s="14"/>
      <c r="DO73" s="14"/>
      <c r="DP73" s="107" t="s">
        <v>35</v>
      </c>
      <c r="DQ73" s="27">
        <f>COUNTIFS(S30_stakeholder_category,"FO",Response_Q172_1,DP73,Response_Q173_3,"&lt;&gt;0")</f>
        <v>1</v>
      </c>
      <c r="DR73" s="41">
        <f>IF(DQ77=0,"",DQ73/DQ77)</f>
        <v>0.25</v>
      </c>
      <c r="DS73" s="14"/>
      <c r="DT73" s="14"/>
      <c r="DU73" s="14"/>
      <c r="DV73" s="14"/>
      <c r="DW73" s="14"/>
      <c r="DX73" s="14"/>
      <c r="DY73" s="14"/>
      <c r="DZ73" s="14"/>
      <c r="EA73" s="14"/>
      <c r="EB73" s="14"/>
      <c r="EC73" s="14"/>
      <c r="ED73" s="14"/>
      <c r="EE73" s="14"/>
      <c r="EF73" s="14"/>
      <c r="EG73" s="14"/>
      <c r="EH73" s="14"/>
      <c r="EI73" s="14"/>
      <c r="EJ73" s="14"/>
      <c r="EK73" s="14"/>
      <c r="EL73" s="14"/>
    </row>
    <row r="74" spans="1:142" x14ac:dyDescent="0.25">
      <c r="A74" s="14"/>
      <c r="B74" s="62"/>
      <c r="C74" s="19"/>
      <c r="D74" s="59"/>
      <c r="E74" s="14"/>
      <c r="F74" s="14"/>
      <c r="G74" s="107" t="s">
        <v>36</v>
      </c>
      <c r="H74" s="27">
        <f>COUNTIFS(S30_stakeholder_category,"FO",Response_Q173_3,G74)</f>
        <v>0</v>
      </c>
      <c r="I74" s="41">
        <f t="shared" si="38"/>
        <v>0</v>
      </c>
      <c r="J74" s="14"/>
      <c r="K74" s="14"/>
      <c r="L74" s="14"/>
      <c r="M74" s="14"/>
      <c r="N74" s="14"/>
      <c r="O74" s="14"/>
      <c r="P74" s="14"/>
      <c r="Q74" s="47"/>
      <c r="R74" s="19"/>
      <c r="S74" s="62"/>
      <c r="T74" s="19"/>
      <c r="U74" s="59"/>
      <c r="V74" s="14"/>
      <c r="W74" s="14"/>
      <c r="X74" s="107" t="s">
        <v>33</v>
      </c>
      <c r="Y74" s="27">
        <f t="shared" si="33"/>
        <v>0</v>
      </c>
      <c r="Z74" s="41">
        <f t="shared" si="34"/>
        <v>0</v>
      </c>
      <c r="AA74" s="19"/>
      <c r="AB74" s="14"/>
      <c r="AC74" s="14"/>
      <c r="AD74" s="65"/>
      <c r="AE74" s="63"/>
      <c r="AF74" s="47"/>
      <c r="AG74" s="19"/>
      <c r="AH74" s="62"/>
      <c r="AI74" s="19"/>
      <c r="AJ74" s="59"/>
      <c r="AK74" s="14"/>
      <c r="AL74" s="14"/>
      <c r="AM74" s="107" t="s">
        <v>33</v>
      </c>
      <c r="AN74" s="27">
        <f t="shared" si="35"/>
        <v>0</v>
      </c>
      <c r="AO74" s="41">
        <f t="shared" si="39"/>
        <v>0</v>
      </c>
      <c r="AP74" s="19"/>
      <c r="AQ74" s="14"/>
      <c r="AR74" s="14"/>
      <c r="AS74" s="65"/>
      <c r="AT74" s="63"/>
      <c r="AU74" s="47"/>
      <c r="AV74" s="14"/>
      <c r="AW74" s="62"/>
      <c r="AX74" s="19"/>
      <c r="AY74" s="59"/>
      <c r="AZ74" s="14"/>
      <c r="BA74" s="14"/>
      <c r="BB74" s="107" t="s">
        <v>33</v>
      </c>
      <c r="BC74" s="27">
        <f t="shared" si="36"/>
        <v>0</v>
      </c>
      <c r="BD74" s="41">
        <f t="shared" si="40"/>
        <v>0</v>
      </c>
      <c r="BE74" s="19"/>
      <c r="BF74" s="14"/>
      <c r="BG74" s="14"/>
      <c r="BH74" s="65"/>
      <c r="BI74" s="63"/>
      <c r="BJ74" s="352"/>
      <c r="BK74" s="19"/>
      <c r="BL74" s="62"/>
      <c r="BM74" s="19"/>
      <c r="BN74" s="59"/>
      <c r="BO74" s="14"/>
      <c r="BP74" s="14"/>
      <c r="BQ74" s="107" t="s">
        <v>33</v>
      </c>
      <c r="BR74" s="27">
        <f t="shared" si="37"/>
        <v>0</v>
      </c>
      <c r="BS74" s="41">
        <f t="shared" si="41"/>
        <v>0</v>
      </c>
      <c r="BT74" s="19"/>
      <c r="BU74" s="14"/>
      <c r="BV74" s="14"/>
      <c r="BW74" s="65"/>
      <c r="BX74" s="63"/>
      <c r="BY74" s="352"/>
      <c r="BZ74" s="14"/>
      <c r="CA74" s="14"/>
      <c r="CB74" s="21"/>
      <c r="CC74" s="21"/>
      <c r="CD74" s="180"/>
      <c r="CE74" s="181"/>
      <c r="CF74" s="31"/>
      <c r="CG74" s="52"/>
      <c r="CH74" s="52"/>
      <c r="CI74" s="99"/>
      <c r="CJ74" s="14"/>
      <c r="CK74" s="14"/>
      <c r="CL74" s="14"/>
      <c r="CM74" s="14"/>
      <c r="CN74" s="14"/>
      <c r="CO74" s="129"/>
      <c r="CP74" s="14"/>
      <c r="CQ74" s="47"/>
      <c r="CR74" s="14"/>
      <c r="CS74" s="14"/>
      <c r="CT74" s="14"/>
      <c r="CU74" s="14"/>
      <c r="CV74" s="180"/>
      <c r="CW74" s="190"/>
      <c r="CX74" s="191"/>
      <c r="CY74" s="52"/>
      <c r="CZ74" s="52"/>
      <c r="DA74" s="54"/>
      <c r="DB74" s="19"/>
      <c r="DC74" s="19"/>
      <c r="DD74" s="19"/>
      <c r="DE74" s="19"/>
      <c r="DF74" s="19"/>
      <c r="DG74" s="260"/>
      <c r="DH74" s="14"/>
      <c r="DI74" s="47"/>
      <c r="DJ74" s="14"/>
      <c r="DK74" s="62"/>
      <c r="DL74" s="19"/>
      <c r="DM74" s="59"/>
      <c r="DN74" s="14"/>
      <c r="DO74" s="14"/>
      <c r="DP74" s="107" t="s">
        <v>36</v>
      </c>
      <c r="DQ74" s="27">
        <f>COUNTIFS(S30_stakeholder_category,"FO",Response_Q172_1,DP74,Response_Q173_3,"&lt;&gt;0")</f>
        <v>1</v>
      </c>
      <c r="DR74" s="41">
        <f>IF(DQ77=0,"",DQ74/DQ77)</f>
        <v>0.25</v>
      </c>
      <c r="DS74" s="14"/>
      <c r="DT74" s="14"/>
      <c r="DU74" s="14"/>
      <c r="DV74" s="14"/>
      <c r="DW74" s="14"/>
      <c r="DX74" s="14"/>
      <c r="DY74" s="14"/>
      <c r="DZ74" s="14"/>
      <c r="EA74" s="14"/>
      <c r="EB74" s="14"/>
      <c r="EC74" s="14"/>
      <c r="ED74" s="14"/>
      <c r="EE74" s="14"/>
      <c r="EF74" s="14"/>
      <c r="EG74" s="14"/>
      <c r="EH74" s="14"/>
      <c r="EI74" s="14"/>
      <c r="EJ74" s="14"/>
      <c r="EK74" s="14"/>
      <c r="EL74" s="14"/>
    </row>
    <row r="75" spans="1:142" x14ac:dyDescent="0.25">
      <c r="A75" s="14"/>
      <c r="B75" s="62"/>
      <c r="C75" s="19"/>
      <c r="D75" s="59"/>
      <c r="E75" s="14"/>
      <c r="F75" s="14"/>
      <c r="G75" s="107" t="s">
        <v>38</v>
      </c>
      <c r="H75" s="27">
        <f>COUNTIFS(S30_stakeholder_category,"FO",Response_Q173_3,G75)</f>
        <v>0</v>
      </c>
      <c r="I75" s="41">
        <f t="shared" si="38"/>
        <v>0</v>
      </c>
      <c r="J75" s="14"/>
      <c r="K75" s="14"/>
      <c r="L75" s="14"/>
      <c r="M75" s="14"/>
      <c r="N75" s="14"/>
      <c r="O75" s="14"/>
      <c r="P75" s="14"/>
      <c r="Q75" s="47"/>
      <c r="R75" s="19"/>
      <c r="S75" s="62"/>
      <c r="T75" s="19"/>
      <c r="U75" s="59"/>
      <c r="V75" s="14"/>
      <c r="W75" s="14"/>
      <c r="X75" s="107" t="s">
        <v>29</v>
      </c>
      <c r="Y75" s="27">
        <f t="shared" si="33"/>
        <v>0</v>
      </c>
      <c r="Z75" s="41">
        <f t="shared" si="34"/>
        <v>0</v>
      </c>
      <c r="AA75" s="19"/>
      <c r="AB75" s="14"/>
      <c r="AC75" s="14"/>
      <c r="AD75" s="65"/>
      <c r="AE75" s="63"/>
      <c r="AF75" s="47"/>
      <c r="AG75" s="19"/>
      <c r="AH75" s="62"/>
      <c r="AI75" s="19"/>
      <c r="AJ75" s="59"/>
      <c r="AK75" s="14"/>
      <c r="AL75" s="14"/>
      <c r="AM75" s="107" t="s">
        <v>29</v>
      </c>
      <c r="AN75" s="27">
        <f t="shared" si="35"/>
        <v>0</v>
      </c>
      <c r="AO75" s="41">
        <f t="shared" si="39"/>
        <v>0</v>
      </c>
      <c r="AP75" s="19"/>
      <c r="AQ75" s="14"/>
      <c r="AR75" s="14"/>
      <c r="AS75" s="65"/>
      <c r="AT75" s="63"/>
      <c r="AU75" s="47"/>
      <c r="AV75" s="14"/>
      <c r="AW75" s="62"/>
      <c r="AX75" s="19"/>
      <c r="AY75" s="59"/>
      <c r="AZ75" s="14"/>
      <c r="BA75" s="14"/>
      <c r="BB75" s="107" t="s">
        <v>29</v>
      </c>
      <c r="BC75" s="27">
        <f t="shared" si="36"/>
        <v>0</v>
      </c>
      <c r="BD75" s="41">
        <f t="shared" si="40"/>
        <v>0</v>
      </c>
      <c r="BE75" s="19"/>
      <c r="BF75" s="14"/>
      <c r="BG75" s="14"/>
      <c r="BH75" s="65"/>
      <c r="BI75" s="63"/>
      <c r="BJ75" s="352"/>
      <c r="BK75" s="19"/>
      <c r="BL75" s="62"/>
      <c r="BM75" s="19"/>
      <c r="BN75" s="59"/>
      <c r="BO75" s="14"/>
      <c r="BP75" s="14"/>
      <c r="BQ75" s="107" t="s">
        <v>29</v>
      </c>
      <c r="BR75" s="27">
        <f t="shared" si="37"/>
        <v>0</v>
      </c>
      <c r="BS75" s="41">
        <f t="shared" si="41"/>
        <v>0</v>
      </c>
      <c r="BT75" s="19"/>
      <c r="BU75" s="14"/>
      <c r="BV75" s="14"/>
      <c r="BW75" s="65"/>
      <c r="BX75" s="63"/>
      <c r="BY75" s="352"/>
      <c r="BZ75" s="14"/>
      <c r="CA75" s="14"/>
      <c r="CB75" s="21"/>
      <c r="CC75" s="21"/>
      <c r="CD75" s="180"/>
      <c r="CE75" s="181"/>
      <c r="CF75" s="31"/>
      <c r="CG75" s="52"/>
      <c r="CH75" s="52"/>
      <c r="CI75" s="99"/>
      <c r="CJ75" s="14"/>
      <c r="CK75" s="14"/>
      <c r="CL75" s="14"/>
      <c r="CM75" s="14"/>
      <c r="CN75" s="14"/>
      <c r="CO75" s="129"/>
      <c r="CP75" s="14"/>
      <c r="CQ75" s="47"/>
      <c r="CR75" s="14"/>
      <c r="CS75" s="14"/>
      <c r="CT75" s="14"/>
      <c r="CU75" s="14"/>
      <c r="CV75" s="180"/>
      <c r="CW75" s="190"/>
      <c r="CX75" s="191"/>
      <c r="CY75" s="52"/>
      <c r="CZ75" s="52"/>
      <c r="DA75" s="54"/>
      <c r="DB75" s="19"/>
      <c r="DC75" s="19"/>
      <c r="DD75" s="19"/>
      <c r="DE75" s="19"/>
      <c r="DF75" s="19"/>
      <c r="DG75" s="260"/>
      <c r="DH75" s="14"/>
      <c r="DI75" s="47"/>
      <c r="DJ75" s="14"/>
      <c r="DK75" s="62"/>
      <c r="DL75" s="19"/>
      <c r="DM75" s="59"/>
      <c r="DN75" s="14"/>
      <c r="DO75" s="14"/>
      <c r="DP75" s="107" t="s">
        <v>38</v>
      </c>
      <c r="DQ75" s="27">
        <f>COUNTIFS(S30_stakeholder_category,"FO",Response_Q172_1,DP75,Response_Q173_3,"&lt;&gt;0")</f>
        <v>1</v>
      </c>
      <c r="DR75" s="41">
        <f>IF(DQ77=0,"",DQ75/DQ77)</f>
        <v>0.25</v>
      </c>
      <c r="DS75" s="14"/>
      <c r="DT75" s="14"/>
      <c r="DU75" s="14"/>
      <c r="DV75" s="14"/>
      <c r="DW75" s="14"/>
      <c r="DX75" s="14"/>
      <c r="DY75" s="14"/>
      <c r="DZ75" s="14"/>
      <c r="EA75" s="14"/>
      <c r="EB75" s="14"/>
      <c r="EC75" s="14"/>
      <c r="ED75" s="14"/>
      <c r="EE75" s="14"/>
      <c r="EF75" s="14"/>
      <c r="EG75" s="14"/>
      <c r="EH75" s="14"/>
      <c r="EI75" s="14"/>
      <c r="EJ75" s="14"/>
      <c r="EK75" s="14"/>
      <c r="EL75" s="14"/>
    </row>
    <row r="76" spans="1:142" x14ac:dyDescent="0.25">
      <c r="A76" s="14"/>
      <c r="B76" s="62"/>
      <c r="C76" s="19"/>
      <c r="D76" s="59"/>
      <c r="E76" s="14"/>
      <c r="F76" s="14"/>
      <c r="G76" s="107" t="s">
        <v>39</v>
      </c>
      <c r="H76" s="27">
        <f>COUNTIFS(S30_stakeholder_category,"FO",Response_Q173_3,G76)</f>
        <v>3</v>
      </c>
      <c r="I76" s="41">
        <f t="shared" si="38"/>
        <v>0.75</v>
      </c>
      <c r="J76" s="14"/>
      <c r="K76" s="14"/>
      <c r="L76" s="14"/>
      <c r="M76" s="14"/>
      <c r="N76" s="14"/>
      <c r="O76" s="14"/>
      <c r="P76" s="14"/>
      <c r="Q76" s="47"/>
      <c r="R76" s="19"/>
      <c r="S76" s="62"/>
      <c r="T76" s="19"/>
      <c r="U76" s="59"/>
      <c r="V76" s="14"/>
      <c r="W76" s="14"/>
      <c r="X76" s="107" t="s">
        <v>3</v>
      </c>
      <c r="Y76" s="27">
        <f t="shared" si="33"/>
        <v>0</v>
      </c>
      <c r="Z76" s="41">
        <f t="shared" si="34"/>
        <v>0</v>
      </c>
      <c r="AA76" s="19"/>
      <c r="AB76" s="14"/>
      <c r="AC76" s="14"/>
      <c r="AD76" s="65"/>
      <c r="AE76" s="63"/>
      <c r="AF76" s="47"/>
      <c r="AG76" s="19"/>
      <c r="AH76" s="62"/>
      <c r="AI76" s="19"/>
      <c r="AJ76" s="59"/>
      <c r="AK76" s="14"/>
      <c r="AL76" s="14"/>
      <c r="AM76" s="107" t="s">
        <v>3</v>
      </c>
      <c r="AN76" s="27">
        <f t="shared" si="35"/>
        <v>0</v>
      </c>
      <c r="AO76" s="41">
        <f t="shared" si="39"/>
        <v>0</v>
      </c>
      <c r="AP76" s="19"/>
      <c r="AQ76" s="14"/>
      <c r="AR76" s="14"/>
      <c r="AS76" s="65"/>
      <c r="AT76" s="63"/>
      <c r="AU76" s="47"/>
      <c r="AV76" s="14"/>
      <c r="AW76" s="62"/>
      <c r="AX76" s="19"/>
      <c r="AY76" s="59"/>
      <c r="AZ76" s="14"/>
      <c r="BA76" s="14"/>
      <c r="BB76" s="107" t="s">
        <v>3</v>
      </c>
      <c r="BC76" s="27">
        <f t="shared" si="36"/>
        <v>0</v>
      </c>
      <c r="BD76" s="41">
        <f t="shared" si="40"/>
        <v>0</v>
      </c>
      <c r="BE76" s="19"/>
      <c r="BF76" s="14"/>
      <c r="BG76" s="14"/>
      <c r="BH76" s="65"/>
      <c r="BI76" s="63"/>
      <c r="BJ76" s="352"/>
      <c r="BK76" s="19"/>
      <c r="BL76" s="62"/>
      <c r="BM76" s="19"/>
      <c r="BN76" s="59"/>
      <c r="BO76" s="14"/>
      <c r="BP76" s="14"/>
      <c r="BQ76" s="107" t="s">
        <v>3</v>
      </c>
      <c r="BR76" s="27">
        <f t="shared" si="37"/>
        <v>0</v>
      </c>
      <c r="BS76" s="41">
        <f t="shared" si="41"/>
        <v>0</v>
      </c>
      <c r="BT76" s="19"/>
      <c r="BU76" s="14"/>
      <c r="BV76" s="14"/>
      <c r="BW76" s="65"/>
      <c r="BX76" s="63"/>
      <c r="BY76" s="352"/>
      <c r="BZ76" s="14"/>
      <c r="CA76" s="14"/>
      <c r="CB76" s="21"/>
      <c r="CC76" s="21"/>
      <c r="CD76" s="180"/>
      <c r="CE76" s="181"/>
      <c r="CF76" s="31"/>
      <c r="CG76" s="52"/>
      <c r="CH76" s="52"/>
      <c r="CI76" s="99"/>
      <c r="CJ76" s="14"/>
      <c r="CK76" s="14"/>
      <c r="CL76" s="14"/>
      <c r="CM76" s="14"/>
      <c r="CN76" s="14"/>
      <c r="CO76" s="129"/>
      <c r="CP76" s="14"/>
      <c r="CQ76" s="47"/>
      <c r="CR76" s="14"/>
      <c r="CS76" s="14"/>
      <c r="CT76" s="14"/>
      <c r="CU76" s="14"/>
      <c r="CV76" s="180"/>
      <c r="CW76" s="190"/>
      <c r="CX76" s="191"/>
      <c r="CY76" s="52"/>
      <c r="CZ76" s="52"/>
      <c r="DA76" s="54"/>
      <c r="DB76" s="19"/>
      <c r="DC76" s="19"/>
      <c r="DD76" s="19"/>
      <c r="DE76" s="19"/>
      <c r="DF76" s="19"/>
      <c r="DG76" s="260"/>
      <c r="DH76" s="14"/>
      <c r="DI76" s="47"/>
      <c r="DJ76" s="14"/>
      <c r="DK76" s="62"/>
      <c r="DL76" s="19"/>
      <c r="DM76" s="59"/>
      <c r="DN76" s="14"/>
      <c r="DO76" s="14"/>
      <c r="DP76" s="107" t="s">
        <v>39</v>
      </c>
      <c r="DQ76" s="27">
        <f>COUNTIFS(S30_stakeholder_category,"FO",Response_Q172_1,DP76,Response_Q173_3,"&lt;&gt;0")</f>
        <v>0</v>
      </c>
      <c r="DR76" s="41">
        <f>IF(DQ77=0,"",DQ76/DQ77)</f>
        <v>0</v>
      </c>
      <c r="DS76" s="14"/>
      <c r="DT76" s="14"/>
      <c r="DU76" s="14"/>
      <c r="DV76" s="14"/>
      <c r="DW76" s="14"/>
      <c r="DX76" s="14"/>
      <c r="DY76" s="14"/>
      <c r="DZ76" s="14"/>
      <c r="EA76" s="14"/>
      <c r="EB76" s="14"/>
      <c r="EC76" s="14"/>
      <c r="ED76" s="14"/>
      <c r="EE76" s="14"/>
      <c r="EF76" s="14"/>
      <c r="EG76" s="14"/>
      <c r="EH76" s="14"/>
      <c r="EI76" s="14"/>
      <c r="EJ76" s="14"/>
      <c r="EK76" s="14"/>
      <c r="EL76" s="14"/>
    </row>
    <row r="77" spans="1:142" x14ac:dyDescent="0.25">
      <c r="A77" s="14"/>
      <c r="B77" s="62"/>
      <c r="C77" s="19"/>
      <c r="D77" s="59"/>
      <c r="E77" s="14"/>
      <c r="F77" s="14"/>
      <c r="G77" s="86" t="s">
        <v>145</v>
      </c>
      <c r="H77" s="111">
        <f>COUNTIFS(S30_stakeholder_category,"FO",Response_Q173_3,"&lt;&gt;0")</f>
        <v>4</v>
      </c>
      <c r="I77" s="119">
        <f t="shared" si="38"/>
        <v>1</v>
      </c>
      <c r="J77" s="14"/>
      <c r="K77" s="14"/>
      <c r="L77" s="14"/>
      <c r="M77" s="14"/>
      <c r="N77" s="14"/>
      <c r="O77" s="14"/>
      <c r="P77" s="14"/>
      <c r="Q77" s="47"/>
      <c r="R77" s="19"/>
      <c r="S77" s="62"/>
      <c r="T77" s="19"/>
      <c r="U77" s="59"/>
      <c r="V77" s="14"/>
      <c r="W77" s="14"/>
      <c r="X77" s="107" t="s">
        <v>54</v>
      </c>
      <c r="Y77" s="27">
        <f t="shared" si="33"/>
        <v>0</v>
      </c>
      <c r="Z77" s="41">
        <f t="shared" si="34"/>
        <v>0</v>
      </c>
      <c r="AA77" s="19"/>
      <c r="AB77" s="14"/>
      <c r="AC77" s="14"/>
      <c r="AD77" s="65"/>
      <c r="AE77" s="63"/>
      <c r="AF77" s="47"/>
      <c r="AG77" s="19"/>
      <c r="AH77" s="62"/>
      <c r="AI77" s="19"/>
      <c r="AJ77" s="59"/>
      <c r="AK77" s="14"/>
      <c r="AL77" s="14"/>
      <c r="AM77" s="107" t="s">
        <v>54</v>
      </c>
      <c r="AN77" s="27">
        <f t="shared" si="35"/>
        <v>0</v>
      </c>
      <c r="AO77" s="41">
        <f t="shared" si="39"/>
        <v>0</v>
      </c>
      <c r="AP77" s="19"/>
      <c r="AQ77" s="14"/>
      <c r="AR77" s="14"/>
      <c r="AS77" s="65"/>
      <c r="AT77" s="63"/>
      <c r="AU77" s="47"/>
      <c r="AV77" s="14"/>
      <c r="AW77" s="62"/>
      <c r="AX77" s="19"/>
      <c r="AY77" s="59"/>
      <c r="AZ77" s="14"/>
      <c r="BA77" s="14"/>
      <c r="BB77" s="107" t="s">
        <v>54</v>
      </c>
      <c r="BC77" s="27">
        <f t="shared" si="36"/>
        <v>0</v>
      </c>
      <c r="BD77" s="41">
        <f t="shared" si="40"/>
        <v>0</v>
      </c>
      <c r="BE77" s="19"/>
      <c r="BF77" s="14"/>
      <c r="BG77" s="14"/>
      <c r="BH77" s="65"/>
      <c r="BI77" s="63"/>
      <c r="BJ77" s="352"/>
      <c r="BK77" s="19"/>
      <c r="BL77" s="62"/>
      <c r="BM77" s="19"/>
      <c r="BN77" s="59"/>
      <c r="BO77" s="14"/>
      <c r="BP77" s="14"/>
      <c r="BQ77" s="107" t="s">
        <v>54</v>
      </c>
      <c r="BR77" s="27">
        <f t="shared" si="37"/>
        <v>0</v>
      </c>
      <c r="BS77" s="41">
        <f t="shared" si="41"/>
        <v>0</v>
      </c>
      <c r="BT77" s="19"/>
      <c r="BU77" s="14"/>
      <c r="BV77" s="14"/>
      <c r="BW77" s="65"/>
      <c r="BX77" s="63"/>
      <c r="BY77" s="352"/>
      <c r="BZ77" s="14"/>
      <c r="CA77" s="14"/>
      <c r="CB77" s="21"/>
      <c r="CC77" s="21"/>
      <c r="CD77" s="180"/>
      <c r="CE77" s="181"/>
      <c r="CF77" s="31"/>
      <c r="CG77" s="52"/>
      <c r="CH77" s="52"/>
      <c r="CI77" s="99"/>
      <c r="CJ77" s="14"/>
      <c r="CK77" s="14"/>
      <c r="CL77" s="14"/>
      <c r="CM77" s="14"/>
      <c r="CN77" s="14"/>
      <c r="CO77" s="129"/>
      <c r="CP77" s="14"/>
      <c r="CQ77" s="47"/>
      <c r="CR77" s="14"/>
      <c r="CS77" s="14"/>
      <c r="CT77" s="14"/>
      <c r="CU77" s="14"/>
      <c r="CV77" s="180"/>
      <c r="CW77" s="190"/>
      <c r="CX77" s="191"/>
      <c r="CY77" s="52"/>
      <c r="CZ77" s="52"/>
      <c r="DA77" s="54"/>
      <c r="DB77" s="19"/>
      <c r="DC77" s="19"/>
      <c r="DD77" s="19"/>
      <c r="DE77" s="19"/>
      <c r="DF77" s="19"/>
      <c r="DG77" s="260"/>
      <c r="DH77" s="14"/>
      <c r="DI77" s="47"/>
      <c r="DJ77" s="14"/>
      <c r="DK77" s="62"/>
      <c r="DL77" s="19"/>
      <c r="DM77" s="59"/>
      <c r="DN77" s="14"/>
      <c r="DO77" s="14"/>
      <c r="DP77" s="86" t="s">
        <v>145</v>
      </c>
      <c r="DQ77" s="111">
        <f>COUNTIFS(S30_stakeholder_category,"FO",Response_Q172_1,"&lt;&gt;0",Response_Q173_3,"&lt;&gt;0")</f>
        <v>4</v>
      </c>
      <c r="DR77" s="119">
        <f>IF(DQ77=0,"",DQ77/DQ77)</f>
        <v>1</v>
      </c>
      <c r="DS77" s="14"/>
      <c r="DT77" s="14"/>
      <c r="DU77" s="14"/>
      <c r="DV77" s="14"/>
      <c r="DW77" s="14"/>
      <c r="DX77" s="14"/>
      <c r="DY77" s="14"/>
      <c r="DZ77" s="14"/>
      <c r="EA77" s="14"/>
      <c r="EB77" s="14"/>
      <c r="EC77" s="14"/>
      <c r="ED77" s="14"/>
      <c r="EE77" s="14"/>
      <c r="EF77" s="14"/>
      <c r="EG77" s="14"/>
      <c r="EH77" s="14"/>
      <c r="EI77" s="14"/>
      <c r="EJ77" s="14"/>
      <c r="EK77" s="14"/>
      <c r="EL77" s="14"/>
    </row>
    <row r="78" spans="1:142" x14ac:dyDescent="0.25">
      <c r="A78" s="14"/>
      <c r="B78" s="62"/>
      <c r="C78" s="19"/>
      <c r="D78" s="59"/>
      <c r="E78" s="14"/>
      <c r="F78" s="14"/>
      <c r="G78" s="14"/>
      <c r="H78" s="21"/>
      <c r="I78" s="21"/>
      <c r="J78" s="14"/>
      <c r="K78" s="14"/>
      <c r="L78" s="14"/>
      <c r="M78" s="14"/>
      <c r="N78" s="14"/>
      <c r="O78" s="14"/>
      <c r="P78" s="14"/>
      <c r="Q78" s="47"/>
      <c r="R78" s="19"/>
      <c r="S78" s="62"/>
      <c r="T78" s="19"/>
      <c r="U78" s="59"/>
      <c r="V78" s="14"/>
      <c r="W78" s="14"/>
      <c r="X78" s="107" t="s">
        <v>39</v>
      </c>
      <c r="Y78" s="27">
        <f t="shared" si="33"/>
        <v>3</v>
      </c>
      <c r="Z78" s="41">
        <f t="shared" si="34"/>
        <v>0.6</v>
      </c>
      <c r="AA78" s="19"/>
      <c r="AB78" s="14"/>
      <c r="AC78" s="14"/>
      <c r="AD78" s="65"/>
      <c r="AE78" s="63"/>
      <c r="AF78" s="47"/>
      <c r="AG78" s="19"/>
      <c r="AH78" s="62"/>
      <c r="AI78" s="19"/>
      <c r="AJ78" s="59"/>
      <c r="AK78" s="14"/>
      <c r="AL78" s="14"/>
      <c r="AM78" s="107" t="s">
        <v>39</v>
      </c>
      <c r="AN78" s="27">
        <f t="shared" si="35"/>
        <v>0</v>
      </c>
      <c r="AO78" s="41">
        <f t="shared" si="39"/>
        <v>0</v>
      </c>
      <c r="AP78" s="19"/>
      <c r="AQ78" s="14"/>
      <c r="AR78" s="14"/>
      <c r="AS78" s="65"/>
      <c r="AT78" s="63"/>
      <c r="AU78" s="47"/>
      <c r="AV78" s="14"/>
      <c r="AW78" s="62"/>
      <c r="AX78" s="19"/>
      <c r="AY78" s="59"/>
      <c r="AZ78" s="14"/>
      <c r="BA78" s="14"/>
      <c r="BB78" s="107" t="s">
        <v>39</v>
      </c>
      <c r="BC78" s="27">
        <f t="shared" si="36"/>
        <v>0</v>
      </c>
      <c r="BD78" s="41">
        <f t="shared" si="40"/>
        <v>0</v>
      </c>
      <c r="BE78" s="19"/>
      <c r="BF78" s="14"/>
      <c r="BG78" s="14"/>
      <c r="BH78" s="65"/>
      <c r="BI78" s="63"/>
      <c r="BJ78" s="352"/>
      <c r="BK78" s="19"/>
      <c r="BL78" s="62"/>
      <c r="BM78" s="19"/>
      <c r="BN78" s="59"/>
      <c r="BO78" s="14"/>
      <c r="BP78" s="14"/>
      <c r="BQ78" s="107" t="s">
        <v>39</v>
      </c>
      <c r="BR78" s="27">
        <f t="shared" si="37"/>
        <v>0</v>
      </c>
      <c r="BS78" s="41">
        <f t="shared" si="41"/>
        <v>0</v>
      </c>
      <c r="BT78" s="19"/>
      <c r="BU78" s="14"/>
      <c r="BV78" s="14"/>
      <c r="BW78" s="65"/>
      <c r="BX78" s="63"/>
      <c r="BY78" s="352"/>
      <c r="BZ78" s="14"/>
      <c r="CA78" s="14"/>
      <c r="CB78" s="21"/>
      <c r="CC78" s="21"/>
      <c r="CD78" s="180"/>
      <c r="CE78" s="181"/>
      <c r="CF78" s="31"/>
      <c r="CG78" s="52"/>
      <c r="CH78" s="52"/>
      <c r="CI78" s="99"/>
      <c r="CJ78" s="14"/>
      <c r="CK78" s="14"/>
      <c r="CL78" s="14"/>
      <c r="CM78" s="14"/>
      <c r="CN78" s="14"/>
      <c r="CO78" s="129"/>
      <c r="CP78" s="14"/>
      <c r="CQ78" s="47"/>
      <c r="CR78" s="14"/>
      <c r="CS78" s="14"/>
      <c r="CT78" s="14"/>
      <c r="CU78" s="14"/>
      <c r="CV78" s="180"/>
      <c r="CW78" s="190"/>
      <c r="CX78" s="191"/>
      <c r="CY78" s="52"/>
      <c r="CZ78" s="52"/>
      <c r="DA78" s="54"/>
      <c r="DB78" s="19"/>
      <c r="DC78" s="19"/>
      <c r="DD78" s="19"/>
      <c r="DE78" s="19"/>
      <c r="DF78" s="19"/>
      <c r="DG78" s="260"/>
      <c r="DH78" s="14"/>
      <c r="DI78" s="47"/>
      <c r="DJ78" s="14"/>
      <c r="DK78" s="62"/>
      <c r="DL78" s="19"/>
      <c r="DM78" s="59"/>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row>
    <row r="79" spans="1:142" x14ac:dyDescent="0.25">
      <c r="A79" s="14"/>
      <c r="B79" s="62"/>
      <c r="C79" s="19"/>
      <c r="D79" s="59"/>
      <c r="E79" s="14"/>
      <c r="F79" s="14"/>
      <c r="G79" s="14"/>
      <c r="H79" s="21"/>
      <c r="I79" s="21"/>
      <c r="J79" s="14"/>
      <c r="K79" s="14"/>
      <c r="L79" s="14"/>
      <c r="M79" s="14"/>
      <c r="N79" s="14"/>
      <c r="O79" s="14"/>
      <c r="P79" s="14"/>
      <c r="Q79" s="47"/>
      <c r="R79" s="19"/>
      <c r="S79" s="62"/>
      <c r="T79" s="19"/>
      <c r="U79" s="59"/>
      <c r="V79" s="14"/>
      <c r="W79" s="14"/>
      <c r="X79" s="86" t="s">
        <v>145</v>
      </c>
      <c r="Y79" s="111">
        <f>COUNTIFS(S30_stakeholder_category,"FO",Response_Q176_2,"&lt;&gt;0")</f>
        <v>5</v>
      </c>
      <c r="Z79" s="119">
        <f t="shared" si="34"/>
        <v>1</v>
      </c>
      <c r="AA79" s="19"/>
      <c r="AB79" s="14"/>
      <c r="AC79" s="14"/>
      <c r="AD79" s="65"/>
      <c r="AE79" s="63"/>
      <c r="AF79" s="47"/>
      <c r="AG79" s="19"/>
      <c r="AH79" s="62"/>
      <c r="AI79" s="19"/>
      <c r="AJ79" s="59"/>
      <c r="AK79" s="14"/>
      <c r="AL79" s="14"/>
      <c r="AM79" s="86" t="s">
        <v>145</v>
      </c>
      <c r="AN79" s="111">
        <f>COUNTIFS(S30_stakeholder_category,"FO",Response_30b_CaseA,"&lt;&gt;0")</f>
        <v>2</v>
      </c>
      <c r="AO79" s="119">
        <f t="shared" si="39"/>
        <v>1</v>
      </c>
      <c r="AP79" s="19"/>
      <c r="AQ79" s="14"/>
      <c r="AR79" s="14"/>
      <c r="AS79" s="65"/>
      <c r="AT79" s="63"/>
      <c r="AU79" s="47"/>
      <c r="AV79" s="14"/>
      <c r="AW79" s="62"/>
      <c r="AX79" s="19"/>
      <c r="AY79" s="59"/>
      <c r="AZ79" s="14"/>
      <c r="BA79" s="14"/>
      <c r="BB79" s="86" t="s">
        <v>145</v>
      </c>
      <c r="BC79" s="111">
        <f>COUNTIFS(S30_stakeholder_category,"FO",Response_30b_CaseB,"&lt;&gt;0")</f>
        <v>2</v>
      </c>
      <c r="BD79" s="119">
        <f t="shared" si="40"/>
        <v>1</v>
      </c>
      <c r="BE79" s="19"/>
      <c r="BF79" s="14"/>
      <c r="BG79" s="14"/>
      <c r="BH79" s="65"/>
      <c r="BI79" s="63"/>
      <c r="BJ79" s="352"/>
      <c r="BK79" s="19"/>
      <c r="BL79" s="62"/>
      <c r="BM79" s="19"/>
      <c r="BN79" s="59"/>
      <c r="BO79" s="14"/>
      <c r="BP79" s="14"/>
      <c r="BQ79" s="86" t="s">
        <v>145</v>
      </c>
      <c r="BR79" s="111">
        <f>COUNTIFS(S30_stakeholder_category,"FO",Response_30b_CaseC,"&lt;&gt;0")</f>
        <v>2</v>
      </c>
      <c r="BS79" s="119">
        <f t="shared" si="41"/>
        <v>1</v>
      </c>
      <c r="BT79" s="19"/>
      <c r="BU79" s="14"/>
      <c r="BV79" s="14"/>
      <c r="BW79" s="65"/>
      <c r="BX79" s="63"/>
      <c r="BY79" s="352"/>
      <c r="BZ79" s="14"/>
      <c r="CA79" s="14"/>
      <c r="CB79" s="21"/>
      <c r="CC79" s="21"/>
      <c r="CD79" s="180"/>
      <c r="CE79" s="181"/>
      <c r="CF79" s="31"/>
      <c r="CG79" s="52"/>
      <c r="CH79" s="52"/>
      <c r="CI79" s="99"/>
      <c r="CJ79" s="14"/>
      <c r="CK79" s="14"/>
      <c r="CL79" s="14"/>
      <c r="CM79" s="14"/>
      <c r="CN79" s="14"/>
      <c r="CO79" s="129"/>
      <c r="CP79" s="14"/>
      <c r="CQ79" s="47"/>
      <c r="CR79" s="14"/>
      <c r="CS79" s="14"/>
      <c r="CT79" s="14"/>
      <c r="CU79" s="14"/>
      <c r="CV79" s="180"/>
      <c r="CW79" s="190"/>
      <c r="CX79" s="191"/>
      <c r="CY79" s="52"/>
      <c r="CZ79" s="52"/>
      <c r="DA79" s="54"/>
      <c r="DB79" s="19"/>
      <c r="DC79" s="19"/>
      <c r="DD79" s="19"/>
      <c r="DE79" s="19"/>
      <c r="DF79" s="19"/>
      <c r="DG79" s="260"/>
      <c r="DH79" s="14"/>
      <c r="DI79" s="47"/>
      <c r="DJ79" s="14"/>
      <c r="DK79" s="62"/>
      <c r="DL79" s="19"/>
      <c r="DM79" s="59"/>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row>
    <row r="80" spans="1:142" s="135" customFormat="1" ht="16.5" customHeight="1" x14ac:dyDescent="0.25">
      <c r="A80" s="14"/>
      <c r="B80" s="13"/>
      <c r="C80" s="13"/>
      <c r="D80" s="21"/>
      <c r="E80" s="14"/>
      <c r="F80" s="14"/>
      <c r="G80" s="14"/>
      <c r="H80" s="21"/>
      <c r="I80" s="21"/>
      <c r="J80" s="14"/>
      <c r="K80" s="14"/>
      <c r="L80" s="14"/>
      <c r="M80" s="14"/>
      <c r="N80" s="14"/>
      <c r="O80" s="14"/>
      <c r="P80" s="14"/>
      <c r="Q80" s="47"/>
      <c r="R80" s="19"/>
      <c r="S80" s="13"/>
      <c r="T80" s="13"/>
      <c r="U80" s="21"/>
      <c r="V80" s="14"/>
      <c r="W80" s="14"/>
      <c r="X80" s="14"/>
      <c r="Y80" s="55"/>
      <c r="Z80" s="55"/>
      <c r="AA80" s="55"/>
      <c r="AB80" s="55"/>
      <c r="AC80" s="55"/>
      <c r="AD80" s="65"/>
      <c r="AE80" s="63"/>
      <c r="AF80" s="47"/>
      <c r="AG80" s="19"/>
      <c r="AH80" s="13"/>
      <c r="AI80" s="13"/>
      <c r="AJ80" s="21"/>
      <c r="AK80" s="14"/>
      <c r="AL80" s="14"/>
      <c r="AM80" s="14"/>
      <c r="AN80" s="55"/>
      <c r="AO80" s="55"/>
      <c r="AP80" s="55"/>
      <c r="AQ80" s="55"/>
      <c r="AR80" s="55"/>
      <c r="AS80" s="65"/>
      <c r="AT80" s="63"/>
      <c r="AU80" s="47"/>
      <c r="AV80" s="14"/>
      <c r="AW80" s="13"/>
      <c r="AX80" s="13"/>
      <c r="AY80" s="21"/>
      <c r="AZ80" s="14"/>
      <c r="BA80" s="14"/>
      <c r="BB80" s="14"/>
      <c r="BC80" s="55"/>
      <c r="BD80" s="55"/>
      <c r="BE80" s="55"/>
      <c r="BF80" s="55"/>
      <c r="BG80" s="55"/>
      <c r="BH80" s="65"/>
      <c r="BI80" s="63"/>
      <c r="BJ80" s="352"/>
      <c r="BK80" s="19"/>
      <c r="BL80" s="13"/>
      <c r="BM80" s="13"/>
      <c r="BN80" s="21"/>
      <c r="BO80" s="14"/>
      <c r="BP80" s="14"/>
      <c r="BQ80" s="14"/>
      <c r="BR80" s="55"/>
      <c r="BS80" s="55"/>
      <c r="BT80" s="55"/>
      <c r="BU80" s="55"/>
      <c r="BV80" s="55"/>
      <c r="BW80" s="65"/>
      <c r="BX80" s="63"/>
      <c r="BY80" s="352"/>
      <c r="BZ80" s="14"/>
      <c r="CA80" s="14"/>
      <c r="CB80" s="21"/>
      <c r="CC80" s="21"/>
      <c r="CD80" s="180"/>
      <c r="CE80" s="181"/>
      <c r="CF80" s="31"/>
      <c r="CG80" s="31"/>
      <c r="CH80" s="31"/>
      <c r="CI80" s="14"/>
      <c r="CJ80" s="14"/>
      <c r="CK80" s="14"/>
      <c r="CL80" s="14"/>
      <c r="CM80" s="14"/>
      <c r="CN80" s="14"/>
      <c r="CO80" s="129"/>
      <c r="CP80" s="14"/>
      <c r="CQ80" s="47"/>
      <c r="CR80" s="14"/>
      <c r="CS80" s="14"/>
      <c r="CT80" s="14"/>
      <c r="CU80" s="14"/>
      <c r="CV80" s="180"/>
      <c r="CW80" s="190"/>
      <c r="CX80" s="191"/>
      <c r="CY80" s="31"/>
      <c r="CZ80" s="31"/>
      <c r="DA80" s="14"/>
      <c r="DB80" s="14"/>
      <c r="DC80" s="14"/>
      <c r="DD80" s="14"/>
      <c r="DE80" s="14"/>
      <c r="DF80" s="14"/>
      <c r="DG80" s="129"/>
      <c r="DH80" s="14"/>
      <c r="DI80" s="47"/>
      <c r="DJ80" s="14"/>
      <c r="DK80" s="13"/>
      <c r="DL80" s="13"/>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row>
    <row r="81" spans="1:142" s="131" customFormat="1" x14ac:dyDescent="0.25">
      <c r="A81" s="78"/>
      <c r="B81" s="78" t="s">
        <v>31</v>
      </c>
      <c r="C81" s="78" t="s">
        <v>135</v>
      </c>
      <c r="D81" s="79"/>
      <c r="E81" s="78"/>
      <c r="F81" s="78"/>
      <c r="G81" s="78"/>
      <c r="H81" s="79"/>
      <c r="I81" s="79"/>
      <c r="J81" s="78"/>
      <c r="K81" s="78"/>
      <c r="L81" s="78"/>
      <c r="M81" s="78"/>
      <c r="N81" s="78"/>
      <c r="O81" s="78"/>
      <c r="P81" s="78"/>
      <c r="Q81" s="82"/>
      <c r="R81" s="83"/>
      <c r="S81" s="78" t="str">
        <f>$B81</f>
        <v>Pellet producers</v>
      </c>
      <c r="T81" s="78"/>
      <c r="U81" s="78"/>
      <c r="V81" s="78"/>
      <c r="W81" s="78"/>
      <c r="X81" s="78"/>
      <c r="Y81" s="78"/>
      <c r="Z81" s="78"/>
      <c r="AA81" s="78"/>
      <c r="AB81" s="78"/>
      <c r="AC81" s="78"/>
      <c r="AD81" s="80"/>
      <c r="AE81" s="81"/>
      <c r="AF81" s="82"/>
      <c r="AG81" s="83"/>
      <c r="AH81" s="78" t="str">
        <f>$B81</f>
        <v>Pellet producers</v>
      </c>
      <c r="AI81" s="78"/>
      <c r="AJ81" s="78"/>
      <c r="AK81" s="78"/>
      <c r="AL81" s="78"/>
      <c r="AM81" s="78"/>
      <c r="AN81" s="78"/>
      <c r="AO81" s="78"/>
      <c r="AP81" s="78"/>
      <c r="AQ81" s="78"/>
      <c r="AR81" s="78"/>
      <c r="AS81" s="80"/>
      <c r="AT81" s="81"/>
      <c r="AU81" s="82"/>
      <c r="AV81" s="78"/>
      <c r="AW81" s="78" t="str">
        <f>$B81</f>
        <v>Pellet producers</v>
      </c>
      <c r="AX81" s="78"/>
      <c r="AY81" s="78"/>
      <c r="AZ81" s="78"/>
      <c r="BA81" s="78"/>
      <c r="BB81" s="78"/>
      <c r="BC81" s="78"/>
      <c r="BD81" s="78"/>
      <c r="BE81" s="78"/>
      <c r="BF81" s="78"/>
      <c r="BG81" s="78"/>
      <c r="BH81" s="80"/>
      <c r="BI81" s="81"/>
      <c r="BJ81" s="373"/>
      <c r="BK81" s="83"/>
      <c r="BL81" s="78" t="str">
        <f>$B81</f>
        <v>Pellet producers</v>
      </c>
      <c r="BM81" s="78"/>
      <c r="BN81" s="78"/>
      <c r="BO81" s="78"/>
      <c r="BP81" s="78"/>
      <c r="BQ81" s="78"/>
      <c r="BR81" s="78"/>
      <c r="BS81" s="78"/>
      <c r="BT81" s="78"/>
      <c r="BU81" s="78"/>
      <c r="BV81" s="78"/>
      <c r="BW81" s="80"/>
      <c r="BX81" s="81"/>
      <c r="BY81" s="373"/>
      <c r="BZ81" s="78"/>
      <c r="CA81" s="78" t="str">
        <f>$B81</f>
        <v>Pellet producers</v>
      </c>
      <c r="CB81" s="79"/>
      <c r="CC81" s="79"/>
      <c r="CD81" s="182"/>
      <c r="CE81" s="182"/>
      <c r="CF81" s="79"/>
      <c r="CG81" s="78"/>
      <c r="CH81" s="78"/>
      <c r="CI81" s="78"/>
      <c r="CJ81" s="78"/>
      <c r="CK81" s="78"/>
      <c r="CL81" s="78"/>
      <c r="CM81" s="78"/>
      <c r="CN81" s="78"/>
      <c r="CO81" s="78"/>
      <c r="CP81" s="78"/>
      <c r="CQ81" s="82"/>
      <c r="CR81" s="78"/>
      <c r="CS81" s="78" t="str">
        <f>$B81</f>
        <v>Pellet producers</v>
      </c>
      <c r="CT81" s="78"/>
      <c r="CU81" s="78"/>
      <c r="CV81" s="182"/>
      <c r="CW81" s="192"/>
      <c r="CX81" s="192"/>
      <c r="CY81" s="78"/>
      <c r="CZ81" s="78"/>
      <c r="DA81" s="78"/>
      <c r="DB81" s="78"/>
      <c r="DC81" s="78"/>
      <c r="DD81" s="78"/>
      <c r="DE81" s="78"/>
      <c r="DF81" s="78"/>
      <c r="DG81" s="78"/>
      <c r="DH81" s="78"/>
      <c r="DI81" s="82"/>
      <c r="DJ81" s="78"/>
      <c r="DK81" s="78" t="str">
        <f>$B81</f>
        <v>Pellet producers</v>
      </c>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row>
    <row r="82" spans="1:142" x14ac:dyDescent="0.25">
      <c r="A82" s="14"/>
      <c r="B82" s="84" t="s">
        <v>301</v>
      </c>
      <c r="C82" s="84"/>
      <c r="D82" s="85"/>
      <c r="E82" s="84"/>
      <c r="F82" s="14"/>
      <c r="G82" s="14"/>
      <c r="H82" s="21"/>
      <c r="I82" s="21"/>
      <c r="J82" s="14"/>
      <c r="K82" s="14"/>
      <c r="L82" s="14"/>
      <c r="M82" s="14"/>
      <c r="N82" s="14"/>
      <c r="O82" s="14"/>
      <c r="P82" s="14"/>
      <c r="Q82" s="47"/>
      <c r="R82" s="19"/>
      <c r="S82" s="84" t="s">
        <v>322</v>
      </c>
      <c r="T82" s="84"/>
      <c r="U82" s="85"/>
      <c r="V82" s="84"/>
      <c r="W82" s="14"/>
      <c r="X82" s="14"/>
      <c r="Y82" s="14"/>
      <c r="Z82" s="14"/>
      <c r="AA82" s="14"/>
      <c r="AB82" s="14"/>
      <c r="AC82" s="14"/>
      <c r="AD82" s="65"/>
      <c r="AE82" s="63"/>
      <c r="AF82" s="47"/>
      <c r="AG82" s="19"/>
      <c r="AH82" s="84" t="s">
        <v>328</v>
      </c>
      <c r="AI82" s="84"/>
      <c r="AJ82" s="85"/>
      <c r="AK82" s="84"/>
      <c r="AL82" s="84"/>
      <c r="AM82" s="14"/>
      <c r="AN82" s="14"/>
      <c r="AO82" s="14"/>
      <c r="AP82" s="14"/>
      <c r="AQ82" s="14"/>
      <c r="AR82" s="14"/>
      <c r="AS82" s="65"/>
      <c r="AT82" s="63"/>
      <c r="AU82" s="47"/>
      <c r="AV82" s="14"/>
      <c r="AW82" s="84" t="s">
        <v>347</v>
      </c>
      <c r="AX82" s="84"/>
      <c r="AY82" s="85"/>
      <c r="AZ82" s="84"/>
      <c r="BA82" s="84"/>
      <c r="BB82" s="14"/>
      <c r="BC82" s="14"/>
      <c r="BD82" s="14"/>
      <c r="BE82" s="14"/>
      <c r="BF82" s="14"/>
      <c r="BG82" s="14"/>
      <c r="BH82" s="65"/>
      <c r="BI82" s="63"/>
      <c r="BJ82" s="352"/>
      <c r="BK82" s="19"/>
      <c r="BL82" s="84" t="s">
        <v>348</v>
      </c>
      <c r="BM82" s="84"/>
      <c r="BN82" s="85"/>
      <c r="BO82" s="84"/>
      <c r="BP82" s="84"/>
      <c r="BQ82" s="14"/>
      <c r="BR82" s="14"/>
      <c r="BS82" s="14"/>
      <c r="BT82" s="14"/>
      <c r="BU82" s="14"/>
      <c r="BV82" s="14"/>
      <c r="BW82" s="65"/>
      <c r="BX82" s="63"/>
      <c r="BY82" s="352"/>
      <c r="BZ82" s="19"/>
      <c r="CA82" s="84" t="s">
        <v>348</v>
      </c>
      <c r="CB82" s="84"/>
      <c r="CC82" s="85"/>
      <c r="CD82" s="183"/>
      <c r="CE82" s="183"/>
      <c r="CF82" s="14"/>
      <c r="CG82" s="14"/>
      <c r="CH82" s="14"/>
      <c r="CI82" s="14"/>
      <c r="CJ82" s="14"/>
      <c r="CK82" s="14"/>
      <c r="CL82" s="14"/>
      <c r="CM82" s="14"/>
      <c r="CN82" s="14"/>
      <c r="CO82" s="129"/>
      <c r="CP82" s="14"/>
      <c r="CQ82" s="47"/>
      <c r="CR82" s="14"/>
      <c r="CS82" s="148" t="s">
        <v>304</v>
      </c>
      <c r="CT82" s="84"/>
      <c r="CU82" s="85"/>
      <c r="CV82" s="185"/>
      <c r="CW82" s="193"/>
      <c r="CX82" s="193"/>
      <c r="CY82" s="14"/>
      <c r="CZ82" s="14"/>
      <c r="DA82" s="14"/>
      <c r="DB82" s="14"/>
      <c r="DC82" s="14"/>
      <c r="DD82" s="14"/>
      <c r="DE82" s="14"/>
      <c r="DF82" s="14"/>
      <c r="DG82" s="129"/>
      <c r="DH82" s="14"/>
      <c r="DI82" s="47"/>
      <c r="DJ82" s="14"/>
      <c r="DK82" s="84" t="s">
        <v>305</v>
      </c>
      <c r="DL82" s="84"/>
      <c r="DM82" s="85"/>
      <c r="DN82" s="8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row>
    <row r="83" spans="1:142" x14ac:dyDescent="0.25">
      <c r="A83" s="14"/>
      <c r="B83" s="14"/>
      <c r="C83" s="14"/>
      <c r="D83" s="15"/>
      <c r="E83" s="14"/>
      <c r="F83" s="14"/>
      <c r="G83" s="14"/>
      <c r="H83" s="21"/>
      <c r="I83" s="21"/>
      <c r="J83" s="14"/>
      <c r="K83" s="14"/>
      <c r="L83" s="14"/>
      <c r="M83" s="14"/>
      <c r="N83" s="14"/>
      <c r="O83" s="14"/>
      <c r="P83" s="14"/>
      <c r="Q83" s="47"/>
      <c r="R83" s="19"/>
      <c r="S83" s="14"/>
      <c r="T83" s="14"/>
      <c r="U83" s="15"/>
      <c r="V83" s="14"/>
      <c r="W83" s="14"/>
      <c r="X83" s="14"/>
      <c r="Y83" s="14"/>
      <c r="Z83" s="14"/>
      <c r="AA83" s="14"/>
      <c r="AB83" s="14"/>
      <c r="AC83" s="14"/>
      <c r="AD83" s="65"/>
      <c r="AE83" s="63"/>
      <c r="AF83" s="47"/>
      <c r="AG83" s="19"/>
      <c r="AH83" s="14"/>
      <c r="AI83" s="14"/>
      <c r="AJ83" s="15"/>
      <c r="AK83" s="14"/>
      <c r="AL83" s="14"/>
      <c r="AM83" s="14"/>
      <c r="AN83" s="14"/>
      <c r="AO83" s="14"/>
      <c r="AP83" s="14"/>
      <c r="AQ83" s="14"/>
      <c r="AR83" s="14"/>
      <c r="AS83" s="65"/>
      <c r="AT83" s="63"/>
      <c r="AU83" s="47"/>
      <c r="AV83" s="14"/>
      <c r="AW83" s="14"/>
      <c r="AX83" s="14"/>
      <c r="AY83" s="15"/>
      <c r="AZ83" s="14"/>
      <c r="BA83" s="14"/>
      <c r="BB83" s="14"/>
      <c r="BC83" s="14"/>
      <c r="BD83" s="14"/>
      <c r="BE83" s="14"/>
      <c r="BF83" s="14"/>
      <c r="BG83" s="14"/>
      <c r="BH83" s="65"/>
      <c r="BI83" s="63"/>
      <c r="BJ83" s="352"/>
      <c r="BK83" s="19"/>
      <c r="BL83" s="14"/>
      <c r="BM83" s="14"/>
      <c r="BN83" s="15"/>
      <c r="BO83" s="14"/>
      <c r="BP83" s="14"/>
      <c r="BQ83" s="14"/>
      <c r="BR83" s="14"/>
      <c r="BS83" s="14"/>
      <c r="BT83" s="14"/>
      <c r="BU83" s="14"/>
      <c r="BV83" s="14"/>
      <c r="BW83" s="65"/>
      <c r="BX83" s="63"/>
      <c r="BY83" s="352"/>
      <c r="BZ83" s="14"/>
      <c r="CA83" s="14"/>
      <c r="CB83" s="21"/>
      <c r="CC83" s="21"/>
      <c r="CD83" s="180"/>
      <c r="CE83" s="180"/>
      <c r="CF83" s="21"/>
      <c r="CG83" s="14"/>
      <c r="CH83" s="14"/>
      <c r="CI83" s="14"/>
      <c r="CJ83" s="14"/>
      <c r="CK83" s="14"/>
      <c r="CL83" s="14"/>
      <c r="CM83" s="14"/>
      <c r="CN83" s="14"/>
      <c r="CO83" s="129"/>
      <c r="CP83" s="14"/>
      <c r="CQ83" s="47"/>
      <c r="CR83" s="14"/>
      <c r="CS83" s="14"/>
      <c r="CT83" s="14"/>
      <c r="CU83" s="14"/>
      <c r="CV83" s="180"/>
      <c r="CW83" s="189"/>
      <c r="CX83" s="189"/>
      <c r="CY83" s="14"/>
      <c r="CZ83" s="14"/>
      <c r="DA83" s="14"/>
      <c r="DB83" s="14"/>
      <c r="DC83" s="14"/>
      <c r="DD83" s="14"/>
      <c r="DE83" s="14"/>
      <c r="DF83" s="14"/>
      <c r="DG83" s="129"/>
      <c r="DH83" s="14"/>
      <c r="DI83" s="47"/>
      <c r="DJ83" s="14"/>
      <c r="DK83" s="14"/>
      <c r="DL83" s="14"/>
      <c r="DM83" s="15"/>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row>
    <row r="84" spans="1:142" ht="27.6" x14ac:dyDescent="0.25">
      <c r="A84" s="14"/>
      <c r="B84" s="112" t="s">
        <v>23</v>
      </c>
      <c r="C84" s="113" t="s">
        <v>24</v>
      </c>
      <c r="D84" s="113" t="s">
        <v>145</v>
      </c>
      <c r="E84" s="113" t="s">
        <v>300</v>
      </c>
      <c r="F84" s="14"/>
      <c r="G84" s="14"/>
      <c r="H84" s="21"/>
      <c r="I84" s="21"/>
      <c r="J84" s="14"/>
      <c r="K84" s="14"/>
      <c r="L84" s="51"/>
      <c r="M84" s="51"/>
      <c r="N84" s="51"/>
      <c r="O84" s="51"/>
      <c r="P84" s="51"/>
      <c r="Q84" s="47"/>
      <c r="R84" s="19"/>
      <c r="S84" s="112" t="s">
        <v>23</v>
      </c>
      <c r="T84" s="113" t="s">
        <v>24</v>
      </c>
      <c r="U84" s="113" t="s">
        <v>145</v>
      </c>
      <c r="V84" s="113" t="s">
        <v>300</v>
      </c>
      <c r="W84" s="14"/>
      <c r="X84" s="14"/>
      <c r="Y84" s="14"/>
      <c r="Z84" s="14"/>
      <c r="AA84" s="56"/>
      <c r="AB84" s="56"/>
      <c r="AC84" s="56"/>
      <c r="AD84" s="65"/>
      <c r="AE84" s="63"/>
      <c r="AF84" s="47"/>
      <c r="AG84" s="19"/>
      <c r="AH84" s="112" t="s">
        <v>23</v>
      </c>
      <c r="AI84" s="113" t="s">
        <v>24</v>
      </c>
      <c r="AJ84" s="113" t="s">
        <v>145</v>
      </c>
      <c r="AK84" s="113" t="s">
        <v>300</v>
      </c>
      <c r="AL84" s="14"/>
      <c r="AM84" s="14"/>
      <c r="AN84" s="14"/>
      <c r="AO84" s="14"/>
      <c r="AP84" s="56"/>
      <c r="AQ84" s="56"/>
      <c r="AR84" s="56"/>
      <c r="AS84" s="65"/>
      <c r="AT84" s="63"/>
      <c r="AU84" s="47"/>
      <c r="AV84" s="14"/>
      <c r="AW84" s="112" t="s">
        <v>23</v>
      </c>
      <c r="AX84" s="113" t="s">
        <v>24</v>
      </c>
      <c r="AY84" s="113" t="s">
        <v>145</v>
      </c>
      <c r="AZ84" s="113" t="s">
        <v>300</v>
      </c>
      <c r="BA84" s="14"/>
      <c r="BB84" s="14"/>
      <c r="BC84" s="14"/>
      <c r="BD84" s="14"/>
      <c r="BE84" s="56"/>
      <c r="BF84" s="56"/>
      <c r="BG84" s="56"/>
      <c r="BH84" s="65"/>
      <c r="BI84" s="63"/>
      <c r="BJ84" s="352"/>
      <c r="BK84" s="19"/>
      <c r="BL84" s="112" t="s">
        <v>23</v>
      </c>
      <c r="BM84" s="113" t="s">
        <v>24</v>
      </c>
      <c r="BN84" s="113" t="s">
        <v>145</v>
      </c>
      <c r="BO84" s="113" t="s">
        <v>300</v>
      </c>
      <c r="BP84" s="14"/>
      <c r="BQ84" s="14"/>
      <c r="BR84" s="14"/>
      <c r="BS84" s="14"/>
      <c r="BT84" s="56"/>
      <c r="BU84" s="56"/>
      <c r="BV84" s="56"/>
      <c r="BW84" s="65"/>
      <c r="BX84" s="63"/>
      <c r="BY84" s="352"/>
      <c r="BZ84" s="14"/>
      <c r="CA84" s="112" t="s">
        <v>23</v>
      </c>
      <c r="CB84" s="113" t="s">
        <v>145</v>
      </c>
      <c r="CC84" s="21"/>
      <c r="CD84" s="180"/>
      <c r="CE84" s="180"/>
      <c r="CF84" s="21"/>
      <c r="CG84" s="14"/>
      <c r="CH84" s="14"/>
      <c r="CI84" s="14"/>
      <c r="CJ84" s="14"/>
      <c r="CK84" s="14"/>
      <c r="CL84" s="14"/>
      <c r="CM84" s="14"/>
      <c r="CN84" s="14"/>
      <c r="CO84" s="129"/>
      <c r="CP84" s="17"/>
      <c r="CQ84" s="47"/>
      <c r="CR84" s="14"/>
      <c r="CS84" s="112" t="s">
        <v>23</v>
      </c>
      <c r="CT84" s="113" t="s">
        <v>145</v>
      </c>
      <c r="CU84" s="14"/>
      <c r="CV84" s="180"/>
      <c r="CW84" s="189"/>
      <c r="CX84" s="189"/>
      <c r="CY84" s="14"/>
      <c r="CZ84" s="14"/>
      <c r="DA84" s="14"/>
      <c r="DB84" s="14"/>
      <c r="DC84" s="14"/>
      <c r="DD84" s="14"/>
      <c r="DE84" s="14"/>
      <c r="DF84" s="14"/>
      <c r="DG84" s="129"/>
      <c r="DH84" s="17"/>
      <c r="DI84" s="47"/>
      <c r="DJ84" s="17"/>
      <c r="DK84" s="112" t="s">
        <v>23</v>
      </c>
      <c r="DL84" s="113" t="s">
        <v>24</v>
      </c>
      <c r="DM84" s="113" t="s">
        <v>145</v>
      </c>
      <c r="DN84" s="113" t="s">
        <v>300</v>
      </c>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row>
    <row r="85" spans="1:142" x14ac:dyDescent="0.25">
      <c r="A85" s="14"/>
      <c r="B85" s="57" t="s">
        <v>31</v>
      </c>
      <c r="C85" s="121" t="str">
        <f>IF(H104=0,"na",IF(COUNTIF(H99:H103,MAX(H99:H103))&gt;COUNTIF(G99:G103,"&lt;&gt;""")/2,"No clear choice of the most common response",INDEX(G99:G103,MATCH(MAX(H99:H103),H99:H103,0),1)))</f>
        <v>na</v>
      </c>
      <c r="D85" s="58">
        <f>COUNTIFS(S30_stakeholder_category,"PP",Response_Q173_3,"&lt;&gt;0")</f>
        <v>0</v>
      </c>
      <c r="E85" s="121">
        <f>COUNTIFS(S30_stakeholder_category,"PP",Response_Q173_3,"I don’t know")</f>
        <v>0</v>
      </c>
      <c r="F85" s="14"/>
      <c r="G85" s="14"/>
      <c r="H85" s="27"/>
      <c r="I85" s="21"/>
      <c r="J85" s="14"/>
      <c r="K85" s="14"/>
      <c r="L85" s="40"/>
      <c r="M85" s="40"/>
      <c r="N85" s="40"/>
      <c r="O85" s="40"/>
      <c r="P85" s="40"/>
      <c r="Q85" s="47"/>
      <c r="R85" s="19"/>
      <c r="S85" s="34" t="s">
        <v>31</v>
      </c>
      <c r="T85" s="37" t="str">
        <f>IF(Y106=0,"na",IF(COUNTIF(Y99:Y105,MAX(Y99:Y105))&gt;COUNTIF(X99:X105,"&lt;&gt;""")/2,"No clear choice of the most common response",INDEX(X99:X105,MATCH(MAX(Y99:Y105),Y99:Y105,0),1)))</f>
        <v>na</v>
      </c>
      <c r="U85" s="33">
        <f>COUNTIFS(S30_stakeholder_category,"PP",Response_Q176_2,"&lt;&gt;0")</f>
        <v>0</v>
      </c>
      <c r="V85" s="37">
        <f>COUNTIFS(S30_stakeholder_category,"PP",Response_Q176_2,"I don’t know")</f>
        <v>0</v>
      </c>
      <c r="W85" s="14"/>
      <c r="X85" s="14"/>
      <c r="Y85" s="14"/>
      <c r="Z85" s="14"/>
      <c r="AA85" s="19"/>
      <c r="AB85" s="19"/>
      <c r="AC85" s="19"/>
      <c r="AD85" s="65"/>
      <c r="AE85" s="63"/>
      <c r="AF85" s="47"/>
      <c r="AG85" s="19"/>
      <c r="AH85" s="57" t="s">
        <v>31</v>
      </c>
      <c r="AI85" s="121" t="str">
        <f>IF(AN106=0,"na",IF(COUNTIF(AN99:AN105,MAX(AN99:AN105))&gt;COUNTIF(AM99:AM105,"&lt;&gt;""")/2,"No clear choice of the most common response",INDEX(AM99:AM105,MATCH(MAX(AN99:AN105),AN99:AN105,0),1)))</f>
        <v>Very unlikely</v>
      </c>
      <c r="AJ85" s="58">
        <f>COUNTIFS(S30_stakeholder_category,"PP",Response_30b_CaseA,"&lt;&gt;0")</f>
        <v>1</v>
      </c>
      <c r="AK85" s="121">
        <f>COUNTIFS(S30_stakeholder_category,"PP",Response_30b_CaseA,"I don’t know")</f>
        <v>0</v>
      </c>
      <c r="AL85" s="14"/>
      <c r="AM85" s="14"/>
      <c r="AN85" s="14"/>
      <c r="AO85" s="14"/>
      <c r="AP85" s="19"/>
      <c r="AQ85" s="19"/>
      <c r="AR85" s="19"/>
      <c r="AS85" s="65"/>
      <c r="AT85" s="63"/>
      <c r="AU85" s="47"/>
      <c r="AV85" s="14"/>
      <c r="AW85" s="57" t="s">
        <v>31</v>
      </c>
      <c r="AX85" s="121" t="str">
        <f>IF(BC106=0,"na",IF(COUNTIF(BC99:BC105,MAX(BC99:BC105))&gt;COUNTIF(BB99:BB105,"&lt;&gt;""")/2,"No clear choice of the most common response",INDEX(BB99:BB105,MATCH(MAX(BC99:BC105),BC99:BC105,0),1)))</f>
        <v>Very unlikely</v>
      </c>
      <c r="AY85" s="58">
        <f>COUNTIFS(S30_stakeholder_category,"PP",Response_30b_CaseB,"&lt;&gt;0")</f>
        <v>1</v>
      </c>
      <c r="AZ85" s="121">
        <f>COUNTIFS(S30_stakeholder_category,"PP",Response_30b_CaseB,"I don’t know")</f>
        <v>0</v>
      </c>
      <c r="BA85" s="14"/>
      <c r="BB85" s="14"/>
      <c r="BC85" s="14"/>
      <c r="BD85" s="14"/>
      <c r="BE85" s="19"/>
      <c r="BF85" s="19"/>
      <c r="BG85" s="19"/>
      <c r="BH85" s="65"/>
      <c r="BI85" s="63"/>
      <c r="BJ85" s="352"/>
      <c r="BK85" s="19"/>
      <c r="BL85" s="57" t="s">
        <v>31</v>
      </c>
      <c r="BM85" s="121" t="str">
        <f>IF(BR106=0,"na",IF(COUNTIF(BR99:BR105,MAX(BR99:BR105))&gt;COUNTIF(BQ99:BQ105,"&lt;&gt;""")/2,"No clear choice of the most common response",INDEX(BQ99:BQ105,MATCH(MAX(BR99:BR105),BR99:BR105,0),1)))</f>
        <v>Very unlikely</v>
      </c>
      <c r="BN85" s="58">
        <f>COUNTIFS(S30_stakeholder_category,"PP",Response_30b_CaseC,"&lt;&gt;0")</f>
        <v>1</v>
      </c>
      <c r="BO85" s="121">
        <f>COUNTIFS(S30_stakeholder_category,"PP",Response_30b_CaseC,"I don’t know")</f>
        <v>0</v>
      </c>
      <c r="BP85" s="14"/>
      <c r="BQ85" s="14"/>
      <c r="BR85" s="14"/>
      <c r="BS85" s="14"/>
      <c r="BT85" s="19"/>
      <c r="BU85" s="19"/>
      <c r="BV85" s="19"/>
      <c r="BW85" s="65"/>
      <c r="BX85" s="63"/>
      <c r="BY85" s="352"/>
      <c r="BZ85" s="14"/>
      <c r="CA85" s="34" t="s">
        <v>31</v>
      </c>
      <c r="CB85" s="37">
        <f>MAX(SUM(CC91:CC97),SUM(CD91:CD97),SUM(CE91:CE97))</f>
        <v>1</v>
      </c>
      <c r="CC85" s="21"/>
      <c r="CD85" s="180"/>
      <c r="CE85" s="180"/>
      <c r="CF85" s="21"/>
      <c r="CG85" s="14"/>
      <c r="CH85" s="14"/>
      <c r="CI85" s="14"/>
      <c r="CJ85" s="14"/>
      <c r="CK85" s="14"/>
      <c r="CL85" s="14"/>
      <c r="CM85" s="14"/>
      <c r="CN85" s="14"/>
      <c r="CO85" s="129"/>
      <c r="CP85" s="29"/>
      <c r="CQ85" s="47"/>
      <c r="CR85" s="14"/>
      <c r="CS85" s="34" t="s">
        <v>31</v>
      </c>
      <c r="CT85" s="37">
        <f>MAX(SUM(CU91:CU97),SUM(CV91:CV97),SUM(CW91:CW97))</f>
        <v>0</v>
      </c>
      <c r="CU85" s="14"/>
      <c r="CV85" s="180"/>
      <c r="CW85" s="189"/>
      <c r="CX85" s="189"/>
      <c r="CY85" s="14"/>
      <c r="CZ85" s="14"/>
      <c r="DA85" s="14"/>
      <c r="DB85" s="14"/>
      <c r="DC85" s="14"/>
      <c r="DD85" s="14"/>
      <c r="DE85" s="14"/>
      <c r="DF85" s="14"/>
      <c r="DG85" s="129"/>
      <c r="DH85" s="29"/>
      <c r="DI85" s="47"/>
      <c r="DJ85" s="29"/>
      <c r="DK85" s="34" t="s">
        <v>31</v>
      </c>
      <c r="DL85" s="37" t="str">
        <f>IF(DQ104=0,"na",IF(COUNTIF(DQ99:DQ103,MAX(DQ99:DQ103))&gt;COUNTIF(DP99:DP103,"&lt;&gt;""")/2,"No clear choice of the most common response",INDEX(DP99:DP103,MATCH(MAX(DQ99:DQ103),DQ99:DQ103,0),1)))</f>
        <v>na</v>
      </c>
      <c r="DM85" s="33">
        <f>COUNTIFS(S30_stakeholder_category,"PP",Response_Q172_1,"&lt;&gt;0",Response_Q173_3,"&lt;&gt;0")</f>
        <v>0</v>
      </c>
      <c r="DN85" s="37">
        <f>DQ103</f>
        <v>0</v>
      </c>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row>
    <row r="86" spans="1:142" x14ac:dyDescent="0.25">
      <c r="A86" s="14"/>
      <c r="B86" s="57"/>
      <c r="C86" s="121" t="str">
        <f ca="1">IF(H104=0,"",IF(COUNTIF(H99:H103,MAX(H99:H103))=1,"",IF(COUNTIF(H99:H103,MAX(H99:H103))&gt;COUNTIF(G99:G103,"&lt;&gt;""")/2,"",INDEX(OFFSET(G99,MATCH(C85,G99:G104,0),0):G103,MATCH(MAX(H99:H103),OFFSET(H99,MATCH(C85,G99:G104,0),0):H103,0),1))))</f>
        <v/>
      </c>
      <c r="D86" s="58"/>
      <c r="E86" s="121"/>
      <c r="F86" s="14"/>
      <c r="G86" s="14"/>
      <c r="H86" s="27"/>
      <c r="I86" s="21"/>
      <c r="J86" s="14"/>
      <c r="K86" s="14"/>
      <c r="L86" s="40"/>
      <c r="M86" s="40"/>
      <c r="N86" s="40"/>
      <c r="O86" s="40"/>
      <c r="P86" s="40"/>
      <c r="Q86" s="47"/>
      <c r="R86" s="19"/>
      <c r="S86" s="34"/>
      <c r="T86" s="37" t="str">
        <f ca="1">IF(Y106=0,"",IF(COUNTIF(Y99:Y105,MAX(Y99:Y105))=1,"",IF(COUNTIF(Y99:Y105,MAX(Y99:Y105))&gt;COUNTIF(X99:X105,"&lt;&gt;""")/2,"",INDEX(OFFSET(X99,MATCH(T85,X99:X105,0),0):X105,MATCH(MAX(Y99:Y105),OFFSET(Y99,MATCH(T85,X99:X105,0),0):Y105,0),1))))</f>
        <v/>
      </c>
      <c r="U86" s="33"/>
      <c r="V86" s="37"/>
      <c r="W86" s="14"/>
      <c r="X86" s="14"/>
      <c r="Y86" s="14"/>
      <c r="Z86" s="14"/>
      <c r="AA86" s="19"/>
      <c r="AB86" s="19"/>
      <c r="AC86" s="19"/>
      <c r="AD86" s="65"/>
      <c r="AE86" s="63"/>
      <c r="AF86" s="47"/>
      <c r="AG86" s="19"/>
      <c r="AH86" s="57"/>
      <c r="AI86" s="121" t="str">
        <f ca="1">IF(AN106=0,"",IF(COUNTIF(AN99:AN105,MAX(AN99:AN105))=1,"",IF(COUNTIF(AN99:AN105,MAX(AN99:AN105))&gt;COUNTIF(AM99:AM105,"&lt;&gt;""")/2,"",INDEX(OFFSET(AM99,MATCH(AI85,AM99:AM105,0),0):AM105,MATCH(MAX(AN99:AN105),OFFSET(AN99,MATCH(AI85,AM99:AM105,0),0):AN105,0),1))))</f>
        <v/>
      </c>
      <c r="AJ86" s="58"/>
      <c r="AK86" s="121"/>
      <c r="AL86" s="14"/>
      <c r="AM86" s="14"/>
      <c r="AN86" s="14"/>
      <c r="AO86" s="14"/>
      <c r="AP86" s="19"/>
      <c r="AQ86" s="19"/>
      <c r="AR86" s="19"/>
      <c r="AS86" s="65"/>
      <c r="AT86" s="63"/>
      <c r="AU86" s="47"/>
      <c r="AV86" s="14"/>
      <c r="AW86" s="57"/>
      <c r="AX86" s="121" t="str">
        <f ca="1">IF(BC106=0,"",IF(COUNTIF(BC99:BC105,MAX(BC99:BC105))=1,"",IF(COUNTIF(BC99:BC105,MAX(BC99:BC105))&gt;COUNTIF(BB99:BB105,"&lt;&gt;""")/2,"",INDEX(OFFSET(BB99,MATCH(AX85,BB99:BB105,0),0):BB105,MATCH(MAX(BC99:BC105),OFFSET(BC99,MATCH(AX85,BB99:BB105,0),0):BC105,0),1))))</f>
        <v/>
      </c>
      <c r="AY86" s="58"/>
      <c r="AZ86" s="121"/>
      <c r="BA86" s="14"/>
      <c r="BB86" s="14"/>
      <c r="BC86" s="14"/>
      <c r="BD86" s="14"/>
      <c r="BE86" s="19"/>
      <c r="BF86" s="19"/>
      <c r="BG86" s="19"/>
      <c r="BH86" s="65"/>
      <c r="BI86" s="63"/>
      <c r="BJ86" s="352"/>
      <c r="BK86" s="19"/>
      <c r="BL86" s="57"/>
      <c r="BM86" s="121" t="str">
        <f ca="1">IF(BR106=0,"",IF(COUNTIF(BR99:BR105,MAX(BR99:BR105))=1,"",IF(COUNTIF(BR99:BR105,MAX(BR99:BR105))&gt;COUNTIF(BQ99:BQ105,"&lt;&gt;""")/2,"",INDEX(OFFSET(BQ99,MATCH(BM85,BQ99:BQ105,0),0):BQ105,MATCH(MAX(BR99:BR105),OFFSET(BR99,MATCH(BM85,BQ99:BQ105,0),0):BR105,0),1))))</f>
        <v/>
      </c>
      <c r="BN86" s="58"/>
      <c r="BO86" s="121"/>
      <c r="BP86" s="14"/>
      <c r="BQ86" s="14"/>
      <c r="BR86" s="14"/>
      <c r="BS86" s="14"/>
      <c r="BT86" s="19"/>
      <c r="BU86" s="19"/>
      <c r="BV86" s="19"/>
      <c r="BW86" s="65"/>
      <c r="BX86" s="63"/>
      <c r="BY86" s="352"/>
      <c r="BZ86" s="14"/>
      <c r="CA86" s="14"/>
      <c r="CB86" s="21"/>
      <c r="CC86" s="21"/>
      <c r="CD86" s="180"/>
      <c r="CE86" s="180"/>
      <c r="CF86" s="21"/>
      <c r="CG86" s="14"/>
      <c r="CH86" s="14"/>
      <c r="CI86" s="14"/>
      <c r="CJ86" s="14"/>
      <c r="CK86" s="14"/>
      <c r="CL86" s="14"/>
      <c r="CM86" s="14"/>
      <c r="CN86" s="14"/>
      <c r="CO86" s="129"/>
      <c r="CP86" s="29"/>
      <c r="CQ86" s="47"/>
      <c r="CR86" s="14"/>
      <c r="CS86" s="14"/>
      <c r="CT86" s="14"/>
      <c r="CU86" s="14"/>
      <c r="CV86" s="180"/>
      <c r="CW86" s="189"/>
      <c r="CX86" s="189"/>
      <c r="CY86" s="14"/>
      <c r="CZ86" s="14"/>
      <c r="DA86" s="14"/>
      <c r="DB86" s="14"/>
      <c r="DC86" s="14"/>
      <c r="DD86" s="14"/>
      <c r="DE86" s="14"/>
      <c r="DF86" s="14"/>
      <c r="DG86" s="129"/>
      <c r="DH86" s="29"/>
      <c r="DI86" s="47"/>
      <c r="DJ86" s="29"/>
      <c r="DK86" s="34"/>
      <c r="DL86" s="121" t="str">
        <f ca="1">IF(DQ104=0,"",IF(COUNTIF(DQ99:DQ103,MAX(DQ99:DQ103))=1,"",IF(COUNTIF(DQ99:DQ103,MAX(DQ99:DQ103))&gt;COUNTIF(DP99:DP103,"&lt;&gt;""")/2,"",INDEX(OFFSET(DP99,MATCH(DL85,DP99:DP104,0),0):DP103,MATCH(MAX(DQ99:DQ103),OFFSET(DQ99,MATCH(DL85,DP99:DP104,0),0):DQ103,0),1))))</f>
        <v/>
      </c>
      <c r="DM86" s="33"/>
      <c r="DN86" s="37"/>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row>
    <row r="87" spans="1:142" x14ac:dyDescent="0.25">
      <c r="A87" s="14"/>
      <c r="B87" s="57"/>
      <c r="C87" s="121" t="str">
        <f ca="1" xml:space="preserve"> IF(H104=0,"", IF(COUNTIF(H99:H103,MAX(H99:H103))&lt;=2,"",IF(COUNTIF(H99:H103,MAX(H99:H103))&gt;COUNTIF(G99:G103,"&lt;&gt;""")/2,"", INDEX(OFFSET(G99,MATCH(C86,G99:G104,0),0):G103,         MATCH(MAX(H99:H103),        OFFSET(H99,MATCH(C86,G99:G104,0),0):H103,0),1))))</f>
        <v/>
      </c>
      <c r="D87" s="58"/>
      <c r="E87" s="121"/>
      <c r="F87" s="14"/>
      <c r="G87" s="14"/>
      <c r="H87" s="27"/>
      <c r="I87" s="21"/>
      <c r="J87" s="14"/>
      <c r="K87" s="14"/>
      <c r="L87" s="40"/>
      <c r="M87" s="40"/>
      <c r="N87" s="40"/>
      <c r="O87" s="40"/>
      <c r="P87" s="40"/>
      <c r="Q87" s="47"/>
      <c r="R87" s="19"/>
      <c r="S87" s="34"/>
      <c r="T87" s="121" t="str">
        <f ca="1" xml:space="preserve"> IF(Y106=0,"",IF(Y106=0,"", IF(COUNTIF(Y99:Y105,MAX(Y99:Y105))&lt;=2,"",IF(COUNTIF(Y99:Y105,MAX(Y99:Y105))&gt;COUNTIF(X99:X105,"&lt;&gt;""")/2,"", INDEX(OFFSET(X99,MATCH(T86,X99:X105,0),0):X105,         MATCH(MAX(Y99:Y105),        OFFSET(Y99,MATCH(T86,X99:X105,0),0):Y105,0),1)))))</f>
        <v/>
      </c>
      <c r="U87" s="33"/>
      <c r="V87" s="37"/>
      <c r="W87" s="14"/>
      <c r="X87" s="14"/>
      <c r="Y87" s="14"/>
      <c r="Z87" s="14"/>
      <c r="AA87" s="19"/>
      <c r="AB87" s="19"/>
      <c r="AC87" s="19"/>
      <c r="AD87" s="65"/>
      <c r="AE87" s="63"/>
      <c r="AF87" s="47"/>
      <c r="AG87" s="19"/>
      <c r="AH87" s="57"/>
      <c r="AI87" s="121" t="str">
        <f ca="1" xml:space="preserve"> IF(AN106=0,"",IF(AN106=0,"", IF(COUNTIF(AN99:AN105,MAX(AN99:AN105))&lt;=2,"",IF(COUNTIF(AN99:AN105,MAX(AN99:AN105))&gt;COUNTIF(AM99:AM105,"&lt;&gt;""")/2,"", INDEX(OFFSET(AM99,MATCH(AI86,AM99:AM105,0),0):AM105,         MATCH(MAX(AN99:AN105),        OFFSET(AN99,MATCH(AI86,AM99:AM105,0),0):AN105,0),1)))))</f>
        <v/>
      </c>
      <c r="AJ87" s="58"/>
      <c r="AK87" s="121"/>
      <c r="AL87" s="14"/>
      <c r="AM87" s="14"/>
      <c r="AN87" s="14"/>
      <c r="AO87" s="14"/>
      <c r="AP87" s="19"/>
      <c r="AQ87" s="19"/>
      <c r="AR87" s="19"/>
      <c r="AS87" s="65"/>
      <c r="AT87" s="63"/>
      <c r="AU87" s="47"/>
      <c r="AV87" s="14"/>
      <c r="AW87" s="57"/>
      <c r="AX87" s="121" t="str">
        <f ca="1" xml:space="preserve"> IF(BC106=0,"",IF(BC106=0,"", IF(COUNTIF(BC99:BC105,MAX(BC99:BC105))&lt;=2,"",IF(COUNTIF(BC99:BC105,MAX(BC99:BC105))&gt;COUNTIF(BB99:BB105,"&lt;&gt;""")/2,"", INDEX(OFFSET(BB99,MATCH(AX86,BB99:BB105,0),0):BB105,         MATCH(MAX(BC99:BC105),        OFFSET(BC99,MATCH(AX86,BB99:BB105,0),0):BC105,0),1)))))</f>
        <v/>
      </c>
      <c r="AY87" s="58"/>
      <c r="AZ87" s="121"/>
      <c r="BA87" s="14"/>
      <c r="BB87" s="14"/>
      <c r="BC87" s="14"/>
      <c r="BD87" s="14"/>
      <c r="BE87" s="19"/>
      <c r="BF87" s="19"/>
      <c r="BG87" s="19"/>
      <c r="BH87" s="65"/>
      <c r="BI87" s="63"/>
      <c r="BJ87" s="352"/>
      <c r="BK87" s="19"/>
      <c r="BL87" s="57"/>
      <c r="BM87" s="121" t="str">
        <f ca="1" xml:space="preserve"> IF(BR106=0,"",IF(BR106=0,"", IF(COUNTIF(BR99:BR105,MAX(BR99:BR105))&lt;=2,"",IF(COUNTIF(BR99:BR105,MAX(BR99:BR105))&gt;COUNTIF(BQ99:BQ105,"&lt;&gt;""")/2,"", INDEX(OFFSET(BQ99,MATCH(BM86,BQ99:BQ105,0),0):BQ105,         MATCH(MAX(BR99:BR105),        OFFSET(BR99,MATCH(BM86,BQ99:BQ105,0),0):BR105,0),1)))))</f>
        <v/>
      </c>
      <c r="BN87" s="58"/>
      <c r="BO87" s="121"/>
      <c r="BP87" s="14"/>
      <c r="BQ87" s="14"/>
      <c r="BR87" s="14"/>
      <c r="BS87" s="14"/>
      <c r="BT87" s="19"/>
      <c r="BU87" s="19"/>
      <c r="BV87" s="19"/>
      <c r="BW87" s="65"/>
      <c r="BX87" s="63"/>
      <c r="BY87" s="352"/>
      <c r="BZ87" s="14"/>
      <c r="CA87" s="14"/>
      <c r="CB87" s="21"/>
      <c r="CC87" s="21"/>
      <c r="CD87" s="180"/>
      <c r="CE87" s="180"/>
      <c r="CF87" s="21"/>
      <c r="CG87" s="14"/>
      <c r="CH87" s="14"/>
      <c r="CI87" s="14"/>
      <c r="CJ87" s="14"/>
      <c r="CK87" s="14"/>
      <c r="CL87" s="14"/>
      <c r="CM87" s="14"/>
      <c r="CN87" s="14"/>
      <c r="CO87" s="129"/>
      <c r="CP87" s="29"/>
      <c r="CQ87" s="47"/>
      <c r="CR87" s="14"/>
      <c r="CS87" s="14"/>
      <c r="CT87" s="14"/>
      <c r="CU87" s="14"/>
      <c r="CV87" s="180"/>
      <c r="CW87" s="189"/>
      <c r="CX87" s="189"/>
      <c r="CY87" s="14"/>
      <c r="CZ87" s="14"/>
      <c r="DA87" s="14"/>
      <c r="DB87" s="14"/>
      <c r="DC87" s="14"/>
      <c r="DD87" s="14"/>
      <c r="DE87" s="14"/>
      <c r="DF87" s="14"/>
      <c r="DG87" s="129"/>
      <c r="DH87" s="29"/>
      <c r="DI87" s="47"/>
      <c r="DJ87" s="29"/>
      <c r="DK87" s="34"/>
      <c r="DL87" s="121" t="str">
        <f ca="1" xml:space="preserve"> IF(DQ104=0,"",IF(DQ104=0,"", IF(COUNTIF(DQ99:DQ103,MAX(DQ99:DQ103))&lt;=2,"",IF(COUNTIF(DQ99:DQ103,MAX(DQ99:DQ103))&gt;COUNTIF(DP99:DP103,"&lt;&gt;""")/2,"", INDEX(OFFSET(DP99,MATCH(DL86,DP99:DP104,0),0):DP103,         MATCH(MAX(DQ99:DQ103),        OFFSET(DQ99,MATCH(DL86,DP99:DP104,0),0):DQ103,0),1)))))</f>
        <v/>
      </c>
      <c r="DM87" s="33"/>
      <c r="DN87" s="37"/>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row>
    <row r="88" spans="1:142" x14ac:dyDescent="0.25">
      <c r="A88" s="14"/>
      <c r="B88" s="14"/>
      <c r="C88" s="14"/>
      <c r="D88" s="27"/>
      <c r="E88" s="14"/>
      <c r="F88" s="14"/>
      <c r="G88" s="14"/>
      <c r="H88" s="27"/>
      <c r="I88" s="21"/>
      <c r="J88" s="14"/>
      <c r="K88" s="14"/>
      <c r="L88" s="40"/>
      <c r="M88" s="40"/>
      <c r="N88" s="40"/>
      <c r="O88" s="40"/>
      <c r="P88" s="40"/>
      <c r="Q88" s="47"/>
      <c r="R88" s="19"/>
      <c r="S88" s="19"/>
      <c r="T88" s="14"/>
      <c r="U88" s="27"/>
      <c r="V88" s="14"/>
      <c r="W88" s="14"/>
      <c r="X88" s="14"/>
      <c r="Y88" s="14"/>
      <c r="Z88" s="14"/>
      <c r="AA88" s="19"/>
      <c r="AB88" s="19"/>
      <c r="AC88" s="19"/>
      <c r="AD88" s="65"/>
      <c r="AE88" s="63"/>
      <c r="AF88" s="47"/>
      <c r="AG88" s="19"/>
      <c r="AH88" s="19"/>
      <c r="AI88" s="14"/>
      <c r="AJ88" s="27"/>
      <c r="AK88" s="14"/>
      <c r="AL88" s="14"/>
      <c r="AM88" s="14"/>
      <c r="AN88" s="14"/>
      <c r="AO88" s="14"/>
      <c r="AP88" s="19"/>
      <c r="AQ88" s="19"/>
      <c r="AR88" s="19"/>
      <c r="AS88" s="65"/>
      <c r="AT88" s="63"/>
      <c r="AU88" s="47"/>
      <c r="AV88" s="14"/>
      <c r="AW88" s="19"/>
      <c r="AX88" s="14"/>
      <c r="AY88" s="27"/>
      <c r="AZ88" s="14"/>
      <c r="BA88" s="14"/>
      <c r="BB88" s="14"/>
      <c r="BC88" s="14"/>
      <c r="BD88" s="14"/>
      <c r="BE88" s="19"/>
      <c r="BF88" s="19"/>
      <c r="BG88" s="19"/>
      <c r="BH88" s="65"/>
      <c r="BI88" s="63"/>
      <c r="BJ88" s="352"/>
      <c r="BK88" s="19"/>
      <c r="BL88" s="44"/>
      <c r="BM88" s="8"/>
      <c r="BN88" s="123"/>
      <c r="BO88" s="8"/>
      <c r="BP88" s="14"/>
      <c r="BQ88" s="14"/>
      <c r="BR88" s="14"/>
      <c r="BS88" s="14"/>
      <c r="BT88" s="19"/>
      <c r="BU88" s="19"/>
      <c r="BV88" s="19"/>
      <c r="BW88" s="65"/>
      <c r="BX88" s="63"/>
      <c r="BY88" s="352"/>
      <c r="BZ88" s="14"/>
      <c r="CA88" s="14"/>
      <c r="CB88" s="21"/>
      <c r="CC88" s="21"/>
      <c r="CD88" s="180"/>
      <c r="CE88" s="180"/>
      <c r="CF88" s="21"/>
      <c r="CG88" s="14"/>
      <c r="CH88" s="14"/>
      <c r="CI88" s="14"/>
      <c r="CJ88" s="14"/>
      <c r="CK88" s="14"/>
      <c r="CL88" s="14"/>
      <c r="CM88" s="14"/>
      <c r="CN88" s="14"/>
      <c r="CO88" s="129"/>
      <c r="CP88" s="29"/>
      <c r="CQ88" s="47"/>
      <c r="CR88" s="14"/>
      <c r="CS88" s="14"/>
      <c r="CT88" s="14"/>
      <c r="CU88" s="14"/>
      <c r="CV88" s="180"/>
      <c r="CW88" s="189"/>
      <c r="CX88" s="189"/>
      <c r="CY88" s="14"/>
      <c r="CZ88" s="14"/>
      <c r="DA88" s="14"/>
      <c r="DB88" s="14"/>
      <c r="DC88" s="14"/>
      <c r="DD88" s="14"/>
      <c r="DE88" s="14"/>
      <c r="DF88" s="14"/>
      <c r="DG88" s="129"/>
      <c r="DH88" s="29"/>
      <c r="DI88" s="47"/>
      <c r="DJ88" s="29"/>
      <c r="DK88" s="14"/>
      <c r="DL88" s="14"/>
      <c r="DM88" s="27"/>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row>
    <row r="89" spans="1:142" x14ac:dyDescent="0.25">
      <c r="A89" s="14"/>
      <c r="B89" s="14"/>
      <c r="C89" s="14"/>
      <c r="D89" s="27"/>
      <c r="E89" s="14"/>
      <c r="F89" s="14"/>
      <c r="G89" s="14"/>
      <c r="H89" s="27"/>
      <c r="I89" s="21"/>
      <c r="J89" s="14"/>
      <c r="K89" s="14"/>
      <c r="L89" s="40"/>
      <c r="M89" s="40"/>
      <c r="N89" s="40"/>
      <c r="O89" s="40"/>
      <c r="P89" s="40"/>
      <c r="Q89" s="47"/>
      <c r="R89" s="19"/>
      <c r="S89" s="19"/>
      <c r="T89" s="14"/>
      <c r="U89" s="27"/>
      <c r="V89" s="14"/>
      <c r="W89" s="14"/>
      <c r="X89" s="14"/>
      <c r="Y89" s="14"/>
      <c r="Z89" s="14"/>
      <c r="AA89" s="19"/>
      <c r="AB89" s="19"/>
      <c r="AC89" s="19"/>
      <c r="AD89" s="65"/>
      <c r="AE89" s="63"/>
      <c r="AF89" s="47"/>
      <c r="AG89" s="19"/>
      <c r="AH89" s="19"/>
      <c r="AI89" s="14"/>
      <c r="AJ89" s="27"/>
      <c r="AK89" s="14"/>
      <c r="AL89" s="14"/>
      <c r="AM89" s="14"/>
      <c r="AN89" s="14"/>
      <c r="AO89" s="14"/>
      <c r="AP89" s="19"/>
      <c r="AQ89" s="19"/>
      <c r="AR89" s="19"/>
      <c r="AS89" s="65"/>
      <c r="AT89" s="63"/>
      <c r="AU89" s="47"/>
      <c r="AV89" s="14"/>
      <c r="AW89" s="19"/>
      <c r="AX89" s="14"/>
      <c r="AY89" s="27"/>
      <c r="AZ89" s="14"/>
      <c r="BA89" s="14"/>
      <c r="BB89" s="14"/>
      <c r="BC89" s="14"/>
      <c r="BD89" s="14"/>
      <c r="BE89" s="19"/>
      <c r="BF89" s="19"/>
      <c r="BG89" s="19"/>
      <c r="BH89" s="65"/>
      <c r="BI89" s="63"/>
      <c r="BJ89" s="352"/>
      <c r="BK89" s="19"/>
      <c r="BL89" s="19"/>
      <c r="BM89" s="14"/>
      <c r="BN89" s="27"/>
      <c r="BO89" s="14"/>
      <c r="BP89" s="14"/>
      <c r="BQ89" s="14"/>
      <c r="BR89" s="14"/>
      <c r="BS89" s="14"/>
      <c r="BT89" s="19"/>
      <c r="BU89" s="19"/>
      <c r="BV89" s="19"/>
      <c r="BW89" s="65"/>
      <c r="BX89" s="63"/>
      <c r="BY89" s="352"/>
      <c r="BZ89" s="14"/>
      <c r="CA89" s="14"/>
      <c r="CB89" s="21"/>
      <c r="CC89" s="21"/>
      <c r="CD89" s="180"/>
      <c r="CE89" s="180"/>
      <c r="CF89" s="21"/>
      <c r="CG89" s="14"/>
      <c r="CH89" s="14"/>
      <c r="CI89" s="14"/>
      <c r="CJ89" s="14"/>
      <c r="CK89" s="14"/>
      <c r="CL89" s="14"/>
      <c r="CM89" s="14"/>
      <c r="CN89" s="14"/>
      <c r="CO89" s="129"/>
      <c r="CP89" s="29"/>
      <c r="CQ89" s="47"/>
      <c r="CR89" s="14"/>
      <c r="CS89" s="14"/>
      <c r="CT89" s="14"/>
      <c r="CU89" s="14"/>
      <c r="CV89" s="180"/>
      <c r="CW89" s="189"/>
      <c r="CX89" s="189"/>
      <c r="CY89" s="14"/>
      <c r="CZ89" s="14"/>
      <c r="DA89" s="14"/>
      <c r="DB89" s="14"/>
      <c r="DC89" s="14"/>
      <c r="DD89" s="14"/>
      <c r="DE89" s="14"/>
      <c r="DF89" s="14"/>
      <c r="DG89" s="129"/>
      <c r="DH89" s="29"/>
      <c r="DI89" s="47"/>
      <c r="DJ89" s="29"/>
      <c r="DK89" s="14"/>
      <c r="DL89" s="14"/>
      <c r="DM89" s="27"/>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row>
    <row r="90" spans="1:142" ht="27.6" x14ac:dyDescent="0.25">
      <c r="A90" s="14"/>
      <c r="B90" s="14"/>
      <c r="C90" s="14"/>
      <c r="D90" s="27"/>
      <c r="E90" s="14"/>
      <c r="F90" s="14"/>
      <c r="G90" s="14"/>
      <c r="H90" s="27"/>
      <c r="I90" s="21"/>
      <c r="J90" s="14"/>
      <c r="K90" s="14"/>
      <c r="L90" s="40"/>
      <c r="M90" s="40"/>
      <c r="N90" s="40"/>
      <c r="O90" s="40"/>
      <c r="P90" s="40"/>
      <c r="Q90" s="47"/>
      <c r="R90" s="19"/>
      <c r="S90" s="19"/>
      <c r="T90" s="14"/>
      <c r="U90" s="27"/>
      <c r="V90" s="14"/>
      <c r="W90" s="14"/>
      <c r="X90" s="14"/>
      <c r="Y90" s="14"/>
      <c r="Z90" s="14"/>
      <c r="AA90" s="19"/>
      <c r="AB90" s="19"/>
      <c r="AC90" s="19"/>
      <c r="AD90" s="65"/>
      <c r="AE90" s="63"/>
      <c r="AF90" s="47"/>
      <c r="AG90" s="19"/>
      <c r="AH90" s="19"/>
      <c r="AI90" s="14"/>
      <c r="AJ90" s="27"/>
      <c r="AK90" s="14"/>
      <c r="AL90" s="14"/>
      <c r="AM90" s="14"/>
      <c r="AN90" s="14"/>
      <c r="AO90" s="14"/>
      <c r="AP90" s="19"/>
      <c r="AQ90" s="19"/>
      <c r="AR90" s="19"/>
      <c r="AS90" s="65"/>
      <c r="AT90" s="63"/>
      <c r="AU90" s="47"/>
      <c r="AV90" s="14"/>
      <c r="AW90" s="19"/>
      <c r="AX90" s="14"/>
      <c r="AY90" s="27"/>
      <c r="AZ90" s="14"/>
      <c r="BA90" s="14"/>
      <c r="BB90" s="14"/>
      <c r="BC90" s="14"/>
      <c r="BD90" s="14"/>
      <c r="BE90" s="19"/>
      <c r="BF90" s="19"/>
      <c r="BG90" s="19"/>
      <c r="BH90" s="65"/>
      <c r="BI90" s="63"/>
      <c r="BJ90" s="352"/>
      <c r="BK90" s="19"/>
      <c r="BL90" s="19"/>
      <c r="BM90" s="14"/>
      <c r="BN90" s="27"/>
      <c r="BO90" s="14"/>
      <c r="BP90" s="14"/>
      <c r="BQ90" s="14"/>
      <c r="BR90" s="14"/>
      <c r="BS90" s="14"/>
      <c r="BT90" s="19"/>
      <c r="BU90" s="19"/>
      <c r="BV90" s="19"/>
      <c r="BW90" s="65"/>
      <c r="BX90" s="63"/>
      <c r="BY90" s="352"/>
      <c r="BZ90" s="14"/>
      <c r="CA90" s="109" t="s">
        <v>14</v>
      </c>
      <c r="CB90" s="110" t="s">
        <v>164</v>
      </c>
      <c r="CC90" s="110" t="s">
        <v>149</v>
      </c>
      <c r="CD90" s="184" t="s">
        <v>150</v>
      </c>
      <c r="CE90" s="184" t="s">
        <v>151</v>
      </c>
      <c r="CF90" s="110" t="s">
        <v>152</v>
      </c>
      <c r="CG90" s="14"/>
      <c r="CH90" s="109"/>
      <c r="CI90" s="110" t="s">
        <v>5</v>
      </c>
      <c r="CJ90" s="110" t="s">
        <v>4</v>
      </c>
      <c r="CK90" s="110" t="s">
        <v>33</v>
      </c>
      <c r="CL90" s="110" t="s">
        <v>29</v>
      </c>
      <c r="CM90" s="110" t="s">
        <v>3</v>
      </c>
      <c r="CN90" s="110" t="s">
        <v>54</v>
      </c>
      <c r="CO90" s="328" t="s">
        <v>160</v>
      </c>
      <c r="CP90" s="29"/>
      <c r="CQ90" s="47"/>
      <c r="CR90" s="14"/>
      <c r="CS90" s="109" t="s">
        <v>14</v>
      </c>
      <c r="CT90" s="110" t="s">
        <v>164</v>
      </c>
      <c r="CU90" s="110" t="s">
        <v>149</v>
      </c>
      <c r="CV90" s="184" t="s">
        <v>150</v>
      </c>
      <c r="CW90" s="184" t="s">
        <v>151</v>
      </c>
      <c r="CX90" s="194" t="s">
        <v>152</v>
      </c>
      <c r="CY90" s="14"/>
      <c r="CZ90" s="109" t="s">
        <v>14</v>
      </c>
      <c r="DA90" s="110" t="s">
        <v>5</v>
      </c>
      <c r="DB90" s="110" t="s">
        <v>4</v>
      </c>
      <c r="DC90" s="110" t="s">
        <v>33</v>
      </c>
      <c r="DD90" s="110" t="s">
        <v>29</v>
      </c>
      <c r="DE90" s="110" t="s">
        <v>3</v>
      </c>
      <c r="DF90" s="110" t="s">
        <v>54</v>
      </c>
      <c r="DG90" s="328" t="s">
        <v>160</v>
      </c>
      <c r="DH90" s="29"/>
      <c r="DI90" s="47"/>
      <c r="DJ90" s="29"/>
      <c r="DK90" s="19"/>
      <c r="DL90" s="19"/>
      <c r="DM90" s="27"/>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row>
    <row r="91" spans="1:142" x14ac:dyDescent="0.25">
      <c r="A91" s="14"/>
      <c r="B91" s="14"/>
      <c r="C91" s="14"/>
      <c r="D91" s="21"/>
      <c r="E91" s="14"/>
      <c r="F91" s="14"/>
      <c r="G91" s="14"/>
      <c r="H91" s="21"/>
      <c r="I91" s="15"/>
      <c r="J91" s="13"/>
      <c r="K91" s="14"/>
      <c r="L91" s="14"/>
      <c r="M91" s="14"/>
      <c r="N91" s="14"/>
      <c r="O91" s="14"/>
      <c r="P91" s="14"/>
      <c r="Q91" s="47"/>
      <c r="R91" s="19"/>
      <c r="S91" s="14"/>
      <c r="T91" s="14"/>
      <c r="U91" s="21"/>
      <c r="V91" s="14"/>
      <c r="W91" s="14"/>
      <c r="X91" s="14"/>
      <c r="Y91" s="14"/>
      <c r="Z91" s="14"/>
      <c r="AA91" s="19"/>
      <c r="AB91" s="19"/>
      <c r="AC91" s="19"/>
      <c r="AD91" s="65"/>
      <c r="AE91" s="63"/>
      <c r="AF91" s="47"/>
      <c r="AG91" s="19"/>
      <c r="AH91" s="14"/>
      <c r="AI91" s="14"/>
      <c r="AJ91" s="21"/>
      <c r="AK91" s="14"/>
      <c r="AL91" s="14"/>
      <c r="AM91" s="14"/>
      <c r="AN91" s="14"/>
      <c r="AO91" s="14"/>
      <c r="AP91" s="19"/>
      <c r="AQ91" s="19"/>
      <c r="AR91" s="19"/>
      <c r="AS91" s="65"/>
      <c r="AT91" s="63"/>
      <c r="AU91" s="47"/>
      <c r="AV91" s="14"/>
      <c r="AW91" s="14"/>
      <c r="AX91" s="14"/>
      <c r="AY91" s="21"/>
      <c r="AZ91" s="14"/>
      <c r="BA91" s="14"/>
      <c r="BB91" s="14"/>
      <c r="BC91" s="14"/>
      <c r="BD91" s="14"/>
      <c r="BE91" s="19"/>
      <c r="BF91" s="19"/>
      <c r="BG91" s="19"/>
      <c r="BH91" s="65"/>
      <c r="BI91" s="63"/>
      <c r="BJ91" s="352"/>
      <c r="BK91" s="19"/>
      <c r="BL91" s="14"/>
      <c r="BM91" s="14"/>
      <c r="BN91" s="21"/>
      <c r="BO91" s="14"/>
      <c r="BP91" s="14"/>
      <c r="BQ91" s="14"/>
      <c r="BR91" s="14"/>
      <c r="BS91" s="14"/>
      <c r="BT91" s="19"/>
      <c r="BU91" s="19"/>
      <c r="BV91" s="19"/>
      <c r="BW91" s="65"/>
      <c r="BX91" s="63"/>
      <c r="BY91" s="352"/>
      <c r="BZ91" s="14"/>
      <c r="CA91" s="140" t="s">
        <v>701</v>
      </c>
      <c r="CB91" s="27">
        <f>COUNTIFS(S30_stakeholder_category,"PP",Response_Q177_1,"&lt;&gt;0",Response_Q173_3,"&lt;&gt;0")</f>
        <v>0</v>
      </c>
      <c r="CC91" s="37">
        <f>COUNTIFS(S30_stakeholder_category,"PP",Response_Q177_1,1,Response_Q173_3,"&lt;&gt;""0")</f>
        <v>1</v>
      </c>
      <c r="CD91" s="37">
        <f>COUNTIFS(S26_stakeholder_category,"PP",Response_Q161_1,2,Response_Q156_1,"&lt;&gt;0")</f>
        <v>0</v>
      </c>
      <c r="CE91" s="37">
        <f>COUNTIFS(S26_stakeholder_category,"PP",Response_Q161_1,3,Response_Q156_1,"&lt;&gt;0")</f>
        <v>0</v>
      </c>
      <c r="CF91" s="97">
        <f t="shared" ref="CF91:CF97" si="42">IF(CB$85=0,0,SUMPRODUCT(CC91:CE91,Rank_score)/CB$85)</f>
        <v>3</v>
      </c>
      <c r="CG91" s="14"/>
      <c r="CH91" s="140" t="s">
        <v>701</v>
      </c>
      <c r="CI91" s="27">
        <f t="shared" ref="CI91:CN91" si="43">COUNTIFS(S30_stakeholder_category,"PP",Response_Q177_1,"&lt;&gt;0",Response_Q177_2,CI$63,Response_Q173_3,"&lt;&gt;0")</f>
        <v>0</v>
      </c>
      <c r="CJ91" s="27">
        <f t="shared" si="43"/>
        <v>0</v>
      </c>
      <c r="CK91" s="27">
        <f t="shared" si="43"/>
        <v>0</v>
      </c>
      <c r="CL91" s="27">
        <f t="shared" si="43"/>
        <v>0</v>
      </c>
      <c r="CM91" s="27">
        <f t="shared" si="43"/>
        <v>0</v>
      </c>
      <c r="CN91" s="27">
        <f t="shared" si="43"/>
        <v>0</v>
      </c>
      <c r="CO91" s="141" t="str">
        <f t="shared" ref="CO91:CO97" si="44">IF(ISBLANK(CH91),"",IF(CF91=0,not_ranked,IF(SUM(CI91:CN91)=0,not_estimated,IFERROR(SUMPRODUCT(CI91:CN91,Likekihood_score)/SUM(CI91:CN91),0))))</f>
        <v>Ranked, but likelihood not estimated</v>
      </c>
      <c r="CP91" s="29"/>
      <c r="CQ91" s="47"/>
      <c r="CR91" s="14"/>
      <c r="CS91" s="140" t="s">
        <v>373</v>
      </c>
      <c r="CT91" s="27">
        <f>COUNTIFS(S30_stakeholder_category,"PP",Response_Q178_1,"&lt;&gt;0",Response_Q173_3,"&lt;&gt;0")</f>
        <v>0</v>
      </c>
      <c r="CU91" s="37">
        <f>COUNTIFS(S30_stakeholder_category,"PP",Response_Q178_1,1,Response_Q173_3,"&lt;&gt;0")</f>
        <v>0</v>
      </c>
      <c r="CV91" s="37">
        <f>COUNTIFS(S30_stakeholder_category,"PP",Response_Q178_1,2,Response_Q173_3,"&lt;&gt;0")</f>
        <v>0</v>
      </c>
      <c r="CW91" s="37">
        <f>COUNTIFS(S30_stakeholder_category,"PP",Response_Q178_1,3,Response_Q173_3,"&lt;&gt;0")</f>
        <v>0</v>
      </c>
      <c r="CX91" s="37">
        <f>IF(CT85=0,0,SUMPRODUCT(CU91:CW91,Rank_score)/CT$58)</f>
        <v>0</v>
      </c>
      <c r="CY91" s="14"/>
      <c r="CZ91" s="140" t="s">
        <v>373</v>
      </c>
      <c r="DA91" s="27">
        <f t="shared" ref="DA91:DF91" si="45">COUNTIFS(S30_stakeholder_category,"PP",Response_Q178_1,"&lt;&gt;0",Response_Q178_2,DA$63,Response_Q173_3,"&lt;&gt;0")</f>
        <v>0</v>
      </c>
      <c r="DB91" s="27">
        <f t="shared" si="45"/>
        <v>0</v>
      </c>
      <c r="DC91" s="27">
        <f t="shared" si="45"/>
        <v>0</v>
      </c>
      <c r="DD91" s="27">
        <f t="shared" si="45"/>
        <v>0</v>
      </c>
      <c r="DE91" s="27">
        <f t="shared" si="45"/>
        <v>0</v>
      </c>
      <c r="DF91" s="27">
        <f t="shared" si="45"/>
        <v>0</v>
      </c>
      <c r="DG91" s="141" t="str">
        <f t="shared" ref="DG91:DG98" si="46">IF(ISBLANK(CZ91),"",IF(CX91=0,not_ranked,IF(SUM(DA91:DF91)=0,not_estimated,IFERROR(SUMPRODUCT(DA91:DF91,Likekihood_score)/SUM(DA91:DF91),0))))</f>
        <v>Factor not ranked</v>
      </c>
      <c r="DH91" s="29"/>
      <c r="DI91" s="47"/>
      <c r="DJ91" s="29"/>
      <c r="DK91" s="19"/>
      <c r="DL91" s="19"/>
      <c r="DM91" s="14"/>
      <c r="DN91" s="14"/>
      <c r="DO91" s="14"/>
      <c r="DP91" s="14"/>
      <c r="DQ91" s="14"/>
      <c r="DR91" s="13"/>
      <c r="DS91" s="13"/>
      <c r="DT91" s="14"/>
      <c r="DU91" s="14"/>
      <c r="DV91" s="14"/>
      <c r="DW91" s="14"/>
      <c r="DX91" s="14"/>
      <c r="DY91" s="14"/>
      <c r="DZ91" s="14"/>
      <c r="EA91" s="14"/>
      <c r="EB91" s="14"/>
      <c r="EC91" s="14"/>
      <c r="ED91" s="14"/>
      <c r="EE91" s="14"/>
      <c r="EF91" s="14"/>
      <c r="EG91" s="14"/>
      <c r="EH91" s="14"/>
      <c r="EI91" s="14"/>
      <c r="EJ91" s="14"/>
      <c r="EK91" s="14"/>
      <c r="EL91" s="14"/>
    </row>
    <row r="92" spans="1:142" ht="14.4" x14ac:dyDescent="0.25">
      <c r="A92" s="14"/>
      <c r="B92" s="60"/>
      <c r="C92" s="19"/>
      <c r="D92" s="59"/>
      <c r="E92" s="14"/>
      <c r="F92" s="14"/>
      <c r="G92" s="14"/>
      <c r="H92" s="21"/>
      <c r="I92" s="21"/>
      <c r="J92" s="14"/>
      <c r="K92" s="14"/>
      <c r="L92" s="14"/>
      <c r="M92" s="14"/>
      <c r="N92" s="14"/>
      <c r="O92" s="14"/>
      <c r="P92" s="14"/>
      <c r="Q92" s="47"/>
      <c r="R92" s="19"/>
      <c r="S92" s="60"/>
      <c r="T92" s="19"/>
      <c r="U92" s="59"/>
      <c r="V92" s="14"/>
      <c r="W92" s="14"/>
      <c r="X92" s="14"/>
      <c r="Y92" s="14"/>
      <c r="Z92" s="14"/>
      <c r="AA92" s="19"/>
      <c r="AB92" s="19"/>
      <c r="AC92" s="19"/>
      <c r="AD92" s="65"/>
      <c r="AE92" s="63"/>
      <c r="AF92" s="47"/>
      <c r="AG92" s="19"/>
      <c r="AH92" s="60"/>
      <c r="AI92" s="19"/>
      <c r="AJ92" s="59"/>
      <c r="AK92" s="14"/>
      <c r="AL92" s="14"/>
      <c r="AM92" s="14"/>
      <c r="AN92" s="14"/>
      <c r="AO92" s="14"/>
      <c r="AP92" s="19"/>
      <c r="AQ92" s="19"/>
      <c r="AR92" s="19"/>
      <c r="AS92" s="65"/>
      <c r="AT92" s="63"/>
      <c r="AU92" s="47"/>
      <c r="AV92" s="14"/>
      <c r="AW92" s="60"/>
      <c r="AX92" s="19"/>
      <c r="AY92" s="59"/>
      <c r="AZ92" s="14"/>
      <c r="BA92" s="14"/>
      <c r="BB92" s="14"/>
      <c r="BC92" s="14"/>
      <c r="BD92" s="14"/>
      <c r="BE92" s="19"/>
      <c r="BF92" s="19"/>
      <c r="BG92" s="19"/>
      <c r="BH92" s="65"/>
      <c r="BI92" s="63"/>
      <c r="BJ92" s="352"/>
      <c r="BK92" s="19"/>
      <c r="BL92" s="60"/>
      <c r="BM92" s="19"/>
      <c r="BN92" s="59"/>
      <c r="BO92" s="14"/>
      <c r="BP92" s="14"/>
      <c r="BQ92" s="14"/>
      <c r="BR92" s="14"/>
      <c r="BS92" s="14"/>
      <c r="BT92" s="19"/>
      <c r="BU92" s="19"/>
      <c r="BV92" s="19"/>
      <c r="BW92" s="65"/>
      <c r="BX92" s="63"/>
      <c r="BY92" s="352"/>
      <c r="BZ92" s="14"/>
      <c r="CA92" s="140" t="s">
        <v>344</v>
      </c>
      <c r="CB92" s="27">
        <f>COUNTIFS(S30_stakeholder_category,"PP",Response_Q177_3,"&lt;&gt;0",Response_Q173_3,"&lt;&gt;0")</f>
        <v>0</v>
      </c>
      <c r="CC92" s="37">
        <f>COUNTIFS(S30_stakeholder_category,"PP",Response_Q177_3,1,Response_Q173_3,"&lt;&gt;0")</f>
        <v>0</v>
      </c>
      <c r="CD92" s="37">
        <f>COUNTIFS(S30_stakeholder_category,"PP",Response_Q177_3,2,Response_Q173_3,"&lt;&gt;0")</f>
        <v>0</v>
      </c>
      <c r="CE92" s="37">
        <f>COUNTIFS(S26_stakeholder_category,"PP",Response_Q161_3,3,Response_Q156_1,"&lt;&gt;0")</f>
        <v>0</v>
      </c>
      <c r="CF92" s="97">
        <f t="shared" si="42"/>
        <v>0</v>
      </c>
      <c r="CG92" s="14"/>
      <c r="CH92" s="140" t="s">
        <v>344</v>
      </c>
      <c r="CI92" s="27">
        <f t="shared" ref="CI92:CN92" si="47">COUNTIFS(S30_stakeholder_category,"PP",Response_Q177_3,"&lt;&gt;0",Response_Q177_4,CI$63,Response_Q173_3,"&lt;&gt;0")</f>
        <v>0</v>
      </c>
      <c r="CJ92" s="27">
        <f t="shared" si="47"/>
        <v>0</v>
      </c>
      <c r="CK92" s="27">
        <f t="shared" si="47"/>
        <v>0</v>
      </c>
      <c r="CL92" s="27">
        <f t="shared" si="47"/>
        <v>0</v>
      </c>
      <c r="CM92" s="27">
        <f t="shared" si="47"/>
        <v>0</v>
      </c>
      <c r="CN92" s="27">
        <f t="shared" si="47"/>
        <v>0</v>
      </c>
      <c r="CO92" s="141" t="str">
        <f t="shared" si="44"/>
        <v>Factor not ranked</v>
      </c>
      <c r="CP92" s="14"/>
      <c r="CQ92" s="47"/>
      <c r="CR92" s="14"/>
      <c r="CS92" s="140" t="s">
        <v>338</v>
      </c>
      <c r="CT92" s="27">
        <f>COUNTIFS(S30_stakeholder_category,"PP",Response_Q178_3,"&lt;&gt;0",Response_Q173_3,"&lt;&gt;0")</f>
        <v>0</v>
      </c>
      <c r="CU92" s="37">
        <f>COUNTIFS(S30_stakeholder_category,"PP",Response_Q178_3,1,Response_Q173_3,"&lt;&gt;0")</f>
        <v>0</v>
      </c>
      <c r="CV92" s="37">
        <f>COUNTIFS(S30_stakeholder_category,"PP",Response_Q178_3,2,Response_Q173_3,"&lt;&gt;0")</f>
        <v>0</v>
      </c>
      <c r="CW92" s="37">
        <f>COUNTIFS(S30_stakeholder_category,"PP",Response_Q178_3,3,Response_Q173_3,"&lt;&gt;0")</f>
        <v>0</v>
      </c>
      <c r="CX92" s="37">
        <f>IF(CT85=0,0,SUMPRODUCT(CU92:CW92,Rank_score)/CT$58)</f>
        <v>0</v>
      </c>
      <c r="CY92" s="14"/>
      <c r="CZ92" s="140" t="s">
        <v>338</v>
      </c>
      <c r="DA92" s="27">
        <f t="shared" ref="DA92:DF92" si="48">COUNTIFS(S30_stakeholder_category,"PP",Response_Q178_3,"&lt;&gt;0",Response_Q178_4,DA$63,Response_Q173_3,"&lt;&gt;0")</f>
        <v>0</v>
      </c>
      <c r="DB92" s="27">
        <f t="shared" si="48"/>
        <v>0</v>
      </c>
      <c r="DC92" s="27">
        <f t="shared" si="48"/>
        <v>0</v>
      </c>
      <c r="DD92" s="27">
        <f t="shared" si="48"/>
        <v>0</v>
      </c>
      <c r="DE92" s="27">
        <f t="shared" si="48"/>
        <v>0</v>
      </c>
      <c r="DF92" s="27">
        <f t="shared" si="48"/>
        <v>0</v>
      </c>
      <c r="DG92" s="141" t="str">
        <f t="shared" si="46"/>
        <v>Factor not ranked</v>
      </c>
      <c r="DH92" s="14"/>
      <c r="DI92" s="47"/>
      <c r="DJ92" s="14"/>
      <c r="DK92" s="56"/>
      <c r="DL92" s="29"/>
      <c r="DM92" s="59"/>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row>
    <row r="93" spans="1:142" ht="14.4" x14ac:dyDescent="0.25">
      <c r="A93" s="14"/>
      <c r="B93" s="62"/>
      <c r="C93" s="19"/>
      <c r="D93" s="59"/>
      <c r="E93" s="14"/>
      <c r="F93" s="14"/>
      <c r="G93" s="14"/>
      <c r="H93" s="21"/>
      <c r="I93" s="21"/>
      <c r="J93" s="14"/>
      <c r="K93" s="14"/>
      <c r="L93" s="14"/>
      <c r="M93" s="14"/>
      <c r="N93" s="14"/>
      <c r="O93" s="14"/>
      <c r="P93" s="14"/>
      <c r="Q93" s="47"/>
      <c r="R93" s="19"/>
      <c r="S93" s="61"/>
      <c r="T93" s="19"/>
      <c r="U93" s="59"/>
      <c r="V93" s="14"/>
      <c r="W93" s="14"/>
      <c r="X93" s="14"/>
      <c r="Y93" s="14"/>
      <c r="Z93" s="13"/>
      <c r="AA93" s="30"/>
      <c r="AB93" s="30"/>
      <c r="AC93" s="30"/>
      <c r="AD93" s="65"/>
      <c r="AE93" s="63"/>
      <c r="AF93" s="47"/>
      <c r="AG93" s="19"/>
      <c r="AH93" s="61"/>
      <c r="AI93" s="19"/>
      <c r="AJ93" s="59"/>
      <c r="AK93" s="14"/>
      <c r="AL93" s="14"/>
      <c r="AM93" s="14"/>
      <c r="AN93" s="14"/>
      <c r="AO93" s="13"/>
      <c r="AP93" s="30"/>
      <c r="AQ93" s="30"/>
      <c r="AR93" s="30"/>
      <c r="AS93" s="65"/>
      <c r="AT93" s="63"/>
      <c r="AU93" s="47"/>
      <c r="AV93" s="14"/>
      <c r="AW93" s="61"/>
      <c r="AX93" s="19"/>
      <c r="AY93" s="59"/>
      <c r="AZ93" s="14"/>
      <c r="BA93" s="14"/>
      <c r="BB93" s="14"/>
      <c r="BC93" s="14"/>
      <c r="BD93" s="13"/>
      <c r="BE93" s="30"/>
      <c r="BF93" s="30"/>
      <c r="BG93" s="30"/>
      <c r="BH93" s="65"/>
      <c r="BI93" s="63"/>
      <c r="BJ93" s="352"/>
      <c r="BK93" s="19"/>
      <c r="BL93" s="61"/>
      <c r="BM93" s="19"/>
      <c r="BN93" s="59"/>
      <c r="BO93" s="14"/>
      <c r="BP93" s="14"/>
      <c r="BQ93" s="14"/>
      <c r="BR93" s="14"/>
      <c r="BS93" s="13"/>
      <c r="BT93" s="30"/>
      <c r="BU93" s="30"/>
      <c r="BV93" s="30"/>
      <c r="BW93" s="65"/>
      <c r="BX93" s="63"/>
      <c r="BY93" s="352"/>
      <c r="BZ93" s="14"/>
      <c r="CA93" s="140" t="s">
        <v>146</v>
      </c>
      <c r="CB93" s="27">
        <f>COUNTIFS(S30_stakeholder_category,"PP",Response_Q177_5,"&lt;&gt;0",Response_Q173_3,"&lt;&gt;0")</f>
        <v>0</v>
      </c>
      <c r="CC93" s="37">
        <f>COUNTIFS(S30_stakeholder_category,"PP",Response_Q177_5,1,Response_Q173_3,"&lt;&gt;0")</f>
        <v>0</v>
      </c>
      <c r="CD93" s="37">
        <f>COUNTIFS(S30_stakeholder_category,"PP",Response_Q177_5,2,Response_Q173_3,"&lt;&gt;0")</f>
        <v>0</v>
      </c>
      <c r="CE93" s="37">
        <f>COUNTIFS(S30_stakeholder_category,"PP",Response_Q177_5,3,Response_Q173_3,"&lt;&gt;0")</f>
        <v>0</v>
      </c>
      <c r="CF93" s="97">
        <f t="shared" si="42"/>
        <v>0</v>
      </c>
      <c r="CG93" s="14"/>
      <c r="CH93" s="140" t="s">
        <v>146</v>
      </c>
      <c r="CI93" s="27">
        <f t="shared" ref="CI93:CN93" si="49">COUNTIFS(S30_stakeholder_category,"PP",Response_Q177_5,"&lt;&gt;0",Response_Q177_6,CI$63,Response_Q173_3,"&lt;&gt;0")</f>
        <v>0</v>
      </c>
      <c r="CJ93" s="27">
        <f t="shared" si="49"/>
        <v>0</v>
      </c>
      <c r="CK93" s="27">
        <f t="shared" si="49"/>
        <v>0</v>
      </c>
      <c r="CL93" s="27">
        <f t="shared" si="49"/>
        <v>0</v>
      </c>
      <c r="CM93" s="27">
        <f t="shared" si="49"/>
        <v>0</v>
      </c>
      <c r="CN93" s="27">
        <f t="shared" si="49"/>
        <v>0</v>
      </c>
      <c r="CO93" s="141" t="str">
        <f t="shared" si="44"/>
        <v>Factor not ranked</v>
      </c>
      <c r="CP93" s="14"/>
      <c r="CQ93" s="47"/>
      <c r="CR93" s="14"/>
      <c r="CS93" s="106" t="s">
        <v>339</v>
      </c>
      <c r="CT93" s="27">
        <f>COUNTIFS(S30_stakeholder_category,"PP",Response_Q178_5,"&lt;&gt;0",Response_Q173_3,"&lt;&gt;0")</f>
        <v>0</v>
      </c>
      <c r="CU93" s="37">
        <f>COUNTIFS(S30_stakeholder_category,"PP",Response_Q178_5,1,Response_Q173_3,"&lt;&gt;0")</f>
        <v>0</v>
      </c>
      <c r="CV93" s="37">
        <f>COUNTIFS(S30_stakeholder_category,"PP",Response_Q178_5,2,Response_Q173_3,"&lt;&gt;0")</f>
        <v>0</v>
      </c>
      <c r="CW93" s="37">
        <f>COUNTIFS(S30_stakeholder_category,"PP",Response_Q178_5,3,Response_Q173_3,"&lt;&gt;0")</f>
        <v>0</v>
      </c>
      <c r="CX93" s="37">
        <f>IF(CT85=0,0,SUMPRODUCT(CU93:CW93,Rank_score)/CT$58)</f>
        <v>0</v>
      </c>
      <c r="CY93" s="14"/>
      <c r="CZ93" s="106" t="s">
        <v>339</v>
      </c>
      <c r="DA93" s="27">
        <f t="shared" ref="DA93:DF93" si="50">COUNTIFS(S30_stakeholder_category,"PP",Response_Q178_5,"&lt;&gt;0",Response_Q178_6,DA$63,Response_Q173_3,"&lt;&gt;0")</f>
        <v>0</v>
      </c>
      <c r="DB93" s="27">
        <f t="shared" si="50"/>
        <v>0</v>
      </c>
      <c r="DC93" s="27">
        <f t="shared" si="50"/>
        <v>0</v>
      </c>
      <c r="DD93" s="27">
        <f t="shared" si="50"/>
        <v>0</v>
      </c>
      <c r="DE93" s="27">
        <f t="shared" si="50"/>
        <v>0</v>
      </c>
      <c r="DF93" s="27">
        <f t="shared" si="50"/>
        <v>0</v>
      </c>
      <c r="DG93" s="141" t="str">
        <f t="shared" si="46"/>
        <v>Factor not ranked</v>
      </c>
      <c r="DH93" s="14"/>
      <c r="DI93" s="47"/>
      <c r="DJ93" s="14"/>
      <c r="DK93" s="56"/>
      <c r="DL93" s="19"/>
      <c r="DM93" s="59"/>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row>
    <row r="94" spans="1:142" x14ac:dyDescent="0.25">
      <c r="A94" s="14"/>
      <c r="B94" s="19"/>
      <c r="C94" s="19"/>
      <c r="D94" s="59"/>
      <c r="E94" s="14"/>
      <c r="F94" s="14"/>
      <c r="G94" s="14"/>
      <c r="H94" s="21"/>
      <c r="I94" s="21"/>
      <c r="J94" s="14"/>
      <c r="K94" s="14"/>
      <c r="L94" s="14"/>
      <c r="M94" s="14"/>
      <c r="N94" s="14"/>
      <c r="O94" s="14"/>
      <c r="P94" s="14"/>
      <c r="Q94" s="47"/>
      <c r="R94" s="19"/>
      <c r="S94" s="62"/>
      <c r="T94" s="19"/>
      <c r="U94" s="59"/>
      <c r="V94" s="14"/>
      <c r="W94" s="14"/>
      <c r="X94" s="14"/>
      <c r="Y94" s="14"/>
      <c r="Z94" s="14"/>
      <c r="AA94" s="14"/>
      <c r="AB94" s="14"/>
      <c r="AC94" s="14"/>
      <c r="AD94" s="65"/>
      <c r="AE94" s="63"/>
      <c r="AF94" s="47"/>
      <c r="AG94" s="19"/>
      <c r="AH94" s="62"/>
      <c r="AI94" s="19"/>
      <c r="AJ94" s="59"/>
      <c r="AK94" s="14"/>
      <c r="AL94" s="14"/>
      <c r="AM94" s="14"/>
      <c r="AN94" s="14"/>
      <c r="AO94" s="14"/>
      <c r="AP94" s="14"/>
      <c r="AQ94" s="14"/>
      <c r="AR94" s="14"/>
      <c r="AS94" s="65"/>
      <c r="AT94" s="63"/>
      <c r="AU94" s="47"/>
      <c r="AV94" s="14"/>
      <c r="AW94" s="62"/>
      <c r="AX94" s="19"/>
      <c r="AY94" s="59"/>
      <c r="AZ94" s="14"/>
      <c r="BA94" s="14"/>
      <c r="BB94" s="14"/>
      <c r="BC94" s="14"/>
      <c r="BD94" s="14"/>
      <c r="BE94" s="14"/>
      <c r="BF94" s="14"/>
      <c r="BG94" s="14"/>
      <c r="BH94" s="65"/>
      <c r="BI94" s="63"/>
      <c r="BJ94" s="352"/>
      <c r="BK94" s="19"/>
      <c r="BL94" s="62"/>
      <c r="BM94" s="19"/>
      <c r="BN94" s="59"/>
      <c r="BO94" s="14"/>
      <c r="BP94" s="14"/>
      <c r="BQ94" s="14"/>
      <c r="BR94" s="14"/>
      <c r="BS94" s="14"/>
      <c r="BT94" s="14"/>
      <c r="BU94" s="14"/>
      <c r="BV94" s="14"/>
      <c r="BW94" s="65"/>
      <c r="BX94" s="63"/>
      <c r="BY94" s="352"/>
      <c r="BZ94" s="14"/>
      <c r="CA94" s="140" t="s">
        <v>147</v>
      </c>
      <c r="CB94" s="27">
        <f>COUNTIFS(S30_stakeholder_category,"PP",Response_Q177_7,"&lt;&gt;0",Response_Q173_3,"&lt;&gt;0")</f>
        <v>0</v>
      </c>
      <c r="CC94" s="37">
        <f>COUNTIFS(S30_stakeholder_category,"PP",Response_Q177_7,1,Response_Q173_3,"&lt;&gt;0")</f>
        <v>0</v>
      </c>
      <c r="CD94" s="37">
        <f>COUNTIFS(S30_stakeholder_category,"PP",Response_Q177_7,2,Response_Q173_3,"&lt;&gt;0")</f>
        <v>0</v>
      </c>
      <c r="CE94" s="37">
        <f>COUNTIFS(S30_stakeholder_category,"PP",Response_Q177_7,3,Response_Q173_3,"&lt;&gt;0")</f>
        <v>0</v>
      </c>
      <c r="CF94" s="97">
        <f t="shared" si="42"/>
        <v>0</v>
      </c>
      <c r="CG94" s="14"/>
      <c r="CH94" s="140" t="s">
        <v>147</v>
      </c>
      <c r="CI94" s="27">
        <f t="shared" ref="CI94:CN94" si="51">COUNTIFS(S30_stakeholder_category,"PP",Response_Q177_7,"&lt;&gt;0",Response_Q177_8,CI$63,Response_Q173_3,"&lt;&gt;0")</f>
        <v>0</v>
      </c>
      <c r="CJ94" s="27">
        <f t="shared" si="51"/>
        <v>0</v>
      </c>
      <c r="CK94" s="27">
        <f t="shared" si="51"/>
        <v>0</v>
      </c>
      <c r="CL94" s="27">
        <f t="shared" si="51"/>
        <v>0</v>
      </c>
      <c r="CM94" s="27">
        <f t="shared" si="51"/>
        <v>0</v>
      </c>
      <c r="CN94" s="27">
        <f t="shared" si="51"/>
        <v>0</v>
      </c>
      <c r="CO94" s="141" t="str">
        <f t="shared" si="44"/>
        <v>Factor not ranked</v>
      </c>
      <c r="CP94" s="14"/>
      <c r="CQ94" s="47"/>
      <c r="CR94" s="14"/>
      <c r="CS94" s="106" t="s">
        <v>345</v>
      </c>
      <c r="CT94" s="27">
        <f>COUNTIFS(S30_stakeholder_category,"PP",Response_Q178_7,"&lt;&gt;0",Response_Q173_3,"&lt;&gt;0")</f>
        <v>0</v>
      </c>
      <c r="CU94" s="37">
        <f>COUNTIFS(S30_stakeholder_category,"PP",Response_Q178_7,1,Response_Q173_3,"&lt;&gt;0")</f>
        <v>0</v>
      </c>
      <c r="CV94" s="37">
        <f>COUNTIFS(S30_stakeholder_category,"PP",Response_Q178_7,2,Response_Q173_3,"&lt;&gt;0")</f>
        <v>0</v>
      </c>
      <c r="CW94" s="37">
        <f>COUNTIFS(S30_stakeholder_category,"PP",Response_Q178_7,3,Response_Q173_3,"&lt;&gt;0")</f>
        <v>0</v>
      </c>
      <c r="CX94" s="37">
        <f>IF(CT85=0,0,SUMPRODUCT(CU94:CW94,Rank_score)/CT$58)</f>
        <v>0</v>
      </c>
      <c r="CY94" s="14"/>
      <c r="CZ94" s="106" t="s">
        <v>345</v>
      </c>
      <c r="DA94" s="27">
        <f t="shared" ref="DA94:DF94" si="52">COUNTIFS(S30_stakeholder_category,"PP",Response_Q178_7,"&lt;&gt;0",Response_Q178_8,DA$63,Response_Q173_3,"&lt;&gt;0")</f>
        <v>0</v>
      </c>
      <c r="DB94" s="27">
        <f t="shared" si="52"/>
        <v>0</v>
      </c>
      <c r="DC94" s="27">
        <f t="shared" si="52"/>
        <v>0</v>
      </c>
      <c r="DD94" s="27">
        <f t="shared" si="52"/>
        <v>0</v>
      </c>
      <c r="DE94" s="27">
        <f t="shared" si="52"/>
        <v>0</v>
      </c>
      <c r="DF94" s="27">
        <f t="shared" si="52"/>
        <v>0</v>
      </c>
      <c r="DG94" s="141" t="str">
        <f t="shared" si="46"/>
        <v>Factor not ranked</v>
      </c>
      <c r="DH94" s="14"/>
      <c r="DI94" s="47"/>
      <c r="DJ94" s="14"/>
      <c r="DK94" s="14"/>
      <c r="DL94" s="19"/>
      <c r="DM94" s="59"/>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row>
    <row r="95" spans="1:142" x14ac:dyDescent="0.25">
      <c r="A95" s="14"/>
      <c r="B95" s="19"/>
      <c r="C95" s="19"/>
      <c r="D95" s="59"/>
      <c r="E95" s="14"/>
      <c r="F95" s="14"/>
      <c r="G95" s="14"/>
      <c r="H95" s="21"/>
      <c r="I95" s="21"/>
      <c r="J95" s="14"/>
      <c r="K95" s="14"/>
      <c r="L95" s="14"/>
      <c r="M95" s="14"/>
      <c r="N95" s="14"/>
      <c r="O95" s="14"/>
      <c r="P95" s="14"/>
      <c r="Q95" s="47"/>
      <c r="R95" s="19"/>
      <c r="S95" s="62"/>
      <c r="T95" s="19"/>
      <c r="U95" s="59"/>
      <c r="V95" s="14"/>
      <c r="W95" s="14"/>
      <c r="X95" s="14"/>
      <c r="Y95" s="14"/>
      <c r="Z95" s="14"/>
      <c r="AA95" s="14"/>
      <c r="AB95" s="14"/>
      <c r="AC95" s="14"/>
      <c r="AD95" s="65"/>
      <c r="AE95" s="63"/>
      <c r="AF95" s="47"/>
      <c r="AG95" s="19"/>
      <c r="AH95" s="62"/>
      <c r="AI95" s="19"/>
      <c r="AJ95" s="59"/>
      <c r="AK95" s="14"/>
      <c r="AL95" s="14"/>
      <c r="AM95" s="14"/>
      <c r="AN95" s="14"/>
      <c r="AO95" s="14"/>
      <c r="AP95" s="14"/>
      <c r="AQ95" s="14"/>
      <c r="AR95" s="14"/>
      <c r="AS95" s="65"/>
      <c r="AT95" s="63"/>
      <c r="AU95" s="47"/>
      <c r="AV95" s="14"/>
      <c r="AW95" s="62"/>
      <c r="AX95" s="19"/>
      <c r="AY95" s="59"/>
      <c r="AZ95" s="14"/>
      <c r="BA95" s="14"/>
      <c r="BB95" s="14"/>
      <c r="BC95" s="14"/>
      <c r="BD95" s="14"/>
      <c r="BE95" s="14"/>
      <c r="BF95" s="14"/>
      <c r="BG95" s="14"/>
      <c r="BH95" s="65"/>
      <c r="BI95" s="63"/>
      <c r="BJ95" s="352"/>
      <c r="BK95" s="19"/>
      <c r="BL95" s="62"/>
      <c r="BM95" s="19"/>
      <c r="BN95" s="59"/>
      <c r="BO95" s="14"/>
      <c r="BP95" s="14"/>
      <c r="BQ95" s="14"/>
      <c r="BR95" s="14"/>
      <c r="BS95" s="14"/>
      <c r="BT95" s="14"/>
      <c r="BU95" s="14"/>
      <c r="BV95" s="14"/>
      <c r="BW95" s="65"/>
      <c r="BX95" s="63"/>
      <c r="BY95" s="352"/>
      <c r="BZ95" s="14"/>
      <c r="CA95" s="140" t="s">
        <v>341</v>
      </c>
      <c r="CB95" s="27">
        <f>COUNTIFS(S30_stakeholder_category,"PP",Response_Q177_9,"&lt;&gt;0",Response_Q173_3,"&lt;&gt;0")</f>
        <v>0</v>
      </c>
      <c r="CC95" s="37">
        <f>COUNTIFS(S30_stakeholder_category,"PP",Response_Q177_9,1,Response_Q173_3,"&lt;&gt;0")</f>
        <v>0</v>
      </c>
      <c r="CD95" s="37">
        <f>COUNTIFS(S30_stakeholder_category,"PP",Response_Q177_9,2,Response_Q173_3,"&lt;&gt;0")</f>
        <v>0</v>
      </c>
      <c r="CE95" s="37">
        <f>COUNTIFS(S30_stakeholder_category,"PP",Response_Q177_9,3,Response_Q173_3,"&lt;&gt;0")</f>
        <v>0</v>
      </c>
      <c r="CF95" s="97">
        <f t="shared" si="42"/>
        <v>0</v>
      </c>
      <c r="CG95" s="14"/>
      <c r="CH95" s="140" t="s">
        <v>341</v>
      </c>
      <c r="CI95" s="27">
        <f t="shared" ref="CI95:CN95" si="53">COUNTIFS(S30_stakeholder_category,"PP",Response_Q177_9,"&lt;&gt;0",Response_Q177_10,CI$63,Response_Q173_3,"&lt;&gt;0")</f>
        <v>0</v>
      </c>
      <c r="CJ95" s="27">
        <f t="shared" si="53"/>
        <v>0</v>
      </c>
      <c r="CK95" s="27">
        <f t="shared" si="53"/>
        <v>0</v>
      </c>
      <c r="CL95" s="27">
        <f t="shared" si="53"/>
        <v>0</v>
      </c>
      <c r="CM95" s="27">
        <f t="shared" si="53"/>
        <v>0</v>
      </c>
      <c r="CN95" s="27">
        <f t="shared" si="53"/>
        <v>0</v>
      </c>
      <c r="CO95" s="141" t="str">
        <f t="shared" si="44"/>
        <v>Factor not ranked</v>
      </c>
      <c r="CP95" s="14"/>
      <c r="CQ95" s="47"/>
      <c r="CR95" s="14"/>
      <c r="CS95" s="106" t="s">
        <v>561</v>
      </c>
      <c r="CT95" s="27">
        <f>COUNTIFS(S30_stakeholder_category,"PP",Response_Q178_9,"&lt;&gt;0",Response_Q173_3,"&lt;&gt;0")</f>
        <v>0</v>
      </c>
      <c r="CU95" s="37">
        <f>COUNTIFS(S30_stakeholder_category,"PP",Response_Q178_9,1,Response_Q173_3,"&lt;&gt;0")</f>
        <v>0</v>
      </c>
      <c r="CV95" s="37">
        <f>COUNTIFS(S30_stakeholder_category,"PP",Response_Q178_9,2,Response_Q173_3,"&lt;&gt;0")</f>
        <v>0</v>
      </c>
      <c r="CW95" s="37">
        <f>COUNTIFS(S30_stakeholder_category,"PP",Response_Q178_9,3,Response_Q173_3,"&lt;&gt;0")</f>
        <v>0</v>
      </c>
      <c r="CX95" s="37">
        <f>IF(CT85=0,0,SUMPRODUCT(CU95:CW95,Rank_score)/CT$58)</f>
        <v>0</v>
      </c>
      <c r="CY95" s="14"/>
      <c r="CZ95" s="106" t="s">
        <v>561</v>
      </c>
      <c r="DA95" s="27">
        <f t="shared" ref="DA95:DF95" si="54">COUNTIFS(S30_stakeholder_category,"PP",Response_Q178_9,"&lt;&gt;0",Response_Q178_10,DA$63,Response_Q173_3,"&lt;&gt;0")</f>
        <v>0</v>
      </c>
      <c r="DB95" s="27">
        <f t="shared" si="54"/>
        <v>0</v>
      </c>
      <c r="DC95" s="27">
        <f t="shared" si="54"/>
        <v>0</v>
      </c>
      <c r="DD95" s="27">
        <f t="shared" si="54"/>
        <v>0</v>
      </c>
      <c r="DE95" s="27">
        <f t="shared" si="54"/>
        <v>0</v>
      </c>
      <c r="DF95" s="27">
        <f t="shared" si="54"/>
        <v>0</v>
      </c>
      <c r="DG95" s="141" t="str">
        <f t="shared" si="46"/>
        <v>Factor not ranked</v>
      </c>
      <c r="DH95" s="14"/>
      <c r="DI95" s="47"/>
      <c r="DJ95" s="14"/>
      <c r="DK95" s="14"/>
      <c r="DL95" s="19"/>
      <c r="DM95" s="59"/>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row>
    <row r="96" spans="1:142" x14ac:dyDescent="0.25">
      <c r="A96" s="14"/>
      <c r="B96" s="56"/>
      <c r="C96" s="29"/>
      <c r="D96" s="59"/>
      <c r="E96" s="14"/>
      <c r="F96" s="14"/>
      <c r="G96" s="14"/>
      <c r="H96" s="21"/>
      <c r="I96" s="21"/>
      <c r="J96" s="14"/>
      <c r="K96" s="14"/>
      <c r="L96" s="14"/>
      <c r="M96" s="14"/>
      <c r="N96" s="14"/>
      <c r="O96" s="14"/>
      <c r="P96" s="14"/>
      <c r="Q96" s="47"/>
      <c r="R96" s="19"/>
      <c r="S96" s="19"/>
      <c r="T96" s="19"/>
      <c r="U96" s="59"/>
      <c r="V96" s="14"/>
      <c r="W96" s="14"/>
      <c r="X96" s="14"/>
      <c r="Y96" s="14"/>
      <c r="Z96" s="14"/>
      <c r="AA96" s="14"/>
      <c r="AB96" s="14"/>
      <c r="AC96" s="14"/>
      <c r="AD96" s="65"/>
      <c r="AE96" s="63"/>
      <c r="AF96" s="47"/>
      <c r="AG96" s="19"/>
      <c r="AH96" s="19"/>
      <c r="AI96" s="19"/>
      <c r="AJ96" s="59"/>
      <c r="AK96" s="14"/>
      <c r="AL96" s="14"/>
      <c r="AM96" s="14"/>
      <c r="AN96" s="14"/>
      <c r="AO96" s="14"/>
      <c r="AP96" s="14"/>
      <c r="AQ96" s="14"/>
      <c r="AR96" s="14"/>
      <c r="AS96" s="65"/>
      <c r="AT96" s="63"/>
      <c r="AU96" s="47"/>
      <c r="AV96" s="14"/>
      <c r="AW96" s="19"/>
      <c r="AX96" s="19"/>
      <c r="AY96" s="59"/>
      <c r="AZ96" s="14"/>
      <c r="BA96" s="14"/>
      <c r="BB96" s="14"/>
      <c r="BC96" s="14"/>
      <c r="BD96" s="14"/>
      <c r="BE96" s="14"/>
      <c r="BF96" s="14"/>
      <c r="BG96" s="14"/>
      <c r="BH96" s="65"/>
      <c r="BI96" s="63"/>
      <c r="BJ96" s="352"/>
      <c r="BK96" s="19"/>
      <c r="BL96" s="19"/>
      <c r="BM96" s="19"/>
      <c r="BN96" s="59"/>
      <c r="BO96" s="14"/>
      <c r="BP96" s="14"/>
      <c r="BQ96" s="14"/>
      <c r="BR96" s="14"/>
      <c r="BS96" s="14"/>
      <c r="BT96" s="14"/>
      <c r="BU96" s="14"/>
      <c r="BV96" s="14"/>
      <c r="BW96" s="65"/>
      <c r="BX96" s="63"/>
      <c r="BY96" s="352"/>
      <c r="BZ96" s="14"/>
      <c r="CA96" s="106" t="s">
        <v>148</v>
      </c>
      <c r="CB96" s="27">
        <f>COUNTIFS(S30_stakeholder_category,"PP",Response_Q177_11,"&lt;&gt;0",Response_Q173_3,"&lt;&gt;0")</f>
        <v>0</v>
      </c>
      <c r="CC96" s="37">
        <f>COUNTIFS(S30_stakeholder_category,"PP",Response_Q177_11,1,Response_Q173_3,"&lt;&gt;0")</f>
        <v>0</v>
      </c>
      <c r="CD96" s="37">
        <f>COUNTIFS(S30_stakeholder_category,"PP",Response_Q177_11,2,Response_Q173_3,"&lt;&gt;0")</f>
        <v>0</v>
      </c>
      <c r="CE96" s="37">
        <f>COUNTIFS(S30_stakeholder_category,"PP",Response_Q177_11,3,Response_Q173_3,"&lt;&gt;0")</f>
        <v>0</v>
      </c>
      <c r="CF96" s="97">
        <f t="shared" si="42"/>
        <v>0</v>
      </c>
      <c r="CG96" s="43"/>
      <c r="CH96" s="106" t="s">
        <v>148</v>
      </c>
      <c r="CI96" s="27">
        <f t="shared" ref="CI96:CN96" si="55">COUNTIFS(S30_stakeholder_category,"PP",Response_Q177_11,"&lt;&gt;0",Response_Q177_12,CI$63,Response_Q173_3,"&lt;&gt;0")</f>
        <v>0</v>
      </c>
      <c r="CJ96" s="27">
        <f t="shared" si="55"/>
        <v>0</v>
      </c>
      <c r="CK96" s="27">
        <f t="shared" si="55"/>
        <v>0</v>
      </c>
      <c r="CL96" s="27">
        <f t="shared" si="55"/>
        <v>0</v>
      </c>
      <c r="CM96" s="27">
        <f t="shared" si="55"/>
        <v>0</v>
      </c>
      <c r="CN96" s="27">
        <f t="shared" si="55"/>
        <v>0</v>
      </c>
      <c r="CO96" s="141" t="str">
        <f t="shared" si="44"/>
        <v>Factor not ranked</v>
      </c>
      <c r="CP96" s="14"/>
      <c r="CQ96" s="47"/>
      <c r="CR96" s="14"/>
      <c r="CS96" s="106" t="s">
        <v>49</v>
      </c>
      <c r="CT96" s="27">
        <f>COUNTIFS(S30_stakeholder_category,"PP",Response_Q178_11,"&lt;&gt;0",Response_Q173_3,"&lt;&gt;0")</f>
        <v>0</v>
      </c>
      <c r="CU96" s="37">
        <f>COUNTIFS(S30_stakeholder_category,"PP",Response_Q178_11,1,Response_Q173_3,"&lt;&gt;0")</f>
        <v>0</v>
      </c>
      <c r="CV96" s="37">
        <f>COUNTIFS(S30_stakeholder_category,"PP",Response_Q178_11,2,Response_Q173_3,"&lt;&gt;0")</f>
        <v>0</v>
      </c>
      <c r="CW96" s="37">
        <f>COUNTIFS(S30_stakeholder_category,"PP",Response_Q178_11,3,Response_Q173_3,"&lt;&gt;0")</f>
        <v>0</v>
      </c>
      <c r="CX96" s="37">
        <f>IF(CT85=0,0,SUMPRODUCT(CU96:CW96,Rank_score)/CT$58)</f>
        <v>0</v>
      </c>
      <c r="CY96" s="43"/>
      <c r="CZ96" s="106" t="s">
        <v>49</v>
      </c>
      <c r="DA96" s="27">
        <f t="shared" ref="DA96:DF96" si="56">COUNTIFS(S30_stakeholder_category,"PP",Response_Q178_11,"&lt;&gt;0",Response_Q178_12,DA$63,Response_Q173_3,"&lt;&gt;0")</f>
        <v>0</v>
      </c>
      <c r="DB96" s="27">
        <f t="shared" si="56"/>
        <v>0</v>
      </c>
      <c r="DC96" s="27">
        <f t="shared" si="56"/>
        <v>0</v>
      </c>
      <c r="DD96" s="27">
        <f t="shared" si="56"/>
        <v>0</v>
      </c>
      <c r="DE96" s="27">
        <f t="shared" si="56"/>
        <v>0</v>
      </c>
      <c r="DF96" s="27">
        <f t="shared" si="56"/>
        <v>0</v>
      </c>
      <c r="DG96" s="141" t="str">
        <f t="shared" si="46"/>
        <v>Factor not ranked</v>
      </c>
      <c r="DH96" s="14"/>
      <c r="DI96" s="47"/>
      <c r="DJ96" s="14"/>
      <c r="DK96" s="14"/>
      <c r="DL96" s="19"/>
      <c r="DM96" s="59"/>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row>
    <row r="97" spans="1:142" x14ac:dyDescent="0.25">
      <c r="A97" s="14"/>
      <c r="B97" s="56"/>
      <c r="C97" s="19"/>
      <c r="D97" s="59"/>
      <c r="E97" s="14"/>
      <c r="F97" s="14"/>
      <c r="G97" s="14"/>
      <c r="H97" s="21"/>
      <c r="I97" s="21"/>
      <c r="J97" s="14"/>
      <c r="K97" s="14"/>
      <c r="L97" s="14"/>
      <c r="M97" s="14"/>
      <c r="N97" s="14"/>
      <c r="O97" s="14"/>
      <c r="P97" s="14"/>
      <c r="Q97" s="47"/>
      <c r="R97" s="19"/>
      <c r="S97" s="19"/>
      <c r="T97" s="19"/>
      <c r="U97" s="59"/>
      <c r="V97" s="14"/>
      <c r="W97" s="14"/>
      <c r="X97" s="14"/>
      <c r="Y97" s="14"/>
      <c r="Z97" s="14"/>
      <c r="AA97" s="14"/>
      <c r="AB97" s="14"/>
      <c r="AC97" s="14"/>
      <c r="AD97" s="65"/>
      <c r="AE97" s="63"/>
      <c r="AF97" s="47"/>
      <c r="AG97" s="19"/>
      <c r="AH97" s="19"/>
      <c r="AI97" s="19"/>
      <c r="AJ97" s="59"/>
      <c r="AK97" s="14"/>
      <c r="AL97" s="14"/>
      <c r="AM97" s="14"/>
      <c r="AN97" s="14"/>
      <c r="AO97" s="14"/>
      <c r="AP97" s="14"/>
      <c r="AQ97" s="14"/>
      <c r="AR97" s="14"/>
      <c r="AS97" s="65"/>
      <c r="AT97" s="63"/>
      <c r="AU97" s="47"/>
      <c r="AV97" s="14"/>
      <c r="AW97" s="19"/>
      <c r="AX97" s="19"/>
      <c r="AY97" s="59"/>
      <c r="AZ97" s="14"/>
      <c r="BA97" s="14"/>
      <c r="BB97" s="14"/>
      <c r="BC97" s="14"/>
      <c r="BD97" s="14"/>
      <c r="BE97" s="14"/>
      <c r="BF97" s="14"/>
      <c r="BG97" s="14"/>
      <c r="BH97" s="65"/>
      <c r="BI97" s="63"/>
      <c r="BJ97" s="352"/>
      <c r="BK97" s="19"/>
      <c r="BL97" s="19"/>
      <c r="BM97" s="19"/>
      <c r="BN97" s="59"/>
      <c r="BO97" s="14"/>
      <c r="BP97" s="14"/>
      <c r="BQ97" s="14"/>
      <c r="BR97" s="14"/>
      <c r="BS97" s="14"/>
      <c r="BT97" s="14"/>
      <c r="BU97" s="14"/>
      <c r="BV97" s="14"/>
      <c r="BW97" s="65"/>
      <c r="BX97" s="63"/>
      <c r="BY97" s="352"/>
      <c r="BZ97" s="14"/>
      <c r="CA97" s="107" t="s">
        <v>49</v>
      </c>
      <c r="CB97" s="27">
        <f>COUNTIFS(S30_stakeholder_category,"PP",Response_Q177_13,"&lt;&gt;0",Response_Q173_3,"&lt;&gt;0")</f>
        <v>0</v>
      </c>
      <c r="CC97" s="37">
        <f>COUNTIFS(S30_stakeholder_category,"PP",Response_Q177_13,1,Response_Q173_3,"&lt;&gt;0")</f>
        <v>0</v>
      </c>
      <c r="CD97" s="37">
        <f>COUNTIFS(S30_stakeholder_category,"PP",Response_Q177_13,2,Response_Q173_3,"&lt;&gt;0")</f>
        <v>0</v>
      </c>
      <c r="CE97" s="37">
        <f>COUNTIFS(S30_stakeholder_category,"PP",Response_Q177_13,3,Response_Q173_3,"&lt;&gt;0")</f>
        <v>0</v>
      </c>
      <c r="CF97" s="97">
        <f t="shared" si="42"/>
        <v>0</v>
      </c>
      <c r="CG97" s="29"/>
      <c r="CH97" s="107" t="s">
        <v>49</v>
      </c>
      <c r="CI97" s="27">
        <f t="shared" ref="CI97:CN97" si="57">COUNTIFS(S30_stakeholder_category,"PP",Response_Q177_13,"&lt;&gt;0",Response_Q177_14,CI$63,Response_Q173_3,"&lt;&gt;0")</f>
        <v>0</v>
      </c>
      <c r="CJ97" s="27">
        <f t="shared" si="57"/>
        <v>0</v>
      </c>
      <c r="CK97" s="27">
        <f t="shared" si="57"/>
        <v>0</v>
      </c>
      <c r="CL97" s="27">
        <f t="shared" si="57"/>
        <v>0</v>
      </c>
      <c r="CM97" s="27">
        <f t="shared" si="57"/>
        <v>0</v>
      </c>
      <c r="CN97" s="27">
        <f t="shared" si="57"/>
        <v>0</v>
      </c>
      <c r="CO97" s="141" t="str">
        <f t="shared" si="44"/>
        <v>Factor not ranked</v>
      </c>
      <c r="CP97" s="14"/>
      <c r="CQ97" s="47"/>
      <c r="CR97" s="14"/>
      <c r="CS97" s="107"/>
      <c r="CT97" s="27"/>
      <c r="CU97" s="37"/>
      <c r="CV97" s="37"/>
      <c r="CW97" s="37"/>
      <c r="CX97" s="37"/>
      <c r="CY97" s="29"/>
      <c r="CZ97" s="106"/>
      <c r="DA97" s="27"/>
      <c r="DB97" s="27"/>
      <c r="DC97" s="27"/>
      <c r="DD97" s="27"/>
      <c r="DE97" s="27"/>
      <c r="DF97" s="27"/>
      <c r="DG97" s="141" t="str">
        <f t="shared" si="46"/>
        <v/>
      </c>
      <c r="DH97" s="14"/>
      <c r="DI97" s="47"/>
      <c r="DJ97" s="14"/>
      <c r="DK97" s="62"/>
      <c r="DL97" s="19"/>
      <c r="DM97" s="59"/>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row>
    <row r="98" spans="1:142" x14ac:dyDescent="0.25">
      <c r="A98" s="14"/>
      <c r="B98" s="19"/>
      <c r="C98" s="19"/>
      <c r="D98" s="59"/>
      <c r="E98" s="14"/>
      <c r="F98" s="14"/>
      <c r="G98" s="109" t="s">
        <v>14</v>
      </c>
      <c r="H98" s="110" t="s">
        <v>6</v>
      </c>
      <c r="I98" s="110" t="s">
        <v>7</v>
      </c>
      <c r="J98" s="14"/>
      <c r="K98" s="14"/>
      <c r="L98" s="14"/>
      <c r="M98" s="14"/>
      <c r="N98" s="14"/>
      <c r="O98" s="14"/>
      <c r="P98" s="14"/>
      <c r="Q98" s="47"/>
      <c r="R98" s="19"/>
      <c r="S98" s="56"/>
      <c r="T98" s="29"/>
      <c r="U98" s="59"/>
      <c r="V98" s="14"/>
      <c r="W98" s="14"/>
      <c r="X98" s="109" t="s">
        <v>14</v>
      </c>
      <c r="Y98" s="110" t="s">
        <v>6</v>
      </c>
      <c r="Z98" s="110" t="s">
        <v>7</v>
      </c>
      <c r="AA98" s="14"/>
      <c r="AB98" s="14"/>
      <c r="AC98" s="14"/>
      <c r="AD98" s="65"/>
      <c r="AE98" s="63"/>
      <c r="AF98" s="47"/>
      <c r="AG98" s="19"/>
      <c r="AH98" s="56"/>
      <c r="AI98" s="29"/>
      <c r="AJ98" s="59"/>
      <c r="AK98" s="14"/>
      <c r="AL98" s="14"/>
      <c r="AM98" s="109" t="s">
        <v>14</v>
      </c>
      <c r="AN98" s="110" t="s">
        <v>6</v>
      </c>
      <c r="AO98" s="110" t="s">
        <v>7</v>
      </c>
      <c r="AP98" s="14"/>
      <c r="AQ98" s="14"/>
      <c r="AR98" s="14"/>
      <c r="AS98" s="65"/>
      <c r="AT98" s="63"/>
      <c r="AU98" s="47"/>
      <c r="AV98" s="14"/>
      <c r="AW98" s="56"/>
      <c r="AX98" s="29"/>
      <c r="AY98" s="59"/>
      <c r="AZ98" s="14"/>
      <c r="BA98" s="14"/>
      <c r="BB98" s="109" t="s">
        <v>14</v>
      </c>
      <c r="BC98" s="110" t="s">
        <v>6</v>
      </c>
      <c r="BD98" s="110" t="s">
        <v>7</v>
      </c>
      <c r="BE98" s="14"/>
      <c r="BF98" s="14"/>
      <c r="BG98" s="14"/>
      <c r="BH98" s="65"/>
      <c r="BI98" s="63"/>
      <c r="BJ98" s="352"/>
      <c r="BK98" s="19"/>
      <c r="BL98" s="56"/>
      <c r="BM98" s="29"/>
      <c r="BN98" s="59"/>
      <c r="BO98" s="14"/>
      <c r="BP98" s="14"/>
      <c r="BQ98" s="109" t="s">
        <v>14</v>
      </c>
      <c r="BR98" s="110" t="s">
        <v>6</v>
      </c>
      <c r="BS98" s="110" t="s">
        <v>7</v>
      </c>
      <c r="BT98" s="14"/>
      <c r="BU98" s="14"/>
      <c r="BV98" s="14"/>
      <c r="BW98" s="65"/>
      <c r="BX98" s="63"/>
      <c r="BY98" s="352"/>
      <c r="BZ98" s="14"/>
      <c r="CA98" s="86"/>
      <c r="CB98" s="111"/>
      <c r="CC98" s="111"/>
      <c r="CD98" s="179"/>
      <c r="CE98" s="179"/>
      <c r="CF98" s="108"/>
      <c r="CG98" s="29"/>
      <c r="CH98" s="109"/>
      <c r="CI98" s="109"/>
      <c r="CJ98" s="109"/>
      <c r="CK98" s="109"/>
      <c r="CL98" s="109"/>
      <c r="CM98" s="109"/>
      <c r="CN98" s="109"/>
      <c r="CO98" s="329"/>
      <c r="CP98" s="14"/>
      <c r="CQ98" s="47"/>
      <c r="CR98" s="14"/>
      <c r="CS98" s="107"/>
      <c r="CT98" s="27"/>
      <c r="CU98" s="37"/>
      <c r="CV98" s="37"/>
      <c r="CW98" s="37"/>
      <c r="CX98" s="37"/>
      <c r="CY98" s="29"/>
      <c r="CZ98" s="106"/>
      <c r="DA98" s="27"/>
      <c r="DB98" s="27"/>
      <c r="DC98" s="27"/>
      <c r="DD98" s="27"/>
      <c r="DE98" s="27"/>
      <c r="DF98" s="27"/>
      <c r="DG98" s="141" t="str">
        <f t="shared" si="46"/>
        <v/>
      </c>
      <c r="DH98" s="14"/>
      <c r="DI98" s="47"/>
      <c r="DJ98" s="14"/>
      <c r="DK98" s="62"/>
      <c r="DL98" s="19"/>
      <c r="DM98" s="59"/>
      <c r="DN98" s="14"/>
      <c r="DO98" s="14"/>
      <c r="DP98" s="109" t="s">
        <v>14</v>
      </c>
      <c r="DQ98" s="110" t="s">
        <v>6</v>
      </c>
      <c r="DR98" s="110" t="s">
        <v>7</v>
      </c>
      <c r="DS98" s="14"/>
      <c r="DT98" s="14"/>
      <c r="DU98" s="14"/>
      <c r="DV98" s="14"/>
      <c r="DW98" s="14"/>
      <c r="DX98" s="14"/>
      <c r="DY98" s="14"/>
      <c r="DZ98" s="14"/>
      <c r="EA98" s="14"/>
      <c r="EB98" s="14"/>
      <c r="EC98" s="14"/>
      <c r="ED98" s="14"/>
      <c r="EE98" s="14"/>
      <c r="EF98" s="14"/>
      <c r="EG98" s="14"/>
      <c r="EH98" s="14"/>
      <c r="EI98" s="14"/>
      <c r="EJ98" s="14"/>
      <c r="EK98" s="14"/>
      <c r="EL98" s="14"/>
    </row>
    <row r="99" spans="1:142" x14ac:dyDescent="0.25">
      <c r="A99" s="14"/>
      <c r="B99" s="19"/>
      <c r="C99" s="19"/>
      <c r="D99" s="59"/>
      <c r="E99" s="14"/>
      <c r="F99" s="14"/>
      <c r="G99" s="107" t="s">
        <v>34</v>
      </c>
      <c r="H99" s="27">
        <f>COUNTIFS(S30_stakeholder_category,"PP",Response_Q173_3,G99)</f>
        <v>0</v>
      </c>
      <c r="I99" s="41" t="str">
        <f>IFERROR(H99/H$104,"")</f>
        <v/>
      </c>
      <c r="J99" s="14"/>
      <c r="K99" s="14"/>
      <c r="L99" s="14"/>
      <c r="M99" s="14"/>
      <c r="N99" s="14"/>
      <c r="O99" s="14"/>
      <c r="P99" s="14"/>
      <c r="Q99" s="47"/>
      <c r="R99" s="19"/>
      <c r="S99" s="56"/>
      <c r="T99" s="19"/>
      <c r="U99" s="59"/>
      <c r="V99" s="14"/>
      <c r="W99" s="14"/>
      <c r="X99" s="107" t="s">
        <v>5</v>
      </c>
      <c r="Y99" s="27">
        <f t="shared" ref="Y99:Y105" si="58">COUNTIFS(S30_stakeholder_category,"PP",Response_Q176_2,X99)</f>
        <v>0</v>
      </c>
      <c r="Z99" s="41">
        <f t="shared" ref="Z99:Z106" si="59">IFERROR(Y99/Y$106,0)</f>
        <v>0</v>
      </c>
      <c r="AA99" s="14"/>
      <c r="AB99" s="14"/>
      <c r="AC99" s="14"/>
      <c r="AD99" s="65"/>
      <c r="AE99" s="63"/>
      <c r="AF99" s="47"/>
      <c r="AG99" s="19"/>
      <c r="AH99" s="56"/>
      <c r="AI99" s="19"/>
      <c r="AJ99" s="59"/>
      <c r="AK99" s="14"/>
      <c r="AL99" s="14"/>
      <c r="AM99" s="107" t="s">
        <v>5</v>
      </c>
      <c r="AN99" s="27">
        <f t="shared" ref="AN99:AN105" si="60">COUNTIFS(S30_stakeholder_category,"PP",Response_30b_CaseA,AM99)</f>
        <v>1</v>
      </c>
      <c r="AO99" s="41">
        <f>IFERROR(AN99/AN$106,0)</f>
        <v>1</v>
      </c>
      <c r="AP99" s="14"/>
      <c r="AQ99" s="14"/>
      <c r="AR99" s="14"/>
      <c r="AS99" s="65"/>
      <c r="AT99" s="63"/>
      <c r="AU99" s="47"/>
      <c r="AV99" s="14"/>
      <c r="AW99" s="56"/>
      <c r="AX99" s="19"/>
      <c r="AY99" s="59"/>
      <c r="AZ99" s="14"/>
      <c r="BA99" s="14"/>
      <c r="BB99" s="107" t="s">
        <v>5</v>
      </c>
      <c r="BC99" s="27">
        <f t="shared" ref="BC99:BC105" si="61">COUNTIFS(S30_stakeholder_category,"PP",Response_30b_CaseB,BB99)</f>
        <v>1</v>
      </c>
      <c r="BD99" s="41">
        <f>IFERROR(BC99/BC$106,0)</f>
        <v>1</v>
      </c>
      <c r="BE99" s="14"/>
      <c r="BF99" s="14"/>
      <c r="BG99" s="14"/>
      <c r="BH99" s="65"/>
      <c r="BI99" s="63"/>
      <c r="BJ99" s="352"/>
      <c r="BK99" s="19"/>
      <c r="BL99" s="56"/>
      <c r="BM99" s="19"/>
      <c r="BN99" s="59"/>
      <c r="BO99" s="14"/>
      <c r="BP99" s="14"/>
      <c r="BQ99" s="107" t="s">
        <v>5</v>
      </c>
      <c r="BR99" s="27">
        <f t="shared" ref="BR99:BR105" si="62">COUNTIFS(S30_stakeholder_category,"PP",Response_30b_CaseC,BQ99)</f>
        <v>1</v>
      </c>
      <c r="BS99" s="41">
        <f>IFERROR(BR99/BR$106,0)</f>
        <v>1</v>
      </c>
      <c r="BT99" s="14"/>
      <c r="BU99" s="14"/>
      <c r="BV99" s="14"/>
      <c r="BW99" s="65"/>
      <c r="BX99" s="63"/>
      <c r="BY99" s="352"/>
      <c r="BZ99" s="14"/>
      <c r="CA99" s="14"/>
      <c r="CB99" s="21"/>
      <c r="CC99" s="21"/>
      <c r="CD99" s="180"/>
      <c r="CE99" s="181"/>
      <c r="CF99" s="31"/>
      <c r="CG99" s="52"/>
      <c r="CH99" s="52"/>
      <c r="CI99" s="99"/>
      <c r="CJ99" s="14"/>
      <c r="CK99" s="14"/>
      <c r="CL99" s="14"/>
      <c r="CM99" s="14"/>
      <c r="CN99" s="14"/>
      <c r="CO99" s="129"/>
      <c r="CP99" s="14"/>
      <c r="CQ99" s="47"/>
      <c r="CR99" s="14"/>
      <c r="CS99" s="86"/>
      <c r="CT99" s="111"/>
      <c r="CU99" s="86"/>
      <c r="CV99" s="179"/>
      <c r="CW99" s="188"/>
      <c r="CX99" s="179"/>
      <c r="CY99" s="29"/>
      <c r="CZ99" s="109"/>
      <c r="DA99" s="109"/>
      <c r="DB99" s="109"/>
      <c r="DC99" s="109"/>
      <c r="DD99" s="109"/>
      <c r="DE99" s="109"/>
      <c r="DF99" s="109"/>
      <c r="DG99" s="329"/>
      <c r="DH99" s="14"/>
      <c r="DI99" s="47"/>
      <c r="DJ99" s="14"/>
      <c r="DK99" s="62"/>
      <c r="DL99" s="19"/>
      <c r="DM99" s="59"/>
      <c r="DN99" s="14"/>
      <c r="DO99" s="14"/>
      <c r="DP99" s="107" t="s">
        <v>34</v>
      </c>
      <c r="DQ99" s="27">
        <f>COUNTIFS(S30_stakeholder_category,"PP",Response_Q172_1,DP99,Response_Q173_3,"&lt;&gt;0")</f>
        <v>0</v>
      </c>
      <c r="DR99" s="41" t="str">
        <f>IF(DQ104=0,"",DQ99/DQ104)</f>
        <v/>
      </c>
      <c r="DS99" s="14"/>
      <c r="DT99" s="14"/>
      <c r="DU99" s="14"/>
      <c r="DV99" s="14"/>
      <c r="DW99" s="14"/>
      <c r="DX99" s="14"/>
      <c r="DY99" s="14"/>
      <c r="DZ99" s="14"/>
      <c r="EA99" s="14"/>
      <c r="EB99" s="14"/>
      <c r="EC99" s="14"/>
      <c r="ED99" s="14"/>
      <c r="EE99" s="14"/>
      <c r="EF99" s="14"/>
      <c r="EG99" s="14"/>
      <c r="EH99" s="14"/>
      <c r="EI99" s="14"/>
      <c r="EJ99" s="14"/>
      <c r="EK99" s="14"/>
      <c r="EL99" s="14"/>
    </row>
    <row r="100" spans="1:142" x14ac:dyDescent="0.25">
      <c r="A100" s="14"/>
      <c r="B100" s="14"/>
      <c r="C100" s="19"/>
      <c r="D100" s="59"/>
      <c r="E100" s="14"/>
      <c r="F100" s="14"/>
      <c r="G100" s="107" t="s">
        <v>35</v>
      </c>
      <c r="H100" s="27">
        <f>COUNTIFS(S30_stakeholder_category,"PP",Response_Q173_3,G100)</f>
        <v>0</v>
      </c>
      <c r="I100" s="41" t="str">
        <f t="shared" ref="I100:I104" si="63">IFERROR(H100/H$104,"")</f>
        <v/>
      </c>
      <c r="J100" s="14"/>
      <c r="K100" s="14"/>
      <c r="L100" s="14"/>
      <c r="M100" s="14"/>
      <c r="N100" s="14"/>
      <c r="O100" s="14"/>
      <c r="P100" s="14"/>
      <c r="Q100" s="47"/>
      <c r="R100" s="19"/>
      <c r="S100" s="19"/>
      <c r="T100" s="19"/>
      <c r="U100" s="59"/>
      <c r="V100" s="14"/>
      <c r="W100" s="14"/>
      <c r="X100" s="107" t="s">
        <v>4</v>
      </c>
      <c r="Y100" s="27">
        <f t="shared" si="58"/>
        <v>0</v>
      </c>
      <c r="Z100" s="41">
        <f t="shared" si="59"/>
        <v>0</v>
      </c>
      <c r="AA100" s="14"/>
      <c r="AB100" s="14"/>
      <c r="AC100" s="14"/>
      <c r="AD100" s="65"/>
      <c r="AE100" s="63"/>
      <c r="AF100" s="47"/>
      <c r="AG100" s="19"/>
      <c r="AH100" s="19"/>
      <c r="AI100" s="19"/>
      <c r="AJ100" s="59"/>
      <c r="AK100" s="14"/>
      <c r="AL100" s="14"/>
      <c r="AM100" s="107" t="s">
        <v>4</v>
      </c>
      <c r="AN100" s="27">
        <f t="shared" si="60"/>
        <v>0</v>
      </c>
      <c r="AO100" s="41">
        <f t="shared" ref="AO100:AO105" si="64">IFERROR(AN100/AN$106,0)</f>
        <v>0</v>
      </c>
      <c r="AP100" s="14"/>
      <c r="AQ100" s="14"/>
      <c r="AR100" s="14"/>
      <c r="AS100" s="65"/>
      <c r="AT100" s="63"/>
      <c r="AU100" s="47"/>
      <c r="AV100" s="14"/>
      <c r="AW100" s="19"/>
      <c r="AX100" s="19"/>
      <c r="AY100" s="59"/>
      <c r="AZ100" s="14"/>
      <c r="BA100" s="14"/>
      <c r="BB100" s="107" t="s">
        <v>4</v>
      </c>
      <c r="BC100" s="27">
        <f t="shared" si="61"/>
        <v>0</v>
      </c>
      <c r="BD100" s="41">
        <f t="shared" ref="BD100:BD105" si="65">IFERROR(BC100/BC$106,0)</f>
        <v>0</v>
      </c>
      <c r="BE100" s="14"/>
      <c r="BF100" s="14"/>
      <c r="BG100" s="14"/>
      <c r="BH100" s="65"/>
      <c r="BI100" s="63"/>
      <c r="BJ100" s="352"/>
      <c r="BK100" s="19"/>
      <c r="BL100" s="19"/>
      <c r="BM100" s="19"/>
      <c r="BN100" s="59"/>
      <c r="BO100" s="14"/>
      <c r="BP100" s="14"/>
      <c r="BQ100" s="107" t="s">
        <v>4</v>
      </c>
      <c r="BR100" s="27">
        <f t="shared" si="62"/>
        <v>0</v>
      </c>
      <c r="BS100" s="41">
        <f t="shared" ref="BS100:BS105" si="66">IFERROR(BR100/BR$106,0)</f>
        <v>0</v>
      </c>
      <c r="BT100" s="14"/>
      <c r="BU100" s="14"/>
      <c r="BV100" s="14"/>
      <c r="BW100" s="65"/>
      <c r="BX100" s="63"/>
      <c r="BY100" s="352"/>
      <c r="BZ100" s="14"/>
      <c r="CA100" s="14"/>
      <c r="CB100" s="21"/>
      <c r="CC100" s="21"/>
      <c r="CD100" s="180"/>
      <c r="CE100" s="181"/>
      <c r="CF100" s="31"/>
      <c r="CG100" s="52"/>
      <c r="CH100" s="52"/>
      <c r="CI100" s="99"/>
      <c r="CJ100" s="14"/>
      <c r="CK100" s="14"/>
      <c r="CL100" s="14"/>
      <c r="CM100" s="14"/>
      <c r="CN100" s="14"/>
      <c r="CO100" s="129"/>
      <c r="CP100" s="14"/>
      <c r="CQ100" s="47"/>
      <c r="CR100" s="14"/>
      <c r="CS100" s="14"/>
      <c r="CT100" s="14"/>
      <c r="CU100" s="14"/>
      <c r="CV100" s="180"/>
      <c r="CW100" s="190"/>
      <c r="CX100" s="191"/>
      <c r="CY100" s="52"/>
      <c r="CZ100" s="52"/>
      <c r="DA100" s="54"/>
      <c r="DB100" s="14"/>
      <c r="DC100" s="14"/>
      <c r="DD100" s="14"/>
      <c r="DE100" s="14"/>
      <c r="DF100" s="14"/>
      <c r="DG100" s="129"/>
      <c r="DH100" s="14"/>
      <c r="DI100" s="47"/>
      <c r="DJ100" s="14"/>
      <c r="DK100" s="62"/>
      <c r="DL100" s="19"/>
      <c r="DM100" s="59"/>
      <c r="DN100" s="14"/>
      <c r="DO100" s="14"/>
      <c r="DP100" s="107" t="s">
        <v>35</v>
      </c>
      <c r="DQ100" s="27">
        <f>COUNTIFS(S30_stakeholder_category,"PP",Response_Q172_1,DP100,Response_Q173_3,"&lt;&gt;0")</f>
        <v>0</v>
      </c>
      <c r="DR100" s="41" t="str">
        <f>IF(DQ104=0,"",DQ100/DQ104)</f>
        <v/>
      </c>
      <c r="DS100" s="14"/>
      <c r="DT100" s="14"/>
      <c r="DU100" s="14"/>
      <c r="DV100" s="14"/>
      <c r="DW100" s="14"/>
      <c r="DX100" s="14"/>
      <c r="DY100" s="14"/>
      <c r="DZ100" s="14"/>
      <c r="EA100" s="14"/>
      <c r="EB100" s="14"/>
      <c r="EC100" s="14"/>
      <c r="ED100" s="14"/>
      <c r="EE100" s="14"/>
      <c r="EF100" s="14"/>
      <c r="EG100" s="14"/>
      <c r="EH100" s="14"/>
      <c r="EI100" s="14"/>
      <c r="EJ100" s="14"/>
      <c r="EK100" s="14"/>
      <c r="EL100" s="14"/>
    </row>
    <row r="101" spans="1:142" x14ac:dyDescent="0.25">
      <c r="A101" s="14"/>
      <c r="B101" s="62"/>
      <c r="C101" s="19"/>
      <c r="D101" s="59"/>
      <c r="E101" s="14"/>
      <c r="F101" s="14"/>
      <c r="G101" s="107" t="s">
        <v>36</v>
      </c>
      <c r="H101" s="27">
        <f>COUNTIFS(S30_stakeholder_category,"PP",Response_Q173_3,G101)</f>
        <v>0</v>
      </c>
      <c r="I101" s="41" t="str">
        <f t="shared" si="63"/>
        <v/>
      </c>
      <c r="J101" s="14"/>
      <c r="K101" s="14"/>
      <c r="L101" s="14"/>
      <c r="M101" s="14"/>
      <c r="N101" s="14"/>
      <c r="O101" s="14"/>
      <c r="P101" s="14"/>
      <c r="Q101" s="47"/>
      <c r="R101" s="19"/>
      <c r="S101" s="14"/>
      <c r="T101" s="19"/>
      <c r="U101" s="59"/>
      <c r="V101" s="14"/>
      <c r="W101" s="14"/>
      <c r="X101" s="107" t="s">
        <v>33</v>
      </c>
      <c r="Y101" s="27">
        <f t="shared" si="58"/>
        <v>0</v>
      </c>
      <c r="Z101" s="41">
        <f t="shared" si="59"/>
        <v>0</v>
      </c>
      <c r="AA101" s="14"/>
      <c r="AB101" s="14"/>
      <c r="AC101" s="14"/>
      <c r="AD101" s="65"/>
      <c r="AE101" s="63"/>
      <c r="AF101" s="47"/>
      <c r="AG101" s="19"/>
      <c r="AH101" s="14"/>
      <c r="AI101" s="19"/>
      <c r="AJ101" s="59"/>
      <c r="AK101" s="14"/>
      <c r="AL101" s="14"/>
      <c r="AM101" s="107" t="s">
        <v>33</v>
      </c>
      <c r="AN101" s="27">
        <f t="shared" si="60"/>
        <v>0</v>
      </c>
      <c r="AO101" s="41">
        <f t="shared" si="64"/>
        <v>0</v>
      </c>
      <c r="AP101" s="14"/>
      <c r="AQ101" s="14"/>
      <c r="AR101" s="14"/>
      <c r="AS101" s="65"/>
      <c r="AT101" s="63"/>
      <c r="AU101" s="47"/>
      <c r="AV101" s="14"/>
      <c r="AW101" s="14"/>
      <c r="AX101" s="19"/>
      <c r="AY101" s="59"/>
      <c r="AZ101" s="14"/>
      <c r="BA101" s="14"/>
      <c r="BB101" s="107" t="s">
        <v>33</v>
      </c>
      <c r="BC101" s="27">
        <f t="shared" si="61"/>
        <v>0</v>
      </c>
      <c r="BD101" s="41">
        <f t="shared" si="65"/>
        <v>0</v>
      </c>
      <c r="BE101" s="14"/>
      <c r="BF101" s="14"/>
      <c r="BG101" s="14"/>
      <c r="BH101" s="65"/>
      <c r="BI101" s="63"/>
      <c r="BJ101" s="352"/>
      <c r="BK101" s="19"/>
      <c r="BL101" s="14"/>
      <c r="BM101" s="19"/>
      <c r="BN101" s="59"/>
      <c r="BO101" s="14"/>
      <c r="BP101" s="14"/>
      <c r="BQ101" s="107" t="s">
        <v>33</v>
      </c>
      <c r="BR101" s="27">
        <f t="shared" si="62"/>
        <v>0</v>
      </c>
      <c r="BS101" s="41">
        <f t="shared" si="66"/>
        <v>0</v>
      </c>
      <c r="BT101" s="14"/>
      <c r="BU101" s="14"/>
      <c r="BV101" s="14"/>
      <c r="BW101" s="65"/>
      <c r="BX101" s="63"/>
      <c r="BY101" s="352"/>
      <c r="BZ101" s="14"/>
      <c r="CA101" s="14"/>
      <c r="CB101" s="21"/>
      <c r="CC101" s="21"/>
      <c r="CD101" s="180"/>
      <c r="CE101" s="181"/>
      <c r="CF101" s="31"/>
      <c r="CG101" s="52"/>
      <c r="CH101" s="52"/>
      <c r="CI101" s="99"/>
      <c r="CJ101" s="14"/>
      <c r="CK101" s="14"/>
      <c r="CL101" s="14"/>
      <c r="CM101" s="14"/>
      <c r="CN101" s="14"/>
      <c r="CO101" s="129"/>
      <c r="CP101" s="14"/>
      <c r="CQ101" s="47"/>
      <c r="CR101" s="14"/>
      <c r="CS101" s="14"/>
      <c r="CT101" s="14"/>
      <c r="CU101" s="14"/>
      <c r="CV101" s="180"/>
      <c r="CW101" s="190"/>
      <c r="CX101" s="191"/>
      <c r="CY101" s="52"/>
      <c r="CZ101" s="52"/>
      <c r="DA101" s="54"/>
      <c r="DB101" s="14"/>
      <c r="DC101" s="14"/>
      <c r="DD101" s="14"/>
      <c r="DE101" s="14"/>
      <c r="DF101" s="14"/>
      <c r="DG101" s="129"/>
      <c r="DH101" s="14"/>
      <c r="DI101" s="47"/>
      <c r="DJ101" s="14"/>
      <c r="DK101" s="62"/>
      <c r="DL101" s="19"/>
      <c r="DM101" s="59"/>
      <c r="DN101" s="14"/>
      <c r="DO101" s="14"/>
      <c r="DP101" s="107" t="s">
        <v>36</v>
      </c>
      <c r="DQ101" s="27">
        <f>COUNTIFS(S30_stakeholder_category,"PP",Response_Q172_1,DP101,Response_Q173_3,"&lt;&gt;0")</f>
        <v>0</v>
      </c>
      <c r="DR101" s="41" t="str">
        <f>IF(DQ104=0,"",DQ101/DQ104)</f>
        <v/>
      </c>
      <c r="DS101" s="14"/>
      <c r="DT101" s="14"/>
      <c r="DU101" s="14"/>
      <c r="DV101" s="14"/>
      <c r="DW101" s="14"/>
      <c r="DX101" s="14"/>
      <c r="DY101" s="14"/>
      <c r="DZ101" s="14"/>
      <c r="EA101" s="14"/>
      <c r="EB101" s="14"/>
      <c r="EC101" s="14"/>
      <c r="ED101" s="14"/>
      <c r="EE101" s="14"/>
      <c r="EF101" s="14"/>
      <c r="EG101" s="14"/>
      <c r="EH101" s="14"/>
      <c r="EI101" s="14"/>
      <c r="EJ101" s="14"/>
      <c r="EK101" s="14"/>
      <c r="EL101" s="14"/>
    </row>
    <row r="102" spans="1:142" x14ac:dyDescent="0.25">
      <c r="A102" s="14"/>
      <c r="B102" s="62"/>
      <c r="C102" s="19"/>
      <c r="D102" s="59"/>
      <c r="E102" s="14"/>
      <c r="F102" s="14"/>
      <c r="G102" s="107" t="s">
        <v>38</v>
      </c>
      <c r="H102" s="27">
        <f>COUNTIFS(S30_stakeholder_category,"PP",Response_Q173_3,G102)</f>
        <v>0</v>
      </c>
      <c r="I102" s="41" t="str">
        <f t="shared" si="63"/>
        <v/>
      </c>
      <c r="J102" s="14"/>
      <c r="K102" s="14"/>
      <c r="L102" s="14"/>
      <c r="M102" s="14"/>
      <c r="N102" s="14"/>
      <c r="O102" s="14"/>
      <c r="P102" s="14"/>
      <c r="Q102" s="47"/>
      <c r="R102" s="19"/>
      <c r="S102" s="14"/>
      <c r="T102" s="19"/>
      <c r="U102" s="59"/>
      <c r="V102" s="14"/>
      <c r="W102" s="14"/>
      <c r="X102" s="107" t="s">
        <v>29</v>
      </c>
      <c r="Y102" s="27">
        <f t="shared" si="58"/>
        <v>0</v>
      </c>
      <c r="Z102" s="41">
        <f t="shared" si="59"/>
        <v>0</v>
      </c>
      <c r="AA102" s="14"/>
      <c r="AB102" s="14"/>
      <c r="AC102" s="14"/>
      <c r="AD102" s="65"/>
      <c r="AE102" s="63"/>
      <c r="AF102" s="47"/>
      <c r="AG102" s="19"/>
      <c r="AH102" s="14"/>
      <c r="AI102" s="19"/>
      <c r="AJ102" s="59"/>
      <c r="AK102" s="14"/>
      <c r="AL102" s="14"/>
      <c r="AM102" s="107" t="s">
        <v>29</v>
      </c>
      <c r="AN102" s="27">
        <f t="shared" si="60"/>
        <v>0</v>
      </c>
      <c r="AO102" s="41">
        <f t="shared" si="64"/>
        <v>0</v>
      </c>
      <c r="AP102" s="14"/>
      <c r="AQ102" s="14"/>
      <c r="AR102" s="14"/>
      <c r="AS102" s="65"/>
      <c r="AT102" s="63"/>
      <c r="AU102" s="47"/>
      <c r="AV102" s="14"/>
      <c r="AW102" s="14"/>
      <c r="AX102" s="19"/>
      <c r="AY102" s="59"/>
      <c r="AZ102" s="14"/>
      <c r="BA102" s="14"/>
      <c r="BB102" s="107" t="s">
        <v>29</v>
      </c>
      <c r="BC102" s="27">
        <f t="shared" si="61"/>
        <v>0</v>
      </c>
      <c r="BD102" s="41">
        <f t="shared" si="65"/>
        <v>0</v>
      </c>
      <c r="BE102" s="14"/>
      <c r="BF102" s="14"/>
      <c r="BG102" s="14"/>
      <c r="BH102" s="65"/>
      <c r="BI102" s="63"/>
      <c r="BJ102" s="352"/>
      <c r="BK102" s="19"/>
      <c r="BL102" s="14"/>
      <c r="BM102" s="19"/>
      <c r="BN102" s="59"/>
      <c r="BO102" s="14"/>
      <c r="BP102" s="14"/>
      <c r="BQ102" s="107" t="s">
        <v>29</v>
      </c>
      <c r="BR102" s="27">
        <f t="shared" si="62"/>
        <v>0</v>
      </c>
      <c r="BS102" s="41">
        <f t="shared" si="66"/>
        <v>0</v>
      </c>
      <c r="BT102" s="14"/>
      <c r="BU102" s="14"/>
      <c r="BV102" s="14"/>
      <c r="BW102" s="65"/>
      <c r="BX102" s="63"/>
      <c r="BY102" s="352"/>
      <c r="BZ102" s="14"/>
      <c r="CA102" s="14"/>
      <c r="CB102" s="21"/>
      <c r="CC102" s="21"/>
      <c r="CD102" s="180"/>
      <c r="CE102" s="181"/>
      <c r="CF102" s="31"/>
      <c r="CG102" s="52"/>
      <c r="CH102" s="52"/>
      <c r="CI102" s="99"/>
      <c r="CJ102" s="14"/>
      <c r="CK102" s="14"/>
      <c r="CL102" s="14"/>
      <c r="CM102" s="14"/>
      <c r="CN102" s="14"/>
      <c r="CO102" s="129"/>
      <c r="CP102" s="14"/>
      <c r="CQ102" s="47"/>
      <c r="CR102" s="14"/>
      <c r="CS102" s="14"/>
      <c r="CT102" s="14"/>
      <c r="CU102" s="14"/>
      <c r="CV102" s="180"/>
      <c r="CW102" s="190"/>
      <c r="CX102" s="191"/>
      <c r="CY102" s="52"/>
      <c r="CZ102" s="52"/>
      <c r="DA102" s="54"/>
      <c r="DB102" s="14"/>
      <c r="DC102" s="14"/>
      <c r="DD102" s="14"/>
      <c r="DE102" s="14"/>
      <c r="DF102" s="14"/>
      <c r="DG102" s="129"/>
      <c r="DH102" s="14"/>
      <c r="DI102" s="47"/>
      <c r="DJ102" s="14"/>
      <c r="DK102" s="62"/>
      <c r="DL102" s="19"/>
      <c r="DM102" s="59"/>
      <c r="DN102" s="14"/>
      <c r="DO102" s="14"/>
      <c r="DP102" s="107" t="s">
        <v>38</v>
      </c>
      <c r="DQ102" s="27">
        <f>COUNTIFS(S30_stakeholder_category,"PP",Response_Q172_1,DP102,Response_Q173_3,"&lt;&gt;0")</f>
        <v>0</v>
      </c>
      <c r="DR102" s="41" t="str">
        <f>IF(DQ104=0,"",DQ102/DQ104)</f>
        <v/>
      </c>
      <c r="DS102" s="14"/>
      <c r="DT102" s="14"/>
      <c r="DU102" s="14"/>
      <c r="DV102" s="14"/>
      <c r="DW102" s="14"/>
      <c r="DX102" s="14"/>
      <c r="DY102" s="14"/>
      <c r="DZ102" s="14"/>
      <c r="EA102" s="14"/>
      <c r="EB102" s="14"/>
      <c r="EC102" s="14"/>
      <c r="ED102" s="14"/>
      <c r="EE102" s="14"/>
      <c r="EF102" s="14"/>
      <c r="EG102" s="14"/>
      <c r="EH102" s="14"/>
      <c r="EI102" s="14"/>
      <c r="EJ102" s="14"/>
      <c r="EK102" s="14"/>
      <c r="EL102" s="14"/>
    </row>
    <row r="103" spans="1:142" x14ac:dyDescent="0.25">
      <c r="A103" s="14"/>
      <c r="B103" s="62"/>
      <c r="C103" s="19"/>
      <c r="D103" s="59"/>
      <c r="E103" s="14"/>
      <c r="F103" s="14"/>
      <c r="G103" s="107" t="s">
        <v>39</v>
      </c>
      <c r="H103" s="27">
        <f>COUNTIFS(S30_stakeholder_category,"PP",Response_Q173_3,G103)</f>
        <v>0</v>
      </c>
      <c r="I103" s="41" t="str">
        <f t="shared" si="63"/>
        <v/>
      </c>
      <c r="J103" s="14"/>
      <c r="K103" s="14"/>
      <c r="L103" s="14"/>
      <c r="M103" s="14"/>
      <c r="N103" s="14"/>
      <c r="O103" s="14"/>
      <c r="P103" s="14"/>
      <c r="Q103" s="47"/>
      <c r="R103" s="19"/>
      <c r="S103" s="62"/>
      <c r="T103" s="19"/>
      <c r="U103" s="59"/>
      <c r="V103" s="14"/>
      <c r="W103" s="14"/>
      <c r="X103" s="107" t="s">
        <v>3</v>
      </c>
      <c r="Y103" s="27">
        <f t="shared" si="58"/>
        <v>0</v>
      </c>
      <c r="Z103" s="41">
        <f t="shared" si="59"/>
        <v>0</v>
      </c>
      <c r="AA103" s="14"/>
      <c r="AB103" s="14"/>
      <c r="AC103" s="14"/>
      <c r="AD103" s="65"/>
      <c r="AE103" s="63"/>
      <c r="AF103" s="47"/>
      <c r="AG103" s="19"/>
      <c r="AH103" s="62"/>
      <c r="AI103" s="19"/>
      <c r="AJ103" s="59"/>
      <c r="AK103" s="14"/>
      <c r="AL103" s="14"/>
      <c r="AM103" s="107" t="s">
        <v>3</v>
      </c>
      <c r="AN103" s="27">
        <f t="shared" si="60"/>
        <v>0</v>
      </c>
      <c r="AO103" s="41">
        <f t="shared" si="64"/>
        <v>0</v>
      </c>
      <c r="AP103" s="14"/>
      <c r="AQ103" s="14"/>
      <c r="AR103" s="14"/>
      <c r="AS103" s="65"/>
      <c r="AT103" s="63"/>
      <c r="AU103" s="47"/>
      <c r="AV103" s="14"/>
      <c r="AW103" s="62"/>
      <c r="AX103" s="19"/>
      <c r="AY103" s="59"/>
      <c r="AZ103" s="14"/>
      <c r="BA103" s="14"/>
      <c r="BB103" s="107" t="s">
        <v>3</v>
      </c>
      <c r="BC103" s="27">
        <f t="shared" si="61"/>
        <v>0</v>
      </c>
      <c r="BD103" s="41">
        <f t="shared" si="65"/>
        <v>0</v>
      </c>
      <c r="BE103" s="14"/>
      <c r="BF103" s="14"/>
      <c r="BG103" s="14"/>
      <c r="BH103" s="65"/>
      <c r="BI103" s="63"/>
      <c r="BJ103" s="352"/>
      <c r="BK103" s="19"/>
      <c r="BL103" s="62"/>
      <c r="BM103" s="19"/>
      <c r="BN103" s="59"/>
      <c r="BO103" s="14"/>
      <c r="BP103" s="14"/>
      <c r="BQ103" s="107" t="s">
        <v>3</v>
      </c>
      <c r="BR103" s="27">
        <f t="shared" si="62"/>
        <v>0</v>
      </c>
      <c r="BS103" s="41">
        <f t="shared" si="66"/>
        <v>0</v>
      </c>
      <c r="BT103" s="14"/>
      <c r="BU103" s="14"/>
      <c r="BV103" s="14"/>
      <c r="BW103" s="65"/>
      <c r="BX103" s="63"/>
      <c r="BY103" s="352"/>
      <c r="BZ103" s="14"/>
      <c r="CA103" s="14"/>
      <c r="CB103" s="21"/>
      <c r="CC103" s="21"/>
      <c r="CD103" s="180"/>
      <c r="CE103" s="181"/>
      <c r="CF103" s="31"/>
      <c r="CG103" s="52"/>
      <c r="CH103" s="52"/>
      <c r="CI103" s="99"/>
      <c r="CJ103" s="14"/>
      <c r="CK103" s="14"/>
      <c r="CL103" s="14"/>
      <c r="CM103" s="14"/>
      <c r="CN103" s="14"/>
      <c r="CO103" s="129"/>
      <c r="CP103" s="14"/>
      <c r="CQ103" s="47"/>
      <c r="CR103" s="14"/>
      <c r="CS103" s="14"/>
      <c r="CT103" s="14"/>
      <c r="CU103" s="14"/>
      <c r="CV103" s="180"/>
      <c r="CW103" s="190"/>
      <c r="CX103" s="191"/>
      <c r="CY103" s="52"/>
      <c r="CZ103" s="52"/>
      <c r="DA103" s="54"/>
      <c r="DB103" s="14"/>
      <c r="DC103" s="14"/>
      <c r="DD103" s="14"/>
      <c r="DE103" s="14"/>
      <c r="DF103" s="14"/>
      <c r="DG103" s="129"/>
      <c r="DH103" s="14"/>
      <c r="DI103" s="47"/>
      <c r="DJ103" s="14"/>
      <c r="DK103" s="62"/>
      <c r="DL103" s="19"/>
      <c r="DM103" s="59"/>
      <c r="DN103" s="14"/>
      <c r="DO103" s="14"/>
      <c r="DP103" s="107" t="s">
        <v>39</v>
      </c>
      <c r="DQ103" s="27">
        <f>COUNTIFS(S30_stakeholder_category,"PP",Response_Q172_1,DP103,Response_Q173_3,"&lt;&gt;0")</f>
        <v>0</v>
      </c>
      <c r="DR103" s="41" t="str">
        <f>IF(DQ104=0,"",DQ103/DQ104)</f>
        <v/>
      </c>
      <c r="DS103" s="14"/>
      <c r="DT103" s="14"/>
      <c r="DU103" s="14"/>
      <c r="DV103" s="14"/>
      <c r="DW103" s="14"/>
      <c r="DX103" s="14"/>
      <c r="DY103" s="14"/>
      <c r="DZ103" s="14"/>
      <c r="EA103" s="14"/>
      <c r="EB103" s="14"/>
      <c r="EC103" s="14"/>
      <c r="ED103" s="14"/>
      <c r="EE103" s="14"/>
      <c r="EF103" s="14"/>
      <c r="EG103" s="14"/>
      <c r="EH103" s="14"/>
      <c r="EI103" s="14"/>
      <c r="EJ103" s="14"/>
      <c r="EK103" s="14"/>
      <c r="EL103" s="14"/>
    </row>
    <row r="104" spans="1:142" x14ac:dyDescent="0.25">
      <c r="A104" s="14"/>
      <c r="B104" s="62"/>
      <c r="C104" s="19"/>
      <c r="D104" s="59"/>
      <c r="E104" s="14"/>
      <c r="F104" s="14"/>
      <c r="G104" s="86" t="s">
        <v>145</v>
      </c>
      <c r="H104" s="111">
        <f>COUNTIFS(S30_stakeholder_category,"PP",Response_Q173_3,"&lt;&gt;0")</f>
        <v>0</v>
      </c>
      <c r="I104" s="119" t="str">
        <f t="shared" si="63"/>
        <v/>
      </c>
      <c r="J104" s="14"/>
      <c r="K104" s="14"/>
      <c r="L104" s="14"/>
      <c r="M104" s="14"/>
      <c r="N104" s="14"/>
      <c r="O104" s="14"/>
      <c r="P104" s="14"/>
      <c r="Q104" s="47"/>
      <c r="R104" s="19"/>
      <c r="S104" s="62"/>
      <c r="T104" s="19"/>
      <c r="U104" s="59"/>
      <c r="V104" s="14"/>
      <c r="W104" s="14"/>
      <c r="X104" s="107" t="s">
        <v>54</v>
      </c>
      <c r="Y104" s="27">
        <f t="shared" si="58"/>
        <v>0</v>
      </c>
      <c r="Z104" s="41">
        <f t="shared" si="59"/>
        <v>0</v>
      </c>
      <c r="AA104" s="14"/>
      <c r="AB104" s="14"/>
      <c r="AC104" s="14"/>
      <c r="AD104" s="65"/>
      <c r="AE104" s="63"/>
      <c r="AF104" s="47"/>
      <c r="AG104" s="19"/>
      <c r="AH104" s="62"/>
      <c r="AI104" s="19"/>
      <c r="AJ104" s="59"/>
      <c r="AK104" s="14"/>
      <c r="AL104" s="14"/>
      <c r="AM104" s="107" t="s">
        <v>54</v>
      </c>
      <c r="AN104" s="27">
        <f t="shared" si="60"/>
        <v>0</v>
      </c>
      <c r="AO104" s="41">
        <f t="shared" si="64"/>
        <v>0</v>
      </c>
      <c r="AP104" s="14"/>
      <c r="AQ104" s="14"/>
      <c r="AR104" s="14"/>
      <c r="AS104" s="65"/>
      <c r="AT104" s="63"/>
      <c r="AU104" s="47"/>
      <c r="AV104" s="14"/>
      <c r="AW104" s="62"/>
      <c r="AX104" s="19"/>
      <c r="AY104" s="59"/>
      <c r="AZ104" s="14"/>
      <c r="BA104" s="14"/>
      <c r="BB104" s="107" t="s">
        <v>54</v>
      </c>
      <c r="BC104" s="27">
        <f t="shared" si="61"/>
        <v>0</v>
      </c>
      <c r="BD104" s="41">
        <f t="shared" si="65"/>
        <v>0</v>
      </c>
      <c r="BE104" s="14"/>
      <c r="BF104" s="14"/>
      <c r="BG104" s="14"/>
      <c r="BH104" s="65"/>
      <c r="BI104" s="63"/>
      <c r="BJ104" s="352"/>
      <c r="BK104" s="19"/>
      <c r="BL104" s="62"/>
      <c r="BM104" s="19"/>
      <c r="BN104" s="59"/>
      <c r="BO104" s="14"/>
      <c r="BP104" s="14"/>
      <c r="BQ104" s="107" t="s">
        <v>54</v>
      </c>
      <c r="BR104" s="27">
        <f t="shared" si="62"/>
        <v>0</v>
      </c>
      <c r="BS104" s="41">
        <f t="shared" si="66"/>
        <v>0</v>
      </c>
      <c r="BT104" s="14"/>
      <c r="BU104" s="14"/>
      <c r="BV104" s="14"/>
      <c r="BW104" s="65"/>
      <c r="BX104" s="63"/>
      <c r="BY104" s="352"/>
      <c r="BZ104" s="14"/>
      <c r="CA104" s="14"/>
      <c r="CB104" s="21"/>
      <c r="CC104" s="21"/>
      <c r="CD104" s="180"/>
      <c r="CE104" s="181"/>
      <c r="CF104" s="31"/>
      <c r="CG104" s="52"/>
      <c r="CH104" s="52"/>
      <c r="CI104" s="99"/>
      <c r="CJ104" s="14"/>
      <c r="CK104" s="14"/>
      <c r="CL104" s="14"/>
      <c r="CM104" s="14"/>
      <c r="CN104" s="14"/>
      <c r="CO104" s="129"/>
      <c r="CP104" s="14"/>
      <c r="CQ104" s="47"/>
      <c r="CR104" s="14"/>
      <c r="CS104" s="14"/>
      <c r="CT104" s="14"/>
      <c r="CU104" s="14"/>
      <c r="CV104" s="180"/>
      <c r="CW104" s="190"/>
      <c r="CX104" s="191"/>
      <c r="CY104" s="52"/>
      <c r="CZ104" s="52"/>
      <c r="DA104" s="54"/>
      <c r="DB104" s="14"/>
      <c r="DC104" s="14"/>
      <c r="DD104" s="14"/>
      <c r="DE104" s="14"/>
      <c r="DF104" s="14"/>
      <c r="DG104" s="129"/>
      <c r="DH104" s="14"/>
      <c r="DI104" s="47"/>
      <c r="DJ104" s="14"/>
      <c r="DK104" s="62"/>
      <c r="DL104" s="19"/>
      <c r="DM104" s="59"/>
      <c r="DN104" s="14"/>
      <c r="DO104" s="14"/>
      <c r="DP104" s="86" t="s">
        <v>145</v>
      </c>
      <c r="DQ104" s="111">
        <f>COUNTIFS(S30_stakeholder_category,"PP",Response_Q172_1,"&lt;&gt;0",Response_Q173_3,"&lt;&gt;0")</f>
        <v>0</v>
      </c>
      <c r="DR104" s="119" t="str">
        <f>IF(DQ104=0,"",DQ104/DQ104)</f>
        <v/>
      </c>
      <c r="DS104" s="14"/>
      <c r="DT104" s="14"/>
      <c r="DU104" s="14"/>
      <c r="DV104" s="14"/>
      <c r="DW104" s="14"/>
      <c r="DX104" s="14"/>
      <c r="DY104" s="14"/>
      <c r="DZ104" s="14"/>
      <c r="EA104" s="14"/>
      <c r="EB104" s="14"/>
      <c r="EC104" s="14"/>
      <c r="ED104" s="14"/>
      <c r="EE104" s="14"/>
      <c r="EF104" s="14"/>
      <c r="EG104" s="14"/>
      <c r="EH104" s="14"/>
      <c r="EI104" s="14"/>
      <c r="EJ104" s="14"/>
      <c r="EK104" s="14"/>
      <c r="EL104" s="14"/>
    </row>
    <row r="105" spans="1:142" x14ac:dyDescent="0.25">
      <c r="A105" s="14"/>
      <c r="B105" s="62"/>
      <c r="C105" s="19"/>
      <c r="D105" s="59"/>
      <c r="E105" s="14"/>
      <c r="F105" s="14"/>
      <c r="G105" s="14"/>
      <c r="H105" s="21"/>
      <c r="I105" s="21"/>
      <c r="J105" s="14"/>
      <c r="K105" s="14"/>
      <c r="L105" s="14"/>
      <c r="M105" s="14"/>
      <c r="N105" s="14"/>
      <c r="O105" s="14"/>
      <c r="P105" s="14"/>
      <c r="Q105" s="47"/>
      <c r="R105" s="19"/>
      <c r="S105" s="62"/>
      <c r="T105" s="19"/>
      <c r="U105" s="59"/>
      <c r="V105" s="14"/>
      <c r="W105" s="14"/>
      <c r="X105" s="107" t="s">
        <v>39</v>
      </c>
      <c r="Y105" s="27">
        <f t="shared" si="58"/>
        <v>0</v>
      </c>
      <c r="Z105" s="41">
        <f t="shared" si="59"/>
        <v>0</v>
      </c>
      <c r="AA105" s="14"/>
      <c r="AB105" s="14"/>
      <c r="AC105" s="14"/>
      <c r="AD105" s="65"/>
      <c r="AE105" s="63"/>
      <c r="AF105" s="47"/>
      <c r="AG105" s="19"/>
      <c r="AH105" s="62"/>
      <c r="AI105" s="19"/>
      <c r="AJ105" s="59"/>
      <c r="AK105" s="14"/>
      <c r="AL105" s="14"/>
      <c r="AM105" s="107" t="s">
        <v>39</v>
      </c>
      <c r="AN105" s="27">
        <f t="shared" si="60"/>
        <v>0</v>
      </c>
      <c r="AO105" s="41">
        <f t="shared" si="64"/>
        <v>0</v>
      </c>
      <c r="AP105" s="14"/>
      <c r="AQ105" s="14"/>
      <c r="AR105" s="14"/>
      <c r="AS105" s="65"/>
      <c r="AT105" s="63"/>
      <c r="AU105" s="47"/>
      <c r="AV105" s="14"/>
      <c r="AW105" s="62"/>
      <c r="AX105" s="19"/>
      <c r="AY105" s="59"/>
      <c r="AZ105" s="14"/>
      <c r="BA105" s="14"/>
      <c r="BB105" s="107" t="s">
        <v>39</v>
      </c>
      <c r="BC105" s="27">
        <f t="shared" si="61"/>
        <v>0</v>
      </c>
      <c r="BD105" s="41">
        <f t="shared" si="65"/>
        <v>0</v>
      </c>
      <c r="BE105" s="14"/>
      <c r="BF105" s="14"/>
      <c r="BG105" s="14"/>
      <c r="BH105" s="65"/>
      <c r="BI105" s="63"/>
      <c r="BJ105" s="352"/>
      <c r="BK105" s="19"/>
      <c r="BL105" s="62"/>
      <c r="BM105" s="19"/>
      <c r="BN105" s="59"/>
      <c r="BO105" s="14"/>
      <c r="BP105" s="14"/>
      <c r="BQ105" s="107" t="s">
        <v>39</v>
      </c>
      <c r="BR105" s="27">
        <f t="shared" si="62"/>
        <v>0</v>
      </c>
      <c r="BS105" s="41">
        <f t="shared" si="66"/>
        <v>0</v>
      </c>
      <c r="BT105" s="14"/>
      <c r="BU105" s="14"/>
      <c r="BV105" s="14"/>
      <c r="BW105" s="65"/>
      <c r="BX105" s="63"/>
      <c r="BY105" s="352"/>
      <c r="BZ105" s="14"/>
      <c r="CA105" s="14"/>
      <c r="CB105" s="21"/>
      <c r="CC105" s="21"/>
      <c r="CD105" s="180"/>
      <c r="CE105" s="181"/>
      <c r="CF105" s="31"/>
      <c r="CG105" s="52"/>
      <c r="CH105" s="52"/>
      <c r="CI105" s="99"/>
      <c r="CJ105" s="14"/>
      <c r="CK105" s="14"/>
      <c r="CL105" s="14"/>
      <c r="CM105" s="14"/>
      <c r="CN105" s="14"/>
      <c r="CO105" s="129"/>
      <c r="CP105" s="14"/>
      <c r="CQ105" s="47"/>
      <c r="CR105" s="14"/>
      <c r="CS105" s="14"/>
      <c r="CT105" s="14"/>
      <c r="CU105" s="14"/>
      <c r="CV105" s="180"/>
      <c r="CW105" s="190"/>
      <c r="CX105" s="191"/>
      <c r="CY105" s="52"/>
      <c r="CZ105" s="52"/>
      <c r="DA105" s="54"/>
      <c r="DB105" s="14"/>
      <c r="DC105" s="14"/>
      <c r="DD105" s="14"/>
      <c r="DE105" s="14"/>
      <c r="DF105" s="14"/>
      <c r="DG105" s="129"/>
      <c r="DH105" s="14"/>
      <c r="DI105" s="47"/>
      <c r="DJ105" s="14"/>
      <c r="DK105" s="62"/>
      <c r="DL105" s="19"/>
      <c r="DM105" s="59"/>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row>
    <row r="106" spans="1:142" x14ac:dyDescent="0.25">
      <c r="A106" s="14"/>
      <c r="B106" s="62"/>
      <c r="C106" s="19"/>
      <c r="D106" s="59"/>
      <c r="E106" s="14"/>
      <c r="F106" s="14"/>
      <c r="G106" s="14"/>
      <c r="H106" s="21"/>
      <c r="I106" s="21"/>
      <c r="J106" s="14"/>
      <c r="K106" s="14"/>
      <c r="L106" s="14"/>
      <c r="M106" s="14"/>
      <c r="N106" s="14"/>
      <c r="O106" s="14"/>
      <c r="P106" s="14"/>
      <c r="Q106" s="47"/>
      <c r="R106" s="19"/>
      <c r="S106" s="62"/>
      <c r="T106" s="19"/>
      <c r="U106" s="59"/>
      <c r="V106" s="14"/>
      <c r="W106" s="14"/>
      <c r="X106" s="86" t="s">
        <v>145</v>
      </c>
      <c r="Y106" s="111">
        <f>COUNTIFS(S30_stakeholder_category,"PP",Response_Q176_2,"&lt;&gt;0")</f>
        <v>0</v>
      </c>
      <c r="Z106" s="119">
        <f t="shared" si="59"/>
        <v>0</v>
      </c>
      <c r="AA106" s="14"/>
      <c r="AB106" s="14"/>
      <c r="AC106" s="14"/>
      <c r="AD106" s="65"/>
      <c r="AE106" s="63"/>
      <c r="AF106" s="47"/>
      <c r="AG106" s="19"/>
      <c r="AH106" s="62"/>
      <c r="AI106" s="19"/>
      <c r="AJ106" s="59"/>
      <c r="AK106" s="14"/>
      <c r="AL106" s="14"/>
      <c r="AM106" s="86" t="s">
        <v>145</v>
      </c>
      <c r="AN106" s="111">
        <f>COUNTIFS(S30_stakeholder_category,"PP",Response_30b_CaseA,"&lt;&gt;0")</f>
        <v>1</v>
      </c>
      <c r="AO106" s="119">
        <f>IFERROR(AN106/AN$106,0)</f>
        <v>1</v>
      </c>
      <c r="AP106" s="14"/>
      <c r="AQ106" s="14"/>
      <c r="AR106" s="14"/>
      <c r="AS106" s="65"/>
      <c r="AT106" s="63"/>
      <c r="AU106" s="47"/>
      <c r="AV106" s="14"/>
      <c r="AW106" s="62"/>
      <c r="AX106" s="19"/>
      <c r="AY106" s="59"/>
      <c r="AZ106" s="14"/>
      <c r="BA106" s="14"/>
      <c r="BB106" s="86" t="s">
        <v>145</v>
      </c>
      <c r="BC106" s="111">
        <f>COUNTIFS(S30_stakeholder_category,"PP",Response_30b_CaseB,"&lt;&gt;0")</f>
        <v>1</v>
      </c>
      <c r="BD106" s="119">
        <f>IFERROR(BC106/BC$106,0)</f>
        <v>1</v>
      </c>
      <c r="BE106" s="14"/>
      <c r="BF106" s="14"/>
      <c r="BG106" s="14"/>
      <c r="BH106" s="65"/>
      <c r="BI106" s="63"/>
      <c r="BJ106" s="352"/>
      <c r="BK106" s="19"/>
      <c r="BL106" s="62"/>
      <c r="BM106" s="19"/>
      <c r="BN106" s="59"/>
      <c r="BO106" s="14"/>
      <c r="BP106" s="14"/>
      <c r="BQ106" s="86" t="s">
        <v>145</v>
      </c>
      <c r="BR106" s="111">
        <f>COUNTIFS(S30_stakeholder_category,"PP",Response_30b_CaseC,"&lt;&gt;0")</f>
        <v>1</v>
      </c>
      <c r="BS106" s="119">
        <f>IFERROR(BR106/BR$106,0)</f>
        <v>1</v>
      </c>
      <c r="BT106" s="14"/>
      <c r="BU106" s="14"/>
      <c r="BV106" s="14"/>
      <c r="BW106" s="65"/>
      <c r="BX106" s="63"/>
      <c r="BY106" s="352"/>
      <c r="BZ106" s="14"/>
      <c r="CA106" s="14"/>
      <c r="CB106" s="21"/>
      <c r="CC106" s="21"/>
      <c r="CD106" s="180"/>
      <c r="CE106" s="181"/>
      <c r="CF106" s="31"/>
      <c r="CG106" s="52"/>
      <c r="CH106" s="52"/>
      <c r="CI106" s="99"/>
      <c r="CJ106" s="14"/>
      <c r="CK106" s="14"/>
      <c r="CL106" s="14"/>
      <c r="CM106" s="14"/>
      <c r="CN106" s="14"/>
      <c r="CO106" s="129"/>
      <c r="CP106" s="14"/>
      <c r="CQ106" s="47"/>
      <c r="CR106" s="14"/>
      <c r="CS106" s="14"/>
      <c r="CT106" s="14"/>
      <c r="CU106" s="14"/>
      <c r="CV106" s="180"/>
      <c r="CW106" s="190"/>
      <c r="CX106" s="191"/>
      <c r="CY106" s="52"/>
      <c r="CZ106" s="52"/>
      <c r="DA106" s="54"/>
      <c r="DB106" s="14"/>
      <c r="DC106" s="14"/>
      <c r="DD106" s="14"/>
      <c r="DE106" s="14"/>
      <c r="DF106" s="14"/>
      <c r="DG106" s="129"/>
      <c r="DH106" s="14"/>
      <c r="DI106" s="47"/>
      <c r="DJ106" s="14"/>
      <c r="DK106" s="62"/>
      <c r="DL106" s="19"/>
      <c r="DM106" s="59"/>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row>
    <row r="107" spans="1:142" s="135" customFormat="1" ht="16.5" customHeight="1" x14ac:dyDescent="0.25">
      <c r="A107" s="14"/>
      <c r="B107" s="13"/>
      <c r="C107" s="13"/>
      <c r="D107" s="21"/>
      <c r="E107" s="14"/>
      <c r="F107" s="14"/>
      <c r="G107" s="14"/>
      <c r="H107" s="21"/>
      <c r="I107" s="21"/>
      <c r="J107" s="14"/>
      <c r="K107" s="14"/>
      <c r="L107" s="14"/>
      <c r="M107" s="14"/>
      <c r="N107" s="14"/>
      <c r="O107" s="14"/>
      <c r="P107" s="14"/>
      <c r="Q107" s="47"/>
      <c r="R107" s="19"/>
      <c r="S107" s="13"/>
      <c r="T107" s="13"/>
      <c r="U107" s="21"/>
      <c r="V107" s="14"/>
      <c r="W107" s="14"/>
      <c r="X107" s="14"/>
      <c r="Y107" s="14"/>
      <c r="Z107" s="14"/>
      <c r="AA107" s="14"/>
      <c r="AB107" s="14"/>
      <c r="AC107" s="14"/>
      <c r="AD107" s="65"/>
      <c r="AE107" s="63"/>
      <c r="AF107" s="47"/>
      <c r="AG107" s="19"/>
      <c r="AH107" s="13"/>
      <c r="AI107" s="13"/>
      <c r="AJ107" s="21"/>
      <c r="AK107" s="14"/>
      <c r="AL107" s="14"/>
      <c r="AM107" s="14"/>
      <c r="AN107" s="14"/>
      <c r="AO107" s="14"/>
      <c r="AP107" s="14"/>
      <c r="AQ107" s="14"/>
      <c r="AR107" s="14"/>
      <c r="AS107" s="65"/>
      <c r="AT107" s="63"/>
      <c r="AU107" s="47"/>
      <c r="AV107" s="14"/>
      <c r="AW107" s="13"/>
      <c r="AX107" s="13"/>
      <c r="AY107" s="21"/>
      <c r="AZ107" s="14"/>
      <c r="BA107" s="14"/>
      <c r="BB107" s="14"/>
      <c r="BC107" s="14"/>
      <c r="BD107" s="14"/>
      <c r="BE107" s="14"/>
      <c r="BF107" s="14"/>
      <c r="BG107" s="14"/>
      <c r="BH107" s="65"/>
      <c r="BI107" s="63"/>
      <c r="BJ107" s="352"/>
      <c r="BK107" s="19"/>
      <c r="BL107" s="13"/>
      <c r="BM107" s="13"/>
      <c r="BN107" s="21"/>
      <c r="BO107" s="14"/>
      <c r="BP107" s="14"/>
      <c r="BQ107" s="14"/>
      <c r="BR107" s="14"/>
      <c r="BS107" s="14"/>
      <c r="BT107" s="14"/>
      <c r="BU107" s="14"/>
      <c r="BV107" s="14"/>
      <c r="BW107" s="65"/>
      <c r="BX107" s="63"/>
      <c r="BY107" s="352"/>
      <c r="BZ107" s="14"/>
      <c r="CA107" s="14"/>
      <c r="CB107" s="98"/>
      <c r="CC107" s="21"/>
      <c r="CD107" s="180"/>
      <c r="CE107" s="181"/>
      <c r="CF107" s="31"/>
      <c r="CG107" s="31"/>
      <c r="CH107" s="31"/>
      <c r="CI107" s="14"/>
      <c r="CJ107" s="14"/>
      <c r="CK107" s="14"/>
      <c r="CL107" s="14"/>
      <c r="CM107" s="14"/>
      <c r="CN107" s="14"/>
      <c r="CO107" s="129"/>
      <c r="CP107" s="14"/>
      <c r="CQ107" s="47"/>
      <c r="CR107" s="14"/>
      <c r="CS107" s="14"/>
      <c r="CT107" s="14"/>
      <c r="CU107" s="14"/>
      <c r="CV107" s="180"/>
      <c r="CW107" s="190"/>
      <c r="CX107" s="191"/>
      <c r="CY107" s="31"/>
      <c r="CZ107" s="31"/>
      <c r="DA107" s="14"/>
      <c r="DB107" s="14"/>
      <c r="DC107" s="14"/>
      <c r="DD107" s="14"/>
      <c r="DE107" s="14"/>
      <c r="DF107" s="14"/>
      <c r="DG107" s="129"/>
      <c r="DH107" s="14"/>
      <c r="DI107" s="47"/>
      <c r="DJ107" s="14"/>
      <c r="DK107" s="13"/>
      <c r="DL107" s="13"/>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row>
    <row r="108" spans="1:142" s="131" customFormat="1" x14ac:dyDescent="0.25">
      <c r="A108" s="78"/>
      <c r="B108" s="78" t="s">
        <v>22</v>
      </c>
      <c r="C108" s="78" t="s">
        <v>136</v>
      </c>
      <c r="D108" s="79"/>
      <c r="E108" s="78"/>
      <c r="F108" s="78"/>
      <c r="G108" s="78"/>
      <c r="H108" s="79"/>
      <c r="I108" s="79"/>
      <c r="J108" s="78"/>
      <c r="K108" s="78"/>
      <c r="L108" s="78"/>
      <c r="M108" s="78"/>
      <c r="N108" s="78"/>
      <c r="O108" s="78"/>
      <c r="P108" s="78"/>
      <c r="Q108" s="82"/>
      <c r="R108" s="83"/>
      <c r="S108" s="78" t="str">
        <f>$B108</f>
        <v>Pellet users</v>
      </c>
      <c r="T108" s="78"/>
      <c r="U108" s="78"/>
      <c r="V108" s="78"/>
      <c r="W108" s="78"/>
      <c r="X108" s="78"/>
      <c r="Y108" s="78"/>
      <c r="Z108" s="78"/>
      <c r="AA108" s="78"/>
      <c r="AB108" s="78"/>
      <c r="AC108" s="78"/>
      <c r="AD108" s="80"/>
      <c r="AE108" s="81"/>
      <c r="AF108" s="82"/>
      <c r="AG108" s="83"/>
      <c r="AH108" s="78" t="str">
        <f>$B108</f>
        <v>Pellet users</v>
      </c>
      <c r="AI108" s="78"/>
      <c r="AJ108" s="78"/>
      <c r="AK108" s="78"/>
      <c r="AL108" s="78"/>
      <c r="AM108" s="78"/>
      <c r="AN108" s="78"/>
      <c r="AO108" s="78"/>
      <c r="AP108" s="78"/>
      <c r="AQ108" s="78"/>
      <c r="AR108" s="78"/>
      <c r="AS108" s="80"/>
      <c r="AT108" s="81"/>
      <c r="AU108" s="82"/>
      <c r="AV108" s="78"/>
      <c r="AW108" s="78" t="str">
        <f>$B108</f>
        <v>Pellet users</v>
      </c>
      <c r="AX108" s="78"/>
      <c r="AY108" s="78"/>
      <c r="AZ108" s="78"/>
      <c r="BA108" s="78"/>
      <c r="BB108" s="78"/>
      <c r="BC108" s="78"/>
      <c r="BD108" s="78"/>
      <c r="BE108" s="78"/>
      <c r="BF108" s="78"/>
      <c r="BG108" s="78"/>
      <c r="BH108" s="80"/>
      <c r="BI108" s="81"/>
      <c r="BJ108" s="373"/>
      <c r="BK108" s="83"/>
      <c r="BL108" s="78" t="str">
        <f>$B108</f>
        <v>Pellet users</v>
      </c>
      <c r="BM108" s="78"/>
      <c r="BN108" s="78"/>
      <c r="BO108" s="78"/>
      <c r="BP108" s="78"/>
      <c r="BQ108" s="78"/>
      <c r="BR108" s="78"/>
      <c r="BS108" s="78"/>
      <c r="BT108" s="78"/>
      <c r="BU108" s="78"/>
      <c r="BV108" s="78"/>
      <c r="BW108" s="80"/>
      <c r="BX108" s="81"/>
      <c r="BY108" s="373"/>
      <c r="BZ108" s="78"/>
      <c r="CA108" s="78" t="str">
        <f>$B108</f>
        <v>Pellet users</v>
      </c>
      <c r="CB108" s="79"/>
      <c r="CC108" s="79"/>
      <c r="CD108" s="182"/>
      <c r="CE108" s="182"/>
      <c r="CF108" s="79"/>
      <c r="CG108" s="78"/>
      <c r="CH108" s="78"/>
      <c r="CI108" s="78"/>
      <c r="CJ108" s="78"/>
      <c r="CK108" s="78"/>
      <c r="CL108" s="78"/>
      <c r="CM108" s="78"/>
      <c r="CN108" s="78"/>
      <c r="CO108" s="78"/>
      <c r="CP108" s="78"/>
      <c r="CQ108" s="82"/>
      <c r="CR108" s="78"/>
      <c r="CS108" s="78" t="str">
        <f>$B108</f>
        <v>Pellet users</v>
      </c>
      <c r="CT108" s="78"/>
      <c r="CU108" s="78"/>
      <c r="CV108" s="182"/>
      <c r="CW108" s="192"/>
      <c r="CX108" s="192"/>
      <c r="CY108" s="78"/>
      <c r="CZ108" s="78"/>
      <c r="DA108" s="78"/>
      <c r="DB108" s="78"/>
      <c r="DC108" s="78"/>
      <c r="DD108" s="78"/>
      <c r="DE108" s="78"/>
      <c r="DF108" s="78"/>
      <c r="DG108" s="78"/>
      <c r="DH108" s="78"/>
      <c r="DI108" s="82"/>
      <c r="DJ108" s="78"/>
      <c r="DK108" s="78" t="str">
        <f>$B108</f>
        <v>Pellet users</v>
      </c>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row>
    <row r="109" spans="1:142" x14ac:dyDescent="0.25">
      <c r="A109" s="14"/>
      <c r="B109" s="84" t="s">
        <v>301</v>
      </c>
      <c r="C109" s="84"/>
      <c r="D109" s="85"/>
      <c r="E109" s="84"/>
      <c r="F109" s="14"/>
      <c r="G109" s="14"/>
      <c r="H109" s="21"/>
      <c r="I109" s="21"/>
      <c r="J109" s="14"/>
      <c r="K109" s="14"/>
      <c r="L109" s="14"/>
      <c r="M109" s="14"/>
      <c r="N109" s="14"/>
      <c r="O109" s="14"/>
      <c r="P109" s="14"/>
      <c r="Q109" s="47"/>
      <c r="R109" s="19"/>
      <c r="S109" s="84" t="s">
        <v>322</v>
      </c>
      <c r="T109" s="84"/>
      <c r="U109" s="85"/>
      <c r="V109" s="84"/>
      <c r="W109" s="14"/>
      <c r="X109" s="14"/>
      <c r="Y109" s="14"/>
      <c r="Z109" s="14"/>
      <c r="AA109" s="14"/>
      <c r="AB109" s="14"/>
      <c r="AC109" s="14"/>
      <c r="AD109" s="65"/>
      <c r="AE109" s="63"/>
      <c r="AF109" s="47"/>
      <c r="AG109" s="19"/>
      <c r="AH109" s="84" t="s">
        <v>328</v>
      </c>
      <c r="AI109" s="84"/>
      <c r="AJ109" s="85"/>
      <c r="AK109" s="84"/>
      <c r="AL109" s="84"/>
      <c r="AM109" s="14"/>
      <c r="AN109" s="14"/>
      <c r="AO109" s="14"/>
      <c r="AP109" s="14"/>
      <c r="AQ109" s="14"/>
      <c r="AR109" s="14"/>
      <c r="AS109" s="65"/>
      <c r="AT109" s="63"/>
      <c r="AU109" s="47"/>
      <c r="AV109" s="14"/>
      <c r="AW109" s="84" t="s">
        <v>347</v>
      </c>
      <c r="AX109" s="84"/>
      <c r="AY109" s="85"/>
      <c r="AZ109" s="84"/>
      <c r="BA109" s="84"/>
      <c r="BB109" s="14"/>
      <c r="BC109" s="14"/>
      <c r="BD109" s="14"/>
      <c r="BE109" s="14"/>
      <c r="BF109" s="14"/>
      <c r="BG109" s="14"/>
      <c r="BH109" s="65"/>
      <c r="BI109" s="63"/>
      <c r="BJ109" s="352"/>
      <c r="BK109" s="19"/>
      <c r="BL109" s="84" t="s">
        <v>348</v>
      </c>
      <c r="BM109" s="84"/>
      <c r="BN109" s="85"/>
      <c r="BO109" s="84"/>
      <c r="BP109" s="84"/>
      <c r="BQ109" s="14"/>
      <c r="BR109" s="14"/>
      <c r="BS109" s="14"/>
      <c r="BT109" s="14"/>
      <c r="BU109" s="14"/>
      <c r="BV109" s="14"/>
      <c r="BW109" s="65"/>
      <c r="BX109" s="63"/>
      <c r="BY109" s="352"/>
      <c r="BZ109" s="14"/>
      <c r="CA109" s="148" t="s">
        <v>303</v>
      </c>
      <c r="CB109" s="85"/>
      <c r="CC109" s="85"/>
      <c r="CD109" s="185"/>
      <c r="CE109" s="185"/>
      <c r="CF109" s="152"/>
      <c r="CG109" s="14"/>
      <c r="CH109" s="14"/>
      <c r="CI109" s="14"/>
      <c r="CJ109" s="14"/>
      <c r="CK109" s="14"/>
      <c r="CL109" s="14"/>
      <c r="CM109" s="14"/>
      <c r="CN109" s="14"/>
      <c r="CO109" s="129"/>
      <c r="CP109" s="14"/>
      <c r="CQ109" s="47"/>
      <c r="CR109" s="14"/>
      <c r="CS109" s="148" t="s">
        <v>304</v>
      </c>
      <c r="CT109" s="84"/>
      <c r="CU109" s="85"/>
      <c r="CV109" s="186"/>
      <c r="CW109" s="193"/>
      <c r="CX109" s="193"/>
      <c r="CY109" s="14"/>
      <c r="CZ109" s="14"/>
      <c r="DA109" s="14"/>
      <c r="DB109" s="14"/>
      <c r="DC109" s="14"/>
      <c r="DD109" s="14"/>
      <c r="DE109" s="14"/>
      <c r="DF109" s="14"/>
      <c r="DG109" s="129"/>
      <c r="DH109" s="14"/>
      <c r="DI109" s="47"/>
      <c r="DJ109" s="14"/>
      <c r="DK109" s="84" t="s">
        <v>305</v>
      </c>
      <c r="DL109" s="84"/>
      <c r="DM109" s="85"/>
      <c r="DN109" s="8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row>
    <row r="110" spans="1:142" x14ac:dyDescent="0.25">
      <c r="A110" s="14"/>
      <c r="B110" s="14"/>
      <c r="C110" s="14"/>
      <c r="D110" s="15"/>
      <c r="E110" s="14"/>
      <c r="F110" s="14"/>
      <c r="G110" s="14"/>
      <c r="H110" s="21"/>
      <c r="I110" s="21"/>
      <c r="J110" s="14"/>
      <c r="K110" s="14"/>
      <c r="L110" s="14"/>
      <c r="M110" s="14"/>
      <c r="N110" s="14"/>
      <c r="O110" s="14"/>
      <c r="P110" s="14"/>
      <c r="Q110" s="47"/>
      <c r="R110" s="19"/>
      <c r="S110" s="14"/>
      <c r="T110" s="14"/>
      <c r="U110" s="15"/>
      <c r="V110" s="14"/>
      <c r="W110" s="14"/>
      <c r="X110" s="14"/>
      <c r="Y110" s="14"/>
      <c r="Z110" s="14"/>
      <c r="AA110" s="14"/>
      <c r="AB110" s="14"/>
      <c r="AC110" s="14"/>
      <c r="AD110" s="65"/>
      <c r="AE110" s="63"/>
      <c r="AF110" s="47"/>
      <c r="AG110" s="19"/>
      <c r="AH110" s="14"/>
      <c r="AI110" s="14"/>
      <c r="AJ110" s="15"/>
      <c r="AK110" s="14"/>
      <c r="AL110" s="14"/>
      <c r="AM110" s="14"/>
      <c r="AN110" s="14"/>
      <c r="AO110" s="14"/>
      <c r="AP110" s="14"/>
      <c r="AQ110" s="14"/>
      <c r="AR110" s="14"/>
      <c r="AS110" s="65"/>
      <c r="AT110" s="63"/>
      <c r="AU110" s="47"/>
      <c r="AV110" s="14"/>
      <c r="AW110" s="14"/>
      <c r="AX110" s="14"/>
      <c r="AY110" s="15"/>
      <c r="AZ110" s="14"/>
      <c r="BA110" s="14"/>
      <c r="BB110" s="14"/>
      <c r="BC110" s="14"/>
      <c r="BD110" s="14"/>
      <c r="BE110" s="14"/>
      <c r="BF110" s="14"/>
      <c r="BG110" s="14"/>
      <c r="BH110" s="65"/>
      <c r="BI110" s="63"/>
      <c r="BJ110" s="352"/>
      <c r="BK110" s="19"/>
      <c r="BL110" s="14"/>
      <c r="BM110" s="14"/>
      <c r="BN110" s="15"/>
      <c r="BO110" s="14"/>
      <c r="BP110" s="14"/>
      <c r="BQ110" s="14"/>
      <c r="BR110" s="14"/>
      <c r="BS110" s="14"/>
      <c r="BT110" s="14"/>
      <c r="BU110" s="14"/>
      <c r="BV110" s="14"/>
      <c r="BW110" s="65"/>
      <c r="BX110" s="63"/>
      <c r="BY110" s="352"/>
      <c r="BZ110" s="14"/>
      <c r="CA110" s="14"/>
      <c r="CB110" s="21"/>
      <c r="CC110" s="21"/>
      <c r="CD110" s="180"/>
      <c r="CE110" s="180"/>
      <c r="CF110" s="21"/>
      <c r="CG110" s="14"/>
      <c r="CH110" s="14"/>
      <c r="CI110" s="14"/>
      <c r="CJ110" s="14"/>
      <c r="CK110" s="14"/>
      <c r="CL110" s="14"/>
      <c r="CM110" s="14"/>
      <c r="CN110" s="14"/>
      <c r="CO110" s="129"/>
      <c r="CP110" s="14"/>
      <c r="CQ110" s="47"/>
      <c r="CR110" s="14"/>
      <c r="CS110" s="14"/>
      <c r="CT110" s="14"/>
      <c r="CU110" s="14"/>
      <c r="CV110" s="180"/>
      <c r="CW110" s="189"/>
      <c r="CX110" s="189"/>
      <c r="CY110" s="14"/>
      <c r="CZ110" s="14"/>
      <c r="DA110" s="14"/>
      <c r="DB110" s="14"/>
      <c r="DC110" s="14"/>
      <c r="DD110" s="14"/>
      <c r="DE110" s="14"/>
      <c r="DF110" s="14"/>
      <c r="DG110" s="129"/>
      <c r="DH110" s="14"/>
      <c r="DI110" s="47"/>
      <c r="DJ110" s="14"/>
      <c r="DK110" s="14"/>
      <c r="DL110" s="14"/>
      <c r="DM110" s="15"/>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row>
    <row r="111" spans="1:142" ht="27.6" x14ac:dyDescent="0.25">
      <c r="A111" s="14"/>
      <c r="B111" s="112" t="s">
        <v>23</v>
      </c>
      <c r="C111" s="113" t="s">
        <v>24</v>
      </c>
      <c r="D111" s="113" t="s">
        <v>145</v>
      </c>
      <c r="E111" s="113" t="s">
        <v>300</v>
      </c>
      <c r="F111" s="14"/>
      <c r="G111" s="14"/>
      <c r="H111" s="21"/>
      <c r="I111" s="21"/>
      <c r="J111" s="14"/>
      <c r="K111" s="19"/>
      <c r="L111" s="51"/>
      <c r="M111" s="51"/>
      <c r="N111" s="51"/>
      <c r="O111" s="51"/>
      <c r="P111" s="51"/>
      <c r="Q111" s="47"/>
      <c r="R111" s="19"/>
      <c r="S111" s="112" t="s">
        <v>23</v>
      </c>
      <c r="T111" s="113" t="s">
        <v>24</v>
      </c>
      <c r="U111" s="113" t="s">
        <v>145</v>
      </c>
      <c r="V111" s="113" t="s">
        <v>300</v>
      </c>
      <c r="W111" s="14"/>
      <c r="X111" s="14"/>
      <c r="Y111" s="14"/>
      <c r="Z111" s="14"/>
      <c r="AA111" s="56"/>
      <c r="AB111" s="56"/>
      <c r="AC111" s="56"/>
      <c r="AD111" s="65"/>
      <c r="AE111" s="63"/>
      <c r="AF111" s="47"/>
      <c r="AG111" s="19"/>
      <c r="AH111" s="112" t="s">
        <v>23</v>
      </c>
      <c r="AI111" s="113" t="s">
        <v>24</v>
      </c>
      <c r="AJ111" s="113" t="s">
        <v>145</v>
      </c>
      <c r="AK111" s="113" t="s">
        <v>300</v>
      </c>
      <c r="AL111" s="14"/>
      <c r="AM111" s="14"/>
      <c r="AN111" s="14"/>
      <c r="AO111" s="14"/>
      <c r="AP111" s="56"/>
      <c r="AQ111" s="56"/>
      <c r="AR111" s="56"/>
      <c r="AS111" s="65"/>
      <c r="AT111" s="63"/>
      <c r="AU111" s="47"/>
      <c r="AV111" s="14"/>
      <c r="AW111" s="112" t="s">
        <v>23</v>
      </c>
      <c r="AX111" s="113" t="s">
        <v>24</v>
      </c>
      <c r="AY111" s="113" t="s">
        <v>145</v>
      </c>
      <c r="AZ111" s="113" t="s">
        <v>300</v>
      </c>
      <c r="BA111" s="14"/>
      <c r="BB111" s="14"/>
      <c r="BC111" s="14"/>
      <c r="BD111" s="14"/>
      <c r="BE111" s="56"/>
      <c r="BF111" s="56"/>
      <c r="BG111" s="56"/>
      <c r="BH111" s="65"/>
      <c r="BI111" s="63"/>
      <c r="BJ111" s="352"/>
      <c r="BK111" s="19"/>
      <c r="BL111" s="112" t="s">
        <v>23</v>
      </c>
      <c r="BM111" s="113" t="s">
        <v>24</v>
      </c>
      <c r="BN111" s="113" t="s">
        <v>145</v>
      </c>
      <c r="BO111" s="113" t="s">
        <v>300</v>
      </c>
      <c r="BP111" s="14"/>
      <c r="BQ111" s="14"/>
      <c r="BR111" s="14"/>
      <c r="BS111" s="14"/>
      <c r="BT111" s="56"/>
      <c r="BU111" s="56"/>
      <c r="BV111" s="56"/>
      <c r="BW111" s="65"/>
      <c r="BX111" s="63"/>
      <c r="BY111" s="352"/>
      <c r="BZ111" s="14"/>
      <c r="CA111" s="112" t="s">
        <v>23</v>
      </c>
      <c r="CB111" s="113" t="s">
        <v>145</v>
      </c>
      <c r="CC111" s="21"/>
      <c r="CD111" s="180"/>
      <c r="CE111" s="180"/>
      <c r="CF111" s="21"/>
      <c r="CG111" s="14"/>
      <c r="CH111" s="14"/>
      <c r="CI111" s="14"/>
      <c r="CJ111" s="14"/>
      <c r="CK111" s="14"/>
      <c r="CL111" s="14"/>
      <c r="CM111" s="14"/>
      <c r="CN111" s="14"/>
      <c r="CO111" s="129"/>
      <c r="CP111" s="17"/>
      <c r="CQ111" s="47"/>
      <c r="CR111" s="14"/>
      <c r="CS111" s="112" t="s">
        <v>23</v>
      </c>
      <c r="CT111" s="113" t="s">
        <v>145</v>
      </c>
      <c r="CU111" s="14"/>
      <c r="CV111" s="180"/>
      <c r="CW111" s="189"/>
      <c r="CX111" s="189"/>
      <c r="CY111" s="14"/>
      <c r="CZ111" s="14"/>
      <c r="DA111" s="14"/>
      <c r="DB111" s="14"/>
      <c r="DC111" s="14"/>
      <c r="DD111" s="14"/>
      <c r="DE111" s="14"/>
      <c r="DF111" s="14"/>
      <c r="DG111" s="129"/>
      <c r="DH111" s="17"/>
      <c r="DI111" s="47"/>
      <c r="DJ111" s="17"/>
      <c r="DK111" s="112" t="s">
        <v>23</v>
      </c>
      <c r="DL111" s="113" t="s">
        <v>24</v>
      </c>
      <c r="DM111" s="113" t="s">
        <v>145</v>
      </c>
      <c r="DN111" s="113" t="s">
        <v>300</v>
      </c>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row>
    <row r="112" spans="1:142" x14ac:dyDescent="0.25">
      <c r="A112" s="14"/>
      <c r="B112" s="57" t="s">
        <v>22</v>
      </c>
      <c r="C112" s="121" t="str">
        <f>IF(H131=0,"na",IF(COUNTIF(H126:H130,MAX(H126:H130))&gt;COUNTIF(G126:G130,"&lt;&gt;""")/2,"No clear choice of the most common response",INDEX(G126:G130,MATCH(MAX(H126:H130),H126:H130,0),1)))</f>
        <v>Definitely not</v>
      </c>
      <c r="D112" s="58">
        <f>COUNTIFS(S30_stakeholder_category,"PU",Response_Q173_3,"&lt;&gt;0")</f>
        <v>1</v>
      </c>
      <c r="E112" s="121">
        <f>COUNTIFS(S30_stakeholder_category,"PU",Response_Q173_3,"I don’t know")</f>
        <v>0</v>
      </c>
      <c r="F112" s="14"/>
      <c r="G112" s="14"/>
      <c r="H112" s="21"/>
      <c r="I112" s="21"/>
      <c r="J112" s="14"/>
      <c r="K112" s="19"/>
      <c r="L112" s="40"/>
      <c r="M112" s="40"/>
      <c r="N112" s="40"/>
      <c r="O112" s="40"/>
      <c r="P112" s="40"/>
      <c r="Q112" s="47"/>
      <c r="R112" s="19"/>
      <c r="S112" s="34" t="s">
        <v>22</v>
      </c>
      <c r="T112" s="37" t="str">
        <f>IF(Y133=0,"na",IF(COUNTIF(Y126:Y132,MAX(Y126:Y132))&gt;COUNTIF(X126:X132,"&lt;&gt;""")/2,"No clear choice of the most common response",INDEX(X126:X132,MATCH(MAX(Y126:Y132),Y126:Y132,0),1)))</f>
        <v>Unlikely</v>
      </c>
      <c r="U112" s="33">
        <f>COUNTIFS(S30_stakeholder_category,"PU",Response_Q176_2,"&lt;&gt;0")</f>
        <v>1</v>
      </c>
      <c r="V112" s="37">
        <f>COUNTIFS(S30_stakeholder_category,"PU",Response_Q176_2,"I don’t know")</f>
        <v>0</v>
      </c>
      <c r="W112" s="14"/>
      <c r="X112" s="14"/>
      <c r="Y112" s="14"/>
      <c r="Z112" s="14"/>
      <c r="AA112" s="19"/>
      <c r="AB112" s="19"/>
      <c r="AC112" s="19"/>
      <c r="AD112" s="65"/>
      <c r="AE112" s="63"/>
      <c r="AF112" s="47"/>
      <c r="AG112" s="19"/>
      <c r="AH112" s="57" t="s">
        <v>22</v>
      </c>
      <c r="AI112" s="121" t="str">
        <f>IF(AN133=0,"na",IF(COUNTIF(AN126:AN132,MAX(AN126:AN132))&gt;COUNTIF(AM126:AM132,"&lt;&gt;""")/2,"No clear choice of the most common response",INDEX(AM126:AM132,MATCH(MAX(AN126:AN132),AN126:AN132,0),1)))</f>
        <v>Unlikely</v>
      </c>
      <c r="AJ112" s="58">
        <f>COUNTIFS(S30_stakeholder_category,"PU",Response_30b_CaseA,"&lt;&gt;0")</f>
        <v>1</v>
      </c>
      <c r="AK112" s="121">
        <f>COUNTIFS(S30_stakeholder_category,"PU",Response_30b_CaseA,"I don’t know")</f>
        <v>0</v>
      </c>
      <c r="AL112" s="14"/>
      <c r="AM112" s="14"/>
      <c r="AN112" s="14"/>
      <c r="AO112" s="14"/>
      <c r="AP112" s="19"/>
      <c r="AQ112" s="19"/>
      <c r="AR112" s="19"/>
      <c r="AS112" s="65"/>
      <c r="AT112" s="63"/>
      <c r="AU112" s="47"/>
      <c r="AV112" s="14"/>
      <c r="AW112" s="57" t="s">
        <v>22</v>
      </c>
      <c r="AX112" s="121" t="str">
        <f>IF(BC133=0,"na",IF(COUNTIF(BC126:BC132,MAX(BC126:BC132))&gt;COUNTIF(BB126:BB132,"&lt;&gt;""")/2,"No clear choice of the most common response",INDEX(BB126:BB132,MATCH(MAX(BC126:BC132),BC126:BC132,0),1)))</f>
        <v>Unlikely</v>
      </c>
      <c r="AY112" s="58">
        <f>COUNTIFS(S30_stakeholder_category,"PU",Response_30b_CaseB,"&lt;&gt;0")</f>
        <v>1</v>
      </c>
      <c r="AZ112" s="121">
        <f>COUNTIFS(S30_stakeholder_category,"PU",Response_30b_CaseB,"I don’t know")</f>
        <v>0</v>
      </c>
      <c r="BA112" s="14"/>
      <c r="BB112" s="14"/>
      <c r="BC112" s="14"/>
      <c r="BD112" s="14"/>
      <c r="BE112" s="19"/>
      <c r="BF112" s="19"/>
      <c r="BG112" s="19"/>
      <c r="BH112" s="65"/>
      <c r="BI112" s="63"/>
      <c r="BJ112" s="352"/>
      <c r="BK112" s="19"/>
      <c r="BL112" s="57" t="s">
        <v>22</v>
      </c>
      <c r="BM112" s="121" t="str">
        <f>IF(BR133=0,"na",IF(COUNTIF(BR126:BR132,MAX(BR126:BR132))&gt;COUNTIF(BQ126:BQ132,"&lt;&gt;""")/2,"No clear choice of the most common response",INDEX(BQ126:BQ132,MATCH(MAX(BR126:BR132),BR126:BR132,0),1)))</f>
        <v>Unlikely</v>
      </c>
      <c r="BN112" s="58">
        <f>COUNTIFS(S30_stakeholder_category,"PU",Response_30b_CaseC,"&lt;&gt;0")</f>
        <v>1</v>
      </c>
      <c r="BO112" s="121">
        <f>COUNTIFS(S30_stakeholder_category,"PU",Response_30b_CaseC,"I don’t know")</f>
        <v>0</v>
      </c>
      <c r="BP112" s="14"/>
      <c r="BQ112" s="14"/>
      <c r="BR112" s="14"/>
      <c r="BS112" s="14"/>
      <c r="BT112" s="19"/>
      <c r="BU112" s="19"/>
      <c r="BV112" s="19"/>
      <c r="BW112" s="65"/>
      <c r="BX112" s="63"/>
      <c r="BY112" s="352"/>
      <c r="BZ112" s="14"/>
      <c r="CA112" s="34" t="s">
        <v>22</v>
      </c>
      <c r="CB112" s="37">
        <f>MAX(SUM(CC118:CC124),SUM(CD118:CD124),SUM(CE118:CE124))</f>
        <v>1</v>
      </c>
      <c r="CC112" s="21"/>
      <c r="CD112" s="180"/>
      <c r="CE112" s="180"/>
      <c r="CF112" s="21"/>
      <c r="CG112" s="14"/>
      <c r="CH112" s="14"/>
      <c r="CI112" s="14"/>
      <c r="CJ112" s="14"/>
      <c r="CK112" s="14"/>
      <c r="CL112" s="14"/>
      <c r="CM112" s="14"/>
      <c r="CN112" s="14"/>
      <c r="CO112" s="129"/>
      <c r="CP112" s="29"/>
      <c r="CQ112" s="47"/>
      <c r="CR112" s="14"/>
      <c r="CS112" s="34" t="s">
        <v>22</v>
      </c>
      <c r="CT112" s="37">
        <f>MAX(SUM(CU118:CU124),SUM(CV118:CV124),SUM(CW118:CW124))</f>
        <v>0</v>
      </c>
      <c r="CU112" s="14"/>
      <c r="CV112" s="180"/>
      <c r="CW112" s="189"/>
      <c r="CX112" s="189"/>
      <c r="CY112" s="14"/>
      <c r="CZ112" s="14"/>
      <c r="DA112" s="14"/>
      <c r="DB112" s="14"/>
      <c r="DC112" s="14"/>
      <c r="DD112" s="14"/>
      <c r="DE112" s="14"/>
      <c r="DF112" s="14"/>
      <c r="DG112" s="129"/>
      <c r="DH112" s="29"/>
      <c r="DI112" s="47"/>
      <c r="DJ112" s="29"/>
      <c r="DK112" s="34" t="s">
        <v>22</v>
      </c>
      <c r="DL112" s="37" t="str">
        <f>IF(DQ131=0,"na",IF(COUNTIF(DQ126:DQ130,MAX(DQ126:DQ130))&gt;COUNTIF(DP126:DP130,"&lt;&gt;""")/2,"No clear choice of the most common response",INDEX(DP126:DP130,MATCH(MAX(DQ126:DQ130),DQ126:DQ130,0),1)))</f>
        <v>Sometimes</v>
      </c>
      <c r="DM112" s="33">
        <f>COUNTIFS(S30_stakeholder_category,"PU",Response_Q172_1,"&lt;&gt;0",Response_Q173_3,"&lt;&gt;0")</f>
        <v>1</v>
      </c>
      <c r="DN112" s="37">
        <f>DQ130</f>
        <v>0</v>
      </c>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row>
    <row r="113" spans="1:142" x14ac:dyDescent="0.25">
      <c r="A113" s="14"/>
      <c r="B113" s="57"/>
      <c r="C113" s="121" t="str">
        <f ca="1">IF(H131=0,"",IF(COUNTIF(H126:H130,MAX(H126:H130))=1,"",IF(COUNTIF(H126:H130,MAX(H126:H130))&gt;COUNTIF(G126:G130,"&lt;&gt;""")/2,"",INDEX(OFFSET(G126,MATCH(C112,G126:G131,0),0):G130,MATCH(MAX(H126:H130),OFFSET(H126,MATCH(C112,G126:G131,0),0):H130,0),1))))</f>
        <v/>
      </c>
      <c r="D113" s="58"/>
      <c r="E113" s="121"/>
      <c r="F113" s="14"/>
      <c r="G113" s="14"/>
      <c r="H113" s="21"/>
      <c r="I113" s="21"/>
      <c r="J113" s="14"/>
      <c r="K113" s="19"/>
      <c r="L113" s="40"/>
      <c r="M113" s="40"/>
      <c r="N113" s="40"/>
      <c r="O113" s="40"/>
      <c r="P113" s="40"/>
      <c r="Q113" s="47"/>
      <c r="R113" s="19"/>
      <c r="S113" s="34"/>
      <c r="T113" s="37" t="str">
        <f ca="1">IF(Y133=0,"",IF(COUNTIF(Y126:Y132,MAX(Y126:Y132))=1,"",IF(COUNTIF(Y126:Y132,MAX(Y126:Y132))&gt;COUNTIF(X126:X132,"&lt;&gt;""")/2,"",INDEX(OFFSET(X126,MATCH(T112,X126:X132,0),0):X132,MATCH(MAX(Y126:Y132),OFFSET(Y126,MATCH(T112,X126:X132,0),0):Y132,0),1))))</f>
        <v/>
      </c>
      <c r="U113" s="33"/>
      <c r="V113" s="37"/>
      <c r="W113" s="14"/>
      <c r="X113" s="14"/>
      <c r="Y113" s="14"/>
      <c r="Z113" s="14"/>
      <c r="AA113" s="19"/>
      <c r="AB113" s="19"/>
      <c r="AC113" s="19"/>
      <c r="AD113" s="65"/>
      <c r="AE113" s="63"/>
      <c r="AF113" s="47"/>
      <c r="AG113" s="19"/>
      <c r="AH113" s="57"/>
      <c r="AI113" s="121" t="str">
        <f ca="1">IF(AN133=0,"",IF(COUNTIF(AN126:AN132,MAX(AN126:AN132))=1,"",IF(COUNTIF(AN126:AN132,MAX(AN126:AN132))&gt;COUNTIF(AM126:AM132,"&lt;&gt;""")/2,"",INDEX(OFFSET(AM126,MATCH(AI112,AM126:AM132,0),0):AM132,MATCH(MAX(AN126:AN132),OFFSET(AN126,MATCH(AI112,AM126:AM132,0),0):AN132,0),1))))</f>
        <v/>
      </c>
      <c r="AJ113" s="58"/>
      <c r="AK113" s="121"/>
      <c r="AL113" s="14"/>
      <c r="AM113" s="14"/>
      <c r="AN113" s="14"/>
      <c r="AO113" s="14"/>
      <c r="AP113" s="19"/>
      <c r="AQ113" s="19"/>
      <c r="AR113" s="19"/>
      <c r="AS113" s="65"/>
      <c r="AT113" s="63"/>
      <c r="AU113" s="47"/>
      <c r="AV113" s="14"/>
      <c r="AW113" s="57"/>
      <c r="AX113" s="121" t="str">
        <f ca="1">IF(BC133=0,"",IF(COUNTIF(BC126:BC132,MAX(BC126:BC132))=1,"",IF(COUNTIF(BC126:BC132,MAX(BC126:BC132))&gt;COUNTIF(BB126:BB132,"&lt;&gt;""")/2,"",INDEX(OFFSET(BB126,MATCH(AX112,BB126:BB132,0),0):BB132,MATCH(MAX(BC126:BC132),OFFSET(BC126,MATCH(AX112,BB126:BB132,0),0):BC132,0),1))))</f>
        <v/>
      </c>
      <c r="AY113" s="58"/>
      <c r="AZ113" s="121"/>
      <c r="BA113" s="14"/>
      <c r="BB113" s="14"/>
      <c r="BC113" s="14"/>
      <c r="BD113" s="14"/>
      <c r="BE113" s="19"/>
      <c r="BF113" s="19"/>
      <c r="BG113" s="19"/>
      <c r="BH113" s="65"/>
      <c r="BI113" s="63"/>
      <c r="BJ113" s="352"/>
      <c r="BK113" s="19"/>
      <c r="BL113" s="57"/>
      <c r="BM113" s="121" t="str">
        <f ca="1">IF(BR133=0,"",IF(COUNTIF(BR126:BR132,MAX(BR126:BR132))=1,"",IF(COUNTIF(BR126:BR132,MAX(BR126:BR132))&gt;COUNTIF(BQ126:BQ132,"&lt;&gt;""")/2,"",INDEX(OFFSET(BQ126,MATCH(BM112,BQ126:BQ132,0),0):BQ132,MATCH(MAX(BR126:BR132),OFFSET(BR126,MATCH(BM112,BQ126:BQ132,0),0):BR132,0),1))))</f>
        <v/>
      </c>
      <c r="BN113" s="58"/>
      <c r="BO113" s="121"/>
      <c r="BP113" s="14"/>
      <c r="BQ113" s="14"/>
      <c r="BR113" s="14"/>
      <c r="BS113" s="14"/>
      <c r="BT113" s="19"/>
      <c r="BU113" s="19"/>
      <c r="BV113" s="19"/>
      <c r="BW113" s="65"/>
      <c r="BX113" s="63"/>
      <c r="BY113" s="352"/>
      <c r="BZ113" s="14"/>
      <c r="CA113" s="14"/>
      <c r="CB113" s="21"/>
      <c r="CC113" s="21"/>
      <c r="CD113" s="180"/>
      <c r="CE113" s="180"/>
      <c r="CF113" s="21"/>
      <c r="CG113" s="14"/>
      <c r="CH113" s="14"/>
      <c r="CI113" s="14"/>
      <c r="CJ113" s="14"/>
      <c r="CK113" s="14"/>
      <c r="CL113" s="14"/>
      <c r="CM113" s="14"/>
      <c r="CN113" s="14"/>
      <c r="CO113" s="129"/>
      <c r="CP113" s="29"/>
      <c r="CQ113" s="47"/>
      <c r="CR113" s="14"/>
      <c r="CS113" s="14"/>
      <c r="CT113" s="14"/>
      <c r="CU113" s="14"/>
      <c r="CV113" s="180"/>
      <c r="CW113" s="189"/>
      <c r="CX113" s="189"/>
      <c r="CY113" s="14"/>
      <c r="CZ113" s="14"/>
      <c r="DA113" s="14"/>
      <c r="DB113" s="14"/>
      <c r="DC113" s="14"/>
      <c r="DD113" s="14"/>
      <c r="DE113" s="14"/>
      <c r="DF113" s="14"/>
      <c r="DG113" s="129"/>
      <c r="DH113" s="29"/>
      <c r="DI113" s="47"/>
      <c r="DJ113" s="29"/>
      <c r="DK113" s="34"/>
      <c r="DL113" s="121" t="str">
        <f ca="1">IF(DQ131=0,"",IF(COUNTIF(DQ126:DQ130,MAX(DQ126:DQ130))=1,"",IF(COUNTIF(DQ126:DQ130,MAX(DQ126:DQ130))&gt;COUNTIF(DP126:DP130,"&lt;&gt;""")/2,"",INDEX(OFFSET(DP126,MATCH(DL112,DP126:DP131,0),0):DP130,MATCH(MAX(DQ126:DQ130),OFFSET(DQ126,MATCH(DL112,DP126:DP131,0),0):DQ130,0),1))))</f>
        <v/>
      </c>
      <c r="DM113" s="33"/>
      <c r="DN113" s="37"/>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row>
    <row r="114" spans="1:142" x14ac:dyDescent="0.25">
      <c r="A114" s="14"/>
      <c r="B114" s="57"/>
      <c r="C114" s="121" t="str">
        <f ca="1" xml:space="preserve"> IF(H131=0,"", IF(COUNTIF(H126:H130,MAX(H126:H130))&lt;=2,"",IF(COUNTIF(H126:H130,MAX(H126:H130))&gt;COUNTIF(G126:G130,"&lt;&gt;""")/2,"", INDEX(OFFSET(G126,MATCH(C113,G126:G131,0),0):G130,         MATCH(MAX(H126:H130),        OFFSET(H126,MATCH(C113,G126:G131,0),0):H130,0),1))))</f>
        <v/>
      </c>
      <c r="D114" s="58"/>
      <c r="E114" s="121"/>
      <c r="F114" s="14"/>
      <c r="G114" s="14"/>
      <c r="H114" s="21"/>
      <c r="I114" s="21"/>
      <c r="J114" s="14"/>
      <c r="K114" s="19"/>
      <c r="L114" s="40"/>
      <c r="M114" s="40"/>
      <c r="N114" s="40"/>
      <c r="O114" s="40"/>
      <c r="P114" s="40"/>
      <c r="Q114" s="47"/>
      <c r="R114" s="19"/>
      <c r="S114" s="34"/>
      <c r="T114" s="121" t="str">
        <f ca="1" xml:space="preserve"> IF(Y133=0,"",IF(Y133=0,"", IF(COUNTIF(Y126:Y132,MAX(Y126:Y132))&lt;=2,"",IF(COUNTIF(Y126:Y132,MAX(Y126:Y132))&gt;COUNTIF(X126:X132,"&lt;&gt;""")/2,"", INDEX(OFFSET(X126,MATCH(T113,X126:X132,0),0):X132,         MATCH(MAX(Y126:Y132),        OFFSET(Y126,MATCH(T113,X126:X132,0),0):Y132,0),1)))))</f>
        <v/>
      </c>
      <c r="U114" s="33"/>
      <c r="V114" s="37"/>
      <c r="W114" s="14"/>
      <c r="X114" s="14"/>
      <c r="Y114" s="14"/>
      <c r="Z114" s="14"/>
      <c r="AA114" s="19"/>
      <c r="AB114" s="19"/>
      <c r="AC114" s="19"/>
      <c r="AD114" s="65"/>
      <c r="AE114" s="63"/>
      <c r="AF114" s="47"/>
      <c r="AG114" s="19"/>
      <c r="AH114" s="57"/>
      <c r="AI114" s="121" t="str">
        <f ca="1" xml:space="preserve"> IF(AN133=0,"",IF(AN133=0,"", IF(COUNTIF(AN126:AN132,MAX(AN126:AN132))&lt;=2,"",IF(COUNTIF(AN126:AN132,MAX(AN126:AN132))&gt;COUNTIF(AM126:AM132,"&lt;&gt;""")/2,"", INDEX(OFFSET(AM126,MATCH(AI113,AM126:AM132,0),0):AM132,         MATCH(MAX(AN126:AN132),        OFFSET(AN126,MATCH(AI113,AM126:AM132,0),0):AN132,0),1)))))</f>
        <v/>
      </c>
      <c r="AJ114" s="58"/>
      <c r="AK114" s="121"/>
      <c r="AL114" s="14"/>
      <c r="AM114" s="14"/>
      <c r="AN114" s="14"/>
      <c r="AO114" s="14"/>
      <c r="AP114" s="19"/>
      <c r="AQ114" s="19"/>
      <c r="AR114" s="19"/>
      <c r="AS114" s="65"/>
      <c r="AT114" s="63"/>
      <c r="AU114" s="47"/>
      <c r="AV114" s="14"/>
      <c r="AW114" s="57"/>
      <c r="AX114" s="121" t="str">
        <f ca="1" xml:space="preserve"> IF(BC133=0,"",IF(BC133=0,"", IF(COUNTIF(BC126:BC132,MAX(BC126:BC132))&lt;=2,"",IF(COUNTIF(BC126:BC132,MAX(BC126:BC132))&gt;COUNTIF(BB126:BB132,"&lt;&gt;""")/2,"", INDEX(OFFSET(BB126,MATCH(AX113,BB126:BB132,0),0):BB132,         MATCH(MAX(BC126:BC132),        OFFSET(BC126,MATCH(AX113,BB126:BB132,0),0):BC132,0),1)))))</f>
        <v/>
      </c>
      <c r="AY114" s="58"/>
      <c r="AZ114" s="121"/>
      <c r="BA114" s="14"/>
      <c r="BB114" s="14"/>
      <c r="BC114" s="14"/>
      <c r="BD114" s="14"/>
      <c r="BE114" s="19"/>
      <c r="BF114" s="19"/>
      <c r="BG114" s="19"/>
      <c r="BH114" s="65"/>
      <c r="BI114" s="63"/>
      <c r="BJ114" s="352"/>
      <c r="BK114" s="19"/>
      <c r="BL114" s="57"/>
      <c r="BM114" s="121" t="str">
        <f ca="1" xml:space="preserve"> IF(BR133=0,"",IF(BR133=0,"", IF(COUNTIF(BR126:BR132,MAX(BR126:BR132))&lt;=2,"",IF(COUNTIF(BR126:BR132,MAX(BR126:BR132))&gt;COUNTIF(BQ126:BQ132,"&lt;&gt;""")/2,"", INDEX(OFFSET(BQ126,MATCH(BM113,BQ126:BQ132,0),0):BQ132,         MATCH(MAX(BR126:BR132),        OFFSET(BR126,MATCH(BM113,BQ126:BQ132,0),0):BR132,0),1)))))</f>
        <v/>
      </c>
      <c r="BN114" s="58"/>
      <c r="BO114" s="121"/>
      <c r="BP114" s="14"/>
      <c r="BQ114" s="14"/>
      <c r="BR114" s="14"/>
      <c r="BS114" s="14"/>
      <c r="BT114" s="19"/>
      <c r="BU114" s="19"/>
      <c r="BV114" s="19"/>
      <c r="BW114" s="65"/>
      <c r="BX114" s="63"/>
      <c r="BY114" s="352"/>
      <c r="BZ114" s="14"/>
      <c r="CA114" s="14"/>
      <c r="CB114" s="21"/>
      <c r="CC114" s="21"/>
      <c r="CD114" s="180"/>
      <c r="CE114" s="180"/>
      <c r="CF114" s="21"/>
      <c r="CG114" s="14"/>
      <c r="CH114" s="14"/>
      <c r="CI114" s="14"/>
      <c r="CJ114" s="14"/>
      <c r="CK114" s="14"/>
      <c r="CL114" s="14"/>
      <c r="CM114" s="14"/>
      <c r="CN114" s="14"/>
      <c r="CO114" s="129"/>
      <c r="CP114" s="29"/>
      <c r="CQ114" s="47"/>
      <c r="CR114" s="14"/>
      <c r="CS114" s="14"/>
      <c r="CT114" s="14"/>
      <c r="CU114" s="14"/>
      <c r="CV114" s="180"/>
      <c r="CW114" s="189"/>
      <c r="CX114" s="189"/>
      <c r="CY114" s="14"/>
      <c r="CZ114" s="14"/>
      <c r="DA114" s="14"/>
      <c r="DB114" s="14"/>
      <c r="DC114" s="14"/>
      <c r="DD114" s="14"/>
      <c r="DE114" s="14"/>
      <c r="DF114" s="14"/>
      <c r="DG114" s="129"/>
      <c r="DH114" s="29"/>
      <c r="DI114" s="47"/>
      <c r="DJ114" s="29"/>
      <c r="DK114" s="34"/>
      <c r="DL114" s="121" t="str">
        <f ca="1" xml:space="preserve"> IF(DQ131=0,"",IF(DQ131=0,"", IF(COUNTIF(DQ126:DQ130,MAX(DQ126:DQ130))&lt;=2,"",IF(COUNTIF(DQ126:DQ130,MAX(DQ126:DQ130))&gt;COUNTIF(DP126:DP130,"&lt;&gt;""")/2,"", INDEX(OFFSET(DP126,MATCH(DL113,DP126:DP131,0),0):DP130,         MATCH(MAX(DQ126:DQ130),        OFFSET(DQ126,MATCH(DL113,DP126:DP131,0),0):DQ130,0),1)))))</f>
        <v/>
      </c>
      <c r="DM114" s="33"/>
      <c r="DN114" s="37"/>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row>
    <row r="115" spans="1:142" x14ac:dyDescent="0.25">
      <c r="A115" s="14"/>
      <c r="B115" s="14"/>
      <c r="C115" s="14"/>
      <c r="D115" s="27"/>
      <c r="E115" s="14"/>
      <c r="F115" s="14"/>
      <c r="G115" s="14"/>
      <c r="H115" s="21"/>
      <c r="I115" s="21"/>
      <c r="J115" s="14"/>
      <c r="K115" s="19"/>
      <c r="L115" s="40"/>
      <c r="M115" s="40"/>
      <c r="N115" s="40"/>
      <c r="O115" s="40"/>
      <c r="P115" s="40"/>
      <c r="Q115" s="47"/>
      <c r="R115" s="19"/>
      <c r="S115" s="19"/>
      <c r="T115" s="19"/>
      <c r="U115" s="14"/>
      <c r="V115" s="14"/>
      <c r="W115" s="14"/>
      <c r="X115" s="14"/>
      <c r="Y115" s="14"/>
      <c r="Z115" s="14"/>
      <c r="AA115" s="19"/>
      <c r="AB115" s="19"/>
      <c r="AC115" s="19"/>
      <c r="AD115" s="65"/>
      <c r="AE115" s="63"/>
      <c r="AF115" s="47"/>
      <c r="AG115" s="19"/>
      <c r="AH115" s="19"/>
      <c r="AI115" s="19"/>
      <c r="AJ115" s="14"/>
      <c r="AK115" s="14"/>
      <c r="AL115" s="14"/>
      <c r="AM115" s="14"/>
      <c r="AN115" s="14"/>
      <c r="AO115" s="14"/>
      <c r="AP115" s="19"/>
      <c r="AQ115" s="19"/>
      <c r="AR115" s="19"/>
      <c r="AS115" s="65"/>
      <c r="AT115" s="63"/>
      <c r="AU115" s="47"/>
      <c r="AV115" s="14"/>
      <c r="AW115" s="19"/>
      <c r="AX115" s="19"/>
      <c r="AY115" s="14"/>
      <c r="AZ115" s="14"/>
      <c r="BA115" s="14"/>
      <c r="BB115" s="14"/>
      <c r="BC115" s="14"/>
      <c r="BD115" s="14"/>
      <c r="BE115" s="19"/>
      <c r="BF115" s="19"/>
      <c r="BG115" s="19"/>
      <c r="BH115" s="65"/>
      <c r="BI115" s="63"/>
      <c r="BJ115" s="352"/>
      <c r="BK115" s="19"/>
      <c r="BL115" s="19"/>
      <c r="BM115" s="19"/>
      <c r="BN115" s="14"/>
      <c r="BO115" s="14"/>
      <c r="BP115" s="14"/>
      <c r="BQ115" s="14"/>
      <c r="BR115" s="14"/>
      <c r="BS115" s="14"/>
      <c r="BT115" s="19"/>
      <c r="BU115" s="19"/>
      <c r="BV115" s="19"/>
      <c r="BW115" s="65"/>
      <c r="BX115" s="63"/>
      <c r="BY115" s="352"/>
      <c r="BZ115" s="14"/>
      <c r="CA115" s="14"/>
      <c r="CB115" s="21"/>
      <c r="CC115" s="21"/>
      <c r="CD115" s="180"/>
      <c r="CE115" s="180"/>
      <c r="CF115" s="21"/>
      <c r="CG115" s="14"/>
      <c r="CH115" s="14"/>
      <c r="CI115" s="14"/>
      <c r="CJ115" s="14"/>
      <c r="CK115" s="14"/>
      <c r="CL115" s="14"/>
      <c r="CM115" s="14"/>
      <c r="CN115" s="14"/>
      <c r="CO115" s="129"/>
      <c r="CP115" s="29"/>
      <c r="CQ115" s="47"/>
      <c r="CR115" s="14"/>
      <c r="CS115" s="14"/>
      <c r="CT115" s="14"/>
      <c r="CU115" s="14"/>
      <c r="CV115" s="180"/>
      <c r="CW115" s="189"/>
      <c r="CX115" s="189"/>
      <c r="CY115" s="14"/>
      <c r="CZ115" s="14"/>
      <c r="DA115" s="14"/>
      <c r="DB115" s="14"/>
      <c r="DC115" s="14"/>
      <c r="DD115" s="14"/>
      <c r="DE115" s="14"/>
      <c r="DF115" s="14"/>
      <c r="DG115" s="129"/>
      <c r="DH115" s="29"/>
      <c r="DI115" s="47"/>
      <c r="DJ115" s="29"/>
      <c r="DK115" s="14"/>
      <c r="DL115" s="14"/>
      <c r="DM115" s="27"/>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row>
    <row r="116" spans="1:142" x14ac:dyDescent="0.25">
      <c r="A116" s="14"/>
      <c r="B116" s="14"/>
      <c r="C116" s="14"/>
      <c r="D116" s="27"/>
      <c r="E116" s="14"/>
      <c r="F116" s="14"/>
      <c r="G116" s="14"/>
      <c r="H116" s="21"/>
      <c r="I116" s="21"/>
      <c r="J116" s="14"/>
      <c r="K116" s="19"/>
      <c r="L116" s="40"/>
      <c r="M116" s="40"/>
      <c r="N116" s="40"/>
      <c r="O116" s="40"/>
      <c r="P116" s="40"/>
      <c r="Q116" s="47"/>
      <c r="R116" s="19"/>
      <c r="S116" s="19"/>
      <c r="T116" s="19"/>
      <c r="U116" s="14"/>
      <c r="V116" s="14"/>
      <c r="W116" s="14"/>
      <c r="X116" s="14"/>
      <c r="Y116" s="14"/>
      <c r="Z116" s="14"/>
      <c r="AA116" s="19"/>
      <c r="AB116" s="19"/>
      <c r="AC116" s="19"/>
      <c r="AD116" s="65"/>
      <c r="AE116" s="63"/>
      <c r="AF116" s="47"/>
      <c r="AG116" s="19"/>
      <c r="AH116" s="19"/>
      <c r="AI116" s="19"/>
      <c r="AJ116" s="14"/>
      <c r="AK116" s="14"/>
      <c r="AL116" s="14"/>
      <c r="AM116" s="14"/>
      <c r="AN116" s="14"/>
      <c r="AO116" s="14"/>
      <c r="AP116" s="19"/>
      <c r="AQ116" s="19"/>
      <c r="AR116" s="19"/>
      <c r="AS116" s="65"/>
      <c r="AT116" s="63"/>
      <c r="AU116" s="47"/>
      <c r="AV116" s="14"/>
      <c r="AW116" s="19"/>
      <c r="AX116" s="19"/>
      <c r="AY116" s="14"/>
      <c r="AZ116" s="14"/>
      <c r="BA116" s="14"/>
      <c r="BB116" s="14"/>
      <c r="BC116" s="14"/>
      <c r="BD116" s="14"/>
      <c r="BE116" s="19"/>
      <c r="BF116" s="19"/>
      <c r="BG116" s="19"/>
      <c r="BH116" s="65"/>
      <c r="BI116" s="63"/>
      <c r="BJ116" s="352"/>
      <c r="BK116" s="19"/>
      <c r="BL116" s="19"/>
      <c r="BM116" s="19"/>
      <c r="BN116" s="14"/>
      <c r="BO116" s="14"/>
      <c r="BP116" s="14"/>
      <c r="BQ116" s="14"/>
      <c r="BR116" s="14"/>
      <c r="BS116" s="14"/>
      <c r="BT116" s="19"/>
      <c r="BU116" s="19"/>
      <c r="BV116" s="19"/>
      <c r="BW116" s="65"/>
      <c r="BX116" s="63"/>
      <c r="BY116" s="352"/>
      <c r="BZ116" s="14"/>
      <c r="CA116" s="14"/>
      <c r="CB116" s="21"/>
      <c r="CC116" s="21"/>
      <c r="CD116" s="180"/>
      <c r="CE116" s="180"/>
      <c r="CF116" s="21"/>
      <c r="CG116" s="14"/>
      <c r="CH116" s="14"/>
      <c r="CI116" s="14"/>
      <c r="CJ116" s="14"/>
      <c r="CK116" s="14"/>
      <c r="CL116" s="14"/>
      <c r="CM116" s="14"/>
      <c r="CN116" s="14"/>
      <c r="CO116" s="129"/>
      <c r="CP116" s="29"/>
      <c r="CQ116" s="47"/>
      <c r="CR116" s="14"/>
      <c r="CS116" s="14"/>
      <c r="CT116" s="14"/>
      <c r="CU116" s="14"/>
      <c r="CV116" s="180"/>
      <c r="CW116" s="189"/>
      <c r="CX116" s="189"/>
      <c r="CY116" s="14"/>
      <c r="CZ116" s="14"/>
      <c r="DA116" s="14"/>
      <c r="DB116" s="14"/>
      <c r="DC116" s="14"/>
      <c r="DD116" s="14"/>
      <c r="DE116" s="14"/>
      <c r="DF116" s="14"/>
      <c r="DG116" s="129"/>
      <c r="DH116" s="29"/>
      <c r="DI116" s="47"/>
      <c r="DJ116" s="29"/>
      <c r="DK116" s="14"/>
      <c r="DL116" s="14"/>
      <c r="DM116" s="27"/>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row>
    <row r="117" spans="1:142" ht="27.6" x14ac:dyDescent="0.25">
      <c r="A117" s="14"/>
      <c r="B117" s="14"/>
      <c r="C117" s="14"/>
      <c r="D117" s="27"/>
      <c r="E117" s="14"/>
      <c r="F117" s="14"/>
      <c r="G117" s="14"/>
      <c r="H117" s="21"/>
      <c r="I117" s="21"/>
      <c r="J117" s="14"/>
      <c r="K117" s="19"/>
      <c r="L117" s="40"/>
      <c r="M117" s="40"/>
      <c r="N117" s="40"/>
      <c r="O117" s="40"/>
      <c r="P117" s="40"/>
      <c r="Q117" s="47"/>
      <c r="R117" s="19"/>
      <c r="S117" s="19"/>
      <c r="T117" s="19"/>
      <c r="U117" s="14"/>
      <c r="V117" s="14"/>
      <c r="W117" s="14"/>
      <c r="X117" s="14"/>
      <c r="Y117" s="14"/>
      <c r="Z117" s="14"/>
      <c r="AA117" s="19"/>
      <c r="AB117" s="19"/>
      <c r="AC117" s="19"/>
      <c r="AD117" s="65"/>
      <c r="AE117" s="63"/>
      <c r="AF117" s="47"/>
      <c r="AG117" s="19"/>
      <c r="AH117" s="19"/>
      <c r="AI117" s="19"/>
      <c r="AJ117" s="14"/>
      <c r="AK117" s="14"/>
      <c r="AL117" s="14"/>
      <c r="AM117" s="14"/>
      <c r="AN117" s="14"/>
      <c r="AO117" s="14"/>
      <c r="AP117" s="19"/>
      <c r="AQ117" s="19"/>
      <c r="AR117" s="19"/>
      <c r="AS117" s="65"/>
      <c r="AT117" s="63"/>
      <c r="AU117" s="47"/>
      <c r="AV117" s="14"/>
      <c r="AW117" s="19"/>
      <c r="AX117" s="19"/>
      <c r="AY117" s="14"/>
      <c r="AZ117" s="14"/>
      <c r="BA117" s="14"/>
      <c r="BB117" s="14"/>
      <c r="BC117" s="14"/>
      <c r="BD117" s="14"/>
      <c r="BE117" s="19"/>
      <c r="BF117" s="19"/>
      <c r="BG117" s="19"/>
      <c r="BH117" s="65"/>
      <c r="BI117" s="63"/>
      <c r="BJ117" s="352"/>
      <c r="BK117" s="19"/>
      <c r="BL117" s="19"/>
      <c r="BM117" s="19"/>
      <c r="BN117" s="14"/>
      <c r="BO117" s="14"/>
      <c r="BP117" s="14"/>
      <c r="BQ117" s="14"/>
      <c r="BR117" s="14"/>
      <c r="BS117" s="14"/>
      <c r="BT117" s="19"/>
      <c r="BU117" s="19"/>
      <c r="BV117" s="19"/>
      <c r="BW117" s="65"/>
      <c r="BX117" s="63"/>
      <c r="BY117" s="352"/>
      <c r="BZ117" s="14"/>
      <c r="CA117" s="109" t="s">
        <v>14</v>
      </c>
      <c r="CB117" s="110" t="s">
        <v>164</v>
      </c>
      <c r="CC117" s="110" t="s">
        <v>149</v>
      </c>
      <c r="CD117" s="184" t="s">
        <v>150</v>
      </c>
      <c r="CE117" s="184" t="s">
        <v>151</v>
      </c>
      <c r="CF117" s="110" t="s">
        <v>152</v>
      </c>
      <c r="CG117" s="14"/>
      <c r="CH117" s="109"/>
      <c r="CI117" s="110" t="s">
        <v>5</v>
      </c>
      <c r="CJ117" s="110" t="s">
        <v>4</v>
      </c>
      <c r="CK117" s="110" t="s">
        <v>33</v>
      </c>
      <c r="CL117" s="110" t="s">
        <v>29</v>
      </c>
      <c r="CM117" s="110" t="s">
        <v>3</v>
      </c>
      <c r="CN117" s="110" t="s">
        <v>54</v>
      </c>
      <c r="CO117" s="328" t="s">
        <v>160</v>
      </c>
      <c r="CP117" s="29"/>
      <c r="CQ117" s="47"/>
      <c r="CR117" s="14"/>
      <c r="CS117" s="109" t="s">
        <v>14</v>
      </c>
      <c r="CT117" s="110" t="s">
        <v>164</v>
      </c>
      <c r="CU117" s="110" t="s">
        <v>149</v>
      </c>
      <c r="CV117" s="184" t="s">
        <v>150</v>
      </c>
      <c r="CW117" s="184" t="s">
        <v>151</v>
      </c>
      <c r="CX117" s="194" t="s">
        <v>152</v>
      </c>
      <c r="CY117" s="14"/>
      <c r="CZ117" s="109" t="s">
        <v>14</v>
      </c>
      <c r="DA117" s="110" t="s">
        <v>5</v>
      </c>
      <c r="DB117" s="110" t="s">
        <v>4</v>
      </c>
      <c r="DC117" s="110" t="s">
        <v>33</v>
      </c>
      <c r="DD117" s="110" t="s">
        <v>29</v>
      </c>
      <c r="DE117" s="110" t="s">
        <v>3</v>
      </c>
      <c r="DF117" s="110" t="s">
        <v>54</v>
      </c>
      <c r="DG117" s="328" t="s">
        <v>160</v>
      </c>
      <c r="DH117" s="29"/>
      <c r="DI117" s="47"/>
      <c r="DJ117" s="29"/>
      <c r="DK117" s="19"/>
      <c r="DL117" s="19"/>
      <c r="DM117" s="27"/>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row>
    <row r="118" spans="1:142" x14ac:dyDescent="0.25">
      <c r="A118" s="14"/>
      <c r="B118" s="14"/>
      <c r="C118" s="14"/>
      <c r="D118" s="21"/>
      <c r="E118" s="14"/>
      <c r="F118" s="14"/>
      <c r="G118" s="14"/>
      <c r="H118" s="21"/>
      <c r="I118" s="15"/>
      <c r="J118" s="13"/>
      <c r="K118" s="14"/>
      <c r="L118" s="14"/>
      <c r="M118" s="14"/>
      <c r="N118" s="14"/>
      <c r="O118" s="14"/>
      <c r="P118" s="14"/>
      <c r="Q118" s="47"/>
      <c r="R118" s="19"/>
      <c r="S118" s="19"/>
      <c r="T118" s="19"/>
      <c r="U118" s="14"/>
      <c r="V118" s="14"/>
      <c r="W118" s="14"/>
      <c r="X118" s="14"/>
      <c r="Y118" s="14"/>
      <c r="Z118" s="14"/>
      <c r="AA118" s="19"/>
      <c r="AB118" s="19"/>
      <c r="AC118" s="19"/>
      <c r="AD118" s="65"/>
      <c r="AE118" s="63"/>
      <c r="AF118" s="47"/>
      <c r="AG118" s="19"/>
      <c r="AH118" s="19"/>
      <c r="AI118" s="19"/>
      <c r="AJ118" s="14"/>
      <c r="AK118" s="14"/>
      <c r="AL118" s="14"/>
      <c r="AM118" s="14"/>
      <c r="AN118" s="14"/>
      <c r="AO118" s="14"/>
      <c r="AP118" s="19"/>
      <c r="AQ118" s="19"/>
      <c r="AR118" s="19"/>
      <c r="AS118" s="65"/>
      <c r="AT118" s="63"/>
      <c r="AU118" s="47"/>
      <c r="AV118" s="14"/>
      <c r="AW118" s="19"/>
      <c r="AX118" s="19"/>
      <c r="AY118" s="14"/>
      <c r="AZ118" s="14"/>
      <c r="BA118" s="14"/>
      <c r="BB118" s="14"/>
      <c r="BC118" s="14"/>
      <c r="BD118" s="14"/>
      <c r="BE118" s="19"/>
      <c r="BF118" s="19"/>
      <c r="BG118" s="19"/>
      <c r="BH118" s="65"/>
      <c r="BI118" s="63"/>
      <c r="BJ118" s="352"/>
      <c r="BK118" s="19"/>
      <c r="BL118" s="19"/>
      <c r="BM118" s="19"/>
      <c r="BN118" s="14"/>
      <c r="BO118" s="14"/>
      <c r="BP118" s="14"/>
      <c r="BQ118" s="14"/>
      <c r="BR118" s="14"/>
      <c r="BS118" s="14"/>
      <c r="BT118" s="19"/>
      <c r="BU118" s="19"/>
      <c r="BV118" s="19"/>
      <c r="BW118" s="65"/>
      <c r="BX118" s="63"/>
      <c r="BY118" s="352"/>
      <c r="BZ118" s="14"/>
      <c r="CA118" s="140" t="s">
        <v>701</v>
      </c>
      <c r="CB118" s="27">
        <f>COUNTIFS(S30_stakeholder_category,"PU",Response_Q177_1,"&lt;&gt;0",Response_Q173_3,"&lt;&gt;0")</f>
        <v>0</v>
      </c>
      <c r="CC118" s="37">
        <f>COUNTIFS(S30_stakeholder_category,"PU",Response_Q177_1,1,Response_Q173_3,"&lt;&gt;""0")</f>
        <v>1</v>
      </c>
      <c r="CD118" s="37">
        <f>COUNTIFS(S30_stakeholder_category,"PU",Response_Q177_1,2,Response_Q173_3,"&lt;&gt;""0")</f>
        <v>1</v>
      </c>
      <c r="CE118" s="37">
        <f>COUNTIFS(S30_stakeholder_category,"PU",Response_Q177_1,3,Response_Q173_3,"&lt;&gt;""0")</f>
        <v>0</v>
      </c>
      <c r="CF118" s="97">
        <f>IF(CB112=0,0,SUMPRODUCT(CC118:CE118,Rank_score)/$CB112)</f>
        <v>5</v>
      </c>
      <c r="CG118" s="14"/>
      <c r="CH118" s="140" t="s">
        <v>701</v>
      </c>
      <c r="CI118" s="27">
        <f t="shared" ref="CI118:CN118" si="67">COUNTIFS(S30_stakeholder_category,"PU",Response_Q177_1,"&lt;&gt;0",Response_Q177_2,CI$63,Response_Q173_3,"&lt;&gt;0")</f>
        <v>0</v>
      </c>
      <c r="CJ118" s="27">
        <f t="shared" si="67"/>
        <v>0</v>
      </c>
      <c r="CK118" s="27">
        <f t="shared" si="67"/>
        <v>0</v>
      </c>
      <c r="CL118" s="27">
        <f t="shared" si="67"/>
        <v>0</v>
      </c>
      <c r="CM118" s="27">
        <f t="shared" si="67"/>
        <v>0</v>
      </c>
      <c r="CN118" s="27">
        <f t="shared" si="67"/>
        <v>0</v>
      </c>
      <c r="CO118" s="141" t="str">
        <f t="shared" ref="CO118:CO124" si="68">IF(ISBLANK(CH118),"",IF(CF118=0,not_ranked,IF(SUM(CI118:CN118)=0,not_estimated,IFERROR(SUMPRODUCT(CI118:CN118,Likekihood_score)/SUM(CI118:CN118),0))))</f>
        <v>Ranked, but likelihood not estimated</v>
      </c>
      <c r="CP118" s="29"/>
      <c r="CQ118" s="47"/>
      <c r="CR118" s="14"/>
      <c r="CS118" s="140" t="s">
        <v>373</v>
      </c>
      <c r="CT118" s="27">
        <f>COUNTIFS(S30_stakeholder_category,"PU",Response_Q178_1,"&lt;&gt;0",Response_Q173_3,"&lt;&gt;0")</f>
        <v>0</v>
      </c>
      <c r="CU118" s="37">
        <f>COUNTIFS(S30_stakeholder_category,"PU",Response_Q178_1,1,Response_Q173_3,"&lt;&gt;0")</f>
        <v>0</v>
      </c>
      <c r="CV118" s="37">
        <f>COUNTIFS(S30_stakeholder_category,"PU",Response_Q178_1,2,Response_Q173_3,"&lt;&gt;0")</f>
        <v>0</v>
      </c>
      <c r="CW118" s="37">
        <f>COUNTIFS(S30_stakeholder_category,"PU",Response_Q178_1,3,Response_Q173_3,"&lt;&gt;0")</f>
        <v>0</v>
      </c>
      <c r="CX118" s="37">
        <f>IF(CT112=0,0,SUMPRODUCT(CU118:CW118,Rank_score)/CT$58)</f>
        <v>0</v>
      </c>
      <c r="CY118" s="14"/>
      <c r="CZ118" s="140" t="s">
        <v>373</v>
      </c>
      <c r="DA118" s="27">
        <f t="shared" ref="DA118:DF118" si="69">COUNTIFS(S30_stakeholder_category,"PU",Response_Q178_1,"&lt;&gt;0",Response_Q178_2,DA$63,Response_Q173_3,"&lt;&gt;0")</f>
        <v>0</v>
      </c>
      <c r="DB118" s="27">
        <f t="shared" si="69"/>
        <v>0</v>
      </c>
      <c r="DC118" s="27">
        <f t="shared" si="69"/>
        <v>0</v>
      </c>
      <c r="DD118" s="27">
        <f t="shared" si="69"/>
        <v>0</v>
      </c>
      <c r="DE118" s="27">
        <f t="shared" si="69"/>
        <v>0</v>
      </c>
      <c r="DF118" s="27">
        <f t="shared" si="69"/>
        <v>0</v>
      </c>
      <c r="DG118" s="141" t="str">
        <f t="shared" ref="DG118:DG125" si="70">IF(ISBLANK(CZ118),"",IF(CX118=0,not_ranked,IF(SUM(DA118:DF118)=0,not_estimated,IFERROR(SUMPRODUCT(DA118:DF118,Likekihood_score)/SUM(DA118:DF118),0))))</f>
        <v>Factor not ranked</v>
      </c>
      <c r="DH118" s="29"/>
      <c r="DI118" s="47"/>
      <c r="DJ118" s="29"/>
      <c r="DK118" s="19"/>
      <c r="DL118" s="19"/>
      <c r="DM118" s="14"/>
      <c r="DN118" s="14"/>
      <c r="DO118" s="14"/>
      <c r="DP118" s="14"/>
      <c r="DQ118" s="14"/>
      <c r="DR118" s="13"/>
      <c r="DS118" s="13"/>
      <c r="DT118" s="14"/>
      <c r="DU118" s="14"/>
      <c r="DV118" s="14"/>
      <c r="DW118" s="14"/>
      <c r="DX118" s="14"/>
      <c r="DY118" s="14"/>
      <c r="DZ118" s="14"/>
      <c r="EA118" s="14"/>
      <c r="EB118" s="14"/>
      <c r="EC118" s="14"/>
      <c r="ED118" s="14"/>
      <c r="EE118" s="14"/>
      <c r="EF118" s="14"/>
      <c r="EG118" s="14"/>
      <c r="EH118" s="14"/>
      <c r="EI118" s="14"/>
      <c r="EJ118" s="14"/>
      <c r="EK118" s="14"/>
      <c r="EL118" s="14"/>
    </row>
    <row r="119" spans="1:142" ht="14.4" x14ac:dyDescent="0.25">
      <c r="A119" s="14"/>
      <c r="B119" s="60"/>
      <c r="C119" s="19"/>
      <c r="D119" s="59"/>
      <c r="E119" s="14"/>
      <c r="F119" s="14"/>
      <c r="G119" s="14"/>
      <c r="H119" s="21"/>
      <c r="I119" s="21"/>
      <c r="J119" s="14"/>
      <c r="K119" s="14"/>
      <c r="L119" s="14"/>
      <c r="M119" s="14"/>
      <c r="N119" s="14"/>
      <c r="O119" s="14"/>
      <c r="P119" s="14"/>
      <c r="Q119" s="47"/>
      <c r="R119" s="19"/>
      <c r="S119" s="19"/>
      <c r="T119" s="19"/>
      <c r="U119" s="14"/>
      <c r="V119" s="14"/>
      <c r="W119" s="14"/>
      <c r="X119" s="14"/>
      <c r="Y119" s="14"/>
      <c r="Z119" s="14"/>
      <c r="AA119" s="19"/>
      <c r="AB119" s="19"/>
      <c r="AC119" s="19"/>
      <c r="AD119" s="65"/>
      <c r="AE119" s="63"/>
      <c r="AF119" s="47"/>
      <c r="AG119" s="19"/>
      <c r="AH119" s="19"/>
      <c r="AI119" s="19"/>
      <c r="AJ119" s="14"/>
      <c r="AK119" s="14"/>
      <c r="AL119" s="14"/>
      <c r="AM119" s="14"/>
      <c r="AN119" s="14"/>
      <c r="AO119" s="14"/>
      <c r="AP119" s="19"/>
      <c r="AQ119" s="19"/>
      <c r="AR119" s="19"/>
      <c r="AS119" s="65"/>
      <c r="AT119" s="63"/>
      <c r="AU119" s="47"/>
      <c r="AV119" s="14"/>
      <c r="AW119" s="19"/>
      <c r="AX119" s="19"/>
      <c r="AY119" s="14"/>
      <c r="AZ119" s="14"/>
      <c r="BA119" s="14"/>
      <c r="BB119" s="14"/>
      <c r="BC119" s="14"/>
      <c r="BD119" s="14"/>
      <c r="BE119" s="19"/>
      <c r="BF119" s="19"/>
      <c r="BG119" s="19"/>
      <c r="BH119" s="65"/>
      <c r="BI119" s="63"/>
      <c r="BJ119" s="352"/>
      <c r="BK119" s="19"/>
      <c r="BL119" s="19"/>
      <c r="BM119" s="19"/>
      <c r="BN119" s="14"/>
      <c r="BO119" s="14"/>
      <c r="BP119" s="14"/>
      <c r="BQ119" s="14"/>
      <c r="BR119" s="14"/>
      <c r="BS119" s="14"/>
      <c r="BT119" s="19"/>
      <c r="BU119" s="19"/>
      <c r="BV119" s="19"/>
      <c r="BW119" s="65"/>
      <c r="BX119" s="63"/>
      <c r="BY119" s="352"/>
      <c r="BZ119" s="14"/>
      <c r="CA119" s="140" t="s">
        <v>344</v>
      </c>
      <c r="CB119" s="27">
        <f>COUNTIFS(S30_stakeholder_category,"PU",Response_Q177_3,"&lt;&gt;0",Response_Q173_3,"&lt;&gt;0")</f>
        <v>0</v>
      </c>
      <c r="CC119" s="37">
        <f>COUNTIFS(S30_stakeholder_category,"PU",Response_Q177_3,1,Response_Q173_3,"&lt;&gt;0")</f>
        <v>0</v>
      </c>
      <c r="CD119" s="37">
        <f>COUNTIFS(S30_stakeholder_category,"PU",Response_Q177_3,2,Response_Q173_3,"&lt;&gt;0")</f>
        <v>0</v>
      </c>
      <c r="CE119" s="37">
        <f>COUNTIFS(S30_stakeholder_category,"PU",Response_Q177_3,3,Response_Q173_3,"&lt;&gt;0")</f>
        <v>0</v>
      </c>
      <c r="CF119" s="97">
        <f>IF(CB112=0,0,SUMPRODUCT(CC119:CE119,Rank_score)/$CB112)</f>
        <v>0</v>
      </c>
      <c r="CG119" s="14"/>
      <c r="CH119" s="140" t="s">
        <v>344</v>
      </c>
      <c r="CI119" s="27">
        <f t="shared" ref="CI119:CN119" si="71">COUNTIFS(S30_stakeholder_category,"PU",Response_Q177_3,"&lt;&gt;0",Response_Q177_4,CI$63,Response_Q173_3,"&lt;&gt;0")</f>
        <v>0</v>
      </c>
      <c r="CJ119" s="27">
        <f t="shared" si="71"/>
        <v>0</v>
      </c>
      <c r="CK119" s="27">
        <f t="shared" si="71"/>
        <v>0</v>
      </c>
      <c r="CL119" s="27">
        <f t="shared" si="71"/>
        <v>0</v>
      </c>
      <c r="CM119" s="27">
        <f t="shared" si="71"/>
        <v>0</v>
      </c>
      <c r="CN119" s="27">
        <f t="shared" si="71"/>
        <v>0</v>
      </c>
      <c r="CO119" s="141" t="str">
        <f t="shared" si="68"/>
        <v>Factor not ranked</v>
      </c>
      <c r="CP119" s="14"/>
      <c r="CQ119" s="47"/>
      <c r="CR119" s="14"/>
      <c r="CS119" s="140" t="s">
        <v>338</v>
      </c>
      <c r="CT119" s="27">
        <f>COUNTIFS(S30_stakeholder_category,"PU",Response_Q178_3,"&lt;&gt;0",Response_Q173_3,"&lt;&gt;0")</f>
        <v>0</v>
      </c>
      <c r="CU119" s="37">
        <f>COUNTIFS(S30_stakeholder_category,"PU",Response_Q178_3,1,Response_Q173_3,"&lt;&gt;0")</f>
        <v>0</v>
      </c>
      <c r="CV119" s="37">
        <f>COUNTIFS(S30_stakeholder_category,"PU",Response_Q178_3,2,Response_Q173_3,"&lt;&gt;0")</f>
        <v>0</v>
      </c>
      <c r="CW119" s="37">
        <f>COUNTIFS(S30_stakeholder_category,"PU",Response_Q178_3,3,Response_Q173_3,"&lt;&gt;0")</f>
        <v>0</v>
      </c>
      <c r="CX119" s="37">
        <f>IF(CT112=0,0,SUMPRODUCT(CU119:CW119,Rank_score)/CT$58)</f>
        <v>0</v>
      </c>
      <c r="CY119" s="14"/>
      <c r="CZ119" s="140" t="s">
        <v>338</v>
      </c>
      <c r="DA119" s="27">
        <f t="shared" ref="DA119:DF119" si="72">COUNTIFS(S30_stakeholder_category,"PU",Response_Q178_3,"&lt;&gt;0",Response_Q178_4,DA$63,Response_Q173_3,"&lt;&gt;0")</f>
        <v>0</v>
      </c>
      <c r="DB119" s="27">
        <f t="shared" si="72"/>
        <v>0</v>
      </c>
      <c r="DC119" s="27">
        <f t="shared" si="72"/>
        <v>0</v>
      </c>
      <c r="DD119" s="27">
        <f t="shared" si="72"/>
        <v>0</v>
      </c>
      <c r="DE119" s="27">
        <f t="shared" si="72"/>
        <v>0</v>
      </c>
      <c r="DF119" s="27">
        <f t="shared" si="72"/>
        <v>0</v>
      </c>
      <c r="DG119" s="141" t="str">
        <f t="shared" si="70"/>
        <v>Factor not ranked</v>
      </c>
      <c r="DH119" s="14"/>
      <c r="DI119" s="47"/>
      <c r="DJ119" s="14"/>
      <c r="DK119" s="56"/>
      <c r="DL119" s="29"/>
      <c r="DM119" s="59"/>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row>
    <row r="120" spans="1:142" x14ac:dyDescent="0.25">
      <c r="A120" s="14"/>
      <c r="B120" s="62"/>
      <c r="C120" s="19"/>
      <c r="D120" s="59"/>
      <c r="E120" s="14"/>
      <c r="F120" s="14"/>
      <c r="G120" s="14"/>
      <c r="H120" s="21"/>
      <c r="I120" s="21"/>
      <c r="J120" s="14"/>
      <c r="K120" s="14"/>
      <c r="L120" s="14"/>
      <c r="M120" s="14"/>
      <c r="N120" s="14"/>
      <c r="O120" s="14"/>
      <c r="P120" s="14"/>
      <c r="Q120" s="47"/>
      <c r="R120" s="19"/>
      <c r="S120" s="19"/>
      <c r="T120" s="19"/>
      <c r="U120" s="14"/>
      <c r="V120" s="14"/>
      <c r="W120" s="14"/>
      <c r="X120" s="14"/>
      <c r="Y120" s="14"/>
      <c r="Z120" s="13"/>
      <c r="AA120" s="13"/>
      <c r="AB120" s="13"/>
      <c r="AC120" s="13"/>
      <c r="AD120" s="65"/>
      <c r="AE120" s="63"/>
      <c r="AF120" s="47"/>
      <c r="AG120" s="19"/>
      <c r="AH120" s="19"/>
      <c r="AI120" s="19"/>
      <c r="AJ120" s="14"/>
      <c r="AK120" s="14"/>
      <c r="AL120" s="14"/>
      <c r="AM120" s="14"/>
      <c r="AN120" s="14"/>
      <c r="AO120" s="13"/>
      <c r="AP120" s="13"/>
      <c r="AQ120" s="13"/>
      <c r="AR120" s="13"/>
      <c r="AS120" s="65"/>
      <c r="AT120" s="63"/>
      <c r="AU120" s="47"/>
      <c r="AV120" s="14"/>
      <c r="AW120" s="19"/>
      <c r="AX120" s="19"/>
      <c r="AY120" s="14"/>
      <c r="AZ120" s="14"/>
      <c r="BA120" s="14"/>
      <c r="BB120" s="14"/>
      <c r="BC120" s="14"/>
      <c r="BD120" s="13"/>
      <c r="BE120" s="13"/>
      <c r="BF120" s="13"/>
      <c r="BG120" s="13"/>
      <c r="BH120" s="65"/>
      <c r="BI120" s="63"/>
      <c r="BJ120" s="352"/>
      <c r="BK120" s="19"/>
      <c r="BL120" s="19"/>
      <c r="BM120" s="19"/>
      <c r="BN120" s="14"/>
      <c r="BO120" s="14"/>
      <c r="BP120" s="14"/>
      <c r="BQ120" s="14"/>
      <c r="BR120" s="14"/>
      <c r="BS120" s="13"/>
      <c r="BT120" s="13"/>
      <c r="BU120" s="13"/>
      <c r="BV120" s="13"/>
      <c r="BW120" s="65"/>
      <c r="BX120" s="63"/>
      <c r="BY120" s="352"/>
      <c r="BZ120" s="14"/>
      <c r="CA120" s="140" t="s">
        <v>146</v>
      </c>
      <c r="CB120" s="27">
        <f>COUNTIFS(S30_stakeholder_category,"PU",Response_Q177_5,"&lt;&gt;0",Response_Q173_3,"&lt;&gt;0")</f>
        <v>0</v>
      </c>
      <c r="CC120" s="37">
        <f>COUNTIFS(S30_stakeholder_category,"PU",Response_Q177_5,1,Response_Q173_3,"&lt;&gt;0")</f>
        <v>0</v>
      </c>
      <c r="CD120" s="37">
        <f>COUNTIFS(S30_stakeholder_category,"PU",Response_Q177_5,2,Response_Q173_3,"&lt;&gt;0")</f>
        <v>0</v>
      </c>
      <c r="CE120" s="37">
        <f>COUNTIFS(S30_stakeholder_category,"PU",Response_Q177_5,3,Response_Q173_3,"&lt;&gt;0")</f>
        <v>0</v>
      </c>
      <c r="CF120" s="97">
        <f>IF(CB112=0,0,SUMPRODUCT(CC120:CE120,Rank_score)/$CB112)</f>
        <v>0</v>
      </c>
      <c r="CG120" s="14"/>
      <c r="CH120" s="140" t="s">
        <v>146</v>
      </c>
      <c r="CI120" s="27">
        <f t="shared" ref="CI120:CN120" si="73">COUNTIFS(S30_stakeholder_category,"PU",Response_Q177_5,"&lt;&gt;0",Response_Q177_6,CI$63,Response_Q173_3,"&lt;&gt;0")</f>
        <v>0</v>
      </c>
      <c r="CJ120" s="27">
        <f t="shared" si="73"/>
        <v>0</v>
      </c>
      <c r="CK120" s="27">
        <f t="shared" si="73"/>
        <v>0</v>
      </c>
      <c r="CL120" s="27">
        <f t="shared" si="73"/>
        <v>0</v>
      </c>
      <c r="CM120" s="27">
        <f t="shared" si="73"/>
        <v>0</v>
      </c>
      <c r="CN120" s="27">
        <f t="shared" si="73"/>
        <v>0</v>
      </c>
      <c r="CO120" s="141" t="str">
        <f t="shared" si="68"/>
        <v>Factor not ranked</v>
      </c>
      <c r="CP120" s="14"/>
      <c r="CQ120" s="47"/>
      <c r="CR120" s="14"/>
      <c r="CS120" s="106" t="s">
        <v>339</v>
      </c>
      <c r="CT120" s="27">
        <f>COUNTIFS(S30_stakeholder_category,"PU",Response_Q178_5,"&lt;&gt;0",Response_Q173_3,"&lt;&gt;0")</f>
        <v>0</v>
      </c>
      <c r="CU120" s="37">
        <f>COUNTIFS(S30_stakeholder_category,"PU",Response_Q178_5,1,Response_Q173_3,"&lt;&gt;0")</f>
        <v>0</v>
      </c>
      <c r="CV120" s="37">
        <f>COUNTIFS(S30_stakeholder_category,"PU",Response_Q178_5,2,Response_Q173_3,"&lt;&gt;0")</f>
        <v>0</v>
      </c>
      <c r="CW120" s="37">
        <f>COUNTIFS(S30_stakeholder_category,"PU",Response_Q178_5,3,Response_Q173_3,"&lt;&gt;0")</f>
        <v>0</v>
      </c>
      <c r="CX120" s="37">
        <f>IF(CT112=0,0,SUMPRODUCT(CU120:CW120,Rank_score)/CT$58)</f>
        <v>0</v>
      </c>
      <c r="CY120" s="14"/>
      <c r="CZ120" s="106" t="s">
        <v>339</v>
      </c>
      <c r="DA120" s="27">
        <f t="shared" ref="DA120:DF120" si="74">COUNTIFS(S30_stakeholder_category,"PU",Response_Q178_5,"&lt;&gt;0",Response_Q178_6,DA$63,Response_Q173_3,"&lt;&gt;0")</f>
        <v>0</v>
      </c>
      <c r="DB120" s="27">
        <f t="shared" si="74"/>
        <v>0</v>
      </c>
      <c r="DC120" s="27">
        <f t="shared" si="74"/>
        <v>0</v>
      </c>
      <c r="DD120" s="27">
        <f t="shared" si="74"/>
        <v>0</v>
      </c>
      <c r="DE120" s="27">
        <f t="shared" si="74"/>
        <v>0</v>
      </c>
      <c r="DF120" s="27">
        <f t="shared" si="74"/>
        <v>0</v>
      </c>
      <c r="DG120" s="141" t="str">
        <f t="shared" si="70"/>
        <v>Factor not ranked</v>
      </c>
      <c r="DH120" s="14"/>
      <c r="DI120" s="47"/>
      <c r="DJ120" s="14"/>
      <c r="DK120" s="56"/>
      <c r="DL120" s="19"/>
      <c r="DM120" s="59"/>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row>
    <row r="121" spans="1:142" x14ac:dyDescent="0.25">
      <c r="A121" s="14"/>
      <c r="B121" s="62"/>
      <c r="C121" s="19"/>
      <c r="D121" s="59"/>
      <c r="E121" s="14"/>
      <c r="F121" s="14"/>
      <c r="G121" s="14"/>
      <c r="H121" s="21"/>
      <c r="I121" s="21"/>
      <c r="J121" s="14"/>
      <c r="K121" s="14"/>
      <c r="L121" s="14"/>
      <c r="M121" s="14"/>
      <c r="N121" s="14"/>
      <c r="O121" s="14"/>
      <c r="P121" s="14"/>
      <c r="Q121" s="47"/>
      <c r="R121" s="19"/>
      <c r="S121" s="19"/>
      <c r="T121" s="19"/>
      <c r="U121" s="19"/>
      <c r="V121" s="19"/>
      <c r="W121" s="14"/>
      <c r="X121" s="14"/>
      <c r="Y121" s="14"/>
      <c r="Z121" s="14"/>
      <c r="AA121" s="14"/>
      <c r="AB121" s="14"/>
      <c r="AC121" s="14"/>
      <c r="AD121" s="65"/>
      <c r="AE121" s="63"/>
      <c r="AF121" s="47"/>
      <c r="AG121" s="19"/>
      <c r="AH121" s="19"/>
      <c r="AI121" s="19"/>
      <c r="AJ121" s="19"/>
      <c r="AK121" s="19"/>
      <c r="AL121" s="14"/>
      <c r="AM121" s="14"/>
      <c r="AN121" s="14"/>
      <c r="AO121" s="14"/>
      <c r="AP121" s="14"/>
      <c r="AQ121" s="14"/>
      <c r="AR121" s="14"/>
      <c r="AS121" s="65"/>
      <c r="AT121" s="63"/>
      <c r="AU121" s="47"/>
      <c r="AV121" s="14"/>
      <c r="AW121" s="19"/>
      <c r="AX121" s="19"/>
      <c r="AY121" s="19"/>
      <c r="AZ121" s="19"/>
      <c r="BA121" s="14"/>
      <c r="BB121" s="14"/>
      <c r="BC121" s="14"/>
      <c r="BD121" s="14"/>
      <c r="BE121" s="14"/>
      <c r="BF121" s="14"/>
      <c r="BG121" s="14"/>
      <c r="BH121" s="65"/>
      <c r="BI121" s="63"/>
      <c r="BJ121" s="352"/>
      <c r="BK121" s="19"/>
      <c r="BL121" s="19"/>
      <c r="BM121" s="19"/>
      <c r="BN121" s="19"/>
      <c r="BO121" s="19"/>
      <c r="BP121" s="14"/>
      <c r="BQ121" s="14"/>
      <c r="BR121" s="14"/>
      <c r="BS121" s="14"/>
      <c r="BT121" s="14"/>
      <c r="BU121" s="14"/>
      <c r="BV121" s="14"/>
      <c r="BW121" s="65"/>
      <c r="BX121" s="63"/>
      <c r="BY121" s="352"/>
      <c r="BZ121" s="14"/>
      <c r="CA121" s="140" t="s">
        <v>147</v>
      </c>
      <c r="CB121" s="27">
        <f>COUNTIFS(S30_stakeholder_category,"PU",Response_Q177_7,"&lt;&gt;0",Response_Q173_3,"&lt;&gt;0")</f>
        <v>0</v>
      </c>
      <c r="CC121" s="37">
        <f>COUNTIFS(S30_stakeholder_category,"PU",Response_Q177_7,1,Response_Q173_3,"&lt;&gt;0")</f>
        <v>0</v>
      </c>
      <c r="CD121" s="37">
        <f>COUNTIFS(S30_stakeholder_category,"PU",Response_Q177_7,2,Response_Q173_3,"&lt;&gt;0")</f>
        <v>0</v>
      </c>
      <c r="CE121" s="37">
        <f>COUNTIFS(S30_stakeholder_category,"PU",Response_Q177_7,3,Response_Q173_3,"&lt;&gt;0")</f>
        <v>0</v>
      </c>
      <c r="CF121" s="97">
        <f>IF(CB112=0,0,SUMPRODUCT(CC121:CE121,Rank_score)/$CB112)</f>
        <v>0</v>
      </c>
      <c r="CG121" s="14"/>
      <c r="CH121" s="140" t="s">
        <v>147</v>
      </c>
      <c r="CI121" s="27">
        <f t="shared" ref="CI121:CN121" si="75">COUNTIFS(S30_stakeholder_category,"PU",Response_Q177_7,"&lt;&gt;0",Response_Q177_8,CI$63,Response_Q173_3,"&lt;&gt;0")</f>
        <v>0</v>
      </c>
      <c r="CJ121" s="27">
        <f t="shared" si="75"/>
        <v>0</v>
      </c>
      <c r="CK121" s="27">
        <f t="shared" si="75"/>
        <v>0</v>
      </c>
      <c r="CL121" s="27">
        <f t="shared" si="75"/>
        <v>0</v>
      </c>
      <c r="CM121" s="27">
        <f t="shared" si="75"/>
        <v>0</v>
      </c>
      <c r="CN121" s="27">
        <f t="shared" si="75"/>
        <v>0</v>
      </c>
      <c r="CO121" s="141" t="str">
        <f t="shared" si="68"/>
        <v>Factor not ranked</v>
      </c>
      <c r="CP121" s="14"/>
      <c r="CQ121" s="47"/>
      <c r="CR121" s="14"/>
      <c r="CS121" s="106" t="s">
        <v>345</v>
      </c>
      <c r="CT121" s="27">
        <f>COUNTIFS(S30_stakeholder_category,"PU",Response_Q178_7,"&lt;&gt;0",Response_Q173_3,"&lt;&gt;0")</f>
        <v>0</v>
      </c>
      <c r="CU121" s="37">
        <f>COUNTIFS(S30_stakeholder_category,"PU",Response_Q178_7,1,Response_Q173_3,"&lt;&gt;0")</f>
        <v>0</v>
      </c>
      <c r="CV121" s="37">
        <f>COUNTIFS(S30_stakeholder_category,"PU",Response_Q178_7,2,Response_Q173_3,"&lt;&gt;0")</f>
        <v>0</v>
      </c>
      <c r="CW121" s="37">
        <f>COUNTIFS(S30_stakeholder_category,"PU",Response_Q178_7,3,Response_Q173_3,"&lt;&gt;0")</f>
        <v>0</v>
      </c>
      <c r="CX121" s="37">
        <f>IF(CT112=0,0,SUMPRODUCT(CU121:CW121,Rank_score)/CT$58)</f>
        <v>0</v>
      </c>
      <c r="CY121" s="14"/>
      <c r="CZ121" s="106" t="s">
        <v>345</v>
      </c>
      <c r="DA121" s="27">
        <f t="shared" ref="DA121:DF121" si="76">COUNTIFS(S30_stakeholder_category,"PU",Response_Q178_7,"&lt;&gt;0",Response_Q178_8,DA$63,Response_Q173_3,"&lt;&gt;0")</f>
        <v>0</v>
      </c>
      <c r="DB121" s="27">
        <f t="shared" si="76"/>
        <v>0</v>
      </c>
      <c r="DC121" s="27">
        <f t="shared" si="76"/>
        <v>0</v>
      </c>
      <c r="DD121" s="27">
        <f t="shared" si="76"/>
        <v>0</v>
      </c>
      <c r="DE121" s="27">
        <f t="shared" si="76"/>
        <v>0</v>
      </c>
      <c r="DF121" s="27">
        <f t="shared" si="76"/>
        <v>0</v>
      </c>
      <c r="DG121" s="141" t="str">
        <f t="shared" si="70"/>
        <v>Factor not ranked</v>
      </c>
      <c r="DH121" s="14"/>
      <c r="DI121" s="47"/>
      <c r="DJ121" s="14"/>
      <c r="DK121" s="14"/>
      <c r="DL121" s="19"/>
      <c r="DM121" s="59"/>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row>
    <row r="122" spans="1:142" x14ac:dyDescent="0.25">
      <c r="A122" s="14"/>
      <c r="B122" s="62"/>
      <c r="C122" s="19"/>
      <c r="D122" s="59"/>
      <c r="E122" s="14"/>
      <c r="F122" s="14"/>
      <c r="G122" s="14"/>
      <c r="H122" s="21"/>
      <c r="I122" s="21"/>
      <c r="J122" s="14"/>
      <c r="K122" s="14"/>
      <c r="L122" s="14"/>
      <c r="M122" s="14"/>
      <c r="N122" s="14"/>
      <c r="O122" s="14"/>
      <c r="P122" s="14"/>
      <c r="Q122" s="47"/>
      <c r="R122" s="19"/>
      <c r="S122" s="19"/>
      <c r="T122" s="19"/>
      <c r="U122" s="59"/>
      <c r="V122" s="19"/>
      <c r="W122" s="14"/>
      <c r="X122" s="14"/>
      <c r="Y122" s="14"/>
      <c r="Z122" s="14"/>
      <c r="AA122" s="14"/>
      <c r="AB122" s="14"/>
      <c r="AC122" s="14"/>
      <c r="AD122" s="65"/>
      <c r="AE122" s="63"/>
      <c r="AF122" s="47"/>
      <c r="AG122" s="19"/>
      <c r="AH122" s="19"/>
      <c r="AI122" s="19"/>
      <c r="AJ122" s="59"/>
      <c r="AK122" s="19"/>
      <c r="AL122" s="14"/>
      <c r="AM122" s="14"/>
      <c r="AN122" s="14"/>
      <c r="AO122" s="14"/>
      <c r="AP122" s="14"/>
      <c r="AQ122" s="14"/>
      <c r="AR122" s="14"/>
      <c r="AS122" s="65"/>
      <c r="AT122" s="63"/>
      <c r="AU122" s="47"/>
      <c r="AV122" s="14"/>
      <c r="AW122" s="19"/>
      <c r="AX122" s="19"/>
      <c r="AY122" s="59"/>
      <c r="AZ122" s="19"/>
      <c r="BA122" s="14"/>
      <c r="BB122" s="14"/>
      <c r="BC122" s="14"/>
      <c r="BD122" s="14"/>
      <c r="BE122" s="14"/>
      <c r="BF122" s="14"/>
      <c r="BG122" s="14"/>
      <c r="BH122" s="65"/>
      <c r="BI122" s="63"/>
      <c r="BJ122" s="352"/>
      <c r="BK122" s="19"/>
      <c r="BL122" s="19"/>
      <c r="BM122" s="19"/>
      <c r="BN122" s="59"/>
      <c r="BO122" s="19"/>
      <c r="BP122" s="14"/>
      <c r="BQ122" s="14"/>
      <c r="BR122" s="14"/>
      <c r="BS122" s="14"/>
      <c r="BT122" s="14"/>
      <c r="BU122" s="14"/>
      <c r="BV122" s="14"/>
      <c r="BW122" s="65"/>
      <c r="BX122" s="63"/>
      <c r="BY122" s="352"/>
      <c r="BZ122" s="14"/>
      <c r="CA122" s="140" t="s">
        <v>341</v>
      </c>
      <c r="CB122" s="27">
        <f>COUNTIFS(S30_stakeholder_category,"PU",Response_Q177_9,"&lt;&gt;0",Response_Q173_3,"&lt;&gt;0")</f>
        <v>0</v>
      </c>
      <c r="CC122" s="37">
        <f>COUNTIFS(S30_stakeholder_category,"PU",Response_Q177_9,1,Response_Q173_3,"&lt;&gt;0")</f>
        <v>0</v>
      </c>
      <c r="CD122" s="37">
        <f>COUNTIFS(S30_stakeholder_category,"PU",Response_Q177_9,2,Response_Q173_3,"&lt;&gt;0")</f>
        <v>0</v>
      </c>
      <c r="CE122" s="37">
        <f>COUNTIFS(S30_stakeholder_category,"PU",Response_Q177_9,3,Response_Q173_3,"&lt;&gt;0")</f>
        <v>0</v>
      </c>
      <c r="CF122" s="97">
        <f>IF(CB112=0,0,SUMPRODUCT(CC122:CE122,Rank_score)/$CB112)</f>
        <v>0</v>
      </c>
      <c r="CG122" s="14"/>
      <c r="CH122" s="140" t="s">
        <v>341</v>
      </c>
      <c r="CI122" s="27">
        <f t="shared" ref="CI122:CN122" si="77">COUNTIFS(S30_stakeholder_category,"PU",Response_Q177_9,"&lt;&gt;0",Response_Q177_10,CI$63,Response_Q173_3,"&lt;&gt;0")</f>
        <v>0</v>
      </c>
      <c r="CJ122" s="27">
        <f t="shared" si="77"/>
        <v>0</v>
      </c>
      <c r="CK122" s="27">
        <f t="shared" si="77"/>
        <v>0</v>
      </c>
      <c r="CL122" s="27">
        <f t="shared" si="77"/>
        <v>0</v>
      </c>
      <c r="CM122" s="27">
        <f t="shared" si="77"/>
        <v>0</v>
      </c>
      <c r="CN122" s="27">
        <f t="shared" si="77"/>
        <v>0</v>
      </c>
      <c r="CO122" s="141" t="str">
        <f t="shared" si="68"/>
        <v>Factor not ranked</v>
      </c>
      <c r="CP122" s="14"/>
      <c r="CQ122" s="47"/>
      <c r="CR122" s="14"/>
      <c r="CS122" s="106" t="s">
        <v>561</v>
      </c>
      <c r="CT122" s="27">
        <f>COUNTIFS(S30_stakeholder_category,"PU",Response_Q178_9,"&lt;&gt;0",Response_Q173_3,"&lt;&gt;0")</f>
        <v>0</v>
      </c>
      <c r="CU122" s="37">
        <f>COUNTIFS(S30_stakeholder_category,"PU",Response_Q178_9,1,Response_Q173_3,"&lt;&gt;0")</f>
        <v>0</v>
      </c>
      <c r="CV122" s="37">
        <f>COUNTIFS(S30_stakeholder_category,"PU",Response_Q178_9,2,Response_Q173_3,"&lt;&gt;0")</f>
        <v>0</v>
      </c>
      <c r="CW122" s="37">
        <f>COUNTIFS(S30_stakeholder_category,"PU",Response_Q178_9,3,Response_Q173_3,"&lt;&gt;0")</f>
        <v>0</v>
      </c>
      <c r="CX122" s="37">
        <f>IF(CT112=0,0,SUMPRODUCT(CU122:CW122,Rank_score)/CT$58)</f>
        <v>0</v>
      </c>
      <c r="CY122" s="14"/>
      <c r="CZ122" s="106" t="s">
        <v>561</v>
      </c>
      <c r="DA122" s="27">
        <f t="shared" ref="DA122:DF122" si="78">COUNTIFS(S30_stakeholder_category,"PU",Response_Q178_9,"&lt;&gt;0",Response_Q178_10,DA$63,Response_Q173_3,"&lt;&gt;0")</f>
        <v>0</v>
      </c>
      <c r="DB122" s="27">
        <f t="shared" si="78"/>
        <v>0</v>
      </c>
      <c r="DC122" s="27">
        <f t="shared" si="78"/>
        <v>0</v>
      </c>
      <c r="DD122" s="27">
        <f t="shared" si="78"/>
        <v>0</v>
      </c>
      <c r="DE122" s="27">
        <f t="shared" si="78"/>
        <v>0</v>
      </c>
      <c r="DF122" s="27">
        <f t="shared" si="78"/>
        <v>0</v>
      </c>
      <c r="DG122" s="141" t="str">
        <f t="shared" si="70"/>
        <v>Factor not ranked</v>
      </c>
      <c r="DH122" s="14"/>
      <c r="DI122" s="47"/>
      <c r="DJ122" s="14"/>
      <c r="DK122" s="14"/>
      <c r="DL122" s="19"/>
      <c r="DM122" s="59"/>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row>
    <row r="123" spans="1:142" x14ac:dyDescent="0.25">
      <c r="A123" s="14"/>
      <c r="B123" s="62"/>
      <c r="C123" s="19"/>
      <c r="D123" s="59"/>
      <c r="E123" s="14"/>
      <c r="F123" s="14"/>
      <c r="G123" s="14"/>
      <c r="H123" s="21"/>
      <c r="I123" s="21"/>
      <c r="J123" s="14"/>
      <c r="K123" s="14"/>
      <c r="L123" s="14"/>
      <c r="M123" s="14"/>
      <c r="N123" s="14"/>
      <c r="O123" s="14"/>
      <c r="P123" s="14"/>
      <c r="Q123" s="47"/>
      <c r="R123" s="19"/>
      <c r="S123" s="19"/>
      <c r="T123" s="19"/>
      <c r="U123" s="59"/>
      <c r="V123" s="19"/>
      <c r="W123" s="14"/>
      <c r="X123" s="14"/>
      <c r="Y123" s="14"/>
      <c r="Z123" s="14"/>
      <c r="AA123" s="14"/>
      <c r="AB123" s="14"/>
      <c r="AC123" s="14"/>
      <c r="AD123" s="65"/>
      <c r="AE123" s="63"/>
      <c r="AF123" s="47"/>
      <c r="AG123" s="19"/>
      <c r="AH123" s="19"/>
      <c r="AI123" s="19"/>
      <c r="AJ123" s="59"/>
      <c r="AK123" s="19"/>
      <c r="AL123" s="14"/>
      <c r="AM123" s="14"/>
      <c r="AN123" s="14"/>
      <c r="AO123" s="14"/>
      <c r="AP123" s="14"/>
      <c r="AQ123" s="14"/>
      <c r="AR123" s="14"/>
      <c r="AS123" s="65"/>
      <c r="AT123" s="63"/>
      <c r="AU123" s="47"/>
      <c r="AV123" s="14"/>
      <c r="AW123" s="19"/>
      <c r="AX123" s="19"/>
      <c r="AY123" s="59"/>
      <c r="AZ123" s="19"/>
      <c r="BA123" s="14"/>
      <c r="BB123" s="14"/>
      <c r="BC123" s="14"/>
      <c r="BD123" s="14"/>
      <c r="BE123" s="14"/>
      <c r="BF123" s="14"/>
      <c r="BG123" s="14"/>
      <c r="BH123" s="65"/>
      <c r="BI123" s="63"/>
      <c r="BJ123" s="352"/>
      <c r="BK123" s="19"/>
      <c r="BL123" s="19"/>
      <c r="BM123" s="19"/>
      <c r="BN123" s="59"/>
      <c r="BO123" s="19"/>
      <c r="BP123" s="14"/>
      <c r="BQ123" s="14"/>
      <c r="BR123" s="14"/>
      <c r="BS123" s="14"/>
      <c r="BT123" s="14"/>
      <c r="BU123" s="14"/>
      <c r="BV123" s="14"/>
      <c r="BW123" s="65"/>
      <c r="BX123" s="63"/>
      <c r="BY123" s="352"/>
      <c r="BZ123" s="14"/>
      <c r="CA123" s="106" t="s">
        <v>148</v>
      </c>
      <c r="CB123" s="27">
        <f>COUNTIFS(S30_stakeholder_category,"PU",Response_Q177_11,"&lt;&gt;0",Response_Q173_3,"&lt;&gt;0")</f>
        <v>0</v>
      </c>
      <c r="CC123" s="37">
        <f>COUNTIFS(S30_stakeholder_category,"PU",Response_Q177_11,1,Response_Q173_3,"&lt;&gt;0")</f>
        <v>0</v>
      </c>
      <c r="CD123" s="37">
        <f>COUNTIFS(S30_stakeholder_category,"PU",Response_Q177_11,2,Response_Q173_3,"&lt;&gt;0")</f>
        <v>0</v>
      </c>
      <c r="CE123" s="37">
        <f>COUNTIFS(S30_stakeholder_category,"PU",Response_Q177_11,3,Response_Q173_3,"&lt;&gt;0")</f>
        <v>0</v>
      </c>
      <c r="CF123" s="97">
        <f>IF(CB112=0,0,SUMPRODUCT(CC123:CE123,Rank_score)/$CB112)</f>
        <v>0</v>
      </c>
      <c r="CG123" s="43"/>
      <c r="CH123" s="106" t="s">
        <v>148</v>
      </c>
      <c r="CI123" s="27">
        <f t="shared" ref="CI123:CN123" si="79">COUNTIFS(S30_stakeholder_category,"PU",Response_Q177_11,"&lt;&gt;0",Response_Q177_12,CI$63,Response_Q173_3,"&lt;&gt;0")</f>
        <v>0</v>
      </c>
      <c r="CJ123" s="27">
        <f t="shared" si="79"/>
        <v>0</v>
      </c>
      <c r="CK123" s="27">
        <f t="shared" si="79"/>
        <v>0</v>
      </c>
      <c r="CL123" s="27">
        <f t="shared" si="79"/>
        <v>0</v>
      </c>
      <c r="CM123" s="27">
        <f t="shared" si="79"/>
        <v>0</v>
      </c>
      <c r="CN123" s="27">
        <f t="shared" si="79"/>
        <v>0</v>
      </c>
      <c r="CO123" s="141" t="str">
        <f t="shared" si="68"/>
        <v>Factor not ranked</v>
      </c>
      <c r="CP123" s="14"/>
      <c r="CQ123" s="47"/>
      <c r="CR123" s="14"/>
      <c r="CS123" s="106" t="s">
        <v>49</v>
      </c>
      <c r="CT123" s="27">
        <f>COUNTIFS(S30_stakeholder_category,"PU",Response_Q178_11,"&lt;&gt;0",Response_Q173_3,"&lt;&gt;0")</f>
        <v>0</v>
      </c>
      <c r="CU123" s="37">
        <f>COUNTIFS(S30_stakeholder_category,"PU",Response_Q178_11,1,Response_Q173_3,"&lt;&gt;0")</f>
        <v>0</v>
      </c>
      <c r="CV123" s="37">
        <f>COUNTIFS(S30_stakeholder_category,"PU",Response_Q178_11,2,Response_Q173_3,"&lt;&gt;0")</f>
        <v>0</v>
      </c>
      <c r="CW123" s="37">
        <f>COUNTIFS(S30_stakeholder_category,"PU",Response_Q178_11,3,Response_Q173_3,"&lt;&gt;0")</f>
        <v>0</v>
      </c>
      <c r="CX123" s="37">
        <f>IF(CT112=0,0,SUMPRODUCT(CU123:CW123,Rank_score)/CT$58)</f>
        <v>0</v>
      </c>
      <c r="CY123" s="43"/>
      <c r="CZ123" s="106" t="s">
        <v>49</v>
      </c>
      <c r="DA123" s="27">
        <f t="shared" ref="DA123:DF123" si="80">COUNTIFS(S30_stakeholder_category,"PU",Response_Q178_11,"&lt;&gt;0",Response_Q178_12,DA$63,Response_Q173_3,"&lt;&gt;0")</f>
        <v>0</v>
      </c>
      <c r="DB123" s="27">
        <f t="shared" si="80"/>
        <v>0</v>
      </c>
      <c r="DC123" s="27">
        <f t="shared" si="80"/>
        <v>0</v>
      </c>
      <c r="DD123" s="27">
        <f t="shared" si="80"/>
        <v>0</v>
      </c>
      <c r="DE123" s="27">
        <f t="shared" si="80"/>
        <v>0</v>
      </c>
      <c r="DF123" s="27">
        <f t="shared" si="80"/>
        <v>0</v>
      </c>
      <c r="DG123" s="141" t="str">
        <f t="shared" si="70"/>
        <v>Factor not ranked</v>
      </c>
      <c r="DH123" s="14"/>
      <c r="DI123" s="47"/>
      <c r="DJ123" s="14"/>
      <c r="DK123" s="14"/>
      <c r="DL123" s="19"/>
      <c r="DM123" s="59"/>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row>
    <row r="124" spans="1:142" x14ac:dyDescent="0.25">
      <c r="A124" s="14"/>
      <c r="B124" s="62"/>
      <c r="C124" s="19"/>
      <c r="D124" s="59"/>
      <c r="E124" s="14"/>
      <c r="F124" s="14"/>
      <c r="G124" s="14"/>
      <c r="H124" s="21"/>
      <c r="I124" s="21"/>
      <c r="J124" s="14"/>
      <c r="K124" s="14"/>
      <c r="L124" s="14"/>
      <c r="M124" s="14"/>
      <c r="N124" s="14"/>
      <c r="O124" s="14"/>
      <c r="P124" s="14"/>
      <c r="Q124" s="47"/>
      <c r="R124" s="19"/>
      <c r="S124" s="56"/>
      <c r="T124" s="29"/>
      <c r="U124" s="27"/>
      <c r="V124" s="19"/>
      <c r="W124" s="14"/>
      <c r="X124" s="14"/>
      <c r="Y124" s="14"/>
      <c r="Z124" s="14"/>
      <c r="AA124" s="14"/>
      <c r="AB124" s="14"/>
      <c r="AC124" s="14"/>
      <c r="AD124" s="65"/>
      <c r="AE124" s="63"/>
      <c r="AF124" s="47"/>
      <c r="AG124" s="19"/>
      <c r="AH124" s="56"/>
      <c r="AI124" s="29"/>
      <c r="AJ124" s="27"/>
      <c r="AK124" s="19"/>
      <c r="AL124" s="14"/>
      <c r="AM124" s="14"/>
      <c r="AN124" s="14"/>
      <c r="AO124" s="14"/>
      <c r="AP124" s="14"/>
      <c r="AQ124" s="14"/>
      <c r="AR124" s="14"/>
      <c r="AS124" s="65"/>
      <c r="AT124" s="63"/>
      <c r="AU124" s="47"/>
      <c r="AV124" s="14"/>
      <c r="AW124" s="56"/>
      <c r="AX124" s="29"/>
      <c r="AY124" s="27"/>
      <c r="AZ124" s="19"/>
      <c r="BA124" s="14"/>
      <c r="BB124" s="14"/>
      <c r="BC124" s="14"/>
      <c r="BD124" s="14"/>
      <c r="BE124" s="14"/>
      <c r="BF124" s="14"/>
      <c r="BG124" s="14"/>
      <c r="BH124" s="65"/>
      <c r="BI124" s="63"/>
      <c r="BJ124" s="352"/>
      <c r="BK124" s="19"/>
      <c r="BL124" s="56"/>
      <c r="BM124" s="29"/>
      <c r="BN124" s="27"/>
      <c r="BO124" s="19"/>
      <c r="BP124" s="14"/>
      <c r="BQ124" s="14"/>
      <c r="BR124" s="14"/>
      <c r="BS124" s="14"/>
      <c r="BT124" s="14"/>
      <c r="BU124" s="14"/>
      <c r="BV124" s="14"/>
      <c r="BW124" s="65"/>
      <c r="BX124" s="63"/>
      <c r="BY124" s="352"/>
      <c r="BZ124" s="14"/>
      <c r="CA124" s="107" t="s">
        <v>49</v>
      </c>
      <c r="CB124" s="27">
        <f>COUNTIFS(S30_stakeholder_category,"PU",Response_Q177_13,"&lt;&gt;0",Response_Q173_3,"&lt;&gt;0")</f>
        <v>0</v>
      </c>
      <c r="CC124" s="37">
        <f>COUNTIFS(S30_stakeholder_category,"PU",Response_Q177_13,1,Response_Q173_3,"&lt;&gt;0")</f>
        <v>0</v>
      </c>
      <c r="CD124" s="37">
        <f>COUNTIFS(S30_stakeholder_category,"PU",Response_Q177_13,2,Response_Q173_3,"&lt;&gt;0")</f>
        <v>0</v>
      </c>
      <c r="CE124" s="37">
        <f>COUNTIFS(S30_stakeholder_category,"PU",Response_Q177_13,3,Response_Q173_3,"&lt;&gt;0")</f>
        <v>0</v>
      </c>
      <c r="CF124" s="97">
        <f>IF(CB112=0,0,SUMPRODUCT(CC124:CE124,Rank_score)/$CB112)</f>
        <v>0</v>
      </c>
      <c r="CG124" s="29"/>
      <c r="CH124" s="107" t="s">
        <v>49</v>
      </c>
      <c r="CI124" s="27">
        <f t="shared" ref="CI124:CN124" si="81">COUNTIFS(S30_stakeholder_category,"PU",Response_Q177_13,"&lt;&gt;0",Response_Q177_14,CI$63,Response_Q173_3,"&lt;&gt;0")</f>
        <v>0</v>
      </c>
      <c r="CJ124" s="27">
        <f t="shared" si="81"/>
        <v>0</v>
      </c>
      <c r="CK124" s="27">
        <f t="shared" si="81"/>
        <v>0</v>
      </c>
      <c r="CL124" s="27">
        <f t="shared" si="81"/>
        <v>0</v>
      </c>
      <c r="CM124" s="27">
        <f t="shared" si="81"/>
        <v>0</v>
      </c>
      <c r="CN124" s="27">
        <f t="shared" si="81"/>
        <v>0</v>
      </c>
      <c r="CO124" s="141" t="str">
        <f t="shared" si="68"/>
        <v>Factor not ranked</v>
      </c>
      <c r="CP124" s="14"/>
      <c r="CQ124" s="47"/>
      <c r="CR124" s="14"/>
      <c r="CS124" s="107"/>
      <c r="CT124" s="27"/>
      <c r="CU124" s="37"/>
      <c r="CV124" s="37"/>
      <c r="CW124" s="37"/>
      <c r="CX124" s="37"/>
      <c r="CY124" s="29"/>
      <c r="CZ124" s="106"/>
      <c r="DA124" s="27"/>
      <c r="DB124" s="27"/>
      <c r="DC124" s="27"/>
      <c r="DD124" s="27"/>
      <c r="DE124" s="27"/>
      <c r="DF124" s="27"/>
      <c r="DG124" s="141" t="str">
        <f t="shared" si="70"/>
        <v/>
      </c>
      <c r="DH124" s="14"/>
      <c r="DI124" s="47"/>
      <c r="DJ124" s="14"/>
      <c r="DK124" s="62"/>
      <c r="DL124" s="19"/>
      <c r="DM124" s="59"/>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row>
    <row r="125" spans="1:142" x14ac:dyDescent="0.25">
      <c r="A125" s="14"/>
      <c r="B125" s="62"/>
      <c r="C125" s="19"/>
      <c r="D125" s="59"/>
      <c r="E125" s="14"/>
      <c r="F125" s="14"/>
      <c r="G125" s="109" t="s">
        <v>14</v>
      </c>
      <c r="H125" s="110" t="s">
        <v>6</v>
      </c>
      <c r="I125" s="110" t="s">
        <v>7</v>
      </c>
      <c r="J125" s="14"/>
      <c r="K125" s="14"/>
      <c r="L125" s="14"/>
      <c r="M125" s="14"/>
      <c r="N125" s="14"/>
      <c r="O125" s="14"/>
      <c r="P125" s="14"/>
      <c r="Q125" s="47"/>
      <c r="R125" s="19"/>
      <c r="S125" s="56"/>
      <c r="T125" s="19"/>
      <c r="U125" s="27"/>
      <c r="V125" s="19"/>
      <c r="W125" s="14"/>
      <c r="X125" s="109" t="s">
        <v>14</v>
      </c>
      <c r="Y125" s="110" t="s">
        <v>6</v>
      </c>
      <c r="Z125" s="110" t="s">
        <v>7</v>
      </c>
      <c r="AA125" s="14"/>
      <c r="AB125" s="14"/>
      <c r="AC125" s="14"/>
      <c r="AD125" s="65"/>
      <c r="AE125" s="63"/>
      <c r="AF125" s="47"/>
      <c r="AG125" s="19"/>
      <c r="AH125" s="56"/>
      <c r="AI125" s="19"/>
      <c r="AJ125" s="27"/>
      <c r="AK125" s="19"/>
      <c r="AL125" s="14"/>
      <c r="AM125" s="109" t="s">
        <v>14</v>
      </c>
      <c r="AN125" s="110" t="s">
        <v>6</v>
      </c>
      <c r="AO125" s="110" t="s">
        <v>7</v>
      </c>
      <c r="AP125" s="14"/>
      <c r="AQ125" s="14"/>
      <c r="AR125" s="14"/>
      <c r="AS125" s="65"/>
      <c r="AT125" s="63"/>
      <c r="AU125" s="47"/>
      <c r="AV125" s="14"/>
      <c r="AW125" s="56"/>
      <c r="AX125" s="19"/>
      <c r="AY125" s="27"/>
      <c r="AZ125" s="19"/>
      <c r="BA125" s="14"/>
      <c r="BB125" s="109" t="s">
        <v>14</v>
      </c>
      <c r="BC125" s="110" t="s">
        <v>6</v>
      </c>
      <c r="BD125" s="110" t="s">
        <v>7</v>
      </c>
      <c r="BE125" s="14"/>
      <c r="BF125" s="14"/>
      <c r="BG125" s="14"/>
      <c r="BH125" s="65"/>
      <c r="BI125" s="63"/>
      <c r="BJ125" s="352"/>
      <c r="BK125" s="19"/>
      <c r="BL125" s="56"/>
      <c r="BM125" s="19"/>
      <c r="BN125" s="27"/>
      <c r="BO125" s="19"/>
      <c r="BP125" s="14"/>
      <c r="BQ125" s="109" t="s">
        <v>14</v>
      </c>
      <c r="BR125" s="110" t="s">
        <v>6</v>
      </c>
      <c r="BS125" s="110" t="s">
        <v>7</v>
      </c>
      <c r="BT125" s="14"/>
      <c r="BU125" s="14"/>
      <c r="BV125" s="14"/>
      <c r="BW125" s="65"/>
      <c r="BX125" s="63"/>
      <c r="BY125" s="352"/>
      <c r="BZ125" s="14"/>
      <c r="CA125" s="86"/>
      <c r="CB125" s="111"/>
      <c r="CC125" s="111"/>
      <c r="CD125" s="179"/>
      <c r="CE125" s="179"/>
      <c r="CF125" s="108"/>
      <c r="CG125" s="29"/>
      <c r="CH125" s="109"/>
      <c r="CI125" s="109"/>
      <c r="CJ125" s="109"/>
      <c r="CK125" s="109"/>
      <c r="CL125" s="109"/>
      <c r="CM125" s="109"/>
      <c r="CN125" s="109"/>
      <c r="CO125" s="329"/>
      <c r="CP125" s="14"/>
      <c r="CQ125" s="47"/>
      <c r="CR125" s="14"/>
      <c r="CS125" s="107"/>
      <c r="CT125" s="27"/>
      <c r="CU125" s="37"/>
      <c r="CV125" s="37"/>
      <c r="CW125" s="37"/>
      <c r="CX125" s="37"/>
      <c r="CY125" s="29"/>
      <c r="CZ125" s="106"/>
      <c r="DA125" s="27"/>
      <c r="DB125" s="27"/>
      <c r="DC125" s="27"/>
      <c r="DD125" s="27"/>
      <c r="DE125" s="27"/>
      <c r="DF125" s="27"/>
      <c r="DG125" s="141" t="str">
        <f t="shared" si="70"/>
        <v/>
      </c>
      <c r="DH125" s="14"/>
      <c r="DI125" s="47"/>
      <c r="DJ125" s="14"/>
      <c r="DK125" s="62"/>
      <c r="DL125" s="19"/>
      <c r="DM125" s="59"/>
      <c r="DN125" s="14"/>
      <c r="DO125" s="14"/>
      <c r="DP125" s="109" t="s">
        <v>14</v>
      </c>
      <c r="DQ125" s="110" t="s">
        <v>6</v>
      </c>
      <c r="DR125" s="110" t="s">
        <v>7</v>
      </c>
      <c r="DS125" s="14"/>
      <c r="DT125" s="14"/>
      <c r="DU125" s="14"/>
      <c r="DV125" s="14"/>
      <c r="DW125" s="14"/>
      <c r="DX125" s="14"/>
      <c r="DY125" s="14"/>
      <c r="DZ125" s="14"/>
      <c r="EA125" s="14"/>
      <c r="EB125" s="14"/>
      <c r="EC125" s="14"/>
      <c r="ED125" s="14"/>
      <c r="EE125" s="14"/>
      <c r="EF125" s="14"/>
      <c r="EG125" s="14"/>
      <c r="EH125" s="14"/>
      <c r="EI125" s="14"/>
      <c r="EJ125" s="14"/>
      <c r="EK125" s="14"/>
      <c r="EL125" s="14"/>
    </row>
    <row r="126" spans="1:142" x14ac:dyDescent="0.25">
      <c r="A126" s="14"/>
      <c r="B126" s="19"/>
      <c r="C126" s="19"/>
      <c r="D126" s="59"/>
      <c r="E126" s="14"/>
      <c r="F126" s="14"/>
      <c r="G126" s="107" t="s">
        <v>34</v>
      </c>
      <c r="H126" s="27">
        <f>COUNTIFS(S30_stakeholder_category,"PU",Response_Q173_3,G126)</f>
        <v>1</v>
      </c>
      <c r="I126" s="41">
        <f>IFERROR(H126/H$131,"")</f>
        <v>1</v>
      </c>
      <c r="J126" s="14"/>
      <c r="K126" s="14"/>
      <c r="L126" s="14"/>
      <c r="M126" s="14"/>
      <c r="N126" s="14"/>
      <c r="O126" s="14"/>
      <c r="P126" s="14"/>
      <c r="Q126" s="47"/>
      <c r="R126" s="19"/>
      <c r="S126" s="19"/>
      <c r="T126" s="19"/>
      <c r="U126" s="27"/>
      <c r="V126" s="19"/>
      <c r="W126" s="14"/>
      <c r="X126" s="107" t="s">
        <v>5</v>
      </c>
      <c r="Y126" s="27">
        <f t="shared" ref="Y126:Y132" si="82">COUNTIFS(S30_stakeholder_category,"PU",Response_Q176_2,X126)</f>
        <v>0</v>
      </c>
      <c r="Z126" s="41">
        <f t="shared" ref="Z126:Z133" si="83">IFERROR(Y126/Y$133,0)</f>
        <v>0</v>
      </c>
      <c r="AA126" s="14"/>
      <c r="AB126" s="14"/>
      <c r="AC126" s="14"/>
      <c r="AD126" s="65"/>
      <c r="AE126" s="63"/>
      <c r="AF126" s="47"/>
      <c r="AG126" s="19"/>
      <c r="AH126" s="19"/>
      <c r="AI126" s="19"/>
      <c r="AJ126" s="27"/>
      <c r="AK126" s="19"/>
      <c r="AL126" s="14"/>
      <c r="AM126" s="107" t="s">
        <v>5</v>
      </c>
      <c r="AN126" s="27">
        <f t="shared" ref="AN126:AN132" si="84">COUNTIFS(S30_stakeholder_category,"PU",Response_30b_CaseA,AM126)</f>
        <v>0</v>
      </c>
      <c r="AO126" s="41">
        <f>IFERROR(AN126/AN$133,0)</f>
        <v>0</v>
      </c>
      <c r="AP126" s="14"/>
      <c r="AQ126" s="14"/>
      <c r="AR126" s="14"/>
      <c r="AS126" s="65"/>
      <c r="AT126" s="63"/>
      <c r="AU126" s="47"/>
      <c r="AV126" s="14"/>
      <c r="AW126" s="19"/>
      <c r="AX126" s="19"/>
      <c r="AY126" s="27"/>
      <c r="AZ126" s="19"/>
      <c r="BA126" s="14"/>
      <c r="BB126" s="107" t="s">
        <v>5</v>
      </c>
      <c r="BC126" s="27">
        <f t="shared" ref="BC126:BC132" si="85">COUNTIFS(S30_stakeholder_category,"PU",Response_30b_CaseB,BB126)</f>
        <v>0</v>
      </c>
      <c r="BD126" s="41">
        <f>IFERROR(BC126/BC$133,0)</f>
        <v>0</v>
      </c>
      <c r="BE126" s="14"/>
      <c r="BF126" s="14"/>
      <c r="BG126" s="14"/>
      <c r="BH126" s="65"/>
      <c r="BI126" s="63"/>
      <c r="BJ126" s="352"/>
      <c r="BK126" s="19"/>
      <c r="BL126" s="19"/>
      <c r="BM126" s="19"/>
      <c r="BN126" s="27"/>
      <c r="BO126" s="19"/>
      <c r="BP126" s="14"/>
      <c r="BQ126" s="107" t="s">
        <v>5</v>
      </c>
      <c r="BR126" s="27">
        <f t="shared" ref="BR126:BR132" si="86">COUNTIFS(S30_stakeholder_category,"PU",Response_30b_CaseC,BQ126)</f>
        <v>0</v>
      </c>
      <c r="BS126" s="41">
        <f>IFERROR(BR126/BR$133,0)</f>
        <v>0</v>
      </c>
      <c r="BT126" s="14"/>
      <c r="BU126" s="14"/>
      <c r="BV126" s="14"/>
      <c r="BW126" s="65"/>
      <c r="BX126" s="63"/>
      <c r="BY126" s="352"/>
      <c r="BZ126" s="14"/>
      <c r="CA126" s="19"/>
      <c r="CB126" s="27"/>
      <c r="CC126" s="27"/>
      <c r="CD126" s="37"/>
      <c r="CE126" s="181"/>
      <c r="CF126" s="31"/>
      <c r="CG126" s="52"/>
      <c r="CH126" s="52"/>
      <c r="CI126" s="99"/>
      <c r="CJ126" s="14"/>
      <c r="CK126" s="14"/>
      <c r="CL126" s="14"/>
      <c r="CM126" s="14"/>
      <c r="CN126" s="14"/>
      <c r="CO126" s="129"/>
      <c r="CP126" s="14"/>
      <c r="CQ126" s="47"/>
      <c r="CR126" s="14"/>
      <c r="CS126" s="86"/>
      <c r="CT126" s="111"/>
      <c r="CU126" s="86"/>
      <c r="CV126" s="179"/>
      <c r="CW126" s="188"/>
      <c r="CX126" s="179"/>
      <c r="CY126" s="29"/>
      <c r="CZ126" s="109"/>
      <c r="DA126" s="109"/>
      <c r="DB126" s="109"/>
      <c r="DC126" s="109"/>
      <c r="DD126" s="109"/>
      <c r="DE126" s="109"/>
      <c r="DF126" s="109"/>
      <c r="DG126" s="329"/>
      <c r="DH126" s="14"/>
      <c r="DI126" s="47"/>
      <c r="DJ126" s="14"/>
      <c r="DK126" s="62"/>
      <c r="DL126" s="19"/>
      <c r="DM126" s="59"/>
      <c r="DN126" s="14"/>
      <c r="DO126" s="14"/>
      <c r="DP126" s="107" t="s">
        <v>34</v>
      </c>
      <c r="DQ126" s="27">
        <f>COUNTIFS(S30_stakeholder_category,"PU",Response_Q172_1,DP126,Response_Q173_3,"&lt;&gt;0")</f>
        <v>0</v>
      </c>
      <c r="DR126" s="41">
        <f>IF(DQ131=0,"",DQ126/DQ131)</f>
        <v>0</v>
      </c>
      <c r="DS126" s="14"/>
      <c r="DT126" s="14"/>
      <c r="DU126" s="14"/>
      <c r="DV126" s="14"/>
      <c r="DW126" s="14"/>
      <c r="DX126" s="14"/>
      <c r="DY126" s="14"/>
      <c r="DZ126" s="14"/>
      <c r="EA126" s="14"/>
      <c r="EB126" s="14"/>
      <c r="EC126" s="14"/>
      <c r="ED126" s="14"/>
      <c r="EE126" s="14"/>
      <c r="EF126" s="14"/>
      <c r="EG126" s="14"/>
      <c r="EH126" s="14"/>
      <c r="EI126" s="14"/>
      <c r="EJ126" s="14"/>
      <c r="EK126" s="14"/>
      <c r="EL126" s="14"/>
    </row>
    <row r="127" spans="1:142" x14ac:dyDescent="0.25">
      <c r="A127" s="14"/>
      <c r="B127" s="19"/>
      <c r="C127" s="19"/>
      <c r="D127" s="59"/>
      <c r="E127" s="14"/>
      <c r="F127" s="14"/>
      <c r="G127" s="107" t="s">
        <v>35</v>
      </c>
      <c r="H127" s="27">
        <f>COUNTIFS(S30_stakeholder_category,"PU",Response_Q173_3,G127)</f>
        <v>0</v>
      </c>
      <c r="I127" s="41">
        <f t="shared" ref="I127:I131" si="87">IFERROR(H127/H$131,"")</f>
        <v>0</v>
      </c>
      <c r="J127" s="14"/>
      <c r="K127" s="14"/>
      <c r="L127" s="14"/>
      <c r="M127" s="14"/>
      <c r="N127" s="14"/>
      <c r="O127" s="14"/>
      <c r="P127" s="14"/>
      <c r="Q127" s="47"/>
      <c r="R127" s="19"/>
      <c r="S127" s="19"/>
      <c r="T127" s="19"/>
      <c r="U127" s="27"/>
      <c r="V127" s="19"/>
      <c r="W127" s="14"/>
      <c r="X127" s="107" t="s">
        <v>4</v>
      </c>
      <c r="Y127" s="27">
        <f t="shared" si="82"/>
        <v>1</v>
      </c>
      <c r="Z127" s="41">
        <f t="shared" si="83"/>
        <v>1</v>
      </c>
      <c r="AA127" s="14"/>
      <c r="AB127" s="14"/>
      <c r="AC127" s="14"/>
      <c r="AD127" s="65"/>
      <c r="AE127" s="63"/>
      <c r="AF127" s="47"/>
      <c r="AG127" s="19"/>
      <c r="AH127" s="19"/>
      <c r="AI127" s="19"/>
      <c r="AJ127" s="27"/>
      <c r="AK127" s="19"/>
      <c r="AL127" s="14"/>
      <c r="AM127" s="107" t="s">
        <v>4</v>
      </c>
      <c r="AN127" s="27">
        <f t="shared" si="84"/>
        <v>1</v>
      </c>
      <c r="AO127" s="41">
        <f t="shared" ref="AO127:AO133" si="88">IFERROR(AN127/AN$133,0)</f>
        <v>1</v>
      </c>
      <c r="AP127" s="14"/>
      <c r="AQ127" s="14"/>
      <c r="AR127" s="14"/>
      <c r="AS127" s="65"/>
      <c r="AT127" s="63"/>
      <c r="AU127" s="47"/>
      <c r="AV127" s="14"/>
      <c r="AW127" s="19"/>
      <c r="AX127" s="19"/>
      <c r="AY127" s="27"/>
      <c r="AZ127" s="19"/>
      <c r="BA127" s="14"/>
      <c r="BB127" s="107" t="s">
        <v>4</v>
      </c>
      <c r="BC127" s="27">
        <f t="shared" si="85"/>
        <v>1</v>
      </c>
      <c r="BD127" s="41">
        <f t="shared" ref="BD127:BD133" si="89">IFERROR(BC127/BC$133,0)</f>
        <v>1</v>
      </c>
      <c r="BE127" s="14"/>
      <c r="BF127" s="14"/>
      <c r="BG127" s="14"/>
      <c r="BH127" s="65"/>
      <c r="BI127" s="63"/>
      <c r="BJ127" s="352"/>
      <c r="BK127" s="19"/>
      <c r="BL127" s="19"/>
      <c r="BM127" s="19"/>
      <c r="BN127" s="27"/>
      <c r="BO127" s="19"/>
      <c r="BP127" s="14"/>
      <c r="BQ127" s="107" t="s">
        <v>4</v>
      </c>
      <c r="BR127" s="27">
        <f t="shared" si="86"/>
        <v>1</v>
      </c>
      <c r="BS127" s="41">
        <f t="shared" ref="BS127:BS133" si="90">IFERROR(BR127/BR$133,0)</f>
        <v>1</v>
      </c>
      <c r="BT127" s="14"/>
      <c r="BU127" s="14"/>
      <c r="BV127" s="14"/>
      <c r="BW127" s="65"/>
      <c r="BX127" s="63"/>
      <c r="BY127" s="352"/>
      <c r="BZ127" s="14"/>
      <c r="CA127" s="19"/>
      <c r="CB127" s="27"/>
      <c r="CC127" s="27"/>
      <c r="CD127" s="37"/>
      <c r="CE127" s="181"/>
      <c r="CF127" s="31"/>
      <c r="CG127" s="52"/>
      <c r="CH127" s="52"/>
      <c r="CI127" s="99"/>
      <c r="CJ127" s="14"/>
      <c r="CK127" s="14"/>
      <c r="CL127" s="14"/>
      <c r="CM127" s="14"/>
      <c r="CN127" s="14"/>
      <c r="CO127" s="129"/>
      <c r="CP127" s="14"/>
      <c r="CQ127" s="47"/>
      <c r="CR127" s="14"/>
      <c r="CS127" s="14"/>
      <c r="CT127" s="14"/>
      <c r="CU127" s="14"/>
      <c r="CV127" s="180"/>
      <c r="CW127" s="190"/>
      <c r="CX127" s="191"/>
      <c r="CY127" s="52"/>
      <c r="CZ127" s="52"/>
      <c r="DA127" s="54"/>
      <c r="DB127" s="14"/>
      <c r="DC127" s="14"/>
      <c r="DD127" s="14"/>
      <c r="DE127" s="14"/>
      <c r="DF127" s="14"/>
      <c r="DG127" s="129"/>
      <c r="DH127" s="14"/>
      <c r="DI127" s="47"/>
      <c r="DJ127" s="14"/>
      <c r="DK127" s="62"/>
      <c r="DL127" s="19"/>
      <c r="DM127" s="59"/>
      <c r="DN127" s="14"/>
      <c r="DO127" s="14"/>
      <c r="DP127" s="107" t="s">
        <v>35</v>
      </c>
      <c r="DQ127" s="27">
        <f>COUNTIFS(S30_stakeholder_category,"PU",Response_Q172_1,DP127,Response_Q173_3,"&lt;&gt;0")</f>
        <v>1</v>
      </c>
      <c r="DR127" s="41">
        <f>IF(DQ131=0,"",DQ127/DQ131)</f>
        <v>1</v>
      </c>
      <c r="DS127" s="14"/>
      <c r="DT127" s="14"/>
      <c r="DU127" s="14"/>
      <c r="DV127" s="14"/>
      <c r="DW127" s="14"/>
      <c r="DX127" s="14"/>
      <c r="DY127" s="14"/>
      <c r="DZ127" s="14"/>
      <c r="EA127" s="14"/>
      <c r="EB127" s="14"/>
      <c r="EC127" s="14"/>
      <c r="ED127" s="14"/>
      <c r="EE127" s="14"/>
      <c r="EF127" s="14"/>
      <c r="EG127" s="14"/>
      <c r="EH127" s="14"/>
      <c r="EI127" s="14"/>
      <c r="EJ127" s="14"/>
      <c r="EK127" s="14"/>
      <c r="EL127" s="14"/>
    </row>
    <row r="128" spans="1:142" x14ac:dyDescent="0.25">
      <c r="A128" s="14"/>
      <c r="B128" s="56"/>
      <c r="C128" s="29"/>
      <c r="D128" s="59"/>
      <c r="E128" s="14"/>
      <c r="F128" s="14"/>
      <c r="G128" s="107" t="s">
        <v>36</v>
      </c>
      <c r="H128" s="27">
        <f>COUNTIFS(S30_stakeholder_category,"PU",Response_Q173_3,G128)</f>
        <v>0</v>
      </c>
      <c r="I128" s="41">
        <f t="shared" si="87"/>
        <v>0</v>
      </c>
      <c r="J128" s="14"/>
      <c r="K128" s="14"/>
      <c r="L128" s="14"/>
      <c r="M128" s="14"/>
      <c r="N128" s="14"/>
      <c r="O128" s="14"/>
      <c r="P128" s="14"/>
      <c r="Q128" s="47"/>
      <c r="R128" s="19"/>
      <c r="S128" s="19"/>
      <c r="T128" s="19"/>
      <c r="U128" s="27"/>
      <c r="V128" s="19"/>
      <c r="W128" s="14"/>
      <c r="X128" s="107" t="s">
        <v>33</v>
      </c>
      <c r="Y128" s="27">
        <f t="shared" si="82"/>
        <v>0</v>
      </c>
      <c r="Z128" s="41">
        <f t="shared" si="83"/>
        <v>0</v>
      </c>
      <c r="AA128" s="14"/>
      <c r="AB128" s="14"/>
      <c r="AC128" s="14"/>
      <c r="AD128" s="65"/>
      <c r="AE128" s="63"/>
      <c r="AF128" s="47"/>
      <c r="AG128" s="19"/>
      <c r="AH128" s="19"/>
      <c r="AI128" s="19"/>
      <c r="AJ128" s="27"/>
      <c r="AK128" s="19"/>
      <c r="AL128" s="14"/>
      <c r="AM128" s="107" t="s">
        <v>33</v>
      </c>
      <c r="AN128" s="27">
        <f t="shared" si="84"/>
        <v>0</v>
      </c>
      <c r="AO128" s="41">
        <f t="shared" si="88"/>
        <v>0</v>
      </c>
      <c r="AP128" s="14"/>
      <c r="AQ128" s="14"/>
      <c r="AR128" s="14"/>
      <c r="AS128" s="65"/>
      <c r="AT128" s="63"/>
      <c r="AU128" s="47"/>
      <c r="AV128" s="14"/>
      <c r="AW128" s="19"/>
      <c r="AX128" s="19"/>
      <c r="AY128" s="27"/>
      <c r="AZ128" s="19"/>
      <c r="BA128" s="14"/>
      <c r="BB128" s="107" t="s">
        <v>33</v>
      </c>
      <c r="BC128" s="27">
        <f t="shared" si="85"/>
        <v>0</v>
      </c>
      <c r="BD128" s="41">
        <f t="shared" si="89"/>
        <v>0</v>
      </c>
      <c r="BE128" s="14"/>
      <c r="BF128" s="14"/>
      <c r="BG128" s="14"/>
      <c r="BH128" s="65"/>
      <c r="BI128" s="63"/>
      <c r="BJ128" s="352"/>
      <c r="BK128" s="19"/>
      <c r="BL128" s="19"/>
      <c r="BM128" s="19"/>
      <c r="BN128" s="27"/>
      <c r="BO128" s="19"/>
      <c r="BP128" s="14"/>
      <c r="BQ128" s="107" t="s">
        <v>33</v>
      </c>
      <c r="BR128" s="27">
        <f t="shared" si="86"/>
        <v>0</v>
      </c>
      <c r="BS128" s="41">
        <f t="shared" si="90"/>
        <v>0</v>
      </c>
      <c r="BT128" s="14"/>
      <c r="BU128" s="14"/>
      <c r="BV128" s="14"/>
      <c r="BW128" s="65"/>
      <c r="BX128" s="63"/>
      <c r="BY128" s="352"/>
      <c r="BZ128" s="14"/>
      <c r="CA128" s="19"/>
      <c r="CB128" s="27"/>
      <c r="CC128" s="27"/>
      <c r="CD128" s="37"/>
      <c r="CE128" s="181"/>
      <c r="CF128" s="31"/>
      <c r="CG128" s="52"/>
      <c r="CH128" s="52"/>
      <c r="CI128" s="99"/>
      <c r="CJ128" s="14"/>
      <c r="CK128" s="14"/>
      <c r="CL128" s="14"/>
      <c r="CM128" s="14"/>
      <c r="CN128" s="14"/>
      <c r="CO128" s="129"/>
      <c r="CP128" s="14"/>
      <c r="CQ128" s="47"/>
      <c r="CR128" s="14"/>
      <c r="CS128" s="14"/>
      <c r="CT128" s="14"/>
      <c r="CU128" s="14"/>
      <c r="CV128" s="180"/>
      <c r="CW128" s="190"/>
      <c r="CX128" s="191"/>
      <c r="CY128" s="52"/>
      <c r="CZ128" s="52"/>
      <c r="DA128" s="54"/>
      <c r="DB128" s="14"/>
      <c r="DC128" s="14"/>
      <c r="DD128" s="14"/>
      <c r="DE128" s="14"/>
      <c r="DF128" s="14"/>
      <c r="DG128" s="129"/>
      <c r="DH128" s="14"/>
      <c r="DI128" s="47"/>
      <c r="DJ128" s="14"/>
      <c r="DK128" s="62"/>
      <c r="DL128" s="19"/>
      <c r="DM128" s="59"/>
      <c r="DN128" s="14"/>
      <c r="DO128" s="14"/>
      <c r="DP128" s="107" t="s">
        <v>36</v>
      </c>
      <c r="DQ128" s="27">
        <f>COUNTIFS(S30_stakeholder_category,"PU",Response_Q172_1,DP128,Response_Q173_3,"&lt;&gt;0")</f>
        <v>0</v>
      </c>
      <c r="DR128" s="41">
        <f>IF(DQ131=0,"",DQ128/DQ131)</f>
        <v>0</v>
      </c>
      <c r="DS128" s="14"/>
      <c r="DT128" s="14"/>
      <c r="DU128" s="14"/>
      <c r="DV128" s="14"/>
      <c r="DW128" s="14"/>
      <c r="DX128" s="14"/>
      <c r="DY128" s="14"/>
      <c r="DZ128" s="14"/>
      <c r="EA128" s="14"/>
      <c r="EB128" s="14"/>
      <c r="EC128" s="14"/>
      <c r="ED128" s="14"/>
      <c r="EE128" s="14"/>
      <c r="EF128" s="14"/>
      <c r="EG128" s="14"/>
      <c r="EH128" s="14"/>
      <c r="EI128" s="14"/>
      <c r="EJ128" s="14"/>
      <c r="EK128" s="14"/>
      <c r="EL128" s="14"/>
    </row>
    <row r="129" spans="1:142" x14ac:dyDescent="0.25">
      <c r="A129" s="14"/>
      <c r="B129" s="56"/>
      <c r="C129" s="19"/>
      <c r="D129" s="59"/>
      <c r="E129" s="14"/>
      <c r="F129" s="14"/>
      <c r="G129" s="107" t="s">
        <v>38</v>
      </c>
      <c r="H129" s="27">
        <f>COUNTIFS(S30_stakeholder_category,"PU",Response_Q173_3,G129)</f>
        <v>0</v>
      </c>
      <c r="I129" s="41">
        <f t="shared" si="87"/>
        <v>0</v>
      </c>
      <c r="J129" s="14"/>
      <c r="K129" s="14"/>
      <c r="L129" s="14"/>
      <c r="M129" s="14"/>
      <c r="N129" s="14"/>
      <c r="O129" s="14"/>
      <c r="P129" s="14"/>
      <c r="Q129" s="47"/>
      <c r="R129" s="19"/>
      <c r="S129" s="19"/>
      <c r="T129" s="19"/>
      <c r="U129" s="27"/>
      <c r="V129" s="19"/>
      <c r="W129" s="14"/>
      <c r="X129" s="107" t="s">
        <v>29</v>
      </c>
      <c r="Y129" s="27">
        <f t="shared" si="82"/>
        <v>0</v>
      </c>
      <c r="Z129" s="41">
        <f t="shared" si="83"/>
        <v>0</v>
      </c>
      <c r="AA129" s="14"/>
      <c r="AB129" s="14"/>
      <c r="AC129" s="14"/>
      <c r="AD129" s="65"/>
      <c r="AE129" s="63"/>
      <c r="AF129" s="47"/>
      <c r="AG129" s="19"/>
      <c r="AH129" s="19"/>
      <c r="AI129" s="19"/>
      <c r="AJ129" s="27"/>
      <c r="AK129" s="19"/>
      <c r="AL129" s="14"/>
      <c r="AM129" s="107" t="s">
        <v>29</v>
      </c>
      <c r="AN129" s="27">
        <f t="shared" si="84"/>
        <v>0</v>
      </c>
      <c r="AO129" s="41">
        <f t="shared" si="88"/>
        <v>0</v>
      </c>
      <c r="AP129" s="14"/>
      <c r="AQ129" s="14"/>
      <c r="AR129" s="14"/>
      <c r="AS129" s="65"/>
      <c r="AT129" s="63"/>
      <c r="AU129" s="47"/>
      <c r="AV129" s="14"/>
      <c r="AW129" s="19"/>
      <c r="AX129" s="19"/>
      <c r="AY129" s="27"/>
      <c r="AZ129" s="19"/>
      <c r="BA129" s="14"/>
      <c r="BB129" s="107" t="s">
        <v>29</v>
      </c>
      <c r="BC129" s="27">
        <f t="shared" si="85"/>
        <v>0</v>
      </c>
      <c r="BD129" s="41">
        <f t="shared" si="89"/>
        <v>0</v>
      </c>
      <c r="BE129" s="14"/>
      <c r="BF129" s="14"/>
      <c r="BG129" s="14"/>
      <c r="BH129" s="65"/>
      <c r="BI129" s="63"/>
      <c r="BJ129" s="352"/>
      <c r="BK129" s="19"/>
      <c r="BL129" s="19"/>
      <c r="BM129" s="19"/>
      <c r="BN129" s="27"/>
      <c r="BO129" s="19"/>
      <c r="BP129" s="14"/>
      <c r="BQ129" s="107" t="s">
        <v>29</v>
      </c>
      <c r="BR129" s="27">
        <f t="shared" si="86"/>
        <v>0</v>
      </c>
      <c r="BS129" s="41">
        <f t="shared" si="90"/>
        <v>0</v>
      </c>
      <c r="BT129" s="14"/>
      <c r="BU129" s="14"/>
      <c r="BV129" s="14"/>
      <c r="BW129" s="65"/>
      <c r="BX129" s="63"/>
      <c r="BY129" s="352"/>
      <c r="BZ129" s="14"/>
      <c r="CA129" s="19"/>
      <c r="CB129" s="27"/>
      <c r="CC129" s="27"/>
      <c r="CD129" s="37"/>
      <c r="CE129" s="181"/>
      <c r="CF129" s="31"/>
      <c r="CG129" s="52"/>
      <c r="CH129" s="52"/>
      <c r="CI129" s="99"/>
      <c r="CJ129" s="14"/>
      <c r="CK129" s="14"/>
      <c r="CL129" s="14"/>
      <c r="CM129" s="14"/>
      <c r="CN129" s="14"/>
      <c r="CO129" s="129"/>
      <c r="CP129" s="14"/>
      <c r="CQ129" s="47"/>
      <c r="CR129" s="14"/>
      <c r="CS129" s="14"/>
      <c r="CT129" s="14"/>
      <c r="CU129" s="14"/>
      <c r="CV129" s="180"/>
      <c r="CW129" s="190"/>
      <c r="CX129" s="191"/>
      <c r="CY129" s="52"/>
      <c r="CZ129" s="52"/>
      <c r="DA129" s="54"/>
      <c r="DB129" s="14"/>
      <c r="DC129" s="14"/>
      <c r="DD129" s="14"/>
      <c r="DE129" s="14"/>
      <c r="DF129" s="14"/>
      <c r="DG129" s="129"/>
      <c r="DH129" s="14"/>
      <c r="DI129" s="47"/>
      <c r="DJ129" s="14"/>
      <c r="DK129" s="62"/>
      <c r="DL129" s="19"/>
      <c r="DM129" s="59"/>
      <c r="DN129" s="14"/>
      <c r="DO129" s="14"/>
      <c r="DP129" s="107" t="s">
        <v>38</v>
      </c>
      <c r="DQ129" s="27">
        <f>COUNTIFS(S30_stakeholder_category,"PU",Response_Q172_1,DP129,Response_Q173_3,"&lt;&gt;0")</f>
        <v>0</v>
      </c>
      <c r="DR129" s="41">
        <f>IF(DQ131=0,"",DQ129/DQ131)</f>
        <v>0</v>
      </c>
      <c r="DS129" s="14"/>
      <c r="DT129" s="14"/>
      <c r="DU129" s="14"/>
      <c r="DV129" s="14"/>
      <c r="DW129" s="14"/>
      <c r="DX129" s="14"/>
      <c r="DY129" s="14"/>
      <c r="DZ129" s="14"/>
      <c r="EA129" s="14"/>
      <c r="EB129" s="14"/>
      <c r="EC129" s="14"/>
      <c r="ED129" s="14"/>
      <c r="EE129" s="14"/>
      <c r="EF129" s="14"/>
      <c r="EG129" s="14"/>
      <c r="EH129" s="14"/>
      <c r="EI129" s="14"/>
      <c r="EJ129" s="14"/>
      <c r="EK129" s="14"/>
      <c r="EL129" s="14"/>
    </row>
    <row r="130" spans="1:142" ht="14.4" x14ac:dyDescent="0.25">
      <c r="A130" s="14"/>
      <c r="B130" s="14"/>
      <c r="C130" s="19"/>
      <c r="D130" s="15"/>
      <c r="E130" s="14"/>
      <c r="F130" s="14"/>
      <c r="G130" s="107" t="s">
        <v>39</v>
      </c>
      <c r="H130" s="27">
        <f>COUNTIFS(S30_stakeholder_category,"PU",Response_Q173_3,G130)</f>
        <v>0</v>
      </c>
      <c r="I130" s="41">
        <f t="shared" si="87"/>
        <v>0</v>
      </c>
      <c r="J130" s="14"/>
      <c r="K130" s="14"/>
      <c r="L130" s="14"/>
      <c r="M130" s="14"/>
      <c r="N130" s="14"/>
      <c r="O130" s="14"/>
      <c r="P130" s="14"/>
      <c r="Q130" s="47"/>
      <c r="R130" s="19"/>
      <c r="S130" s="60"/>
      <c r="T130" s="19"/>
      <c r="U130" s="59"/>
      <c r="V130" s="19"/>
      <c r="W130" s="14"/>
      <c r="X130" s="107" t="s">
        <v>3</v>
      </c>
      <c r="Y130" s="27">
        <f t="shared" si="82"/>
        <v>0</v>
      </c>
      <c r="Z130" s="41">
        <f t="shared" si="83"/>
        <v>0</v>
      </c>
      <c r="AA130" s="14"/>
      <c r="AB130" s="14"/>
      <c r="AC130" s="14"/>
      <c r="AD130" s="65"/>
      <c r="AE130" s="63"/>
      <c r="AF130" s="47"/>
      <c r="AG130" s="19"/>
      <c r="AH130" s="60"/>
      <c r="AI130" s="19"/>
      <c r="AJ130" s="59"/>
      <c r="AK130" s="19"/>
      <c r="AL130" s="14"/>
      <c r="AM130" s="107" t="s">
        <v>3</v>
      </c>
      <c r="AN130" s="27">
        <f t="shared" si="84"/>
        <v>0</v>
      </c>
      <c r="AO130" s="41">
        <f t="shared" si="88"/>
        <v>0</v>
      </c>
      <c r="AP130" s="14"/>
      <c r="AQ130" s="14"/>
      <c r="AR130" s="14"/>
      <c r="AS130" s="65"/>
      <c r="AT130" s="63"/>
      <c r="AU130" s="47"/>
      <c r="AV130" s="14"/>
      <c r="AW130" s="60"/>
      <c r="AX130" s="19"/>
      <c r="AY130" s="59"/>
      <c r="AZ130" s="19"/>
      <c r="BA130" s="14"/>
      <c r="BB130" s="107" t="s">
        <v>3</v>
      </c>
      <c r="BC130" s="27">
        <f t="shared" si="85"/>
        <v>0</v>
      </c>
      <c r="BD130" s="41">
        <f t="shared" si="89"/>
        <v>0</v>
      </c>
      <c r="BE130" s="14"/>
      <c r="BF130" s="14"/>
      <c r="BG130" s="14"/>
      <c r="BH130" s="65"/>
      <c r="BI130" s="63"/>
      <c r="BJ130" s="352"/>
      <c r="BK130" s="19"/>
      <c r="BL130" s="60"/>
      <c r="BM130" s="19"/>
      <c r="BN130" s="59"/>
      <c r="BO130" s="19"/>
      <c r="BP130" s="14"/>
      <c r="BQ130" s="107" t="s">
        <v>3</v>
      </c>
      <c r="BR130" s="27">
        <f t="shared" si="86"/>
        <v>0</v>
      </c>
      <c r="BS130" s="41">
        <f t="shared" si="90"/>
        <v>0</v>
      </c>
      <c r="BT130" s="14"/>
      <c r="BU130" s="14"/>
      <c r="BV130" s="14"/>
      <c r="BW130" s="65"/>
      <c r="BX130" s="63"/>
      <c r="BY130" s="352"/>
      <c r="BZ130" s="14"/>
      <c r="CA130" s="19"/>
      <c r="CB130" s="27"/>
      <c r="CC130" s="27"/>
      <c r="CD130" s="37"/>
      <c r="CE130" s="181"/>
      <c r="CF130" s="31"/>
      <c r="CG130" s="52"/>
      <c r="CH130" s="52"/>
      <c r="CI130" s="99"/>
      <c r="CJ130" s="14"/>
      <c r="CK130" s="14"/>
      <c r="CL130" s="14"/>
      <c r="CM130" s="14"/>
      <c r="CN130" s="14"/>
      <c r="CO130" s="129"/>
      <c r="CP130" s="14"/>
      <c r="CQ130" s="47"/>
      <c r="CR130" s="14"/>
      <c r="CS130" s="14"/>
      <c r="CT130" s="14"/>
      <c r="CU130" s="14"/>
      <c r="CV130" s="180"/>
      <c r="CW130" s="190"/>
      <c r="CX130" s="191"/>
      <c r="CY130" s="52"/>
      <c r="CZ130" s="52"/>
      <c r="DA130" s="54"/>
      <c r="DB130" s="14"/>
      <c r="DC130" s="14"/>
      <c r="DD130" s="14"/>
      <c r="DE130" s="14"/>
      <c r="DF130" s="14"/>
      <c r="DG130" s="129"/>
      <c r="DH130" s="14"/>
      <c r="DI130" s="47"/>
      <c r="DJ130" s="14"/>
      <c r="DK130" s="62"/>
      <c r="DL130" s="19"/>
      <c r="DM130" s="59"/>
      <c r="DN130" s="14"/>
      <c r="DO130" s="14"/>
      <c r="DP130" s="107" t="s">
        <v>39</v>
      </c>
      <c r="DQ130" s="27">
        <f>COUNTIFS(S30_stakeholder_category,"PU",Response_Q172_1,DP130,Response_Q173_3,"&lt;&gt;0")</f>
        <v>0</v>
      </c>
      <c r="DR130" s="41">
        <f>IF(DQ131=0,"",DQ130/DQ131)</f>
        <v>0</v>
      </c>
      <c r="DS130" s="14"/>
      <c r="DT130" s="14"/>
      <c r="DU130" s="14"/>
      <c r="DV130" s="14"/>
      <c r="DW130" s="14"/>
      <c r="DX130" s="14"/>
      <c r="DY130" s="14"/>
      <c r="DZ130" s="14"/>
      <c r="EA130" s="14"/>
      <c r="EB130" s="14"/>
      <c r="EC130" s="14"/>
      <c r="ED130" s="14"/>
      <c r="EE130" s="14"/>
      <c r="EF130" s="14"/>
      <c r="EG130" s="14"/>
      <c r="EH130" s="14"/>
      <c r="EI130" s="14"/>
      <c r="EJ130" s="14"/>
      <c r="EK130" s="14"/>
      <c r="EL130" s="14"/>
    </row>
    <row r="131" spans="1:142" ht="14.4" x14ac:dyDescent="0.25">
      <c r="A131" s="14"/>
      <c r="B131" s="14"/>
      <c r="C131" s="19"/>
      <c r="D131" s="15"/>
      <c r="E131" s="14"/>
      <c r="F131" s="14"/>
      <c r="G131" s="86" t="s">
        <v>145</v>
      </c>
      <c r="H131" s="111">
        <f>COUNTIFS(S30_stakeholder_category,"PU",Response_Q173_3,"&lt;&gt;0")</f>
        <v>1</v>
      </c>
      <c r="I131" s="119">
        <f t="shared" si="87"/>
        <v>1</v>
      </c>
      <c r="J131" s="14"/>
      <c r="K131" s="14"/>
      <c r="L131" s="14"/>
      <c r="M131" s="14"/>
      <c r="N131" s="14"/>
      <c r="O131" s="14"/>
      <c r="P131" s="14"/>
      <c r="Q131" s="47"/>
      <c r="R131" s="19"/>
      <c r="S131" s="61"/>
      <c r="T131" s="19"/>
      <c r="U131" s="59"/>
      <c r="V131" s="19"/>
      <c r="W131" s="14"/>
      <c r="X131" s="107" t="s">
        <v>54</v>
      </c>
      <c r="Y131" s="27">
        <f t="shared" si="82"/>
        <v>0</v>
      </c>
      <c r="Z131" s="41">
        <f t="shared" si="83"/>
        <v>0</v>
      </c>
      <c r="AA131" s="14"/>
      <c r="AB131" s="14"/>
      <c r="AC131" s="14"/>
      <c r="AD131" s="65"/>
      <c r="AE131" s="63"/>
      <c r="AF131" s="47"/>
      <c r="AG131" s="19"/>
      <c r="AH131" s="61"/>
      <c r="AI131" s="19"/>
      <c r="AJ131" s="59"/>
      <c r="AK131" s="19"/>
      <c r="AL131" s="14"/>
      <c r="AM131" s="107" t="s">
        <v>54</v>
      </c>
      <c r="AN131" s="27">
        <f t="shared" si="84"/>
        <v>0</v>
      </c>
      <c r="AO131" s="41">
        <f t="shared" si="88"/>
        <v>0</v>
      </c>
      <c r="AP131" s="14"/>
      <c r="AQ131" s="14"/>
      <c r="AR131" s="14"/>
      <c r="AS131" s="65"/>
      <c r="AT131" s="63"/>
      <c r="AU131" s="47"/>
      <c r="AV131" s="14"/>
      <c r="AW131" s="61"/>
      <c r="AX131" s="19"/>
      <c r="AY131" s="59"/>
      <c r="AZ131" s="19"/>
      <c r="BA131" s="14"/>
      <c r="BB131" s="107" t="s">
        <v>54</v>
      </c>
      <c r="BC131" s="27">
        <f t="shared" si="85"/>
        <v>0</v>
      </c>
      <c r="BD131" s="41">
        <f t="shared" si="89"/>
        <v>0</v>
      </c>
      <c r="BE131" s="14"/>
      <c r="BF131" s="14"/>
      <c r="BG131" s="14"/>
      <c r="BH131" s="65"/>
      <c r="BI131" s="63"/>
      <c r="BJ131" s="352"/>
      <c r="BK131" s="19"/>
      <c r="BL131" s="61"/>
      <c r="BM131" s="19"/>
      <c r="BN131" s="59"/>
      <c r="BO131" s="19"/>
      <c r="BP131" s="14"/>
      <c r="BQ131" s="107" t="s">
        <v>54</v>
      </c>
      <c r="BR131" s="27">
        <f t="shared" si="86"/>
        <v>0</v>
      </c>
      <c r="BS131" s="41">
        <f t="shared" si="90"/>
        <v>0</v>
      </c>
      <c r="BT131" s="14"/>
      <c r="BU131" s="14"/>
      <c r="BV131" s="14"/>
      <c r="BW131" s="65"/>
      <c r="BX131" s="63"/>
      <c r="BY131" s="352"/>
      <c r="BZ131" s="14"/>
      <c r="CA131" s="19"/>
      <c r="CB131" s="27"/>
      <c r="CC131" s="27"/>
      <c r="CD131" s="37"/>
      <c r="CE131" s="181"/>
      <c r="CF131" s="31"/>
      <c r="CG131" s="52"/>
      <c r="CH131" s="52"/>
      <c r="CI131" s="99"/>
      <c r="CJ131" s="14"/>
      <c r="CK131" s="14"/>
      <c r="CL131" s="14"/>
      <c r="CM131" s="14"/>
      <c r="CN131" s="14"/>
      <c r="CO131" s="129"/>
      <c r="CP131" s="14"/>
      <c r="CQ131" s="47"/>
      <c r="CR131" s="14"/>
      <c r="CS131" s="14"/>
      <c r="CT131" s="14"/>
      <c r="CU131" s="14"/>
      <c r="CV131" s="180"/>
      <c r="CW131" s="190"/>
      <c r="CX131" s="191"/>
      <c r="CY131" s="52"/>
      <c r="CZ131" s="52"/>
      <c r="DA131" s="54"/>
      <c r="DB131" s="14"/>
      <c r="DC131" s="14"/>
      <c r="DD131" s="14"/>
      <c r="DE131" s="14"/>
      <c r="DF131" s="14"/>
      <c r="DG131" s="129"/>
      <c r="DH131" s="14"/>
      <c r="DI131" s="47"/>
      <c r="DJ131" s="14"/>
      <c r="DK131" s="62"/>
      <c r="DL131" s="19"/>
      <c r="DM131" s="59"/>
      <c r="DN131" s="14"/>
      <c r="DO131" s="14"/>
      <c r="DP131" s="86" t="s">
        <v>145</v>
      </c>
      <c r="DQ131" s="111">
        <f>COUNTIFS(S30_stakeholder_category,"PU",Response_Q172_1,"&lt;&gt;0",Response_Q173_3,"&lt;&gt;0")</f>
        <v>1</v>
      </c>
      <c r="DR131" s="119">
        <f>IF(DQ131=0,"",DQ131/DQ131)</f>
        <v>1</v>
      </c>
      <c r="DS131" s="14"/>
      <c r="DT131" s="14"/>
      <c r="DU131" s="14"/>
      <c r="DV131" s="14"/>
      <c r="DW131" s="14"/>
      <c r="DX131" s="14"/>
      <c r="DY131" s="14"/>
      <c r="DZ131" s="14"/>
      <c r="EA131" s="14"/>
      <c r="EB131" s="14"/>
      <c r="EC131" s="14"/>
      <c r="ED131" s="14"/>
      <c r="EE131" s="14"/>
      <c r="EF131" s="14"/>
      <c r="EG131" s="14"/>
      <c r="EH131" s="14"/>
      <c r="EI131" s="14"/>
      <c r="EJ131" s="14"/>
      <c r="EK131" s="14"/>
      <c r="EL131" s="14"/>
    </row>
    <row r="132" spans="1:142" x14ac:dyDescent="0.25">
      <c r="A132" s="14"/>
      <c r="B132" s="14"/>
      <c r="C132" s="19"/>
      <c r="D132" s="15"/>
      <c r="E132" s="14"/>
      <c r="F132" s="14"/>
      <c r="G132" s="14"/>
      <c r="H132" s="21"/>
      <c r="I132" s="21"/>
      <c r="J132" s="14"/>
      <c r="K132" s="14"/>
      <c r="L132" s="14"/>
      <c r="M132" s="14"/>
      <c r="N132" s="14"/>
      <c r="O132" s="14"/>
      <c r="P132" s="14"/>
      <c r="Q132" s="47"/>
      <c r="R132" s="19"/>
      <c r="S132" s="62"/>
      <c r="T132" s="19"/>
      <c r="U132" s="59"/>
      <c r="V132" s="19"/>
      <c r="W132" s="14"/>
      <c r="X132" s="107" t="s">
        <v>39</v>
      </c>
      <c r="Y132" s="27">
        <f t="shared" si="82"/>
        <v>0</v>
      </c>
      <c r="Z132" s="41">
        <f t="shared" si="83"/>
        <v>0</v>
      </c>
      <c r="AA132" s="14"/>
      <c r="AB132" s="14"/>
      <c r="AC132" s="14"/>
      <c r="AD132" s="65"/>
      <c r="AE132" s="63"/>
      <c r="AF132" s="47"/>
      <c r="AG132" s="19"/>
      <c r="AH132" s="62"/>
      <c r="AI132" s="19"/>
      <c r="AJ132" s="59"/>
      <c r="AK132" s="19"/>
      <c r="AL132" s="14"/>
      <c r="AM132" s="107" t="s">
        <v>39</v>
      </c>
      <c r="AN132" s="27">
        <f t="shared" si="84"/>
        <v>0</v>
      </c>
      <c r="AO132" s="41">
        <f t="shared" si="88"/>
        <v>0</v>
      </c>
      <c r="AP132" s="14"/>
      <c r="AQ132" s="14"/>
      <c r="AR132" s="14"/>
      <c r="AS132" s="65"/>
      <c r="AT132" s="63"/>
      <c r="AU132" s="47"/>
      <c r="AV132" s="14"/>
      <c r="AW132" s="62"/>
      <c r="AX132" s="19"/>
      <c r="AY132" s="59"/>
      <c r="AZ132" s="19"/>
      <c r="BA132" s="14"/>
      <c r="BB132" s="107" t="s">
        <v>39</v>
      </c>
      <c r="BC132" s="27">
        <f t="shared" si="85"/>
        <v>0</v>
      </c>
      <c r="BD132" s="41">
        <f t="shared" si="89"/>
        <v>0</v>
      </c>
      <c r="BE132" s="14"/>
      <c r="BF132" s="14"/>
      <c r="BG132" s="14"/>
      <c r="BH132" s="65"/>
      <c r="BI132" s="63"/>
      <c r="BJ132" s="352"/>
      <c r="BK132" s="19"/>
      <c r="BL132" s="62"/>
      <c r="BM132" s="19"/>
      <c r="BN132" s="59"/>
      <c r="BO132" s="19"/>
      <c r="BP132" s="14"/>
      <c r="BQ132" s="107" t="s">
        <v>39</v>
      </c>
      <c r="BR132" s="27">
        <f t="shared" si="86"/>
        <v>0</v>
      </c>
      <c r="BS132" s="41">
        <f t="shared" si="90"/>
        <v>0</v>
      </c>
      <c r="BT132" s="14"/>
      <c r="BU132" s="14"/>
      <c r="BV132" s="14"/>
      <c r="BW132" s="65"/>
      <c r="BX132" s="63"/>
      <c r="BY132" s="352"/>
      <c r="BZ132" s="14"/>
      <c r="CA132" s="19"/>
      <c r="CB132" s="27"/>
      <c r="CC132" s="27"/>
      <c r="CD132" s="37"/>
      <c r="CE132" s="181"/>
      <c r="CF132" s="31"/>
      <c r="CG132" s="52"/>
      <c r="CH132" s="52"/>
      <c r="CI132" s="99"/>
      <c r="CJ132" s="14"/>
      <c r="CK132" s="14"/>
      <c r="CL132" s="14"/>
      <c r="CM132" s="14"/>
      <c r="CN132" s="14"/>
      <c r="CO132" s="129"/>
      <c r="CP132" s="14"/>
      <c r="CQ132" s="47"/>
      <c r="CR132" s="14"/>
      <c r="CS132" s="14"/>
      <c r="CT132" s="14"/>
      <c r="CU132" s="14"/>
      <c r="CV132" s="180"/>
      <c r="CW132" s="190"/>
      <c r="CX132" s="191"/>
      <c r="CY132" s="52"/>
      <c r="CZ132" s="52"/>
      <c r="DA132" s="54"/>
      <c r="DB132" s="14"/>
      <c r="DC132" s="14"/>
      <c r="DD132" s="14"/>
      <c r="DE132" s="14"/>
      <c r="DF132" s="14"/>
      <c r="DG132" s="129"/>
      <c r="DH132" s="14"/>
      <c r="DI132" s="47"/>
      <c r="DJ132" s="14"/>
      <c r="DK132" s="62"/>
      <c r="DL132" s="19"/>
      <c r="DM132" s="59"/>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row>
    <row r="133" spans="1:142" x14ac:dyDescent="0.25">
      <c r="A133" s="14"/>
      <c r="B133" s="69"/>
      <c r="C133" s="70"/>
      <c r="D133" s="15"/>
      <c r="E133" s="14"/>
      <c r="F133" s="14"/>
      <c r="G133" s="14"/>
      <c r="H133" s="21"/>
      <c r="I133" s="21"/>
      <c r="J133" s="14"/>
      <c r="K133" s="14"/>
      <c r="L133" s="14"/>
      <c r="M133" s="14"/>
      <c r="N133" s="14"/>
      <c r="O133" s="14"/>
      <c r="P133" s="14"/>
      <c r="Q133" s="47"/>
      <c r="R133" s="19"/>
      <c r="S133" s="62"/>
      <c r="T133" s="19"/>
      <c r="U133" s="59"/>
      <c r="V133" s="19"/>
      <c r="W133" s="14"/>
      <c r="X133" s="86" t="s">
        <v>145</v>
      </c>
      <c r="Y133" s="111">
        <f>COUNTIFS(S30_stakeholder_category,"PU",Response_Q176_2,"&lt;&gt;0")</f>
        <v>1</v>
      </c>
      <c r="Z133" s="119">
        <f t="shared" si="83"/>
        <v>1</v>
      </c>
      <c r="AA133" s="14"/>
      <c r="AB133" s="14"/>
      <c r="AC133" s="14"/>
      <c r="AD133" s="65"/>
      <c r="AE133" s="63"/>
      <c r="AF133" s="47"/>
      <c r="AG133" s="19"/>
      <c r="AH133" s="62"/>
      <c r="AI133" s="19"/>
      <c r="AJ133" s="59"/>
      <c r="AK133" s="19"/>
      <c r="AL133" s="14"/>
      <c r="AM133" s="86" t="s">
        <v>145</v>
      </c>
      <c r="AN133" s="111">
        <f>COUNTIFS(S30_stakeholder_category,"PU",Response_30b_CaseA,"&lt;&gt;0")</f>
        <v>1</v>
      </c>
      <c r="AO133" s="119">
        <f t="shared" si="88"/>
        <v>1</v>
      </c>
      <c r="AP133" s="14"/>
      <c r="AQ133" s="14"/>
      <c r="AR133" s="14"/>
      <c r="AS133" s="65"/>
      <c r="AT133" s="63"/>
      <c r="AU133" s="47"/>
      <c r="AV133" s="14"/>
      <c r="AW133" s="62"/>
      <c r="AX133" s="19"/>
      <c r="AY133" s="59"/>
      <c r="AZ133" s="19"/>
      <c r="BA133" s="14"/>
      <c r="BB133" s="86" t="s">
        <v>145</v>
      </c>
      <c r="BC133" s="111">
        <f>COUNTIFS(S30_stakeholder_category,"PU",Response_30b_CaseB,"&lt;&gt;0")</f>
        <v>1</v>
      </c>
      <c r="BD133" s="119">
        <f t="shared" si="89"/>
        <v>1</v>
      </c>
      <c r="BE133" s="14"/>
      <c r="BF133" s="14"/>
      <c r="BG133" s="14"/>
      <c r="BH133" s="65"/>
      <c r="BI133" s="63"/>
      <c r="BJ133" s="352"/>
      <c r="BK133" s="19"/>
      <c r="BL133" s="62"/>
      <c r="BM133" s="19"/>
      <c r="BN133" s="59"/>
      <c r="BO133" s="19"/>
      <c r="BP133" s="14"/>
      <c r="BQ133" s="86" t="s">
        <v>145</v>
      </c>
      <c r="BR133" s="111">
        <f>COUNTIFS(S30_stakeholder_category,"PU",Response_30b_CaseC,"&lt;&gt;0")</f>
        <v>1</v>
      </c>
      <c r="BS133" s="119">
        <f t="shared" si="90"/>
        <v>1</v>
      </c>
      <c r="BT133" s="14"/>
      <c r="BU133" s="14"/>
      <c r="BV133" s="14"/>
      <c r="BW133" s="65"/>
      <c r="BX133" s="63"/>
      <c r="BY133" s="352"/>
      <c r="BZ133" s="14"/>
      <c r="CA133" s="19"/>
      <c r="CB133" s="27"/>
      <c r="CC133" s="27"/>
      <c r="CD133" s="37"/>
      <c r="CE133" s="181"/>
      <c r="CF133" s="31"/>
      <c r="CG133" s="52"/>
      <c r="CH133" s="52"/>
      <c r="CI133" s="99"/>
      <c r="CJ133" s="14"/>
      <c r="CK133" s="14"/>
      <c r="CL133" s="14"/>
      <c r="CM133" s="14"/>
      <c r="CN133" s="14"/>
      <c r="CO133" s="129"/>
      <c r="CP133" s="14"/>
      <c r="CQ133" s="47"/>
      <c r="CR133" s="14"/>
      <c r="CS133" s="14"/>
      <c r="CT133" s="14"/>
      <c r="CU133" s="14"/>
      <c r="CV133" s="180"/>
      <c r="CW133" s="190"/>
      <c r="CX133" s="191"/>
      <c r="CY133" s="52"/>
      <c r="CZ133" s="52"/>
      <c r="DA133" s="54"/>
      <c r="DB133" s="14"/>
      <c r="DC133" s="14"/>
      <c r="DD133" s="14"/>
      <c r="DE133" s="14"/>
      <c r="DF133" s="14"/>
      <c r="DG133" s="129"/>
      <c r="DH133" s="14"/>
      <c r="DI133" s="47"/>
      <c r="DJ133" s="14"/>
      <c r="DK133" s="62"/>
      <c r="DL133" s="19"/>
      <c r="DM133" s="59"/>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row>
    <row r="134" spans="1:142" s="135" customFormat="1" ht="15.75" customHeight="1" x14ac:dyDescent="0.25">
      <c r="A134" s="14"/>
      <c r="B134" s="13"/>
      <c r="C134" s="13"/>
      <c r="D134" s="21"/>
      <c r="E134" s="14"/>
      <c r="F134" s="14"/>
      <c r="G134" s="14"/>
      <c r="H134" s="21"/>
      <c r="I134" s="21"/>
      <c r="J134" s="14"/>
      <c r="K134" s="14"/>
      <c r="L134" s="14"/>
      <c r="M134" s="14"/>
      <c r="N134" s="14"/>
      <c r="O134" s="14"/>
      <c r="P134" s="14"/>
      <c r="Q134" s="47"/>
      <c r="R134" s="19"/>
      <c r="S134" s="13"/>
      <c r="T134" s="13"/>
      <c r="U134" s="21"/>
      <c r="V134" s="14"/>
      <c r="W134" s="14"/>
      <c r="X134" s="14"/>
      <c r="Y134" s="14"/>
      <c r="Z134" s="14"/>
      <c r="AA134" s="14"/>
      <c r="AB134" s="14"/>
      <c r="AC134" s="14"/>
      <c r="AD134" s="65"/>
      <c r="AE134" s="63"/>
      <c r="AF134" s="47"/>
      <c r="AG134" s="19"/>
      <c r="AH134" s="13"/>
      <c r="AI134" s="13"/>
      <c r="AJ134" s="21"/>
      <c r="AK134" s="14"/>
      <c r="AL134" s="14"/>
      <c r="AM134" s="14"/>
      <c r="AN134" s="14"/>
      <c r="AO134" s="14"/>
      <c r="AP134" s="14"/>
      <c r="AQ134" s="14"/>
      <c r="AR134" s="14"/>
      <c r="AS134" s="65"/>
      <c r="AT134" s="63"/>
      <c r="AU134" s="47"/>
      <c r="AV134" s="14"/>
      <c r="AW134" s="13"/>
      <c r="AX134" s="13"/>
      <c r="AY134" s="21"/>
      <c r="AZ134" s="14"/>
      <c r="BA134" s="14"/>
      <c r="BB134" s="14"/>
      <c r="BC134" s="14"/>
      <c r="BD134" s="14"/>
      <c r="BE134" s="14"/>
      <c r="BF134" s="14"/>
      <c r="BG134" s="14"/>
      <c r="BH134" s="65"/>
      <c r="BI134" s="63"/>
      <c r="BJ134" s="352"/>
      <c r="BK134" s="19"/>
      <c r="BL134" s="13"/>
      <c r="BM134" s="13"/>
      <c r="BN134" s="21"/>
      <c r="BO134" s="14"/>
      <c r="BP134" s="14"/>
      <c r="BQ134" s="14"/>
      <c r="BR134" s="14"/>
      <c r="BS134" s="14"/>
      <c r="BT134" s="14"/>
      <c r="BU134" s="14"/>
      <c r="BV134" s="14"/>
      <c r="BW134" s="65"/>
      <c r="BX134" s="63"/>
      <c r="BY134" s="352"/>
      <c r="BZ134" s="14"/>
      <c r="CA134" s="19"/>
      <c r="CB134" s="27"/>
      <c r="CC134" s="27"/>
      <c r="CD134" s="37"/>
      <c r="CE134" s="181"/>
      <c r="CF134" s="31"/>
      <c r="CG134" s="31"/>
      <c r="CH134" s="31"/>
      <c r="CI134" s="14"/>
      <c r="CJ134" s="14"/>
      <c r="CK134" s="14"/>
      <c r="CL134" s="14"/>
      <c r="CM134" s="14"/>
      <c r="CN134" s="14"/>
      <c r="CO134" s="129"/>
      <c r="CP134" s="14"/>
      <c r="CQ134" s="47"/>
      <c r="CR134" s="14"/>
      <c r="CS134" s="14"/>
      <c r="CT134" s="14"/>
      <c r="CU134" s="14"/>
      <c r="CV134" s="180"/>
      <c r="CW134" s="190"/>
      <c r="CX134" s="191"/>
      <c r="CY134" s="31"/>
      <c r="CZ134" s="31"/>
      <c r="DA134" s="14"/>
      <c r="DB134" s="14"/>
      <c r="DC134" s="14"/>
      <c r="DD134" s="14"/>
      <c r="DE134" s="14"/>
      <c r="DF134" s="14"/>
      <c r="DG134" s="129"/>
      <c r="DH134" s="14"/>
      <c r="DI134" s="47"/>
      <c r="DJ134" s="14"/>
      <c r="DK134" s="13"/>
      <c r="DL134" s="13"/>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row>
    <row r="135" spans="1:142" s="131" customFormat="1" x14ac:dyDescent="0.25">
      <c r="A135" s="78"/>
      <c r="B135" s="78" t="s">
        <v>32</v>
      </c>
      <c r="C135" s="78" t="s">
        <v>138</v>
      </c>
      <c r="D135" s="79"/>
      <c r="E135" s="78"/>
      <c r="F135" s="78"/>
      <c r="G135" s="78"/>
      <c r="H135" s="79"/>
      <c r="I135" s="79"/>
      <c r="J135" s="78"/>
      <c r="K135" s="78"/>
      <c r="L135" s="78"/>
      <c r="M135" s="78"/>
      <c r="N135" s="78"/>
      <c r="O135" s="78"/>
      <c r="P135" s="78"/>
      <c r="Q135" s="82"/>
      <c r="R135" s="83"/>
      <c r="S135" s="78" t="str">
        <f>$B135</f>
        <v>Non-bioenergy wood users</v>
      </c>
      <c r="T135" s="78"/>
      <c r="U135" s="78"/>
      <c r="V135" s="78"/>
      <c r="W135" s="78"/>
      <c r="X135" s="78"/>
      <c r="Y135" s="78"/>
      <c r="Z135" s="78"/>
      <c r="AA135" s="78"/>
      <c r="AB135" s="78"/>
      <c r="AC135" s="78"/>
      <c r="AD135" s="80"/>
      <c r="AE135" s="81"/>
      <c r="AF135" s="82"/>
      <c r="AG135" s="83"/>
      <c r="AH135" s="78" t="str">
        <f>$B135</f>
        <v>Non-bioenergy wood users</v>
      </c>
      <c r="AI135" s="78"/>
      <c r="AJ135" s="78"/>
      <c r="AK135" s="78"/>
      <c r="AL135" s="78"/>
      <c r="AM135" s="78"/>
      <c r="AN135" s="78"/>
      <c r="AO135" s="78"/>
      <c r="AP135" s="78"/>
      <c r="AQ135" s="78"/>
      <c r="AR135" s="78"/>
      <c r="AS135" s="80"/>
      <c r="AT135" s="81"/>
      <c r="AU135" s="82"/>
      <c r="AV135" s="78"/>
      <c r="AW135" s="78" t="str">
        <f>$B135</f>
        <v>Non-bioenergy wood users</v>
      </c>
      <c r="AX135" s="78"/>
      <c r="AY135" s="78"/>
      <c r="AZ135" s="78"/>
      <c r="BA135" s="78"/>
      <c r="BB135" s="78"/>
      <c r="BC135" s="78"/>
      <c r="BD135" s="78"/>
      <c r="BE135" s="78"/>
      <c r="BF135" s="78"/>
      <c r="BG135" s="78"/>
      <c r="BH135" s="80"/>
      <c r="BI135" s="81"/>
      <c r="BJ135" s="373"/>
      <c r="BK135" s="83"/>
      <c r="BL135" s="78" t="str">
        <f>$B135</f>
        <v>Non-bioenergy wood users</v>
      </c>
      <c r="BM135" s="78"/>
      <c r="BN135" s="78"/>
      <c r="BO135" s="78"/>
      <c r="BP135" s="78"/>
      <c r="BQ135" s="78"/>
      <c r="BR135" s="78"/>
      <c r="BS135" s="78"/>
      <c r="BT135" s="78"/>
      <c r="BU135" s="78"/>
      <c r="BV135" s="78"/>
      <c r="BW135" s="80"/>
      <c r="BX135" s="81"/>
      <c r="BY135" s="373"/>
      <c r="BZ135" s="78"/>
      <c r="CA135" s="78" t="str">
        <f>$B135</f>
        <v>Non-bioenergy wood users</v>
      </c>
      <c r="CB135" s="79"/>
      <c r="CC135" s="79"/>
      <c r="CD135" s="182"/>
      <c r="CE135" s="182"/>
      <c r="CF135" s="79"/>
      <c r="CG135" s="78"/>
      <c r="CH135" s="78"/>
      <c r="CI135" s="78"/>
      <c r="CJ135" s="78"/>
      <c r="CK135" s="78"/>
      <c r="CL135" s="78"/>
      <c r="CM135" s="78"/>
      <c r="CN135" s="78"/>
      <c r="CO135" s="78"/>
      <c r="CP135" s="78"/>
      <c r="CQ135" s="82"/>
      <c r="CR135" s="78"/>
      <c r="CS135" s="78" t="str">
        <f>$B135</f>
        <v>Non-bioenergy wood users</v>
      </c>
      <c r="CT135" s="78"/>
      <c r="CU135" s="78"/>
      <c r="CV135" s="182"/>
      <c r="CW135" s="192"/>
      <c r="CX135" s="192"/>
      <c r="CY135" s="78"/>
      <c r="CZ135" s="78"/>
      <c r="DA135" s="78"/>
      <c r="DB135" s="78"/>
      <c r="DC135" s="78"/>
      <c r="DD135" s="78"/>
      <c r="DE135" s="78"/>
      <c r="DF135" s="78"/>
      <c r="DG135" s="78"/>
      <c r="DH135" s="78"/>
      <c r="DI135" s="82"/>
      <c r="DJ135" s="78"/>
      <c r="DK135" s="78" t="str">
        <f>$B135</f>
        <v>Non-bioenergy wood users</v>
      </c>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row>
    <row r="136" spans="1:142" ht="15" customHeight="1" x14ac:dyDescent="0.25">
      <c r="A136" s="14"/>
      <c r="B136" s="84" t="s">
        <v>301</v>
      </c>
      <c r="C136" s="84"/>
      <c r="D136" s="85"/>
      <c r="E136" s="84"/>
      <c r="F136" s="14"/>
      <c r="G136" s="14"/>
      <c r="H136" s="21"/>
      <c r="I136" s="21"/>
      <c r="J136" s="14"/>
      <c r="K136" s="14"/>
      <c r="L136" s="14"/>
      <c r="M136" s="14"/>
      <c r="N136" s="14"/>
      <c r="O136" s="14"/>
      <c r="P136" s="14"/>
      <c r="Q136" s="47"/>
      <c r="R136" s="19"/>
      <c r="S136" s="84" t="s">
        <v>322</v>
      </c>
      <c r="T136" s="84"/>
      <c r="U136" s="85"/>
      <c r="V136" s="84"/>
      <c r="W136" s="14"/>
      <c r="X136" s="14"/>
      <c r="Y136" s="14"/>
      <c r="Z136" s="14"/>
      <c r="AA136" s="14"/>
      <c r="AB136" s="14"/>
      <c r="AC136" s="14"/>
      <c r="AD136" s="65"/>
      <c r="AE136" s="63"/>
      <c r="AF136" s="47"/>
      <c r="AG136" s="19"/>
      <c r="AH136" s="84" t="s">
        <v>328</v>
      </c>
      <c r="AI136" s="84"/>
      <c r="AJ136" s="85"/>
      <c r="AK136" s="84"/>
      <c r="AL136" s="84"/>
      <c r="AM136" s="14"/>
      <c r="AN136" s="14"/>
      <c r="AO136" s="14"/>
      <c r="AP136" s="14"/>
      <c r="AQ136" s="14"/>
      <c r="AR136" s="14"/>
      <c r="AS136" s="65"/>
      <c r="AT136" s="63"/>
      <c r="AU136" s="47"/>
      <c r="AV136" s="14"/>
      <c r="AW136" s="84" t="s">
        <v>347</v>
      </c>
      <c r="AX136" s="84"/>
      <c r="AY136" s="85"/>
      <c r="AZ136" s="84"/>
      <c r="BA136" s="84"/>
      <c r="BB136" s="14"/>
      <c r="BC136" s="14"/>
      <c r="BD136" s="14"/>
      <c r="BE136" s="14"/>
      <c r="BF136" s="14"/>
      <c r="BG136" s="14"/>
      <c r="BH136" s="65"/>
      <c r="BI136" s="63"/>
      <c r="BJ136" s="352"/>
      <c r="BK136" s="19"/>
      <c r="BL136" s="84" t="s">
        <v>348</v>
      </c>
      <c r="BM136" s="84"/>
      <c r="BN136" s="85"/>
      <c r="BO136" s="84"/>
      <c r="BP136" s="84"/>
      <c r="BQ136" s="14"/>
      <c r="BR136" s="14"/>
      <c r="BS136" s="14"/>
      <c r="BT136" s="14"/>
      <c r="BU136" s="14"/>
      <c r="BV136" s="14"/>
      <c r="BW136" s="65"/>
      <c r="BX136" s="63"/>
      <c r="BY136" s="352"/>
      <c r="BZ136" s="14"/>
      <c r="CA136" s="148" t="s">
        <v>303</v>
      </c>
      <c r="CB136" s="85"/>
      <c r="CC136" s="85"/>
      <c r="CD136" s="185"/>
      <c r="CE136" s="185"/>
      <c r="CF136" s="147"/>
      <c r="CG136" s="17"/>
      <c r="CH136" s="14"/>
      <c r="CI136" s="14"/>
      <c r="CJ136" s="14"/>
      <c r="CK136" s="14"/>
      <c r="CL136" s="14"/>
      <c r="CM136" s="14"/>
      <c r="CN136" s="14"/>
      <c r="CO136" s="129"/>
      <c r="CP136" s="14"/>
      <c r="CQ136" s="47"/>
      <c r="CR136" s="14"/>
      <c r="CS136" s="148" t="s">
        <v>304</v>
      </c>
      <c r="CT136" s="84"/>
      <c r="CU136" s="85"/>
      <c r="CV136" s="186"/>
      <c r="CW136" s="193"/>
      <c r="CX136" s="193"/>
      <c r="CY136" s="14"/>
      <c r="CZ136" s="14"/>
      <c r="DA136" s="14"/>
      <c r="DB136" s="14"/>
      <c r="DC136" s="14"/>
      <c r="DD136" s="14"/>
      <c r="DE136" s="14"/>
      <c r="DF136" s="14"/>
      <c r="DG136" s="129"/>
      <c r="DH136" s="14"/>
      <c r="DI136" s="47"/>
      <c r="DJ136" s="14"/>
      <c r="DK136" s="84" t="s">
        <v>305</v>
      </c>
      <c r="DL136" s="84"/>
      <c r="DM136" s="85"/>
      <c r="DN136" s="8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row>
    <row r="137" spans="1:142" x14ac:dyDescent="0.25">
      <c r="A137" s="14"/>
      <c r="B137" s="14"/>
      <c r="C137" s="14"/>
      <c r="D137" s="15"/>
      <c r="E137" s="14"/>
      <c r="F137" s="14"/>
      <c r="G137" s="14"/>
      <c r="H137" s="21"/>
      <c r="I137" s="21"/>
      <c r="J137" s="14"/>
      <c r="K137" s="14"/>
      <c r="L137" s="14"/>
      <c r="M137" s="14"/>
      <c r="N137" s="14"/>
      <c r="O137" s="14"/>
      <c r="P137" s="14"/>
      <c r="Q137" s="47"/>
      <c r="R137" s="19"/>
      <c r="S137" s="14"/>
      <c r="T137" s="14"/>
      <c r="U137" s="15"/>
      <c r="V137" s="14"/>
      <c r="W137" s="14"/>
      <c r="X137" s="14"/>
      <c r="Y137" s="14"/>
      <c r="Z137" s="14"/>
      <c r="AA137" s="14"/>
      <c r="AB137" s="14"/>
      <c r="AC137" s="14"/>
      <c r="AD137" s="65"/>
      <c r="AE137" s="63"/>
      <c r="AF137" s="47"/>
      <c r="AG137" s="19"/>
      <c r="AH137" s="14"/>
      <c r="AI137" s="14"/>
      <c r="AJ137" s="15"/>
      <c r="AK137" s="14"/>
      <c r="AL137" s="14"/>
      <c r="AM137" s="14"/>
      <c r="AN137" s="14"/>
      <c r="AO137" s="14"/>
      <c r="AP137" s="14"/>
      <c r="AQ137" s="14"/>
      <c r="AR137" s="14"/>
      <c r="AS137" s="65"/>
      <c r="AT137" s="63"/>
      <c r="AU137" s="47"/>
      <c r="AV137" s="14"/>
      <c r="AW137" s="14"/>
      <c r="AX137" s="14"/>
      <c r="AY137" s="15"/>
      <c r="AZ137" s="14"/>
      <c r="BA137" s="14"/>
      <c r="BB137" s="14"/>
      <c r="BC137" s="14"/>
      <c r="BD137" s="14"/>
      <c r="BE137" s="14"/>
      <c r="BF137" s="14"/>
      <c r="BG137" s="14"/>
      <c r="BH137" s="65"/>
      <c r="BI137" s="63"/>
      <c r="BJ137" s="352"/>
      <c r="BK137" s="19"/>
      <c r="BL137" s="14"/>
      <c r="BM137" s="14"/>
      <c r="BN137" s="15"/>
      <c r="BO137" s="14"/>
      <c r="BP137" s="14"/>
      <c r="BQ137" s="14"/>
      <c r="BR137" s="14"/>
      <c r="BS137" s="14"/>
      <c r="BT137" s="14"/>
      <c r="BU137" s="14"/>
      <c r="BV137" s="14"/>
      <c r="BW137" s="65"/>
      <c r="BX137" s="63"/>
      <c r="BY137" s="352"/>
      <c r="BZ137" s="14"/>
      <c r="CA137" s="14"/>
      <c r="CB137" s="21"/>
      <c r="CC137" s="21"/>
      <c r="CD137" s="180"/>
      <c r="CE137" s="180"/>
      <c r="CF137" s="21"/>
      <c r="CG137" s="14"/>
      <c r="CH137" s="14"/>
      <c r="CI137" s="14"/>
      <c r="CJ137" s="14"/>
      <c r="CK137" s="14"/>
      <c r="CL137" s="14"/>
      <c r="CM137" s="14"/>
      <c r="CN137" s="14"/>
      <c r="CO137" s="129"/>
      <c r="CP137" s="14"/>
      <c r="CQ137" s="47"/>
      <c r="CR137" s="14"/>
      <c r="CS137" s="14"/>
      <c r="CT137" s="14"/>
      <c r="CU137" s="14"/>
      <c r="CV137" s="180"/>
      <c r="CW137" s="189"/>
      <c r="CX137" s="189"/>
      <c r="CY137" s="14"/>
      <c r="CZ137" s="14"/>
      <c r="DA137" s="14"/>
      <c r="DB137" s="14"/>
      <c r="DC137" s="14"/>
      <c r="DD137" s="14"/>
      <c r="DE137" s="14"/>
      <c r="DF137" s="14"/>
      <c r="DG137" s="129"/>
      <c r="DH137" s="14"/>
      <c r="DI137" s="47"/>
      <c r="DJ137" s="14"/>
      <c r="DK137" s="14"/>
      <c r="DL137" s="14"/>
      <c r="DM137" s="15"/>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row>
    <row r="138" spans="1:142" ht="27.6" x14ac:dyDescent="0.25">
      <c r="A138" s="14"/>
      <c r="B138" s="112" t="s">
        <v>23</v>
      </c>
      <c r="C138" s="113" t="s">
        <v>24</v>
      </c>
      <c r="D138" s="113" t="s">
        <v>145</v>
      </c>
      <c r="E138" s="113" t="s">
        <v>300</v>
      </c>
      <c r="F138" s="14"/>
      <c r="G138" s="14"/>
      <c r="H138" s="21"/>
      <c r="I138" s="21"/>
      <c r="J138" s="14"/>
      <c r="K138" s="19"/>
      <c r="L138" s="51"/>
      <c r="M138" s="51"/>
      <c r="N138" s="51"/>
      <c r="O138" s="51"/>
      <c r="P138" s="51"/>
      <c r="Q138" s="47"/>
      <c r="R138" s="19"/>
      <c r="S138" s="112" t="s">
        <v>23</v>
      </c>
      <c r="T138" s="113" t="s">
        <v>24</v>
      </c>
      <c r="U138" s="113" t="s">
        <v>145</v>
      </c>
      <c r="V138" s="113" t="s">
        <v>300</v>
      </c>
      <c r="W138" s="14"/>
      <c r="X138" s="14"/>
      <c r="Y138" s="14"/>
      <c r="Z138" s="14"/>
      <c r="AA138" s="56"/>
      <c r="AB138" s="56"/>
      <c r="AC138" s="56"/>
      <c r="AD138" s="65"/>
      <c r="AE138" s="63"/>
      <c r="AF138" s="47"/>
      <c r="AG138" s="19"/>
      <c r="AH138" s="112" t="s">
        <v>23</v>
      </c>
      <c r="AI138" s="113" t="s">
        <v>24</v>
      </c>
      <c r="AJ138" s="113" t="s">
        <v>145</v>
      </c>
      <c r="AK138" s="113" t="s">
        <v>300</v>
      </c>
      <c r="AL138" s="14"/>
      <c r="AM138" s="14"/>
      <c r="AN138" s="14"/>
      <c r="AO138" s="14"/>
      <c r="AP138" s="56"/>
      <c r="AQ138" s="56"/>
      <c r="AR138" s="56"/>
      <c r="AS138" s="65"/>
      <c r="AT138" s="63"/>
      <c r="AU138" s="47"/>
      <c r="AV138" s="14"/>
      <c r="AW138" s="112" t="s">
        <v>23</v>
      </c>
      <c r="AX138" s="113" t="s">
        <v>24</v>
      </c>
      <c r="AY138" s="113" t="s">
        <v>145</v>
      </c>
      <c r="AZ138" s="113" t="s">
        <v>300</v>
      </c>
      <c r="BA138" s="14"/>
      <c r="BB138" s="14"/>
      <c r="BC138" s="14"/>
      <c r="BD138" s="14"/>
      <c r="BE138" s="56"/>
      <c r="BF138" s="56"/>
      <c r="BG138" s="56"/>
      <c r="BH138" s="65"/>
      <c r="BI138" s="63"/>
      <c r="BJ138" s="352"/>
      <c r="BK138" s="19"/>
      <c r="BL138" s="112" t="s">
        <v>23</v>
      </c>
      <c r="BM138" s="113" t="s">
        <v>24</v>
      </c>
      <c r="BN138" s="113" t="s">
        <v>145</v>
      </c>
      <c r="BO138" s="113" t="s">
        <v>300</v>
      </c>
      <c r="BP138" s="14"/>
      <c r="BQ138" s="14"/>
      <c r="BR138" s="14"/>
      <c r="BS138" s="14"/>
      <c r="BT138" s="56"/>
      <c r="BU138" s="56"/>
      <c r="BV138" s="56"/>
      <c r="BW138" s="65"/>
      <c r="BX138" s="63"/>
      <c r="BY138" s="352"/>
      <c r="BZ138" s="14"/>
      <c r="CA138" s="112" t="s">
        <v>23</v>
      </c>
      <c r="CB138" s="113" t="s">
        <v>145</v>
      </c>
      <c r="CC138" s="21"/>
      <c r="CD138" s="180"/>
      <c r="CE138" s="180"/>
      <c r="CF138" s="21"/>
      <c r="CG138" s="14"/>
      <c r="CH138" s="14"/>
      <c r="CI138" s="14"/>
      <c r="CJ138" s="14"/>
      <c r="CK138" s="14"/>
      <c r="CL138" s="14"/>
      <c r="CM138" s="14"/>
      <c r="CN138" s="14"/>
      <c r="CO138" s="129"/>
      <c r="CP138" s="17"/>
      <c r="CQ138" s="47"/>
      <c r="CR138" s="14"/>
      <c r="CS138" s="112" t="s">
        <v>23</v>
      </c>
      <c r="CT138" s="113" t="s">
        <v>145</v>
      </c>
      <c r="CU138" s="14"/>
      <c r="CV138" s="180"/>
      <c r="CW138" s="189"/>
      <c r="CX138" s="189"/>
      <c r="CY138" s="14"/>
      <c r="CZ138" s="14"/>
      <c r="DA138" s="14"/>
      <c r="DB138" s="14"/>
      <c r="DC138" s="14"/>
      <c r="DD138" s="14"/>
      <c r="DE138" s="14"/>
      <c r="DF138" s="14"/>
      <c r="DG138" s="129"/>
      <c r="DH138" s="17"/>
      <c r="DI138" s="47"/>
      <c r="DJ138" s="17"/>
      <c r="DK138" s="112" t="s">
        <v>23</v>
      </c>
      <c r="DL138" s="113" t="s">
        <v>24</v>
      </c>
      <c r="DM138" s="113" t="s">
        <v>145</v>
      </c>
      <c r="DN138" s="113" t="s">
        <v>300</v>
      </c>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row>
    <row r="139" spans="1:142" x14ac:dyDescent="0.25">
      <c r="A139" s="14"/>
      <c r="B139" s="57" t="s">
        <v>32</v>
      </c>
      <c r="C139" s="121" t="str">
        <f>IF(H158=0,"na",IF(COUNTIF(H153:H157,MAX(H153:H157))&gt;COUNTIF(G153:G157,"&lt;&gt;""")/2,"No clear choice of the most common response",INDEX(G153:G157,MATCH(MAX(H153:H157),H153:H157,0),1)))</f>
        <v>I don’t know</v>
      </c>
      <c r="D139" s="58">
        <f>COUNTIFS(S30_stakeholder_category,"NB",Response_Q173_3,"&lt;&gt;0")</f>
        <v>1</v>
      </c>
      <c r="E139" s="121">
        <f>COUNTIFS(S30_stakeholder_category,"NB",Response_Q173_3,"I don’t know")</f>
        <v>1</v>
      </c>
      <c r="F139" s="14"/>
      <c r="G139" s="14"/>
      <c r="H139" s="21"/>
      <c r="I139" s="21"/>
      <c r="J139" s="14"/>
      <c r="K139" s="19"/>
      <c r="L139" s="40"/>
      <c r="M139" s="40"/>
      <c r="N139" s="40"/>
      <c r="O139" s="40"/>
      <c r="P139" s="40"/>
      <c r="Q139" s="47"/>
      <c r="R139" s="19"/>
      <c r="S139" s="34" t="s">
        <v>32</v>
      </c>
      <c r="T139" s="37" t="str">
        <f>IF(Y160=0,"na",IF(COUNTIF(Y153:Y159,MAX(Y153:Y159))&gt;COUNTIF(X153:X159,"&lt;&gt;""")/2,"No clear choice of the most common response",INDEX(X153:X159,MATCH(MAX(Y153:Y159),Y153:Y159,0),1)))</f>
        <v>Unlikely</v>
      </c>
      <c r="U139" s="33">
        <f>COUNTIFS(S30_stakeholder_category,"NB",Response_Q176_2,"&lt;&gt;0")</f>
        <v>1</v>
      </c>
      <c r="V139" s="37">
        <f>COUNTIFS(S30_stakeholder_category,"NB",Response_Q176_2,"I don’t know")</f>
        <v>0</v>
      </c>
      <c r="W139" s="14"/>
      <c r="X139" s="14"/>
      <c r="Y139" s="14"/>
      <c r="Z139" s="14"/>
      <c r="AA139" s="19"/>
      <c r="AB139" s="19"/>
      <c r="AC139" s="19"/>
      <c r="AD139" s="65"/>
      <c r="AE139" s="63"/>
      <c r="AF139" s="47"/>
      <c r="AG139" s="19"/>
      <c r="AH139" s="57" t="s">
        <v>32</v>
      </c>
      <c r="AI139" s="121" t="str">
        <f>IF(AN160=0,"na",IF(COUNTIF(AN153:AN159,MAX(AN153:AN159))&gt;COUNTIF(AM153:AM159,"&lt;&gt;""")/2,"No clear choice of the most common response",INDEX(AM153:AM159,MATCH(MAX(AN153:AN159),AN153:AN159,0),1)))</f>
        <v>Very unlikely</v>
      </c>
      <c r="AJ139" s="58">
        <f>COUNTIFS(S30_stakeholder_category,"NB",Response_30b_CaseA,"&lt;&gt;0")</f>
        <v>1</v>
      </c>
      <c r="AK139" s="121">
        <f>COUNTIFS(S30_stakeholder_category,"NB",Response_30b_CaseA,"I don’t know")</f>
        <v>0</v>
      </c>
      <c r="AL139" s="14"/>
      <c r="AM139" s="14"/>
      <c r="AN139" s="14"/>
      <c r="AO139" s="14"/>
      <c r="AP139" s="19"/>
      <c r="AQ139" s="19"/>
      <c r="AR139" s="19"/>
      <c r="AS139" s="65"/>
      <c r="AT139" s="63"/>
      <c r="AU139" s="47"/>
      <c r="AV139" s="14"/>
      <c r="AW139" s="57" t="s">
        <v>32</v>
      </c>
      <c r="AX139" s="121" t="str">
        <f>IF(BC160=0,"na",IF(COUNTIF(BC153:BC159,MAX(BC153:BC159))&gt;COUNTIF(BB153:BB159,"&lt;&gt;""")/2,"No clear choice of the most common response",INDEX(BB153:BB159,MATCH(MAX(BC153:BC159),BC153:BC159,0),1)))</f>
        <v>Unlikely</v>
      </c>
      <c r="AY139" s="58">
        <f>COUNTIFS(S30_stakeholder_category,"NB",Response_30b_CaseB,"&lt;&gt;0")</f>
        <v>1</v>
      </c>
      <c r="AZ139" s="121">
        <f>COUNTIFS(S30_stakeholder_category,"NB",Response_30b_CaseB,"I don’t know")</f>
        <v>0</v>
      </c>
      <c r="BA139" s="14"/>
      <c r="BB139" s="14"/>
      <c r="BC139" s="14"/>
      <c r="BD139" s="14"/>
      <c r="BE139" s="19"/>
      <c r="BF139" s="19"/>
      <c r="BG139" s="19"/>
      <c r="BH139" s="65"/>
      <c r="BI139" s="63"/>
      <c r="BJ139" s="352"/>
      <c r="BK139" s="19"/>
      <c r="BL139" s="57" t="s">
        <v>32</v>
      </c>
      <c r="BM139" s="121" t="str">
        <f>IF(BR160=0,"na",IF(COUNTIF(BR153:BR159,MAX(BR153:BR159))&gt;COUNTIF(BQ153:BQ159,"&lt;&gt;""")/2,"No clear choice of the most common response",INDEX(BQ153:BQ159,MATCH(MAX(BR153:BR159),BR153:BR159,0),1)))</f>
        <v>Moderately unlikely</v>
      </c>
      <c r="BN139" s="58">
        <f>COUNTIFS(S30_stakeholder_category,"NB",Response_30b_CaseC,"&lt;&gt;0")</f>
        <v>1</v>
      </c>
      <c r="BO139" s="121">
        <f>COUNTIFS(S30_stakeholder_category,"NB",Response_30b_CaseC,"I don’t know")</f>
        <v>0</v>
      </c>
      <c r="BP139" s="14"/>
      <c r="BQ139" s="14"/>
      <c r="BR139" s="14"/>
      <c r="BS139" s="14"/>
      <c r="BT139" s="19"/>
      <c r="BU139" s="19"/>
      <c r="BV139" s="19"/>
      <c r="BW139" s="65"/>
      <c r="BX139" s="63"/>
      <c r="BY139" s="352"/>
      <c r="BZ139" s="14"/>
      <c r="CA139" s="34" t="s">
        <v>32</v>
      </c>
      <c r="CB139" s="37">
        <f>MAX(SUM(CC145:CC151),SUM(CD145:CD151),SUM(CE145:CE151))</f>
        <v>1</v>
      </c>
      <c r="CC139" s="21"/>
      <c r="CD139" s="180"/>
      <c r="CE139" s="180"/>
      <c r="CF139" s="21"/>
      <c r="CG139" s="14"/>
      <c r="CH139" s="14"/>
      <c r="CI139" s="14"/>
      <c r="CJ139" s="14"/>
      <c r="CK139" s="14"/>
      <c r="CL139" s="14"/>
      <c r="CM139" s="14"/>
      <c r="CN139" s="14"/>
      <c r="CO139" s="129"/>
      <c r="CP139" s="29"/>
      <c r="CQ139" s="47"/>
      <c r="CR139" s="14"/>
      <c r="CS139" s="34" t="s">
        <v>32</v>
      </c>
      <c r="CT139" s="37">
        <f>MAX(SUM(CU145:CU151),SUM(CV145:CV151),SUM(CW145:CW151))</f>
        <v>1</v>
      </c>
      <c r="CU139" s="14"/>
      <c r="CV139" s="180"/>
      <c r="CW139" s="189"/>
      <c r="CX139" s="189"/>
      <c r="CY139" s="14"/>
      <c r="CZ139" s="14"/>
      <c r="DA139" s="14"/>
      <c r="DB139" s="14"/>
      <c r="DC139" s="14"/>
      <c r="DD139" s="14"/>
      <c r="DE139" s="14"/>
      <c r="DF139" s="14"/>
      <c r="DG139" s="129"/>
      <c r="DH139" s="29"/>
      <c r="DI139" s="47"/>
      <c r="DJ139" s="29"/>
      <c r="DK139" s="34" t="s">
        <v>32</v>
      </c>
      <c r="DL139" s="37" t="str">
        <f>IF(DQ158=0,"na",IF(COUNTIF(DQ153:DQ157,MAX(DQ153:DQ157))&gt;COUNTIF(DP153:DP157,"&lt;&gt;""")/2,"No clear choice of the most common response",INDEX(DP153:DP157,MATCH(MAX(DQ153:DQ157),DQ153:DQ157,0),1)))</f>
        <v>Yes, always</v>
      </c>
      <c r="DM139" s="33">
        <f>COUNTIFS(S30_stakeholder_category,"NB",Response_Q172_1,"&lt;&gt;0",Response_Q173_3,"&lt;&gt;0")</f>
        <v>1</v>
      </c>
      <c r="DN139" s="37">
        <f>DQ157</f>
        <v>0</v>
      </c>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row>
    <row r="140" spans="1:142" x14ac:dyDescent="0.25">
      <c r="A140" s="14"/>
      <c r="B140" s="57"/>
      <c r="C140" s="121" t="str">
        <f ca="1">IF(H158=0,"",IF(COUNTIF(H153:H157,MAX(H153:H157))=1,"",IF(COUNTIF(H153:H157,MAX(H153:H157))&gt;COUNTIF(G153:G157,"&lt;&gt;""")/2,"",INDEX(OFFSET(G153,MATCH(C139,G153:G158,0),0):G157,MATCH(MAX(H153:H157),OFFSET(H153,MATCH(C139,G153:G158,0),0):H157,0),1))))</f>
        <v/>
      </c>
      <c r="D140" s="58"/>
      <c r="E140" s="121"/>
      <c r="F140" s="14"/>
      <c r="G140" s="14"/>
      <c r="H140" s="21"/>
      <c r="I140" s="21"/>
      <c r="J140" s="14"/>
      <c r="K140" s="19"/>
      <c r="L140" s="40"/>
      <c r="M140" s="40"/>
      <c r="N140" s="40"/>
      <c r="O140" s="40"/>
      <c r="P140" s="40"/>
      <c r="Q140" s="47"/>
      <c r="R140" s="19"/>
      <c r="S140" s="34"/>
      <c r="T140" s="37" t="str">
        <f ca="1">IF(Y160=0,"",IF(COUNTIF(Y153:Y159,MAX(Y153:Y159))=1,"",IF(COUNTIF(Y153:Y159,MAX(Y153:Y159))&gt;COUNTIF(X153:X159,"&lt;&gt;""")/2,"",INDEX(OFFSET(X153,MATCH(T139,X153:X159,0),0):X159,MATCH(MAX(Y153:Y159),OFFSET(Y153,MATCH(T139,X153:X159,0),0):Y159,0),1))))</f>
        <v/>
      </c>
      <c r="U140" s="33"/>
      <c r="V140" s="37"/>
      <c r="W140" s="14"/>
      <c r="X140" s="14"/>
      <c r="Y140" s="14"/>
      <c r="Z140" s="14"/>
      <c r="AA140" s="19"/>
      <c r="AB140" s="19"/>
      <c r="AC140" s="19"/>
      <c r="AD140" s="65"/>
      <c r="AE140" s="63"/>
      <c r="AF140" s="47"/>
      <c r="AG140" s="19"/>
      <c r="AH140" s="57"/>
      <c r="AI140" s="121" t="str">
        <f ca="1">IF(AN160=0,"",IF(COUNTIF(AN153:AN159,MAX(AN153:AN159))=1,"",IF(COUNTIF(AN153:AN159,MAX(AN153:AN159))&gt;COUNTIF(AM153:AM159,"&lt;&gt;""")/2,"",INDEX(OFFSET(AM153,MATCH(AI139,AM153:AM159,0),0):AM159,MATCH(MAX(AN153:AN159),OFFSET(AN153,MATCH(AI139,AM153:AM159,0),0):AN159,0),1))))</f>
        <v/>
      </c>
      <c r="AJ140" s="58"/>
      <c r="AK140" s="121"/>
      <c r="AL140" s="14"/>
      <c r="AM140" s="14"/>
      <c r="AN140" s="14"/>
      <c r="AO140" s="14"/>
      <c r="AP140" s="19"/>
      <c r="AQ140" s="19"/>
      <c r="AR140" s="19"/>
      <c r="AS140" s="65"/>
      <c r="AT140" s="63"/>
      <c r="AU140" s="47"/>
      <c r="AV140" s="14"/>
      <c r="AW140" s="57"/>
      <c r="AX140" s="121" t="str">
        <f ca="1">IF(BC160=0,"",IF(COUNTIF(BC153:BC159,MAX(BC153:BC159))=1,"",IF(COUNTIF(BC153:BC159,MAX(BC153:BC159))&gt;COUNTIF(BB153:BB159,"&lt;&gt;""")/2,"",INDEX(OFFSET(BB153,MATCH(AX139,BB153:BB159,0),0):BB159,MATCH(MAX(BC153:BC159),OFFSET(BC153,MATCH(AX139,BB153:BB159,0),0):BC159,0),1))))</f>
        <v/>
      </c>
      <c r="AY140" s="58"/>
      <c r="AZ140" s="121"/>
      <c r="BA140" s="14"/>
      <c r="BB140" s="14"/>
      <c r="BC140" s="14"/>
      <c r="BD140" s="14"/>
      <c r="BE140" s="19"/>
      <c r="BF140" s="19"/>
      <c r="BG140" s="19"/>
      <c r="BH140" s="65"/>
      <c r="BI140" s="63"/>
      <c r="BJ140" s="352"/>
      <c r="BK140" s="19"/>
      <c r="BL140" s="57"/>
      <c r="BM140" s="121" t="str">
        <f ca="1">IF(BR160=0,"",IF(COUNTIF(BR153:BR159,MAX(BR153:BR159))=1,"",IF(COUNTIF(BR153:BR159,MAX(BR153:BR159))&gt;COUNTIF(BQ153:BQ159,"&lt;&gt;""")/2,"",INDEX(OFFSET(BQ153,MATCH(BM139,BQ153:BQ159,0),0):BQ159,MATCH(MAX(BR153:BR159),OFFSET(BR153,MATCH(BM139,BQ153:BQ159,0),0):BR159,0),1))))</f>
        <v/>
      </c>
      <c r="BN140" s="58"/>
      <c r="BO140" s="121"/>
      <c r="BP140" s="14"/>
      <c r="BQ140" s="14"/>
      <c r="BR140" s="14"/>
      <c r="BS140" s="14"/>
      <c r="BT140" s="19"/>
      <c r="BU140" s="19"/>
      <c r="BV140" s="19"/>
      <c r="BW140" s="65"/>
      <c r="BX140" s="63"/>
      <c r="BY140" s="352"/>
      <c r="BZ140" s="14"/>
      <c r="CA140" s="14"/>
      <c r="CB140" s="21"/>
      <c r="CC140" s="21"/>
      <c r="CD140" s="180"/>
      <c r="CE140" s="180"/>
      <c r="CF140" s="21"/>
      <c r="CG140" s="14"/>
      <c r="CH140" s="14"/>
      <c r="CI140" s="14"/>
      <c r="CJ140" s="14"/>
      <c r="CK140" s="14"/>
      <c r="CL140" s="14"/>
      <c r="CM140" s="14"/>
      <c r="CN140" s="14"/>
      <c r="CO140" s="129"/>
      <c r="CP140" s="29"/>
      <c r="CQ140" s="47"/>
      <c r="CR140" s="14"/>
      <c r="CS140" s="14"/>
      <c r="CT140" s="14"/>
      <c r="CU140" s="14"/>
      <c r="CV140" s="180"/>
      <c r="CW140" s="189"/>
      <c r="CX140" s="189"/>
      <c r="CY140" s="14"/>
      <c r="CZ140" s="14"/>
      <c r="DA140" s="14"/>
      <c r="DB140" s="14"/>
      <c r="DC140" s="14"/>
      <c r="DD140" s="14"/>
      <c r="DE140" s="14"/>
      <c r="DF140" s="14"/>
      <c r="DG140" s="129"/>
      <c r="DH140" s="29"/>
      <c r="DI140" s="47"/>
      <c r="DJ140" s="29"/>
      <c r="DK140" s="34"/>
      <c r="DL140" s="37" t="str">
        <f ca="1">IF(DQ158=0,"",IF(COUNTIF(DQ153:DQ157,MAX(DQ153:DQ157))=1,"",IF(COUNTIF(DQ153:DQ157,MAX(DQ153:DQ157))&gt;COUNTIF(DP153:DP157,"&lt;&gt;""")/2,"",INDEX(OFFSET(DP153,MATCH(DL139,DP153:DP158,0),0):DP157,MATCH(MAX(DQ153:DQ157),OFFSET(DQ153,MATCH(DL139,DP153:DP158,0),0):DQ157,0),1))))</f>
        <v/>
      </c>
      <c r="DM140" s="33"/>
      <c r="DN140" s="37"/>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row>
    <row r="141" spans="1:142" x14ac:dyDescent="0.25">
      <c r="A141" s="14"/>
      <c r="B141" s="57"/>
      <c r="C141" s="121" t="str">
        <f ca="1" xml:space="preserve"> IF(H158=0,"", IF(COUNTIF(H153:H157,MAX(H153:H157))&lt;=2,"",IF(COUNTIF(H153:H157,MAX(H153:H157))&gt;COUNTIF(G153:G157,"&lt;&gt;""")/2,"", INDEX(OFFSET(G153,MATCH(C140,G153:G158,0),0):G157,         MATCH(MAX(H153:H157),        OFFSET(H153,MATCH(C140,G153:G158,0),0):H157,0),1))))</f>
        <v/>
      </c>
      <c r="D141" s="58"/>
      <c r="E141" s="121"/>
      <c r="F141" s="14"/>
      <c r="G141" s="14"/>
      <c r="H141" s="21"/>
      <c r="I141" s="21"/>
      <c r="J141" s="14"/>
      <c r="K141" s="19"/>
      <c r="L141" s="40"/>
      <c r="M141" s="40"/>
      <c r="N141" s="40"/>
      <c r="O141" s="40"/>
      <c r="P141" s="40"/>
      <c r="Q141" s="47"/>
      <c r="R141" s="19"/>
      <c r="S141" s="34"/>
      <c r="T141" s="121" t="str">
        <f ca="1" xml:space="preserve"> IF(Y160=0,"",IF(Y160=0,"", IF(COUNTIF(Y153:Y159,MAX(Y153:Y159))&lt;=2,"",IF(COUNTIF(Y153:Y159,MAX(Y153:Y159))&gt;COUNTIF(X153:X159,"&lt;&gt;""")/2,"", INDEX(OFFSET(X153,MATCH(T140,X153:X159,0),0):X159,         MATCH(MAX(Y153:Y159),        OFFSET(Y153,MATCH(T140,X153:X159,0),0):Y159,0),1)))))</f>
        <v/>
      </c>
      <c r="U141" s="33"/>
      <c r="V141" s="37"/>
      <c r="W141" s="14"/>
      <c r="X141" s="14"/>
      <c r="Y141" s="14"/>
      <c r="Z141" s="14"/>
      <c r="AA141" s="19"/>
      <c r="AB141" s="19"/>
      <c r="AC141" s="19"/>
      <c r="AD141" s="65"/>
      <c r="AE141" s="63"/>
      <c r="AF141" s="47"/>
      <c r="AG141" s="19"/>
      <c r="AH141" s="57"/>
      <c r="AI141" s="121" t="str">
        <f ca="1" xml:space="preserve"> IF(AN160=0,"",IF(AN160=0,"", IF(COUNTIF(AN153:AN159,MAX(AN153:AN159))&lt;=2,"",IF(COUNTIF(AN153:AN159,MAX(AN153:AN159))&gt;COUNTIF(AM153:AM159,"&lt;&gt;""")/2,"", INDEX(OFFSET(AM153,MATCH(AI140,AM153:AM159,0),0):AM159,         MATCH(MAX(AN153:AN159),        OFFSET(AN153,MATCH(AI140,AM153:AM159,0),0):AN159,0),1)))))</f>
        <v/>
      </c>
      <c r="AJ141" s="58"/>
      <c r="AK141" s="121"/>
      <c r="AL141" s="14"/>
      <c r="AM141" s="14"/>
      <c r="AN141" s="14"/>
      <c r="AO141" s="14"/>
      <c r="AP141" s="19"/>
      <c r="AQ141" s="19"/>
      <c r="AR141" s="19"/>
      <c r="AS141" s="65"/>
      <c r="AT141" s="63"/>
      <c r="AU141" s="47"/>
      <c r="AV141" s="14"/>
      <c r="AW141" s="57"/>
      <c r="AX141" s="121" t="str">
        <f ca="1" xml:space="preserve"> IF(BC160=0,"",IF(BC160=0,"", IF(COUNTIF(BC153:BC159,MAX(BC153:BC159))&lt;=2,"",IF(COUNTIF(BC153:BC159,MAX(BC153:BC159))&gt;COUNTIF(BB153:BB159,"&lt;&gt;""")/2,"", INDEX(OFFSET(BB153,MATCH(AX140,BB153:BB159,0),0):BB159,         MATCH(MAX(BC153:BC159),        OFFSET(BC153,MATCH(AX140,BB153:BB159,0),0):BC159,0),1)))))</f>
        <v/>
      </c>
      <c r="AY141" s="58"/>
      <c r="AZ141" s="121"/>
      <c r="BA141" s="14"/>
      <c r="BB141" s="14"/>
      <c r="BC141" s="14"/>
      <c r="BD141" s="14"/>
      <c r="BE141" s="19"/>
      <c r="BF141" s="19"/>
      <c r="BG141" s="19"/>
      <c r="BH141" s="65"/>
      <c r="BI141" s="63"/>
      <c r="BJ141" s="352"/>
      <c r="BK141" s="19"/>
      <c r="BL141" s="57"/>
      <c r="BM141" s="121" t="str">
        <f ca="1" xml:space="preserve"> IF(BR160=0,"",IF(BR160=0,"", IF(COUNTIF(BR153:BR159,MAX(BR153:BR159))&lt;=2,"",IF(COUNTIF(BR153:BR159,MAX(BR153:BR159))&gt;COUNTIF(BQ153:BQ159,"&lt;&gt;""")/2,"", INDEX(OFFSET(BQ153,MATCH(BM140,BQ153:BQ159,0),0):BQ159,         MATCH(MAX(BR153:BR159),        OFFSET(BR153,MATCH(BM140,BQ153:BQ159,0),0):BR159,0),1)))))</f>
        <v/>
      </c>
      <c r="BN141" s="58"/>
      <c r="BO141" s="121"/>
      <c r="BP141" s="14"/>
      <c r="BQ141" s="14"/>
      <c r="BR141" s="14"/>
      <c r="BS141" s="14"/>
      <c r="BT141" s="19"/>
      <c r="BU141" s="19"/>
      <c r="BV141" s="19"/>
      <c r="BW141" s="65"/>
      <c r="BX141" s="63"/>
      <c r="BY141" s="352"/>
      <c r="BZ141" s="14"/>
      <c r="CA141" s="14"/>
      <c r="CB141" s="21"/>
      <c r="CC141" s="21"/>
      <c r="CD141" s="180"/>
      <c r="CE141" s="180"/>
      <c r="CF141" s="21"/>
      <c r="CG141" s="14"/>
      <c r="CH141" s="14"/>
      <c r="CI141" s="14"/>
      <c r="CJ141" s="14"/>
      <c r="CK141" s="14"/>
      <c r="CL141" s="14"/>
      <c r="CM141" s="14"/>
      <c r="CN141" s="14"/>
      <c r="CO141" s="129"/>
      <c r="CP141" s="29"/>
      <c r="CQ141" s="47"/>
      <c r="CR141" s="14"/>
      <c r="CS141" s="14"/>
      <c r="CT141" s="14"/>
      <c r="CU141" s="14"/>
      <c r="CV141" s="180"/>
      <c r="CW141" s="189"/>
      <c r="CX141" s="189"/>
      <c r="CY141" s="14"/>
      <c r="CZ141" s="14"/>
      <c r="DA141" s="14"/>
      <c r="DB141" s="14"/>
      <c r="DC141" s="14"/>
      <c r="DD141" s="14"/>
      <c r="DE141" s="14"/>
      <c r="DF141" s="14"/>
      <c r="DG141" s="129"/>
      <c r="DH141" s="29"/>
      <c r="DI141" s="47"/>
      <c r="DJ141" s="29"/>
      <c r="DK141" s="34"/>
      <c r="DL141" s="37" t="str">
        <f ca="1">IF(DQ158=0,"",IF(COUNTIF(DQ153:DQ157,MAX(DQ153:DQ157))&lt;=2,"",IF(COUNTIF(DQ153:DQ157,MAX(DQ153:DQ157))&gt;COUNTIF(DP153:DP157,"&lt;&gt;""")/2,"",INDEX(OFFSET(DP153,MATCH(DL140,DP153:DP158,0),0):DP157,MATCH(MAX(DQ153:DQ157),OFFSET(DQ153,MATCH(DL140,DP153:DP158,0),0):DQ157,0),1))))</f>
        <v/>
      </c>
      <c r="DM141" s="33"/>
      <c r="DN141" s="37"/>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row>
    <row r="142" spans="1:142" x14ac:dyDescent="0.25">
      <c r="A142" s="14"/>
      <c r="B142" s="14"/>
      <c r="C142" s="14"/>
      <c r="D142" s="27"/>
      <c r="E142" s="14"/>
      <c r="F142" s="14"/>
      <c r="G142" s="14"/>
      <c r="H142" s="21"/>
      <c r="I142" s="21"/>
      <c r="J142" s="14"/>
      <c r="K142" s="19"/>
      <c r="L142" s="40"/>
      <c r="M142" s="40"/>
      <c r="N142" s="40"/>
      <c r="O142" s="40"/>
      <c r="P142" s="40"/>
      <c r="Q142" s="47"/>
      <c r="R142" s="19"/>
      <c r="S142" s="19"/>
      <c r="T142" s="19"/>
      <c r="U142" s="19"/>
      <c r="V142" s="19"/>
      <c r="W142" s="14"/>
      <c r="X142" s="14"/>
      <c r="Y142" s="14"/>
      <c r="Z142" s="14"/>
      <c r="AA142" s="19"/>
      <c r="AB142" s="19"/>
      <c r="AC142" s="19"/>
      <c r="AD142" s="65"/>
      <c r="AE142" s="63"/>
      <c r="AF142" s="47"/>
      <c r="AG142" s="19"/>
      <c r="AH142" s="19"/>
      <c r="AI142" s="19"/>
      <c r="AJ142" s="19"/>
      <c r="AK142" s="19"/>
      <c r="AL142" s="14"/>
      <c r="AM142" s="14"/>
      <c r="AN142" s="14"/>
      <c r="AO142" s="14"/>
      <c r="AP142" s="19"/>
      <c r="AQ142" s="19"/>
      <c r="AR142" s="19"/>
      <c r="AS142" s="65"/>
      <c r="AT142" s="63"/>
      <c r="AU142" s="47"/>
      <c r="AV142" s="14"/>
      <c r="AW142" s="19"/>
      <c r="AX142" s="19"/>
      <c r="AY142" s="19"/>
      <c r="AZ142" s="19"/>
      <c r="BA142" s="14"/>
      <c r="BB142" s="14"/>
      <c r="BC142" s="14"/>
      <c r="BD142" s="14"/>
      <c r="BE142" s="19"/>
      <c r="BF142" s="19"/>
      <c r="BG142" s="19"/>
      <c r="BH142" s="65"/>
      <c r="BI142" s="63"/>
      <c r="BJ142" s="352"/>
      <c r="BK142" s="19"/>
      <c r="BL142" s="19"/>
      <c r="BM142" s="19"/>
      <c r="BN142" s="19"/>
      <c r="BO142" s="19"/>
      <c r="BP142" s="14"/>
      <c r="BQ142" s="14"/>
      <c r="BR142" s="14"/>
      <c r="BS142" s="14"/>
      <c r="BT142" s="19"/>
      <c r="BU142" s="19"/>
      <c r="BV142" s="19"/>
      <c r="BW142" s="65"/>
      <c r="BX142" s="63"/>
      <c r="BY142" s="352"/>
      <c r="BZ142" s="14"/>
      <c r="CA142" s="14"/>
      <c r="CB142" s="21"/>
      <c r="CC142" s="21"/>
      <c r="CD142" s="180"/>
      <c r="CE142" s="180"/>
      <c r="CF142" s="21"/>
      <c r="CG142" s="14"/>
      <c r="CH142" s="14"/>
      <c r="CI142" s="14"/>
      <c r="CJ142" s="14"/>
      <c r="CK142" s="14"/>
      <c r="CL142" s="14"/>
      <c r="CM142" s="14"/>
      <c r="CN142" s="14"/>
      <c r="CO142" s="129"/>
      <c r="CP142" s="29"/>
      <c r="CQ142" s="47"/>
      <c r="CR142" s="14"/>
      <c r="CS142" s="14"/>
      <c r="CT142" s="14"/>
      <c r="CU142" s="14"/>
      <c r="CV142" s="180"/>
      <c r="CW142" s="189"/>
      <c r="CX142" s="189"/>
      <c r="CY142" s="14"/>
      <c r="CZ142" s="14"/>
      <c r="DA142" s="14"/>
      <c r="DB142" s="14"/>
      <c r="DC142" s="14"/>
      <c r="DD142" s="14"/>
      <c r="DE142" s="14"/>
      <c r="DF142" s="14"/>
      <c r="DG142" s="129"/>
      <c r="DH142" s="29"/>
      <c r="DI142" s="47"/>
      <c r="DJ142" s="29"/>
      <c r="DK142" s="14"/>
      <c r="DL142" s="14"/>
      <c r="DM142" s="27"/>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row>
    <row r="143" spans="1:142" x14ac:dyDescent="0.25">
      <c r="A143" s="14"/>
      <c r="B143" s="14"/>
      <c r="C143" s="14"/>
      <c r="D143" s="27"/>
      <c r="E143" s="14"/>
      <c r="F143" s="14"/>
      <c r="G143" s="14"/>
      <c r="H143" s="21"/>
      <c r="I143" s="21"/>
      <c r="J143" s="14"/>
      <c r="K143" s="19"/>
      <c r="L143" s="40"/>
      <c r="M143" s="40"/>
      <c r="N143" s="40"/>
      <c r="O143" s="40"/>
      <c r="P143" s="40"/>
      <c r="Q143" s="47"/>
      <c r="R143" s="19"/>
      <c r="S143" s="19"/>
      <c r="T143" s="19"/>
      <c r="U143" s="19"/>
      <c r="V143" s="19"/>
      <c r="W143" s="14"/>
      <c r="X143" s="14"/>
      <c r="Y143" s="14"/>
      <c r="Z143" s="14"/>
      <c r="AA143" s="19"/>
      <c r="AB143" s="19"/>
      <c r="AC143" s="19"/>
      <c r="AD143" s="65"/>
      <c r="AE143" s="63"/>
      <c r="AF143" s="47"/>
      <c r="AG143" s="19"/>
      <c r="AH143" s="19"/>
      <c r="AI143" s="19"/>
      <c r="AJ143" s="19"/>
      <c r="AK143" s="19"/>
      <c r="AL143" s="14"/>
      <c r="AM143" s="14"/>
      <c r="AN143" s="14"/>
      <c r="AO143" s="14"/>
      <c r="AP143" s="19"/>
      <c r="AQ143" s="19"/>
      <c r="AR143" s="19"/>
      <c r="AS143" s="65"/>
      <c r="AT143" s="63"/>
      <c r="AU143" s="47"/>
      <c r="AV143" s="14"/>
      <c r="AW143" s="19"/>
      <c r="AX143" s="19"/>
      <c r="AY143" s="19"/>
      <c r="AZ143" s="19"/>
      <c r="BA143" s="14"/>
      <c r="BB143" s="14"/>
      <c r="BC143" s="14"/>
      <c r="BD143" s="14"/>
      <c r="BE143" s="19"/>
      <c r="BF143" s="19"/>
      <c r="BG143" s="19"/>
      <c r="BH143" s="65"/>
      <c r="BI143" s="63"/>
      <c r="BJ143" s="352"/>
      <c r="BK143" s="19"/>
      <c r="BL143" s="19"/>
      <c r="BM143" s="19"/>
      <c r="BN143" s="19"/>
      <c r="BO143" s="19"/>
      <c r="BP143" s="14"/>
      <c r="BQ143" s="14"/>
      <c r="BR143" s="14"/>
      <c r="BS143" s="14"/>
      <c r="BT143" s="19"/>
      <c r="BU143" s="19"/>
      <c r="BV143" s="19"/>
      <c r="BW143" s="65"/>
      <c r="BX143" s="63"/>
      <c r="BY143" s="352"/>
      <c r="BZ143" s="14"/>
      <c r="CA143" s="14"/>
      <c r="CB143" s="21"/>
      <c r="CC143" s="21"/>
      <c r="CD143" s="180"/>
      <c r="CE143" s="180"/>
      <c r="CF143" s="21"/>
      <c r="CG143" s="14"/>
      <c r="CH143" s="14"/>
      <c r="CI143" s="14"/>
      <c r="CJ143" s="14"/>
      <c r="CK143" s="14"/>
      <c r="CL143" s="14"/>
      <c r="CM143" s="14"/>
      <c r="CN143" s="14"/>
      <c r="CO143" s="129"/>
      <c r="CP143" s="29"/>
      <c r="CQ143" s="47"/>
      <c r="CR143" s="14"/>
      <c r="CS143" s="14"/>
      <c r="CT143" s="14"/>
      <c r="CU143" s="14"/>
      <c r="CV143" s="180"/>
      <c r="CW143" s="189"/>
      <c r="CX143" s="189"/>
      <c r="CY143" s="14"/>
      <c r="CZ143" s="14"/>
      <c r="DA143" s="14"/>
      <c r="DB143" s="14"/>
      <c r="DC143" s="14"/>
      <c r="DD143" s="14"/>
      <c r="DE143" s="14"/>
      <c r="DF143" s="14"/>
      <c r="DG143" s="129"/>
      <c r="DH143" s="29"/>
      <c r="DI143" s="47"/>
      <c r="DJ143" s="29"/>
      <c r="DK143" s="14"/>
      <c r="DL143" s="14"/>
      <c r="DM143" s="27"/>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row>
    <row r="144" spans="1:142" ht="27.6" x14ac:dyDescent="0.25">
      <c r="A144" s="14"/>
      <c r="B144" s="14"/>
      <c r="C144" s="14"/>
      <c r="D144" s="27"/>
      <c r="E144" s="14"/>
      <c r="F144" s="14"/>
      <c r="G144" s="14"/>
      <c r="H144" s="21"/>
      <c r="I144" s="21"/>
      <c r="J144" s="14"/>
      <c r="K144" s="19"/>
      <c r="L144" s="40"/>
      <c r="M144" s="40"/>
      <c r="N144" s="40"/>
      <c r="O144" s="40"/>
      <c r="P144" s="40"/>
      <c r="Q144" s="47"/>
      <c r="R144" s="19"/>
      <c r="S144" s="19"/>
      <c r="T144" s="19"/>
      <c r="U144" s="19"/>
      <c r="V144" s="19"/>
      <c r="W144" s="14"/>
      <c r="X144" s="14"/>
      <c r="Y144" s="14"/>
      <c r="Z144" s="14"/>
      <c r="AA144" s="19"/>
      <c r="AB144" s="19"/>
      <c r="AC144" s="19"/>
      <c r="AD144" s="65"/>
      <c r="AE144" s="63"/>
      <c r="AF144" s="47"/>
      <c r="AG144" s="19"/>
      <c r="AH144" s="19"/>
      <c r="AI144" s="19"/>
      <c r="AJ144" s="19"/>
      <c r="AK144" s="19"/>
      <c r="AL144" s="14"/>
      <c r="AM144" s="14"/>
      <c r="AN144" s="14"/>
      <c r="AO144" s="14"/>
      <c r="AP144" s="19"/>
      <c r="AQ144" s="19"/>
      <c r="AR144" s="19"/>
      <c r="AS144" s="65"/>
      <c r="AT144" s="63"/>
      <c r="AU144" s="47"/>
      <c r="AV144" s="14"/>
      <c r="AW144" s="19"/>
      <c r="AX144" s="19"/>
      <c r="AY144" s="19"/>
      <c r="AZ144" s="19"/>
      <c r="BA144" s="14"/>
      <c r="BB144" s="14"/>
      <c r="BC144" s="14"/>
      <c r="BD144" s="14"/>
      <c r="BE144" s="19"/>
      <c r="BF144" s="19"/>
      <c r="BG144" s="19"/>
      <c r="BH144" s="65"/>
      <c r="BI144" s="63"/>
      <c r="BJ144" s="352"/>
      <c r="BK144" s="19"/>
      <c r="BL144" s="19"/>
      <c r="BM144" s="19"/>
      <c r="BN144" s="19"/>
      <c r="BO144" s="19"/>
      <c r="BP144" s="14"/>
      <c r="BQ144" s="14"/>
      <c r="BR144" s="14"/>
      <c r="BS144" s="14"/>
      <c r="BT144" s="19"/>
      <c r="BU144" s="19"/>
      <c r="BV144" s="19"/>
      <c r="BW144" s="65"/>
      <c r="BX144" s="63"/>
      <c r="BY144" s="352"/>
      <c r="BZ144" s="14"/>
      <c r="CA144" s="109" t="s">
        <v>14</v>
      </c>
      <c r="CB144" s="110" t="s">
        <v>164</v>
      </c>
      <c r="CC144" s="110" t="s">
        <v>149</v>
      </c>
      <c r="CD144" s="184" t="s">
        <v>150</v>
      </c>
      <c r="CE144" s="184" t="s">
        <v>151</v>
      </c>
      <c r="CF144" s="110" t="s">
        <v>152</v>
      </c>
      <c r="CG144" s="14"/>
      <c r="CH144" s="109"/>
      <c r="CI144" s="110" t="s">
        <v>5</v>
      </c>
      <c r="CJ144" s="110" t="s">
        <v>4</v>
      </c>
      <c r="CK144" s="110" t="s">
        <v>33</v>
      </c>
      <c r="CL144" s="110" t="s">
        <v>29</v>
      </c>
      <c r="CM144" s="110" t="s">
        <v>3</v>
      </c>
      <c r="CN144" s="110" t="s">
        <v>54</v>
      </c>
      <c r="CO144" s="328" t="s">
        <v>160</v>
      </c>
      <c r="CP144" s="29"/>
      <c r="CQ144" s="47"/>
      <c r="CR144" s="14"/>
      <c r="CS144" s="109" t="s">
        <v>14</v>
      </c>
      <c r="CT144" s="110" t="s">
        <v>164</v>
      </c>
      <c r="CU144" s="110" t="s">
        <v>149</v>
      </c>
      <c r="CV144" s="184" t="s">
        <v>150</v>
      </c>
      <c r="CW144" s="184" t="s">
        <v>151</v>
      </c>
      <c r="CX144" s="194" t="s">
        <v>152</v>
      </c>
      <c r="CY144" s="14"/>
      <c r="CZ144" s="109" t="s">
        <v>14</v>
      </c>
      <c r="DA144" s="110" t="s">
        <v>5</v>
      </c>
      <c r="DB144" s="110" t="s">
        <v>4</v>
      </c>
      <c r="DC144" s="110" t="s">
        <v>33</v>
      </c>
      <c r="DD144" s="110" t="s">
        <v>29</v>
      </c>
      <c r="DE144" s="110" t="s">
        <v>3</v>
      </c>
      <c r="DF144" s="110" t="s">
        <v>54</v>
      </c>
      <c r="DG144" s="328" t="s">
        <v>160</v>
      </c>
      <c r="DH144" s="29"/>
      <c r="DI144" s="47"/>
      <c r="DJ144" s="29"/>
      <c r="DK144" s="19"/>
      <c r="DL144" s="19"/>
      <c r="DM144" s="27"/>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row>
    <row r="145" spans="1:142" x14ac:dyDescent="0.25">
      <c r="A145" s="14"/>
      <c r="B145" s="14"/>
      <c r="C145" s="14"/>
      <c r="D145" s="21"/>
      <c r="E145" s="14"/>
      <c r="F145" s="14"/>
      <c r="G145" s="14"/>
      <c r="H145" s="21"/>
      <c r="I145" s="21"/>
      <c r="J145" s="14"/>
      <c r="K145" s="14"/>
      <c r="L145" s="14"/>
      <c r="M145" s="14"/>
      <c r="N145" s="14"/>
      <c r="O145" s="14"/>
      <c r="P145" s="14"/>
      <c r="Q145" s="47"/>
      <c r="R145" s="19"/>
      <c r="S145" s="19"/>
      <c r="T145" s="19"/>
      <c r="U145" s="19"/>
      <c r="V145" s="19"/>
      <c r="W145" s="14"/>
      <c r="X145" s="14"/>
      <c r="Y145" s="14"/>
      <c r="Z145" s="14"/>
      <c r="AA145" s="19"/>
      <c r="AB145" s="19"/>
      <c r="AC145" s="19"/>
      <c r="AD145" s="65"/>
      <c r="AE145" s="63"/>
      <c r="AF145" s="47"/>
      <c r="AG145" s="19"/>
      <c r="AH145" s="19"/>
      <c r="AI145" s="19"/>
      <c r="AJ145" s="19"/>
      <c r="AK145" s="19"/>
      <c r="AL145" s="14"/>
      <c r="AM145" s="14"/>
      <c r="AN145" s="14"/>
      <c r="AO145" s="14"/>
      <c r="AP145" s="19"/>
      <c r="AQ145" s="19"/>
      <c r="AR145" s="19"/>
      <c r="AS145" s="65"/>
      <c r="AT145" s="63"/>
      <c r="AU145" s="47"/>
      <c r="AV145" s="14"/>
      <c r="AW145" s="19"/>
      <c r="AX145" s="19"/>
      <c r="AY145" s="19"/>
      <c r="AZ145" s="19"/>
      <c r="BA145" s="14"/>
      <c r="BB145" s="14"/>
      <c r="BC145" s="14"/>
      <c r="BD145" s="14"/>
      <c r="BE145" s="19"/>
      <c r="BF145" s="19"/>
      <c r="BG145" s="19"/>
      <c r="BH145" s="65"/>
      <c r="BI145" s="63"/>
      <c r="BJ145" s="352"/>
      <c r="BK145" s="19"/>
      <c r="BL145" s="19"/>
      <c r="BM145" s="19"/>
      <c r="BN145" s="19"/>
      <c r="BO145" s="19"/>
      <c r="BP145" s="14"/>
      <c r="BQ145" s="14"/>
      <c r="BR145" s="14"/>
      <c r="BS145" s="14"/>
      <c r="BT145" s="19"/>
      <c r="BU145" s="19"/>
      <c r="BV145" s="19"/>
      <c r="BW145" s="65"/>
      <c r="BX145" s="63"/>
      <c r="BY145" s="352"/>
      <c r="BZ145" s="14"/>
      <c r="CA145" s="140" t="s">
        <v>701</v>
      </c>
      <c r="CB145" s="27">
        <f>COUNTIFS(S30_stakeholder_category,"NB",Response_Q177_1,"&lt;&gt;0",Response_Q173_3,"&lt;&gt;0")</f>
        <v>1</v>
      </c>
      <c r="CC145" s="37">
        <f>COUNTIFS(S30_stakeholder_category,"NB",Response_Q177_1,1,Response_Q173_3,"&lt;&gt;""0")</f>
        <v>1</v>
      </c>
      <c r="CD145" s="37">
        <f>COUNTIFS(S30_stakeholder_category,"NB",Response_Q177_1,2,Response_Q173_3,"&lt;&gt;""0")</f>
        <v>0</v>
      </c>
      <c r="CE145" s="37">
        <f>COUNTIFS(S30_stakeholder_category,"NB",Response_Q177_1,3,Response_Q173_3,"&lt;&gt;""0")</f>
        <v>0</v>
      </c>
      <c r="CF145" s="97">
        <f>IF(CB139=0,0,SUMPRODUCT(CC145:CE145,Rank_score)/$CB139)</f>
        <v>3</v>
      </c>
      <c r="CG145" s="14"/>
      <c r="CH145" s="140" t="s">
        <v>701</v>
      </c>
      <c r="CI145" s="27">
        <f t="shared" ref="CI145:CN145" si="91">COUNTIFS(S30_stakeholder_category,"NB",Response_Q177_1,"&lt;&gt;0",Response_Q177_2,CI$63,Response_Q173_3,"&lt;&gt;0")</f>
        <v>0</v>
      </c>
      <c r="CJ145" s="27">
        <f t="shared" si="91"/>
        <v>0</v>
      </c>
      <c r="CK145" s="27">
        <f t="shared" si="91"/>
        <v>0</v>
      </c>
      <c r="CL145" s="27">
        <f t="shared" si="91"/>
        <v>0</v>
      </c>
      <c r="CM145" s="27">
        <f t="shared" si="91"/>
        <v>0</v>
      </c>
      <c r="CN145" s="27">
        <f t="shared" si="91"/>
        <v>0</v>
      </c>
      <c r="CO145" s="141" t="str">
        <f t="shared" ref="CO145:CO151" si="92">IF(ISBLANK(CH145),"",IF(CF145=0,not_ranked,IF(SUM(CI145:CN145)=0,not_estimated,IFERROR(SUMPRODUCT(CI145:CN145,Likekihood_score)/SUM(CI145:CN145),0))))</f>
        <v>Ranked, but likelihood not estimated</v>
      </c>
      <c r="CP145" s="29"/>
      <c r="CQ145" s="47"/>
      <c r="CR145" s="14"/>
      <c r="CS145" s="140" t="s">
        <v>373</v>
      </c>
      <c r="CT145" s="27">
        <f>COUNTIFS(S30_stakeholder_category,"NB",Response_Q178_1,"&lt;&gt;0",Response_Q173_3,"&lt;&gt;0")</f>
        <v>1</v>
      </c>
      <c r="CU145" s="37">
        <f>COUNTIFS(S30_stakeholder_category,"NB",Response_Q178_1,1,Response_Q173_3,"&lt;&gt;0")</f>
        <v>1</v>
      </c>
      <c r="CV145" s="37">
        <f>COUNTIFS(S30_stakeholder_category,"NB",Response_Q178_1,2,Response_Q173_3,"&lt;&gt;0")</f>
        <v>0</v>
      </c>
      <c r="CW145" s="37">
        <f>COUNTIFS(S30_stakeholder_category,"NB",Response_Q178_1,3,Response_Q173_3,"&lt;&gt;0")</f>
        <v>0</v>
      </c>
      <c r="CX145" s="37">
        <f>IF(CT139=0,0,SUMPRODUCT(CU145:CW145,Rank_score)/CT$58)</f>
        <v>1</v>
      </c>
      <c r="CY145" s="14"/>
      <c r="CZ145" s="140" t="s">
        <v>373</v>
      </c>
      <c r="DA145" s="27">
        <f t="shared" ref="DA145:DF145" si="93">COUNTIFS(S30_stakeholder_category,"NB",Response_Q178_1,"&lt;&gt;0",Response_Q178_2,DA$63,Response_Q173_3,"&lt;&gt;0")</f>
        <v>0</v>
      </c>
      <c r="DB145" s="27">
        <f t="shared" si="93"/>
        <v>0</v>
      </c>
      <c r="DC145" s="27">
        <f t="shared" si="93"/>
        <v>0</v>
      </c>
      <c r="DD145" s="27">
        <f t="shared" si="93"/>
        <v>0</v>
      </c>
      <c r="DE145" s="27">
        <f t="shared" si="93"/>
        <v>0</v>
      </c>
      <c r="DF145" s="27">
        <f t="shared" si="93"/>
        <v>0</v>
      </c>
      <c r="DG145" s="141" t="str">
        <f t="shared" ref="DG145:DG152" si="94">IF(ISBLANK(CZ145),"",IF(CX145=0,not_ranked,IF(SUM(DA145:DF145)=0,not_estimated,IFERROR(SUMPRODUCT(DA145:DF145,Likekihood_score)/SUM(DA145:DF145),0))))</f>
        <v>Ranked, but likelihood not estimated</v>
      </c>
      <c r="DH145" s="29"/>
      <c r="DI145" s="47"/>
      <c r="DJ145" s="29"/>
      <c r="DK145" s="19"/>
      <c r="DL145" s="19"/>
      <c r="DM145" s="14"/>
      <c r="DN145" s="14"/>
      <c r="DO145" s="14"/>
      <c r="DP145" s="14"/>
      <c r="DQ145" s="14"/>
      <c r="DR145" s="13"/>
      <c r="DS145" s="13"/>
      <c r="DT145" s="14"/>
      <c r="DU145" s="14"/>
      <c r="DV145" s="14"/>
      <c r="DW145" s="14"/>
      <c r="DX145" s="14"/>
      <c r="DY145" s="14"/>
      <c r="DZ145" s="14"/>
      <c r="EA145" s="14"/>
      <c r="EB145" s="14"/>
      <c r="EC145" s="14"/>
      <c r="ED145" s="14"/>
      <c r="EE145" s="14"/>
      <c r="EF145" s="14"/>
      <c r="EG145" s="14"/>
      <c r="EH145" s="14"/>
      <c r="EI145" s="14"/>
      <c r="EJ145" s="14"/>
      <c r="EK145" s="14"/>
      <c r="EL145" s="14"/>
    </row>
    <row r="146" spans="1:142" ht="14.4" x14ac:dyDescent="0.25">
      <c r="A146" s="14"/>
      <c r="B146" s="60"/>
      <c r="C146" s="19"/>
      <c r="D146" s="59"/>
      <c r="E146" s="14"/>
      <c r="F146" s="14"/>
      <c r="G146" s="14"/>
      <c r="H146" s="21"/>
      <c r="I146" s="21"/>
      <c r="J146" s="14"/>
      <c r="K146" s="14"/>
      <c r="L146" s="14"/>
      <c r="M146" s="14"/>
      <c r="N146" s="14"/>
      <c r="O146" s="14"/>
      <c r="P146" s="14"/>
      <c r="Q146" s="47"/>
      <c r="R146" s="19"/>
      <c r="S146" s="19"/>
      <c r="T146" s="19"/>
      <c r="U146" s="19"/>
      <c r="V146" s="19"/>
      <c r="W146" s="14"/>
      <c r="X146" s="14"/>
      <c r="Y146" s="14"/>
      <c r="Z146" s="14"/>
      <c r="AA146" s="19"/>
      <c r="AB146" s="19"/>
      <c r="AC146" s="19"/>
      <c r="AD146" s="65"/>
      <c r="AE146" s="63"/>
      <c r="AF146" s="47"/>
      <c r="AG146" s="19"/>
      <c r="AH146" s="19"/>
      <c r="AI146" s="19"/>
      <c r="AJ146" s="19"/>
      <c r="AK146" s="19"/>
      <c r="AL146" s="14"/>
      <c r="AM146" s="14"/>
      <c r="AN146" s="14"/>
      <c r="AO146" s="14"/>
      <c r="AP146" s="19"/>
      <c r="AQ146" s="19"/>
      <c r="AR146" s="19"/>
      <c r="AS146" s="65"/>
      <c r="AT146" s="63"/>
      <c r="AU146" s="47"/>
      <c r="AV146" s="14"/>
      <c r="AW146" s="19"/>
      <c r="AX146" s="19"/>
      <c r="AY146" s="19"/>
      <c r="AZ146" s="19"/>
      <c r="BA146" s="14"/>
      <c r="BB146" s="14"/>
      <c r="BC146" s="14"/>
      <c r="BD146" s="14"/>
      <c r="BE146" s="19"/>
      <c r="BF146" s="19"/>
      <c r="BG146" s="19"/>
      <c r="BH146" s="65"/>
      <c r="BI146" s="63"/>
      <c r="BJ146" s="352"/>
      <c r="BK146" s="19"/>
      <c r="BL146" s="19"/>
      <c r="BM146" s="19"/>
      <c r="BN146" s="19"/>
      <c r="BO146" s="19"/>
      <c r="BP146" s="14"/>
      <c r="BQ146" s="14"/>
      <c r="BR146" s="14"/>
      <c r="BS146" s="14"/>
      <c r="BT146" s="19"/>
      <c r="BU146" s="19"/>
      <c r="BV146" s="19"/>
      <c r="BW146" s="65"/>
      <c r="BX146" s="63"/>
      <c r="BY146" s="352"/>
      <c r="BZ146" s="14"/>
      <c r="CA146" s="140" t="s">
        <v>344</v>
      </c>
      <c r="CB146" s="27">
        <f>COUNTIFS(S30_stakeholder_category,"NB",Response_Q177_3,"&lt;&gt;0",Response_Q173_3,"&lt;&gt;0")</f>
        <v>0</v>
      </c>
      <c r="CC146" s="37">
        <f>COUNTIFS(S30_stakeholder_category,"NB",Response_Q177_3,1,Response_Q173_3,"&lt;&gt;0")</f>
        <v>0</v>
      </c>
      <c r="CD146" s="37">
        <f>COUNTIFS(S30_stakeholder_category,"NB",Response_Q177_3,2,Response_Q173_3,"&lt;&gt;0")</f>
        <v>0</v>
      </c>
      <c r="CE146" s="37">
        <f>COUNTIFS(S30_stakeholder_category,"NB",Response_Q177_3,3,Response_Q173_3,"&lt;&gt;0")</f>
        <v>0</v>
      </c>
      <c r="CF146" s="97">
        <f>IF(CB139=0,0,SUMPRODUCT(CC146:CE146,Rank_score)/$CB139)</f>
        <v>0</v>
      </c>
      <c r="CG146" s="14"/>
      <c r="CH146" s="140" t="s">
        <v>344</v>
      </c>
      <c r="CI146" s="27">
        <f t="shared" ref="CI146:CN146" si="95">COUNTIFS(S30_stakeholder_category,"NB",Response_Q177_3,"&lt;&gt;0",Response_Q177_4,CI$63,Response_Q173_3,"&lt;&gt;0")</f>
        <v>0</v>
      </c>
      <c r="CJ146" s="27">
        <f t="shared" si="95"/>
        <v>0</v>
      </c>
      <c r="CK146" s="27">
        <f t="shared" si="95"/>
        <v>0</v>
      </c>
      <c r="CL146" s="27">
        <f t="shared" si="95"/>
        <v>0</v>
      </c>
      <c r="CM146" s="27">
        <f t="shared" si="95"/>
        <v>0</v>
      </c>
      <c r="CN146" s="27">
        <f t="shared" si="95"/>
        <v>0</v>
      </c>
      <c r="CO146" s="141" t="str">
        <f t="shared" si="92"/>
        <v>Factor not ranked</v>
      </c>
      <c r="CP146" s="14"/>
      <c r="CQ146" s="47"/>
      <c r="CR146" s="14"/>
      <c r="CS146" s="140" t="s">
        <v>338</v>
      </c>
      <c r="CT146" s="27">
        <f>COUNTIFS(S30_stakeholder_category,"NB",Response_Q178_3,"&lt;&gt;0",Response_Q173_3,"&lt;&gt;0")</f>
        <v>0</v>
      </c>
      <c r="CU146" s="37">
        <f>COUNTIFS(S30_stakeholder_category,"NB",Response_Q178_3,1,Response_Q173_3,"&lt;&gt;0")</f>
        <v>0</v>
      </c>
      <c r="CV146" s="37">
        <f>COUNTIFS(S30_stakeholder_category,"NB",Response_Q178_3,2,Response_Q173_3,"&lt;&gt;0")</f>
        <v>0</v>
      </c>
      <c r="CW146" s="37">
        <f>COUNTIFS(S30_stakeholder_category,"NB",Response_Q178_3,3,Response_Q173_3,"&lt;&gt;0")</f>
        <v>0</v>
      </c>
      <c r="CX146" s="37">
        <f>IF(CT139=0,0,SUMPRODUCT(CU146:CW146,Rank_score)/CT$58)</f>
        <v>0</v>
      </c>
      <c r="CY146" s="14"/>
      <c r="CZ146" s="140" t="s">
        <v>338</v>
      </c>
      <c r="DA146" s="27">
        <f t="shared" ref="DA146:DF146" si="96">COUNTIFS(S30_stakeholder_category,"NB",Response_Q178_3,"&lt;&gt;0",Response_Q178_4,DA$63,Response_Q173_3,"&lt;&gt;0")</f>
        <v>0</v>
      </c>
      <c r="DB146" s="27">
        <f t="shared" si="96"/>
        <v>0</v>
      </c>
      <c r="DC146" s="27">
        <f t="shared" si="96"/>
        <v>0</v>
      </c>
      <c r="DD146" s="27">
        <f t="shared" si="96"/>
        <v>0</v>
      </c>
      <c r="DE146" s="27">
        <f t="shared" si="96"/>
        <v>0</v>
      </c>
      <c r="DF146" s="27">
        <f t="shared" si="96"/>
        <v>0</v>
      </c>
      <c r="DG146" s="141" t="str">
        <f t="shared" si="94"/>
        <v>Factor not ranked</v>
      </c>
      <c r="DH146" s="14"/>
      <c r="DI146" s="47"/>
      <c r="DJ146" s="14"/>
      <c r="DK146" s="56"/>
      <c r="DL146" s="29"/>
      <c r="DM146" s="59"/>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row>
    <row r="147" spans="1:142" x14ac:dyDescent="0.25">
      <c r="A147" s="14"/>
      <c r="B147" s="62"/>
      <c r="C147" s="19"/>
      <c r="D147" s="59"/>
      <c r="E147" s="14"/>
      <c r="F147" s="14"/>
      <c r="G147" s="14"/>
      <c r="H147" s="21"/>
      <c r="I147" s="21"/>
      <c r="J147" s="14"/>
      <c r="K147" s="14"/>
      <c r="L147" s="14"/>
      <c r="M147" s="14"/>
      <c r="N147" s="14"/>
      <c r="O147" s="14"/>
      <c r="P147" s="14"/>
      <c r="Q147" s="47"/>
      <c r="R147" s="19"/>
      <c r="S147" s="19"/>
      <c r="T147" s="19"/>
      <c r="U147" s="19"/>
      <c r="V147" s="19"/>
      <c r="W147" s="14"/>
      <c r="X147" s="14"/>
      <c r="Y147" s="14"/>
      <c r="Z147" s="13"/>
      <c r="AA147" s="13"/>
      <c r="AB147" s="13"/>
      <c r="AC147" s="13"/>
      <c r="AD147" s="65"/>
      <c r="AE147" s="63"/>
      <c r="AF147" s="47"/>
      <c r="AG147" s="19"/>
      <c r="AH147" s="19"/>
      <c r="AI147" s="19"/>
      <c r="AJ147" s="19"/>
      <c r="AK147" s="19"/>
      <c r="AL147" s="14"/>
      <c r="AM147" s="14"/>
      <c r="AN147" s="14"/>
      <c r="AO147" s="13"/>
      <c r="AP147" s="13"/>
      <c r="AQ147" s="13"/>
      <c r="AR147" s="13"/>
      <c r="AS147" s="65"/>
      <c r="AT147" s="63"/>
      <c r="AU147" s="47"/>
      <c r="AV147" s="14"/>
      <c r="AW147" s="19"/>
      <c r="AX147" s="19"/>
      <c r="AY147" s="19"/>
      <c r="AZ147" s="19"/>
      <c r="BA147" s="14"/>
      <c r="BB147" s="14"/>
      <c r="BC147" s="14"/>
      <c r="BD147" s="13"/>
      <c r="BE147" s="13"/>
      <c r="BF147" s="13"/>
      <c r="BG147" s="13"/>
      <c r="BH147" s="65"/>
      <c r="BI147" s="63"/>
      <c r="BJ147" s="352"/>
      <c r="BK147" s="19"/>
      <c r="BL147" s="19"/>
      <c r="BM147" s="19"/>
      <c r="BN147" s="19"/>
      <c r="BO147" s="19"/>
      <c r="BP147" s="14"/>
      <c r="BQ147" s="14"/>
      <c r="BR147" s="14"/>
      <c r="BS147" s="13"/>
      <c r="BT147" s="13"/>
      <c r="BU147" s="13"/>
      <c r="BV147" s="13"/>
      <c r="BW147" s="65"/>
      <c r="BX147" s="63"/>
      <c r="BY147" s="352"/>
      <c r="BZ147" s="14"/>
      <c r="CA147" s="140" t="s">
        <v>146</v>
      </c>
      <c r="CB147" s="27">
        <f>COUNTIFS(S30_stakeholder_category,"NB",Response_Q177_5,"&lt;&gt;0",Response_Q173_3,"&lt;&gt;0")</f>
        <v>0</v>
      </c>
      <c r="CC147" s="37">
        <f>COUNTIFS(S30_stakeholder_category,"NB",Response_Q177_5,1,Response_Q173_3,"&lt;&gt;0")</f>
        <v>0</v>
      </c>
      <c r="CD147" s="37">
        <f>COUNTIFS(S30_stakeholder_category,"NB",Response_Q177_5,2,Response_Q173_3,"&lt;&gt;0")</f>
        <v>0</v>
      </c>
      <c r="CE147" s="37">
        <f>COUNTIFS(S30_stakeholder_category,"NB",Response_Q177_5,3,Response_Q173_3,"&lt;&gt;0")</f>
        <v>0</v>
      </c>
      <c r="CF147" s="97">
        <f>IF(CB139=0,0,SUMPRODUCT(CC147:CE147,Rank_score)/$CB139)</f>
        <v>0</v>
      </c>
      <c r="CG147" s="14"/>
      <c r="CH147" s="140" t="s">
        <v>146</v>
      </c>
      <c r="CI147" s="27">
        <f t="shared" ref="CI147:CN147" si="97">COUNTIFS(S30_stakeholder_category,"NB",Response_Q177_5,"&lt;&gt;0",Response_Q177_6,CI$63,Response_Q173_3,"&lt;&gt;0")</f>
        <v>0</v>
      </c>
      <c r="CJ147" s="27">
        <f t="shared" si="97"/>
        <v>0</v>
      </c>
      <c r="CK147" s="27">
        <f t="shared" si="97"/>
        <v>0</v>
      </c>
      <c r="CL147" s="27">
        <f t="shared" si="97"/>
        <v>0</v>
      </c>
      <c r="CM147" s="27">
        <f t="shared" si="97"/>
        <v>0</v>
      </c>
      <c r="CN147" s="27">
        <f t="shared" si="97"/>
        <v>0</v>
      </c>
      <c r="CO147" s="141" t="str">
        <f t="shared" si="92"/>
        <v>Factor not ranked</v>
      </c>
      <c r="CP147" s="14"/>
      <c r="CQ147" s="47"/>
      <c r="CR147" s="14"/>
      <c r="CS147" s="106" t="s">
        <v>339</v>
      </c>
      <c r="CT147" s="27">
        <f>COUNTIFS(S30_stakeholder_category,"NB",Response_Q178_5,"&lt;&gt;0",Response_Q173_3,"&lt;&gt;0")</f>
        <v>0</v>
      </c>
      <c r="CU147" s="37">
        <f>COUNTIFS(S30_stakeholder_category,"NB",Response_Q178_5,1,Response_Q173_3,"&lt;&gt;0")</f>
        <v>0</v>
      </c>
      <c r="CV147" s="37">
        <f>COUNTIFS(S30_stakeholder_category,"NB",Response_Q178_5,2,Response_Q173_3,"&lt;&gt;0")</f>
        <v>0</v>
      </c>
      <c r="CW147" s="37">
        <f>COUNTIFS(S30_stakeholder_category,"NB",Response_Q178_5,3,Response_Q173_3,"&lt;&gt;0")</f>
        <v>0</v>
      </c>
      <c r="CX147" s="37">
        <f>IF(CT139=0,0,SUMPRODUCT(CU147:CW147,Rank_score)/CT$58)</f>
        <v>0</v>
      </c>
      <c r="CY147" s="14"/>
      <c r="CZ147" s="106" t="s">
        <v>339</v>
      </c>
      <c r="DA147" s="27">
        <f t="shared" ref="DA147:DF147" si="98">COUNTIFS(S30_stakeholder_category,"NB",Response_Q178_5,"&lt;&gt;0",Response_Q178_6,DA$63,Response_Q173_3,"&lt;&gt;0")</f>
        <v>0</v>
      </c>
      <c r="DB147" s="27">
        <f t="shared" si="98"/>
        <v>0</v>
      </c>
      <c r="DC147" s="27">
        <f t="shared" si="98"/>
        <v>0</v>
      </c>
      <c r="DD147" s="27">
        <f t="shared" si="98"/>
        <v>0</v>
      </c>
      <c r="DE147" s="27">
        <f t="shared" si="98"/>
        <v>0</v>
      </c>
      <c r="DF147" s="27">
        <f t="shared" si="98"/>
        <v>0</v>
      </c>
      <c r="DG147" s="141" t="str">
        <f t="shared" si="94"/>
        <v>Factor not ranked</v>
      </c>
      <c r="DH147" s="14"/>
      <c r="DI147" s="47"/>
      <c r="DJ147" s="14"/>
      <c r="DK147" s="56"/>
      <c r="DL147" s="19"/>
      <c r="DM147" s="59"/>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row>
    <row r="148" spans="1:142" x14ac:dyDescent="0.25">
      <c r="A148" s="14"/>
      <c r="B148" s="62"/>
      <c r="C148" s="19"/>
      <c r="D148" s="59"/>
      <c r="E148" s="14"/>
      <c r="F148" s="14"/>
      <c r="G148" s="14"/>
      <c r="H148" s="21"/>
      <c r="I148" s="21"/>
      <c r="J148" s="14"/>
      <c r="K148" s="14"/>
      <c r="L148" s="14"/>
      <c r="M148" s="14"/>
      <c r="N148" s="14"/>
      <c r="O148" s="14"/>
      <c r="P148" s="14"/>
      <c r="Q148" s="47"/>
      <c r="R148" s="19"/>
      <c r="S148" s="19"/>
      <c r="T148" s="14"/>
      <c r="U148" s="14"/>
      <c r="V148" s="14"/>
      <c r="W148" s="14"/>
      <c r="X148" s="14"/>
      <c r="Y148" s="14"/>
      <c r="Z148" s="14"/>
      <c r="AA148" s="14"/>
      <c r="AB148" s="14"/>
      <c r="AC148" s="14"/>
      <c r="AD148" s="65"/>
      <c r="AE148" s="63"/>
      <c r="AF148" s="47"/>
      <c r="AG148" s="19"/>
      <c r="AH148" s="19"/>
      <c r="AI148" s="14"/>
      <c r="AJ148" s="14"/>
      <c r="AK148" s="14"/>
      <c r="AL148" s="14"/>
      <c r="AM148" s="14"/>
      <c r="AN148" s="14"/>
      <c r="AO148" s="14"/>
      <c r="AP148" s="14"/>
      <c r="AQ148" s="14"/>
      <c r="AR148" s="14"/>
      <c r="AS148" s="65"/>
      <c r="AT148" s="63"/>
      <c r="AU148" s="47"/>
      <c r="AV148" s="14"/>
      <c r="AW148" s="19"/>
      <c r="AX148" s="14"/>
      <c r="AY148" s="14"/>
      <c r="AZ148" s="14"/>
      <c r="BA148" s="14"/>
      <c r="BB148" s="14"/>
      <c r="BC148" s="14"/>
      <c r="BD148" s="14"/>
      <c r="BE148" s="14"/>
      <c r="BF148" s="14"/>
      <c r="BG148" s="14"/>
      <c r="BH148" s="65"/>
      <c r="BI148" s="63"/>
      <c r="BJ148" s="352"/>
      <c r="BK148" s="19"/>
      <c r="BL148" s="19"/>
      <c r="BM148" s="14"/>
      <c r="BN148" s="14"/>
      <c r="BO148" s="14"/>
      <c r="BP148" s="14"/>
      <c r="BQ148" s="14"/>
      <c r="BR148" s="14"/>
      <c r="BS148" s="14"/>
      <c r="BT148" s="14"/>
      <c r="BU148" s="14"/>
      <c r="BV148" s="14"/>
      <c r="BW148" s="65"/>
      <c r="BX148" s="63"/>
      <c r="BY148" s="352"/>
      <c r="BZ148" s="14"/>
      <c r="CA148" s="140" t="s">
        <v>147</v>
      </c>
      <c r="CB148" s="27">
        <f>COUNTIFS(S30_stakeholder_category,"NB",Response_Q177_7,"&lt;&gt;0",Response_Q173_3,"&lt;&gt;0")</f>
        <v>1</v>
      </c>
      <c r="CC148" s="37">
        <f>COUNTIFS(S30_stakeholder_category,"NB",Response_Q177_7,1,Response_Q173_3,"&lt;&gt;0")</f>
        <v>0</v>
      </c>
      <c r="CD148" s="37">
        <f>COUNTIFS(S30_stakeholder_category,"NB",Response_Q177_7,2,Response_Q173_3,"&lt;&gt;0")</f>
        <v>1</v>
      </c>
      <c r="CE148" s="37">
        <f>COUNTIFS(S30_stakeholder_category,"NB",Response_Q177_7,3,Response_Q173_3,"&lt;&gt;0")</f>
        <v>0</v>
      </c>
      <c r="CF148" s="97">
        <f>IF(CB139=0,0,SUMPRODUCT(CC148:CE148,Rank_score)/$CB139)</f>
        <v>2</v>
      </c>
      <c r="CG148" s="14"/>
      <c r="CH148" s="140" t="s">
        <v>147</v>
      </c>
      <c r="CI148" s="27">
        <f t="shared" ref="CI148:CN148" si="99">COUNTIFS(S30_stakeholder_category,"NB",Response_Q177_7,"&lt;&gt;0",Response_Q177_8,CI$63,Response_Q173_3,"&lt;&gt;0")</f>
        <v>0</v>
      </c>
      <c r="CJ148" s="27">
        <f t="shared" si="99"/>
        <v>0</v>
      </c>
      <c r="CK148" s="27">
        <f t="shared" si="99"/>
        <v>0</v>
      </c>
      <c r="CL148" s="27">
        <f t="shared" si="99"/>
        <v>0</v>
      </c>
      <c r="CM148" s="27">
        <f t="shared" si="99"/>
        <v>0</v>
      </c>
      <c r="CN148" s="27">
        <f t="shared" si="99"/>
        <v>0</v>
      </c>
      <c r="CO148" s="141" t="str">
        <f t="shared" si="92"/>
        <v>Ranked, but likelihood not estimated</v>
      </c>
      <c r="CP148" s="14"/>
      <c r="CQ148" s="47"/>
      <c r="CR148" s="14"/>
      <c r="CS148" s="106" t="s">
        <v>345</v>
      </c>
      <c r="CT148" s="27">
        <f>COUNTIFS(S30_stakeholder_category,"NB",Response_Q178_7,"&lt;&gt;0",Response_Q173_3,"&lt;&gt;0")</f>
        <v>0</v>
      </c>
      <c r="CU148" s="37">
        <f>COUNTIFS(S30_stakeholder_category,"NB",Response_Q178_7,1,Response_Q173_3,"&lt;&gt;0")</f>
        <v>0</v>
      </c>
      <c r="CV148" s="37">
        <f>COUNTIFS(S30_stakeholder_category,"NB",Response_Q178_7,2,Response_Q173_3,"&lt;&gt;0")</f>
        <v>0</v>
      </c>
      <c r="CW148" s="37">
        <f>COUNTIFS(S30_stakeholder_category,"NB",Response_Q178_7,3,Response_Q173_3,"&lt;&gt;0")</f>
        <v>0</v>
      </c>
      <c r="CX148" s="37">
        <f>IF(CT139=0,0,SUMPRODUCT(CU148:CW148,Rank_score)/CT$58)</f>
        <v>0</v>
      </c>
      <c r="CY148" s="14"/>
      <c r="CZ148" s="106" t="s">
        <v>345</v>
      </c>
      <c r="DA148" s="27">
        <f t="shared" ref="DA148:DF148" si="100">COUNTIFS(S30_stakeholder_category,"NB",Response_Q178_7,"&lt;&gt;0",Response_Q178_8,DA$63,Response_Q173_3,"&lt;&gt;0")</f>
        <v>0</v>
      </c>
      <c r="DB148" s="27">
        <f t="shared" si="100"/>
        <v>0</v>
      </c>
      <c r="DC148" s="27">
        <f t="shared" si="100"/>
        <v>0</v>
      </c>
      <c r="DD148" s="27">
        <f t="shared" si="100"/>
        <v>0</v>
      </c>
      <c r="DE148" s="27">
        <f t="shared" si="100"/>
        <v>0</v>
      </c>
      <c r="DF148" s="27">
        <f t="shared" si="100"/>
        <v>0</v>
      </c>
      <c r="DG148" s="141" t="str">
        <f t="shared" si="94"/>
        <v>Factor not ranked</v>
      </c>
      <c r="DH148" s="14"/>
      <c r="DI148" s="47"/>
      <c r="DJ148" s="14"/>
      <c r="DK148" s="14"/>
      <c r="DL148" s="19"/>
      <c r="DM148" s="59"/>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row>
    <row r="149" spans="1:142" x14ac:dyDescent="0.25">
      <c r="A149" s="14"/>
      <c r="B149" s="19"/>
      <c r="C149" s="19"/>
      <c r="D149" s="59"/>
      <c r="E149" s="14"/>
      <c r="F149" s="14"/>
      <c r="G149" s="14"/>
      <c r="H149" s="21"/>
      <c r="I149" s="21"/>
      <c r="J149" s="14"/>
      <c r="K149" s="14"/>
      <c r="L149" s="14"/>
      <c r="M149" s="14"/>
      <c r="N149" s="14"/>
      <c r="O149" s="14"/>
      <c r="P149" s="14"/>
      <c r="Q149" s="47"/>
      <c r="R149" s="19"/>
      <c r="S149" s="19"/>
      <c r="T149" s="19"/>
      <c r="U149" s="15"/>
      <c r="V149" s="14"/>
      <c r="W149" s="14"/>
      <c r="X149" s="14"/>
      <c r="Y149" s="14"/>
      <c r="Z149" s="14"/>
      <c r="AA149" s="14"/>
      <c r="AB149" s="14"/>
      <c r="AC149" s="14"/>
      <c r="AD149" s="65"/>
      <c r="AE149" s="63"/>
      <c r="AF149" s="47"/>
      <c r="AG149" s="19"/>
      <c r="AH149" s="19"/>
      <c r="AI149" s="19"/>
      <c r="AJ149" s="15"/>
      <c r="AK149" s="14"/>
      <c r="AL149" s="14"/>
      <c r="AM149" s="14"/>
      <c r="AN149" s="14"/>
      <c r="AO149" s="14"/>
      <c r="AP149" s="14"/>
      <c r="AQ149" s="14"/>
      <c r="AR149" s="14"/>
      <c r="AS149" s="65"/>
      <c r="AT149" s="63"/>
      <c r="AU149" s="47"/>
      <c r="AV149" s="14"/>
      <c r="AW149" s="19"/>
      <c r="AX149" s="19"/>
      <c r="AY149" s="15"/>
      <c r="AZ149" s="14"/>
      <c r="BA149" s="14"/>
      <c r="BB149" s="14"/>
      <c r="BC149" s="14"/>
      <c r="BD149" s="14"/>
      <c r="BE149" s="14"/>
      <c r="BF149" s="14"/>
      <c r="BG149" s="14"/>
      <c r="BH149" s="65"/>
      <c r="BI149" s="63"/>
      <c r="BJ149" s="352"/>
      <c r="BK149" s="19"/>
      <c r="BL149" s="19"/>
      <c r="BM149" s="19"/>
      <c r="BN149" s="15"/>
      <c r="BO149" s="14"/>
      <c r="BP149" s="14"/>
      <c r="BQ149" s="14"/>
      <c r="BR149" s="14"/>
      <c r="BS149" s="14"/>
      <c r="BT149" s="14"/>
      <c r="BU149" s="14"/>
      <c r="BV149" s="14"/>
      <c r="BW149" s="65"/>
      <c r="BX149" s="63"/>
      <c r="BY149" s="352"/>
      <c r="BZ149" s="14"/>
      <c r="CA149" s="140" t="s">
        <v>341</v>
      </c>
      <c r="CB149" s="27">
        <f>COUNTIFS(S30_stakeholder_category,"NB",Response_Q177_9,"&lt;&gt;0",Response_Q173_3,"&lt;&gt;0")</f>
        <v>1</v>
      </c>
      <c r="CC149" s="37">
        <f>COUNTIFS(S30_stakeholder_category,"NB",Response_Q177_9,1,Response_Q173_3,"&lt;&gt;0")</f>
        <v>0</v>
      </c>
      <c r="CD149" s="37">
        <f>COUNTIFS(S30_stakeholder_category,"NB",Response_Q177_9,2,Response_Q173_3,"&lt;&gt;0")</f>
        <v>0</v>
      </c>
      <c r="CE149" s="37">
        <f>COUNTIFS(S30_stakeholder_category,"NB",Response_Q177_9,3,Response_Q173_3,"&lt;&gt;0")</f>
        <v>1</v>
      </c>
      <c r="CF149" s="97">
        <f>IF(CB139=0,0,SUMPRODUCT(CC149:CE149,Rank_score)/$CB139)</f>
        <v>1</v>
      </c>
      <c r="CG149" s="14"/>
      <c r="CH149" s="140" t="s">
        <v>341</v>
      </c>
      <c r="CI149" s="27">
        <f t="shared" ref="CI149:CN149" si="101">COUNTIFS(S30_stakeholder_category,"NB",Response_Q177_9,"&lt;&gt;0",Response_Q177_10,CI$63,Response_Q173_3,"&lt;&gt;0")</f>
        <v>0</v>
      </c>
      <c r="CJ149" s="27">
        <f t="shared" si="101"/>
        <v>0</v>
      </c>
      <c r="CK149" s="27">
        <f t="shared" si="101"/>
        <v>0</v>
      </c>
      <c r="CL149" s="27">
        <f t="shared" si="101"/>
        <v>0</v>
      </c>
      <c r="CM149" s="27">
        <f t="shared" si="101"/>
        <v>0</v>
      </c>
      <c r="CN149" s="27">
        <f t="shared" si="101"/>
        <v>0</v>
      </c>
      <c r="CO149" s="141" t="str">
        <f t="shared" si="92"/>
        <v>Ranked, but likelihood not estimated</v>
      </c>
      <c r="CP149" s="14"/>
      <c r="CQ149" s="47"/>
      <c r="CR149" s="14"/>
      <c r="CS149" s="106" t="s">
        <v>561</v>
      </c>
      <c r="CT149" s="27">
        <f>COUNTIFS(S30_stakeholder_category,"NB",Response_Q178_9,"&lt;&gt;0",Response_Q173_3,"&lt;&gt;0")</f>
        <v>1</v>
      </c>
      <c r="CU149" s="37">
        <f>COUNTIFS(S30_stakeholder_category,"NB",Response_Q178_9,1,Response_Q173_3,"&lt;&gt;0")</f>
        <v>0</v>
      </c>
      <c r="CV149" s="37">
        <f>COUNTIFS(S30_stakeholder_category,"NB",Response_Q178_9,2,Response_Q173_3,"&lt;&gt;0")</f>
        <v>1</v>
      </c>
      <c r="CW149" s="37">
        <f>COUNTIFS(S30_stakeholder_category,"NB",Response_Q178_9,3,Response_Q173_3,"&lt;&gt;0")</f>
        <v>0</v>
      </c>
      <c r="CX149" s="37">
        <f>IF(CT139=0,0,SUMPRODUCT(CU149:CW149,Rank_score)/CT$58)</f>
        <v>0.66666666666666663</v>
      </c>
      <c r="CY149" s="14"/>
      <c r="CZ149" s="106" t="s">
        <v>561</v>
      </c>
      <c r="DA149" s="27">
        <f t="shared" ref="DA149:DF149" si="102">COUNTIFS(S30_stakeholder_category,"NB",Response_Q178_9,"&lt;&gt;0",Response_Q178_10,DA$63,Response_Q173_3,"&lt;&gt;0")</f>
        <v>0</v>
      </c>
      <c r="DB149" s="27">
        <f t="shared" si="102"/>
        <v>0</v>
      </c>
      <c r="DC149" s="27">
        <f t="shared" si="102"/>
        <v>0</v>
      </c>
      <c r="DD149" s="27">
        <f t="shared" si="102"/>
        <v>0</v>
      </c>
      <c r="DE149" s="27">
        <f t="shared" si="102"/>
        <v>0</v>
      </c>
      <c r="DF149" s="27">
        <f t="shared" si="102"/>
        <v>0</v>
      </c>
      <c r="DG149" s="141" t="str">
        <f t="shared" si="94"/>
        <v>Ranked, but likelihood not estimated</v>
      </c>
      <c r="DH149" s="14"/>
      <c r="DI149" s="47"/>
      <c r="DJ149" s="14"/>
      <c r="DK149" s="14"/>
      <c r="DL149" s="19"/>
      <c r="DM149" s="59"/>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row>
    <row r="150" spans="1:142" x14ac:dyDescent="0.25">
      <c r="A150" s="14"/>
      <c r="B150" s="19"/>
      <c r="C150" s="19"/>
      <c r="D150" s="59"/>
      <c r="E150" s="14"/>
      <c r="F150" s="14"/>
      <c r="G150" s="14"/>
      <c r="H150" s="21"/>
      <c r="I150" s="21"/>
      <c r="J150" s="14"/>
      <c r="K150" s="14"/>
      <c r="L150" s="14"/>
      <c r="M150" s="14"/>
      <c r="N150" s="14"/>
      <c r="O150" s="14"/>
      <c r="P150" s="14"/>
      <c r="Q150" s="47"/>
      <c r="R150" s="19"/>
      <c r="S150" s="19"/>
      <c r="T150" s="19"/>
      <c r="U150" s="59"/>
      <c r="V150" s="14"/>
      <c r="W150" s="14"/>
      <c r="X150" s="14"/>
      <c r="Y150" s="14"/>
      <c r="Z150" s="14"/>
      <c r="AA150" s="14"/>
      <c r="AB150" s="14"/>
      <c r="AC150" s="14"/>
      <c r="AD150" s="65"/>
      <c r="AE150" s="63"/>
      <c r="AF150" s="47"/>
      <c r="AG150" s="19"/>
      <c r="AH150" s="19"/>
      <c r="AI150" s="19"/>
      <c r="AJ150" s="59"/>
      <c r="AK150" s="14"/>
      <c r="AL150" s="14"/>
      <c r="AM150" s="14"/>
      <c r="AN150" s="14"/>
      <c r="AO150" s="14"/>
      <c r="AP150" s="14"/>
      <c r="AQ150" s="14"/>
      <c r="AR150" s="14"/>
      <c r="AS150" s="65"/>
      <c r="AT150" s="63"/>
      <c r="AU150" s="47"/>
      <c r="AV150" s="14"/>
      <c r="AW150" s="19"/>
      <c r="AX150" s="19"/>
      <c r="AY150" s="59"/>
      <c r="AZ150" s="14"/>
      <c r="BA150" s="14"/>
      <c r="BB150" s="14"/>
      <c r="BC150" s="14"/>
      <c r="BD150" s="14"/>
      <c r="BE150" s="14"/>
      <c r="BF150" s="14"/>
      <c r="BG150" s="14"/>
      <c r="BH150" s="65"/>
      <c r="BI150" s="63"/>
      <c r="BJ150" s="352"/>
      <c r="BK150" s="19"/>
      <c r="BL150" s="19"/>
      <c r="BM150" s="19"/>
      <c r="BN150" s="59"/>
      <c r="BO150" s="14"/>
      <c r="BP150" s="14"/>
      <c r="BQ150" s="14"/>
      <c r="BR150" s="14"/>
      <c r="BS150" s="14"/>
      <c r="BT150" s="14"/>
      <c r="BU150" s="14"/>
      <c r="BV150" s="14"/>
      <c r="BW150" s="65"/>
      <c r="BX150" s="63"/>
      <c r="BY150" s="352"/>
      <c r="BZ150" s="14"/>
      <c r="CA150" s="106" t="s">
        <v>148</v>
      </c>
      <c r="CB150" s="27">
        <f>COUNTIFS(S30_stakeholder_category,"NB",Response_Q177_11,"&lt;&gt;0",Response_Q173_3,"&lt;&gt;0")</f>
        <v>0</v>
      </c>
      <c r="CC150" s="37">
        <f>COUNTIFS(S30_stakeholder_category,"NB",Response_Q177_11,1,Response_Q173_3,"&lt;&gt;0")</f>
        <v>0</v>
      </c>
      <c r="CD150" s="37">
        <f>COUNTIFS(S30_stakeholder_category,"NB",Response_Q177_11,2,Response_Q173_3,"&lt;&gt;0")</f>
        <v>0</v>
      </c>
      <c r="CE150" s="37">
        <f>COUNTIFS(S30_stakeholder_category,"NB",Response_Q177_11,3,Response_Q173_3,"&lt;&gt;0")</f>
        <v>0</v>
      </c>
      <c r="CF150" s="97">
        <f>IF(CB139=0,0,SUMPRODUCT(CC150:CE150,Rank_score)/$CB139)</f>
        <v>0</v>
      </c>
      <c r="CG150" s="43"/>
      <c r="CH150" s="106" t="s">
        <v>148</v>
      </c>
      <c r="CI150" s="27">
        <f t="shared" ref="CI150:CN150" si="103">COUNTIFS(S30_stakeholder_category,"NB",Response_Q177_11,"&lt;&gt;0",Response_Q177_12,CI$63,Response_Q173_3,"&lt;&gt;0")</f>
        <v>0</v>
      </c>
      <c r="CJ150" s="27">
        <f t="shared" si="103"/>
        <v>0</v>
      </c>
      <c r="CK150" s="27">
        <f t="shared" si="103"/>
        <v>0</v>
      </c>
      <c r="CL150" s="27">
        <f t="shared" si="103"/>
        <v>0</v>
      </c>
      <c r="CM150" s="27">
        <f t="shared" si="103"/>
        <v>0</v>
      </c>
      <c r="CN150" s="27">
        <f t="shared" si="103"/>
        <v>0</v>
      </c>
      <c r="CO150" s="141" t="str">
        <f t="shared" si="92"/>
        <v>Factor not ranked</v>
      </c>
      <c r="CP150" s="14"/>
      <c r="CQ150" s="47"/>
      <c r="CR150" s="14"/>
      <c r="CS150" s="106" t="s">
        <v>49</v>
      </c>
      <c r="CT150" s="27">
        <f>COUNTIFS(S30_stakeholder_category,"NB",Response_Q178_11,"&lt;&gt;0",Response_Q173_3,"&lt;&gt;0")</f>
        <v>0</v>
      </c>
      <c r="CU150" s="37">
        <f>COUNTIFS(S30_stakeholder_category,"NB",Response_Q178_11,1,Response_Q173_3,"&lt;&gt;0")</f>
        <v>0</v>
      </c>
      <c r="CV150" s="37">
        <f>COUNTIFS(S30_stakeholder_category,"NB",Response_Q178_11,2,Response_Q173_3,"&lt;&gt;0")</f>
        <v>0</v>
      </c>
      <c r="CW150" s="37">
        <f>COUNTIFS(S30_stakeholder_category,"NB",Response_Q178_11,3,Response_Q173_3,"&lt;&gt;0")</f>
        <v>0</v>
      </c>
      <c r="CX150" s="37">
        <f>IF(CT139=0,0,SUMPRODUCT(CU150:CW150,Rank_score)/CT$58)</f>
        <v>0</v>
      </c>
      <c r="CY150" s="43"/>
      <c r="CZ150" s="106" t="s">
        <v>49</v>
      </c>
      <c r="DA150" s="27">
        <f t="shared" ref="DA150:DF150" si="104">COUNTIFS(S30_stakeholder_category,"NB",Response_Q178_11,"&lt;&gt;0",Response_Q178_12,DA$63,Response_Q173_3,"&lt;&gt;0")</f>
        <v>0</v>
      </c>
      <c r="DB150" s="27">
        <f t="shared" si="104"/>
        <v>0</v>
      </c>
      <c r="DC150" s="27">
        <f t="shared" si="104"/>
        <v>0</v>
      </c>
      <c r="DD150" s="27">
        <f t="shared" si="104"/>
        <v>0</v>
      </c>
      <c r="DE150" s="27">
        <f t="shared" si="104"/>
        <v>0</v>
      </c>
      <c r="DF150" s="27">
        <f t="shared" si="104"/>
        <v>0</v>
      </c>
      <c r="DG150" s="141" t="str">
        <f t="shared" si="94"/>
        <v>Factor not ranked</v>
      </c>
      <c r="DH150" s="14"/>
      <c r="DI150" s="47"/>
      <c r="DJ150" s="14"/>
      <c r="DK150" s="14"/>
      <c r="DL150" s="19"/>
      <c r="DM150" s="59"/>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row>
    <row r="151" spans="1:142" x14ac:dyDescent="0.25">
      <c r="A151" s="14"/>
      <c r="B151" s="56"/>
      <c r="C151" s="29"/>
      <c r="D151" s="59"/>
      <c r="E151" s="14"/>
      <c r="F151" s="14"/>
      <c r="G151" s="14"/>
      <c r="H151" s="21"/>
      <c r="I151" s="21"/>
      <c r="J151" s="14"/>
      <c r="K151" s="14"/>
      <c r="L151" s="14"/>
      <c r="M151" s="14"/>
      <c r="N151" s="14"/>
      <c r="O151" s="14"/>
      <c r="P151" s="14"/>
      <c r="Q151" s="47"/>
      <c r="R151" s="19"/>
      <c r="S151" s="56"/>
      <c r="T151" s="29"/>
      <c r="U151" s="27"/>
      <c r="V151" s="14"/>
      <c r="W151" s="14"/>
      <c r="X151" s="14"/>
      <c r="Y151" s="14"/>
      <c r="Z151" s="14"/>
      <c r="AA151" s="14"/>
      <c r="AB151" s="14"/>
      <c r="AC151" s="14"/>
      <c r="AD151" s="65"/>
      <c r="AE151" s="63"/>
      <c r="AF151" s="47"/>
      <c r="AG151" s="19"/>
      <c r="AH151" s="56"/>
      <c r="AI151" s="29"/>
      <c r="AJ151" s="27"/>
      <c r="AK151" s="14"/>
      <c r="AL151" s="14"/>
      <c r="AM151" s="14"/>
      <c r="AN151" s="14"/>
      <c r="AO151" s="14"/>
      <c r="AP151" s="14"/>
      <c r="AQ151" s="14"/>
      <c r="AR151" s="14"/>
      <c r="AS151" s="65"/>
      <c r="AT151" s="63"/>
      <c r="AU151" s="47"/>
      <c r="AV151" s="14"/>
      <c r="AW151" s="56"/>
      <c r="AX151" s="29"/>
      <c r="AY151" s="27"/>
      <c r="AZ151" s="14"/>
      <c r="BA151" s="14"/>
      <c r="BB151" s="14"/>
      <c r="BC151" s="14"/>
      <c r="BD151" s="14"/>
      <c r="BE151" s="14"/>
      <c r="BF151" s="14"/>
      <c r="BG151" s="14"/>
      <c r="BH151" s="65"/>
      <c r="BI151" s="63"/>
      <c r="BJ151" s="352"/>
      <c r="BK151" s="19"/>
      <c r="BL151" s="56"/>
      <c r="BM151" s="29"/>
      <c r="BN151" s="27"/>
      <c r="BO151" s="14"/>
      <c r="BP151" s="14"/>
      <c r="BQ151" s="14"/>
      <c r="BR151" s="14"/>
      <c r="BS151" s="14"/>
      <c r="BT151" s="14"/>
      <c r="BU151" s="14"/>
      <c r="BV151" s="14"/>
      <c r="BW151" s="65"/>
      <c r="BX151" s="63"/>
      <c r="BY151" s="352"/>
      <c r="BZ151" s="14"/>
      <c r="CA151" s="107" t="s">
        <v>49</v>
      </c>
      <c r="CB151" s="27">
        <f>COUNTIFS(S30_stakeholder_category,"NB",Response_Q177_13,"&lt;&gt;0",Response_Q173_3,"&lt;&gt;0")</f>
        <v>0</v>
      </c>
      <c r="CC151" s="37">
        <f>COUNTIFS(S30_stakeholder_category,"NB",Response_Q177_13,1,Response_Q173_3,"&lt;&gt;0")</f>
        <v>0</v>
      </c>
      <c r="CD151" s="37">
        <f>COUNTIFS(S30_stakeholder_category,"NB",Response_Q177_13,2,Response_Q173_3,"&lt;&gt;0")</f>
        <v>0</v>
      </c>
      <c r="CE151" s="37">
        <f>COUNTIFS(S30_stakeholder_category,"NB",Response_Q177_13,3,Response_Q173_3,"&lt;&gt;0")</f>
        <v>0</v>
      </c>
      <c r="CF151" s="97">
        <f>IF(CB139=0,0,SUMPRODUCT(CC151:CE151,Rank_score)/$CB139)</f>
        <v>0</v>
      </c>
      <c r="CG151" s="29"/>
      <c r="CH151" s="107" t="s">
        <v>49</v>
      </c>
      <c r="CI151" s="27">
        <f t="shared" ref="CI151:CN151" si="105">COUNTIFS(S30_stakeholder_category,"NB",Response_Q177_13,"&lt;&gt;0",Response_Q177_14,CI$63,Response_Q173_3,"&lt;&gt;0")</f>
        <v>0</v>
      </c>
      <c r="CJ151" s="27">
        <f t="shared" si="105"/>
        <v>0</v>
      </c>
      <c r="CK151" s="27">
        <f t="shared" si="105"/>
        <v>0</v>
      </c>
      <c r="CL151" s="27">
        <f t="shared" si="105"/>
        <v>0</v>
      </c>
      <c r="CM151" s="27">
        <f t="shared" si="105"/>
        <v>0</v>
      </c>
      <c r="CN151" s="27">
        <f t="shared" si="105"/>
        <v>0</v>
      </c>
      <c r="CO151" s="141" t="str">
        <f t="shared" si="92"/>
        <v>Factor not ranked</v>
      </c>
      <c r="CP151" s="14"/>
      <c r="CQ151" s="47"/>
      <c r="CR151" s="14"/>
      <c r="CS151" s="107"/>
      <c r="CT151" s="27"/>
      <c r="CU151" s="37"/>
      <c r="CV151" s="37"/>
      <c r="CW151" s="37"/>
      <c r="CX151" s="37"/>
      <c r="CY151" s="29"/>
      <c r="CZ151" s="106"/>
      <c r="DA151" s="27"/>
      <c r="DB151" s="27"/>
      <c r="DC151" s="27"/>
      <c r="DD151" s="27"/>
      <c r="DE151" s="27"/>
      <c r="DF151" s="27"/>
      <c r="DG151" s="141" t="str">
        <f t="shared" si="94"/>
        <v/>
      </c>
      <c r="DH151" s="14"/>
      <c r="DI151" s="47"/>
      <c r="DJ151" s="14"/>
      <c r="DK151" s="62"/>
      <c r="DL151" s="19"/>
      <c r="DM151" s="59"/>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row>
    <row r="152" spans="1:142" x14ac:dyDescent="0.25">
      <c r="A152" s="14"/>
      <c r="B152" s="56"/>
      <c r="C152" s="19"/>
      <c r="D152" s="59"/>
      <c r="E152" s="14"/>
      <c r="F152" s="14"/>
      <c r="G152" s="109" t="s">
        <v>14</v>
      </c>
      <c r="H152" s="110" t="s">
        <v>6</v>
      </c>
      <c r="I152" s="110" t="s">
        <v>7</v>
      </c>
      <c r="J152" s="14"/>
      <c r="K152" s="14"/>
      <c r="L152" s="14"/>
      <c r="M152" s="14"/>
      <c r="N152" s="14"/>
      <c r="O152" s="14"/>
      <c r="P152" s="14"/>
      <c r="Q152" s="47"/>
      <c r="R152" s="19"/>
      <c r="S152" s="56"/>
      <c r="T152" s="19"/>
      <c r="U152" s="27"/>
      <c r="V152" s="14"/>
      <c r="W152" s="14"/>
      <c r="X152" s="109" t="s">
        <v>14</v>
      </c>
      <c r="Y152" s="110" t="s">
        <v>6</v>
      </c>
      <c r="Z152" s="110" t="s">
        <v>7</v>
      </c>
      <c r="AA152" s="14"/>
      <c r="AB152" s="14"/>
      <c r="AC152" s="14"/>
      <c r="AD152" s="65"/>
      <c r="AE152" s="63"/>
      <c r="AF152" s="47"/>
      <c r="AG152" s="19"/>
      <c r="AH152" s="56"/>
      <c r="AI152" s="19"/>
      <c r="AJ152" s="27"/>
      <c r="AK152" s="14"/>
      <c r="AL152" s="14"/>
      <c r="AM152" s="109" t="s">
        <v>14</v>
      </c>
      <c r="AN152" s="110" t="s">
        <v>6</v>
      </c>
      <c r="AO152" s="110" t="s">
        <v>7</v>
      </c>
      <c r="AP152" s="14"/>
      <c r="AQ152" s="14"/>
      <c r="AR152" s="14"/>
      <c r="AS152" s="65"/>
      <c r="AT152" s="63"/>
      <c r="AU152" s="47"/>
      <c r="AV152" s="14"/>
      <c r="AW152" s="56"/>
      <c r="AX152" s="19"/>
      <c r="AY152" s="27"/>
      <c r="AZ152" s="14"/>
      <c r="BA152" s="14"/>
      <c r="BB152" s="109" t="s">
        <v>14</v>
      </c>
      <c r="BC152" s="110" t="s">
        <v>6</v>
      </c>
      <c r="BD152" s="110" t="s">
        <v>7</v>
      </c>
      <c r="BE152" s="14"/>
      <c r="BF152" s="14"/>
      <c r="BG152" s="14"/>
      <c r="BH152" s="65"/>
      <c r="BI152" s="63"/>
      <c r="BJ152" s="352"/>
      <c r="BK152" s="19"/>
      <c r="BL152" s="56"/>
      <c r="BM152" s="19"/>
      <c r="BN152" s="27"/>
      <c r="BO152" s="14"/>
      <c r="BP152" s="14"/>
      <c r="BQ152" s="109" t="s">
        <v>14</v>
      </c>
      <c r="BR152" s="110" t="s">
        <v>6</v>
      </c>
      <c r="BS152" s="110" t="s">
        <v>7</v>
      </c>
      <c r="BT152" s="14"/>
      <c r="BU152" s="14"/>
      <c r="BV152" s="14"/>
      <c r="BW152" s="65"/>
      <c r="BX152" s="63"/>
      <c r="BY152" s="352"/>
      <c r="BZ152" s="14"/>
      <c r="CA152" s="86"/>
      <c r="CB152" s="111"/>
      <c r="CC152" s="111"/>
      <c r="CD152" s="179"/>
      <c r="CE152" s="179"/>
      <c r="CF152" s="108"/>
      <c r="CG152" s="29"/>
      <c r="CH152" s="109"/>
      <c r="CI152" s="109"/>
      <c r="CJ152" s="109"/>
      <c r="CK152" s="109"/>
      <c r="CL152" s="109"/>
      <c r="CM152" s="109"/>
      <c r="CN152" s="109"/>
      <c r="CO152" s="329"/>
      <c r="CP152" s="14"/>
      <c r="CQ152" s="47"/>
      <c r="CR152" s="14"/>
      <c r="CS152" s="107"/>
      <c r="CT152" s="27"/>
      <c r="CU152" s="37"/>
      <c r="CV152" s="37"/>
      <c r="CW152" s="37"/>
      <c r="CX152" s="37"/>
      <c r="CY152" s="29"/>
      <c r="CZ152" s="106"/>
      <c r="DA152" s="27"/>
      <c r="DB152" s="27"/>
      <c r="DC152" s="27"/>
      <c r="DD152" s="27"/>
      <c r="DE152" s="27"/>
      <c r="DF152" s="27"/>
      <c r="DG152" s="141" t="str">
        <f t="shared" si="94"/>
        <v/>
      </c>
      <c r="DH152" s="14"/>
      <c r="DI152" s="47"/>
      <c r="DJ152" s="14"/>
      <c r="DK152" s="62"/>
      <c r="DL152" s="19"/>
      <c r="DM152" s="59"/>
      <c r="DN152" s="14"/>
      <c r="DO152" s="14"/>
      <c r="DP152" s="109" t="s">
        <v>14</v>
      </c>
      <c r="DQ152" s="110" t="s">
        <v>6</v>
      </c>
      <c r="DR152" s="110" t="s">
        <v>7</v>
      </c>
      <c r="DS152" s="14"/>
      <c r="DT152" s="14"/>
      <c r="DU152" s="14"/>
      <c r="DV152" s="14"/>
      <c r="DW152" s="14"/>
      <c r="DX152" s="14"/>
      <c r="DY152" s="14"/>
      <c r="DZ152" s="14"/>
      <c r="EA152" s="14"/>
      <c r="EB152" s="14"/>
      <c r="EC152" s="14"/>
      <c r="ED152" s="14"/>
      <c r="EE152" s="14"/>
      <c r="EF152" s="14"/>
      <c r="EG152" s="14"/>
      <c r="EH152" s="14"/>
      <c r="EI152" s="14"/>
      <c r="EJ152" s="14"/>
      <c r="EK152" s="14"/>
      <c r="EL152" s="14"/>
    </row>
    <row r="153" spans="1:142" x14ac:dyDescent="0.25">
      <c r="A153" s="14"/>
      <c r="B153" s="14"/>
      <c r="C153" s="19"/>
      <c r="D153" s="59"/>
      <c r="E153" s="14"/>
      <c r="F153" s="14"/>
      <c r="G153" s="107" t="s">
        <v>34</v>
      </c>
      <c r="H153" s="27">
        <f>COUNTIFS(S30_stakeholder_category,"NB",Response_Q173_3,G153)</f>
        <v>0</v>
      </c>
      <c r="I153" s="41">
        <f>IFERROR(H153/H$158,"")</f>
        <v>0</v>
      </c>
      <c r="J153" s="14"/>
      <c r="K153" s="14"/>
      <c r="L153" s="14"/>
      <c r="M153" s="14"/>
      <c r="N153" s="14"/>
      <c r="O153" s="14"/>
      <c r="P153" s="14"/>
      <c r="Q153" s="47"/>
      <c r="R153" s="19"/>
      <c r="S153" s="19"/>
      <c r="T153" s="19"/>
      <c r="U153" s="27"/>
      <c r="V153" s="14"/>
      <c r="W153" s="14"/>
      <c r="X153" s="107" t="s">
        <v>5</v>
      </c>
      <c r="Y153" s="27">
        <f t="shared" ref="Y153:Y159" si="106">COUNTIFS(S30_stakeholder_category,"NB",Response_Q176_2,X153)</f>
        <v>0</v>
      </c>
      <c r="Z153" s="41">
        <f t="shared" ref="Z153:Z160" si="107">IFERROR(Y153/Y$160,0)</f>
        <v>0</v>
      </c>
      <c r="AA153" s="14"/>
      <c r="AB153" s="14"/>
      <c r="AC153" s="14"/>
      <c r="AD153" s="65"/>
      <c r="AE153" s="63"/>
      <c r="AF153" s="47"/>
      <c r="AG153" s="19"/>
      <c r="AH153" s="19"/>
      <c r="AI153" s="19"/>
      <c r="AJ153" s="27"/>
      <c r="AK153" s="14"/>
      <c r="AL153" s="14"/>
      <c r="AM153" s="107" t="s">
        <v>5</v>
      </c>
      <c r="AN153" s="27">
        <f t="shared" ref="AN153:AN159" si="108">COUNTIFS(S30_stakeholder_category,"NB",Response_30b_CaseA,AM153)</f>
        <v>1</v>
      </c>
      <c r="AO153" s="41">
        <f>IFERROR(AN153/AN$160,0)</f>
        <v>1</v>
      </c>
      <c r="AP153" s="14"/>
      <c r="AQ153" s="14"/>
      <c r="AR153" s="14"/>
      <c r="AS153" s="65"/>
      <c r="AT153" s="63"/>
      <c r="AU153" s="47"/>
      <c r="AV153" s="14"/>
      <c r="AW153" s="19"/>
      <c r="AX153" s="19"/>
      <c r="AY153" s="27"/>
      <c r="AZ153" s="14"/>
      <c r="BA153" s="14"/>
      <c r="BB153" s="107" t="s">
        <v>5</v>
      </c>
      <c r="BC153" s="27">
        <f t="shared" ref="BC153:BC159" si="109">COUNTIFS(S30_stakeholder_category,"NB",Response_30b_CaseB,BB153)</f>
        <v>0</v>
      </c>
      <c r="BD153" s="41">
        <f>IFERROR(BC153/BC$160,0)</f>
        <v>0</v>
      </c>
      <c r="BE153" s="14"/>
      <c r="BF153" s="14"/>
      <c r="BG153" s="14"/>
      <c r="BH153" s="65"/>
      <c r="BI153" s="63"/>
      <c r="BJ153" s="352"/>
      <c r="BK153" s="19"/>
      <c r="BL153" s="19"/>
      <c r="BM153" s="19"/>
      <c r="BN153" s="27"/>
      <c r="BO153" s="14"/>
      <c r="BP153" s="14"/>
      <c r="BQ153" s="107" t="s">
        <v>5</v>
      </c>
      <c r="BR153" s="27">
        <f t="shared" ref="BR153:BR159" si="110">COUNTIFS(S30_stakeholder_category,"NB",Response_30b_CaseC,BQ153)</f>
        <v>0</v>
      </c>
      <c r="BS153" s="41">
        <f>IFERROR(BR153/BR$160,0)</f>
        <v>0</v>
      </c>
      <c r="BT153" s="14"/>
      <c r="BU153" s="14"/>
      <c r="BV153" s="14"/>
      <c r="BW153" s="65"/>
      <c r="BX153" s="63"/>
      <c r="BY153" s="352"/>
      <c r="BZ153" s="14"/>
      <c r="CA153" s="14"/>
      <c r="CB153" s="21"/>
      <c r="CC153" s="21"/>
      <c r="CD153" s="180"/>
      <c r="CE153" s="181"/>
      <c r="CF153" s="31"/>
      <c r="CG153" s="52"/>
      <c r="CH153" s="52"/>
      <c r="CI153" s="99"/>
      <c r="CJ153" s="14"/>
      <c r="CK153" s="14"/>
      <c r="CL153" s="14"/>
      <c r="CM153" s="14"/>
      <c r="CN153" s="14"/>
      <c r="CO153" s="129"/>
      <c r="CP153" s="14"/>
      <c r="CQ153" s="47"/>
      <c r="CR153" s="14"/>
      <c r="CS153" s="86"/>
      <c r="CT153" s="111"/>
      <c r="CU153" s="86"/>
      <c r="CV153" s="179"/>
      <c r="CW153" s="188"/>
      <c r="CX153" s="179"/>
      <c r="CY153" s="29"/>
      <c r="CZ153" s="109"/>
      <c r="DA153" s="109"/>
      <c r="DB153" s="109"/>
      <c r="DC153" s="109"/>
      <c r="DD153" s="109"/>
      <c r="DE153" s="109"/>
      <c r="DF153" s="109"/>
      <c r="DG153" s="329"/>
      <c r="DH153" s="14"/>
      <c r="DI153" s="47"/>
      <c r="DJ153" s="14"/>
      <c r="DK153" s="62"/>
      <c r="DL153" s="19"/>
      <c r="DM153" s="59"/>
      <c r="DN153" s="14"/>
      <c r="DO153" s="14"/>
      <c r="DP153" s="107" t="s">
        <v>34</v>
      </c>
      <c r="DQ153" s="27">
        <f>COUNTIFS(S30_stakeholder_category,"NB",Response_Q172_1,DP153,Response_Q173_3,"&lt;&gt;0")</f>
        <v>0</v>
      </c>
      <c r="DR153" s="41">
        <f>IF(DQ158=0,"",DQ153/DQ158)</f>
        <v>0</v>
      </c>
      <c r="DS153" s="14"/>
      <c r="DT153" s="14"/>
      <c r="DU153" s="14"/>
      <c r="DV153" s="14"/>
      <c r="DW153" s="14"/>
      <c r="DX153" s="14"/>
      <c r="DY153" s="14"/>
      <c r="DZ153" s="14"/>
      <c r="EA153" s="14"/>
      <c r="EB153" s="14"/>
      <c r="EC153" s="14"/>
      <c r="ED153" s="14"/>
      <c r="EE153" s="14"/>
      <c r="EF153" s="14"/>
      <c r="EG153" s="14"/>
      <c r="EH153" s="14"/>
      <c r="EI153" s="14"/>
      <c r="EJ153" s="14"/>
      <c r="EK153" s="14"/>
      <c r="EL153" s="14"/>
    </row>
    <row r="154" spans="1:142" x14ac:dyDescent="0.25">
      <c r="A154" s="14"/>
      <c r="B154" s="14"/>
      <c r="C154" s="19"/>
      <c r="D154" s="59"/>
      <c r="E154" s="14"/>
      <c r="F154" s="14"/>
      <c r="G154" s="107" t="s">
        <v>35</v>
      </c>
      <c r="H154" s="27">
        <f>COUNTIFS(S30_stakeholder_category,"NB",Response_Q173_3,G154)</f>
        <v>0</v>
      </c>
      <c r="I154" s="41">
        <f t="shared" ref="I154:I158" si="111">IFERROR(H154/H$158,"")</f>
        <v>0</v>
      </c>
      <c r="J154" s="14"/>
      <c r="K154" s="14"/>
      <c r="L154" s="14"/>
      <c r="M154" s="14"/>
      <c r="N154" s="14"/>
      <c r="O154" s="14"/>
      <c r="P154" s="14"/>
      <c r="Q154" s="47"/>
      <c r="R154" s="19"/>
      <c r="S154" s="19"/>
      <c r="T154" s="19"/>
      <c r="U154" s="27"/>
      <c r="V154" s="14"/>
      <c r="W154" s="14"/>
      <c r="X154" s="107" t="s">
        <v>4</v>
      </c>
      <c r="Y154" s="27">
        <f t="shared" si="106"/>
        <v>1</v>
      </c>
      <c r="Z154" s="41">
        <f t="shared" si="107"/>
        <v>1</v>
      </c>
      <c r="AA154" s="14"/>
      <c r="AB154" s="14"/>
      <c r="AC154" s="14"/>
      <c r="AD154" s="65"/>
      <c r="AE154" s="63"/>
      <c r="AF154" s="47"/>
      <c r="AG154" s="19"/>
      <c r="AH154" s="19"/>
      <c r="AI154" s="19"/>
      <c r="AJ154" s="27"/>
      <c r="AK154" s="14"/>
      <c r="AL154" s="14"/>
      <c r="AM154" s="107" t="s">
        <v>4</v>
      </c>
      <c r="AN154" s="27">
        <f t="shared" si="108"/>
        <v>0</v>
      </c>
      <c r="AO154" s="41">
        <f t="shared" ref="AO154:AO160" si="112">IFERROR(AN154/AN$160,0)</f>
        <v>0</v>
      </c>
      <c r="AP154" s="14"/>
      <c r="AQ154" s="14"/>
      <c r="AR154" s="14"/>
      <c r="AS154" s="65"/>
      <c r="AT154" s="63"/>
      <c r="AU154" s="47"/>
      <c r="AV154" s="14"/>
      <c r="AW154" s="19"/>
      <c r="AX154" s="19"/>
      <c r="AY154" s="27"/>
      <c r="AZ154" s="14"/>
      <c r="BA154" s="14"/>
      <c r="BB154" s="107" t="s">
        <v>4</v>
      </c>
      <c r="BC154" s="27">
        <f t="shared" si="109"/>
        <v>1</v>
      </c>
      <c r="BD154" s="41">
        <f t="shared" ref="BD154:BD160" si="113">IFERROR(BC154/BC$160,0)</f>
        <v>1</v>
      </c>
      <c r="BE154" s="14"/>
      <c r="BF154" s="14"/>
      <c r="BG154" s="14"/>
      <c r="BH154" s="65"/>
      <c r="BI154" s="63"/>
      <c r="BJ154" s="352"/>
      <c r="BK154" s="19"/>
      <c r="BL154" s="19"/>
      <c r="BM154" s="19"/>
      <c r="BN154" s="27"/>
      <c r="BO154" s="14"/>
      <c r="BP154" s="14"/>
      <c r="BQ154" s="107" t="s">
        <v>4</v>
      </c>
      <c r="BR154" s="27">
        <f t="shared" si="110"/>
        <v>0</v>
      </c>
      <c r="BS154" s="41">
        <f t="shared" ref="BS154:BS160" si="114">IFERROR(BR154/BR$160,0)</f>
        <v>0</v>
      </c>
      <c r="BT154" s="14"/>
      <c r="BU154" s="14"/>
      <c r="BV154" s="14"/>
      <c r="BW154" s="65"/>
      <c r="BX154" s="63"/>
      <c r="BY154" s="352"/>
      <c r="BZ154" s="14"/>
      <c r="CA154" s="14"/>
      <c r="CB154" s="21"/>
      <c r="CC154" s="21"/>
      <c r="CD154" s="180"/>
      <c r="CE154" s="181"/>
      <c r="CF154" s="31"/>
      <c r="CG154" s="52"/>
      <c r="CH154" s="52"/>
      <c r="CI154" s="99"/>
      <c r="CJ154" s="14"/>
      <c r="CK154" s="14"/>
      <c r="CL154" s="14"/>
      <c r="CM154" s="14"/>
      <c r="CN154" s="14"/>
      <c r="CO154" s="129"/>
      <c r="CP154" s="14"/>
      <c r="CQ154" s="47"/>
      <c r="CR154" s="14"/>
      <c r="CS154" s="14"/>
      <c r="CT154" s="14"/>
      <c r="CU154" s="14"/>
      <c r="CV154" s="180"/>
      <c r="CW154" s="190"/>
      <c r="CX154" s="191"/>
      <c r="CY154" s="52"/>
      <c r="CZ154" s="52"/>
      <c r="DA154" s="54"/>
      <c r="DB154" s="14"/>
      <c r="DC154" s="14"/>
      <c r="DD154" s="14"/>
      <c r="DE154" s="14"/>
      <c r="DF154" s="14"/>
      <c r="DG154" s="129"/>
      <c r="DH154" s="14"/>
      <c r="DI154" s="47"/>
      <c r="DJ154" s="14"/>
      <c r="DK154" s="62"/>
      <c r="DL154" s="19"/>
      <c r="DM154" s="59"/>
      <c r="DN154" s="14"/>
      <c r="DO154" s="14"/>
      <c r="DP154" s="107" t="s">
        <v>35</v>
      </c>
      <c r="DQ154" s="27">
        <f>COUNTIFS(S30_stakeholder_category,"NB",Response_Q172_1,DP154,Response_Q173_3,"&lt;&gt;0")</f>
        <v>0</v>
      </c>
      <c r="DR154" s="41">
        <f>IF(DQ158=0,"",DQ154/DQ158)</f>
        <v>0</v>
      </c>
      <c r="DS154" s="14"/>
      <c r="DT154" s="14"/>
      <c r="DU154" s="14"/>
      <c r="DV154" s="14"/>
      <c r="DW154" s="14"/>
      <c r="DX154" s="14"/>
      <c r="DY154" s="14"/>
      <c r="DZ154" s="14"/>
      <c r="EA154" s="14"/>
      <c r="EB154" s="14"/>
      <c r="EC154" s="14"/>
      <c r="ED154" s="14"/>
      <c r="EE154" s="14"/>
      <c r="EF154" s="14"/>
      <c r="EG154" s="14"/>
      <c r="EH154" s="14"/>
      <c r="EI154" s="14"/>
      <c r="EJ154" s="14"/>
      <c r="EK154" s="14"/>
      <c r="EL154" s="14"/>
    </row>
    <row r="155" spans="1:142" x14ac:dyDescent="0.25">
      <c r="A155" s="14"/>
      <c r="B155" s="14"/>
      <c r="C155" s="19"/>
      <c r="D155" s="59"/>
      <c r="E155" s="14"/>
      <c r="F155" s="14"/>
      <c r="G155" s="107" t="s">
        <v>36</v>
      </c>
      <c r="H155" s="27">
        <f>COUNTIFS(S30_stakeholder_category,"NB",Response_Q173_3,G155)</f>
        <v>0</v>
      </c>
      <c r="I155" s="41">
        <f t="shared" si="111"/>
        <v>0</v>
      </c>
      <c r="J155" s="14"/>
      <c r="K155" s="14"/>
      <c r="L155" s="14"/>
      <c r="M155" s="14"/>
      <c r="N155" s="14"/>
      <c r="O155" s="14"/>
      <c r="P155" s="14"/>
      <c r="Q155" s="47"/>
      <c r="R155" s="19"/>
      <c r="S155" s="19"/>
      <c r="T155" s="19"/>
      <c r="U155" s="27"/>
      <c r="V155" s="14"/>
      <c r="W155" s="14"/>
      <c r="X155" s="107" t="s">
        <v>33</v>
      </c>
      <c r="Y155" s="27">
        <f t="shared" si="106"/>
        <v>0</v>
      </c>
      <c r="Z155" s="41">
        <f t="shared" si="107"/>
        <v>0</v>
      </c>
      <c r="AA155" s="14"/>
      <c r="AB155" s="14"/>
      <c r="AC155" s="14"/>
      <c r="AD155" s="65"/>
      <c r="AE155" s="63"/>
      <c r="AF155" s="47"/>
      <c r="AG155" s="19"/>
      <c r="AH155" s="19"/>
      <c r="AI155" s="19"/>
      <c r="AJ155" s="27"/>
      <c r="AK155" s="14"/>
      <c r="AL155" s="14"/>
      <c r="AM155" s="107" t="s">
        <v>33</v>
      </c>
      <c r="AN155" s="27">
        <f t="shared" si="108"/>
        <v>0</v>
      </c>
      <c r="AO155" s="41">
        <f t="shared" si="112"/>
        <v>0</v>
      </c>
      <c r="AP155" s="14"/>
      <c r="AQ155" s="14"/>
      <c r="AR155" s="14"/>
      <c r="AS155" s="65"/>
      <c r="AT155" s="63"/>
      <c r="AU155" s="47"/>
      <c r="AV155" s="14"/>
      <c r="AW155" s="19"/>
      <c r="AX155" s="19"/>
      <c r="AY155" s="27"/>
      <c r="AZ155" s="14"/>
      <c r="BA155" s="14"/>
      <c r="BB155" s="107" t="s">
        <v>33</v>
      </c>
      <c r="BC155" s="27">
        <f t="shared" si="109"/>
        <v>0</v>
      </c>
      <c r="BD155" s="41">
        <f t="shared" si="113"/>
        <v>0</v>
      </c>
      <c r="BE155" s="14"/>
      <c r="BF155" s="14"/>
      <c r="BG155" s="14"/>
      <c r="BH155" s="65"/>
      <c r="BI155" s="63"/>
      <c r="BJ155" s="352"/>
      <c r="BK155" s="19"/>
      <c r="BL155" s="19"/>
      <c r="BM155" s="19"/>
      <c r="BN155" s="27"/>
      <c r="BO155" s="14"/>
      <c r="BP155" s="14"/>
      <c r="BQ155" s="107" t="s">
        <v>33</v>
      </c>
      <c r="BR155" s="27">
        <f t="shared" si="110"/>
        <v>1</v>
      </c>
      <c r="BS155" s="41">
        <f t="shared" si="114"/>
        <v>1</v>
      </c>
      <c r="BT155" s="14"/>
      <c r="BU155" s="14"/>
      <c r="BV155" s="14"/>
      <c r="BW155" s="65"/>
      <c r="BX155" s="63"/>
      <c r="BY155" s="352"/>
      <c r="BZ155" s="14"/>
      <c r="CA155" s="14"/>
      <c r="CB155" s="21"/>
      <c r="CC155" s="21"/>
      <c r="CD155" s="180"/>
      <c r="CE155" s="181"/>
      <c r="CF155" s="31"/>
      <c r="CG155" s="52"/>
      <c r="CH155" s="52"/>
      <c r="CI155" s="99"/>
      <c r="CJ155" s="14"/>
      <c r="CK155" s="14"/>
      <c r="CL155" s="14"/>
      <c r="CM155" s="14"/>
      <c r="CN155" s="14"/>
      <c r="CO155" s="129"/>
      <c r="CP155" s="14"/>
      <c r="CQ155" s="47"/>
      <c r="CR155" s="14"/>
      <c r="CS155" s="14"/>
      <c r="CT155" s="14"/>
      <c r="CU155" s="14"/>
      <c r="CV155" s="180"/>
      <c r="CW155" s="190"/>
      <c r="CX155" s="191"/>
      <c r="CY155" s="52"/>
      <c r="CZ155" s="52"/>
      <c r="DA155" s="54"/>
      <c r="DB155" s="14"/>
      <c r="DC155" s="14"/>
      <c r="DD155" s="14"/>
      <c r="DE155" s="14"/>
      <c r="DF155" s="14"/>
      <c r="DG155" s="129"/>
      <c r="DH155" s="14"/>
      <c r="DI155" s="47"/>
      <c r="DJ155" s="14"/>
      <c r="DK155" s="62"/>
      <c r="DL155" s="19"/>
      <c r="DM155" s="59"/>
      <c r="DN155" s="14"/>
      <c r="DO155" s="14"/>
      <c r="DP155" s="107" t="s">
        <v>36</v>
      </c>
      <c r="DQ155" s="27">
        <f>COUNTIFS(S30_stakeholder_category,"NB",Response_Q172_1,DP155,Response_Q173_3,"&lt;&gt;0")</f>
        <v>0</v>
      </c>
      <c r="DR155" s="41">
        <f>IF(DQ158=0,"",DQ155/DQ158)</f>
        <v>0</v>
      </c>
      <c r="DS155" s="14"/>
      <c r="DT155" s="14"/>
      <c r="DU155" s="14"/>
      <c r="DV155" s="14"/>
      <c r="DW155" s="14"/>
      <c r="DX155" s="14"/>
      <c r="DY155" s="14"/>
      <c r="DZ155" s="14"/>
      <c r="EA155" s="14"/>
      <c r="EB155" s="14"/>
      <c r="EC155" s="14"/>
      <c r="ED155" s="14"/>
      <c r="EE155" s="14"/>
      <c r="EF155" s="14"/>
      <c r="EG155" s="14"/>
      <c r="EH155" s="14"/>
      <c r="EI155" s="14"/>
      <c r="EJ155" s="14"/>
      <c r="EK155" s="14"/>
      <c r="EL155" s="14"/>
    </row>
    <row r="156" spans="1:142" x14ac:dyDescent="0.25">
      <c r="A156" s="14"/>
      <c r="B156" s="62"/>
      <c r="C156" s="19"/>
      <c r="D156" s="59"/>
      <c r="E156" s="14"/>
      <c r="F156" s="14"/>
      <c r="G156" s="107" t="s">
        <v>38</v>
      </c>
      <c r="H156" s="27">
        <f>COUNTIFS(S30_stakeholder_category,"NB",Response_Q173_3,G156)</f>
        <v>0</v>
      </c>
      <c r="I156" s="41">
        <f t="shared" si="111"/>
        <v>0</v>
      </c>
      <c r="J156" s="14"/>
      <c r="K156" s="14"/>
      <c r="L156" s="14"/>
      <c r="M156" s="14"/>
      <c r="N156" s="14"/>
      <c r="O156" s="14"/>
      <c r="P156" s="14"/>
      <c r="Q156" s="47"/>
      <c r="R156" s="19"/>
      <c r="S156" s="19"/>
      <c r="T156" s="19"/>
      <c r="U156" s="27"/>
      <c r="V156" s="14"/>
      <c r="W156" s="14"/>
      <c r="X156" s="107" t="s">
        <v>29</v>
      </c>
      <c r="Y156" s="27">
        <f t="shared" si="106"/>
        <v>0</v>
      </c>
      <c r="Z156" s="41">
        <f t="shared" si="107"/>
        <v>0</v>
      </c>
      <c r="AA156" s="14"/>
      <c r="AB156" s="14"/>
      <c r="AC156" s="14"/>
      <c r="AD156" s="65"/>
      <c r="AE156" s="63"/>
      <c r="AF156" s="47"/>
      <c r="AG156" s="19"/>
      <c r="AH156" s="19"/>
      <c r="AI156" s="19"/>
      <c r="AJ156" s="27"/>
      <c r="AK156" s="14"/>
      <c r="AL156" s="14"/>
      <c r="AM156" s="107" t="s">
        <v>29</v>
      </c>
      <c r="AN156" s="27">
        <f t="shared" si="108"/>
        <v>0</v>
      </c>
      <c r="AO156" s="41">
        <f t="shared" si="112"/>
        <v>0</v>
      </c>
      <c r="AP156" s="14"/>
      <c r="AQ156" s="14"/>
      <c r="AR156" s="14"/>
      <c r="AS156" s="65"/>
      <c r="AT156" s="63"/>
      <c r="AU156" s="47"/>
      <c r="AV156" s="14"/>
      <c r="AW156" s="19"/>
      <c r="AX156" s="19"/>
      <c r="AY156" s="27"/>
      <c r="AZ156" s="14"/>
      <c r="BA156" s="14"/>
      <c r="BB156" s="107" t="s">
        <v>29</v>
      </c>
      <c r="BC156" s="27">
        <f t="shared" si="109"/>
        <v>0</v>
      </c>
      <c r="BD156" s="41">
        <f t="shared" si="113"/>
        <v>0</v>
      </c>
      <c r="BE156" s="14"/>
      <c r="BF156" s="14"/>
      <c r="BG156" s="14"/>
      <c r="BH156" s="65"/>
      <c r="BI156" s="63"/>
      <c r="BJ156" s="352"/>
      <c r="BK156" s="19"/>
      <c r="BL156" s="19"/>
      <c r="BM156" s="19"/>
      <c r="BN156" s="27"/>
      <c r="BO156" s="14"/>
      <c r="BP156" s="14"/>
      <c r="BQ156" s="107" t="s">
        <v>29</v>
      </c>
      <c r="BR156" s="27">
        <f t="shared" si="110"/>
        <v>0</v>
      </c>
      <c r="BS156" s="41">
        <f t="shared" si="114"/>
        <v>0</v>
      </c>
      <c r="BT156" s="14"/>
      <c r="BU156" s="14"/>
      <c r="BV156" s="14"/>
      <c r="BW156" s="65"/>
      <c r="BX156" s="63"/>
      <c r="BY156" s="352"/>
      <c r="BZ156" s="14"/>
      <c r="CA156" s="14"/>
      <c r="CB156" s="21"/>
      <c r="CC156" s="21"/>
      <c r="CD156" s="180"/>
      <c r="CE156" s="181"/>
      <c r="CF156" s="31"/>
      <c r="CG156" s="52"/>
      <c r="CH156" s="52"/>
      <c r="CI156" s="99"/>
      <c r="CJ156" s="14"/>
      <c r="CK156" s="14"/>
      <c r="CL156" s="14"/>
      <c r="CM156" s="14"/>
      <c r="CN156" s="14"/>
      <c r="CO156" s="129"/>
      <c r="CP156" s="14"/>
      <c r="CQ156" s="47"/>
      <c r="CR156" s="14"/>
      <c r="CS156" s="14"/>
      <c r="CT156" s="14"/>
      <c r="CU156" s="14"/>
      <c r="CV156" s="180"/>
      <c r="CW156" s="190"/>
      <c r="CX156" s="191"/>
      <c r="CY156" s="52"/>
      <c r="CZ156" s="52"/>
      <c r="DA156" s="54"/>
      <c r="DB156" s="14"/>
      <c r="DC156" s="14"/>
      <c r="DD156" s="14"/>
      <c r="DE156" s="14"/>
      <c r="DF156" s="14"/>
      <c r="DG156" s="129"/>
      <c r="DH156" s="14"/>
      <c r="DI156" s="47"/>
      <c r="DJ156" s="14"/>
      <c r="DK156" s="62"/>
      <c r="DL156" s="19"/>
      <c r="DM156" s="59"/>
      <c r="DN156" s="14"/>
      <c r="DO156" s="14"/>
      <c r="DP156" s="107" t="s">
        <v>38</v>
      </c>
      <c r="DQ156" s="27">
        <f>COUNTIFS(S30_stakeholder_category,"NB",Response_Q172_1,DP156,Response_Q173_3,"&lt;&gt;0")</f>
        <v>1</v>
      </c>
      <c r="DR156" s="41">
        <f>IF(DQ158=0,"",DQ156/DQ158)</f>
        <v>1</v>
      </c>
      <c r="DS156" s="14"/>
      <c r="DT156" s="14"/>
      <c r="DU156" s="14"/>
      <c r="DV156" s="14"/>
      <c r="DW156" s="14"/>
      <c r="DX156" s="14"/>
      <c r="DY156" s="14"/>
      <c r="DZ156" s="14"/>
      <c r="EA156" s="14"/>
      <c r="EB156" s="14"/>
      <c r="EC156" s="14"/>
      <c r="ED156" s="14"/>
      <c r="EE156" s="14"/>
      <c r="EF156" s="14"/>
      <c r="EG156" s="14"/>
      <c r="EH156" s="14"/>
      <c r="EI156" s="14"/>
      <c r="EJ156" s="14"/>
      <c r="EK156" s="14"/>
      <c r="EL156" s="14"/>
    </row>
    <row r="157" spans="1:142" ht="14.4" x14ac:dyDescent="0.25">
      <c r="A157" s="14"/>
      <c r="B157" s="62"/>
      <c r="C157" s="19"/>
      <c r="D157" s="59"/>
      <c r="E157" s="14"/>
      <c r="F157" s="14"/>
      <c r="G157" s="107" t="s">
        <v>39</v>
      </c>
      <c r="H157" s="27">
        <f>COUNTIFS(S30_stakeholder_category,"NB",Response_Q173_3,G157)</f>
        <v>1</v>
      </c>
      <c r="I157" s="41">
        <f t="shared" si="111"/>
        <v>1</v>
      </c>
      <c r="J157" s="14"/>
      <c r="K157" s="14"/>
      <c r="L157" s="14"/>
      <c r="M157" s="14"/>
      <c r="N157" s="14"/>
      <c r="O157" s="14"/>
      <c r="P157" s="14"/>
      <c r="Q157" s="47"/>
      <c r="R157" s="19"/>
      <c r="S157" s="60"/>
      <c r="T157" s="19"/>
      <c r="U157" s="59"/>
      <c r="V157" s="14"/>
      <c r="W157" s="14"/>
      <c r="X157" s="107" t="s">
        <v>3</v>
      </c>
      <c r="Y157" s="27">
        <f t="shared" si="106"/>
        <v>0</v>
      </c>
      <c r="Z157" s="41">
        <f t="shared" si="107"/>
        <v>0</v>
      </c>
      <c r="AA157" s="14"/>
      <c r="AB157" s="14"/>
      <c r="AC157" s="14"/>
      <c r="AD157" s="65"/>
      <c r="AE157" s="63"/>
      <c r="AF157" s="47"/>
      <c r="AG157" s="19"/>
      <c r="AH157" s="60"/>
      <c r="AI157" s="19"/>
      <c r="AJ157" s="59"/>
      <c r="AK157" s="14"/>
      <c r="AL157" s="14"/>
      <c r="AM157" s="107" t="s">
        <v>3</v>
      </c>
      <c r="AN157" s="27">
        <f t="shared" si="108"/>
        <v>0</v>
      </c>
      <c r="AO157" s="41">
        <f t="shared" si="112"/>
        <v>0</v>
      </c>
      <c r="AP157" s="14"/>
      <c r="AQ157" s="14"/>
      <c r="AR157" s="14"/>
      <c r="AS157" s="65"/>
      <c r="AT157" s="63"/>
      <c r="AU157" s="47"/>
      <c r="AV157" s="14"/>
      <c r="AW157" s="60"/>
      <c r="AX157" s="19"/>
      <c r="AY157" s="59"/>
      <c r="AZ157" s="14"/>
      <c r="BA157" s="14"/>
      <c r="BB157" s="107" t="s">
        <v>3</v>
      </c>
      <c r="BC157" s="27">
        <f t="shared" si="109"/>
        <v>0</v>
      </c>
      <c r="BD157" s="41">
        <f t="shared" si="113"/>
        <v>0</v>
      </c>
      <c r="BE157" s="14"/>
      <c r="BF157" s="14"/>
      <c r="BG157" s="14"/>
      <c r="BH157" s="65"/>
      <c r="BI157" s="63"/>
      <c r="BJ157" s="352"/>
      <c r="BK157" s="19"/>
      <c r="BL157" s="60"/>
      <c r="BM157" s="19"/>
      <c r="BN157" s="59"/>
      <c r="BO157" s="14"/>
      <c r="BP157" s="14"/>
      <c r="BQ157" s="107" t="s">
        <v>3</v>
      </c>
      <c r="BR157" s="27">
        <f t="shared" si="110"/>
        <v>0</v>
      </c>
      <c r="BS157" s="41">
        <f t="shared" si="114"/>
        <v>0</v>
      </c>
      <c r="BT157" s="14"/>
      <c r="BU157" s="14"/>
      <c r="BV157" s="14"/>
      <c r="BW157" s="65"/>
      <c r="BX157" s="63"/>
      <c r="BY157" s="352"/>
      <c r="BZ157" s="14"/>
      <c r="CA157" s="14"/>
      <c r="CB157" s="21"/>
      <c r="CC157" s="21"/>
      <c r="CD157" s="180"/>
      <c r="CE157" s="181"/>
      <c r="CF157" s="31"/>
      <c r="CG157" s="52"/>
      <c r="CH157" s="52"/>
      <c r="CI157" s="99"/>
      <c r="CJ157" s="14"/>
      <c r="CK157" s="14"/>
      <c r="CL157" s="14"/>
      <c r="CM157" s="14"/>
      <c r="CN157" s="14"/>
      <c r="CO157" s="129"/>
      <c r="CP157" s="14"/>
      <c r="CQ157" s="47"/>
      <c r="CR157" s="14"/>
      <c r="CS157" s="14"/>
      <c r="CT157" s="14"/>
      <c r="CU157" s="14"/>
      <c r="CV157" s="180"/>
      <c r="CW157" s="190"/>
      <c r="CX157" s="191"/>
      <c r="CY157" s="52"/>
      <c r="CZ157" s="52"/>
      <c r="DA157" s="54"/>
      <c r="DB157" s="14"/>
      <c r="DC157" s="14"/>
      <c r="DD157" s="14"/>
      <c r="DE157" s="14"/>
      <c r="DF157" s="14"/>
      <c r="DG157" s="129"/>
      <c r="DH157" s="14"/>
      <c r="DI157" s="47"/>
      <c r="DJ157" s="14"/>
      <c r="DK157" s="62"/>
      <c r="DL157" s="19"/>
      <c r="DM157" s="59"/>
      <c r="DN157" s="14"/>
      <c r="DO157" s="14"/>
      <c r="DP157" s="107" t="s">
        <v>39</v>
      </c>
      <c r="DQ157" s="27">
        <f>COUNTIFS(S30_stakeholder_category,"NB",Response_Q172_1,DP157,Response_Q173_3,"&lt;&gt;0")</f>
        <v>0</v>
      </c>
      <c r="DR157" s="41">
        <f>IF(DQ158=0,"",DQ157/DQ158)</f>
        <v>0</v>
      </c>
      <c r="DS157" s="14"/>
      <c r="DT157" s="14"/>
      <c r="DU157" s="14"/>
      <c r="DV157" s="14"/>
      <c r="DW157" s="14"/>
      <c r="DX157" s="14"/>
      <c r="DY157" s="14"/>
      <c r="DZ157" s="14"/>
      <c r="EA157" s="14"/>
      <c r="EB157" s="14"/>
      <c r="EC157" s="14"/>
      <c r="ED157" s="14"/>
      <c r="EE157" s="14"/>
      <c r="EF157" s="14"/>
      <c r="EG157" s="14"/>
      <c r="EH157" s="14"/>
      <c r="EI157" s="14"/>
      <c r="EJ157" s="14"/>
      <c r="EK157" s="14"/>
      <c r="EL157" s="14"/>
    </row>
    <row r="158" spans="1:142" ht="14.4" x14ac:dyDescent="0.25">
      <c r="A158" s="14"/>
      <c r="B158" s="62"/>
      <c r="C158" s="19"/>
      <c r="D158" s="59"/>
      <c r="E158" s="14"/>
      <c r="F158" s="14"/>
      <c r="G158" s="86" t="s">
        <v>145</v>
      </c>
      <c r="H158" s="111">
        <f>COUNTIFS(S30_stakeholder_category,"NB",Response_Q173_3,"&lt;&gt;0")</f>
        <v>1</v>
      </c>
      <c r="I158" s="119">
        <f t="shared" si="111"/>
        <v>1</v>
      </c>
      <c r="J158" s="14"/>
      <c r="K158" s="14"/>
      <c r="L158" s="14"/>
      <c r="M158" s="14"/>
      <c r="N158" s="14"/>
      <c r="O158" s="14"/>
      <c r="P158" s="14"/>
      <c r="Q158" s="47"/>
      <c r="R158" s="19"/>
      <c r="S158" s="61"/>
      <c r="T158" s="19"/>
      <c r="U158" s="59"/>
      <c r="V158" s="14"/>
      <c r="W158" s="14"/>
      <c r="X158" s="107" t="s">
        <v>54</v>
      </c>
      <c r="Y158" s="27">
        <f t="shared" si="106"/>
        <v>0</v>
      </c>
      <c r="Z158" s="41">
        <f t="shared" si="107"/>
        <v>0</v>
      </c>
      <c r="AA158" s="14"/>
      <c r="AB158" s="14"/>
      <c r="AC158" s="14"/>
      <c r="AD158" s="65"/>
      <c r="AE158" s="63"/>
      <c r="AF158" s="47"/>
      <c r="AG158" s="19"/>
      <c r="AH158" s="61"/>
      <c r="AI158" s="19"/>
      <c r="AJ158" s="59"/>
      <c r="AK158" s="14"/>
      <c r="AL158" s="14"/>
      <c r="AM158" s="107" t="s">
        <v>54</v>
      </c>
      <c r="AN158" s="27">
        <f t="shared" si="108"/>
        <v>0</v>
      </c>
      <c r="AO158" s="41">
        <f t="shared" si="112"/>
        <v>0</v>
      </c>
      <c r="AP158" s="14"/>
      <c r="AQ158" s="14"/>
      <c r="AR158" s="14"/>
      <c r="AS158" s="65"/>
      <c r="AT158" s="63"/>
      <c r="AU158" s="47"/>
      <c r="AV158" s="14"/>
      <c r="AW158" s="61"/>
      <c r="AX158" s="19"/>
      <c r="AY158" s="59"/>
      <c r="AZ158" s="14"/>
      <c r="BA158" s="14"/>
      <c r="BB158" s="107" t="s">
        <v>54</v>
      </c>
      <c r="BC158" s="27">
        <f t="shared" si="109"/>
        <v>0</v>
      </c>
      <c r="BD158" s="41">
        <f t="shared" si="113"/>
        <v>0</v>
      </c>
      <c r="BE158" s="14"/>
      <c r="BF158" s="14"/>
      <c r="BG158" s="14"/>
      <c r="BH158" s="65"/>
      <c r="BI158" s="63"/>
      <c r="BJ158" s="352"/>
      <c r="BK158" s="19"/>
      <c r="BL158" s="61"/>
      <c r="BM158" s="19"/>
      <c r="BN158" s="59"/>
      <c r="BO158" s="14"/>
      <c r="BP158" s="14"/>
      <c r="BQ158" s="107" t="s">
        <v>54</v>
      </c>
      <c r="BR158" s="27">
        <f t="shared" si="110"/>
        <v>0</v>
      </c>
      <c r="BS158" s="41">
        <f t="shared" si="114"/>
        <v>0</v>
      </c>
      <c r="BT158" s="14"/>
      <c r="BU158" s="14"/>
      <c r="BV158" s="14"/>
      <c r="BW158" s="65"/>
      <c r="BX158" s="63"/>
      <c r="BY158" s="352"/>
      <c r="BZ158" s="14"/>
      <c r="CA158" s="14"/>
      <c r="CB158" s="21"/>
      <c r="CC158" s="21"/>
      <c r="CD158" s="180"/>
      <c r="CE158" s="181"/>
      <c r="CF158" s="31"/>
      <c r="CG158" s="52"/>
      <c r="CH158" s="52"/>
      <c r="CI158" s="99"/>
      <c r="CJ158" s="14"/>
      <c r="CK158" s="14"/>
      <c r="CL158" s="14"/>
      <c r="CM158" s="14"/>
      <c r="CN158" s="14"/>
      <c r="CO158" s="129"/>
      <c r="CP158" s="14"/>
      <c r="CQ158" s="47"/>
      <c r="CR158" s="14"/>
      <c r="CS158" s="14"/>
      <c r="CT158" s="14"/>
      <c r="CU158" s="14"/>
      <c r="CV158" s="180"/>
      <c r="CW158" s="190"/>
      <c r="CX158" s="191"/>
      <c r="CY158" s="52"/>
      <c r="CZ158" s="52"/>
      <c r="DA158" s="54"/>
      <c r="DB158" s="14"/>
      <c r="DC158" s="14"/>
      <c r="DD158" s="14"/>
      <c r="DE158" s="14"/>
      <c r="DF158" s="14"/>
      <c r="DG158" s="129"/>
      <c r="DH158" s="14"/>
      <c r="DI158" s="47"/>
      <c r="DJ158" s="14"/>
      <c r="DK158" s="62"/>
      <c r="DL158" s="19"/>
      <c r="DM158" s="59"/>
      <c r="DN158" s="14"/>
      <c r="DO158" s="14"/>
      <c r="DP158" s="86" t="s">
        <v>145</v>
      </c>
      <c r="DQ158" s="111">
        <f>COUNTIFS(S30_stakeholder_category,"NB",Response_Q172_1,"&lt;&gt;0",Response_Q173_3,"&lt;&gt;0")</f>
        <v>1</v>
      </c>
      <c r="DR158" s="119">
        <f>IF(DQ158=0,"",DQ158/DQ158)</f>
        <v>1</v>
      </c>
      <c r="DS158" s="14"/>
      <c r="DT158" s="14"/>
      <c r="DU158" s="14"/>
      <c r="DV158" s="14"/>
      <c r="DW158" s="14"/>
      <c r="DX158" s="14"/>
      <c r="DY158" s="14"/>
      <c r="DZ158" s="14"/>
      <c r="EA158" s="14"/>
      <c r="EB158" s="14"/>
      <c r="EC158" s="14"/>
      <c r="ED158" s="14"/>
      <c r="EE158" s="14"/>
      <c r="EF158" s="14"/>
      <c r="EG158" s="14"/>
      <c r="EH158" s="14"/>
      <c r="EI158" s="14"/>
      <c r="EJ158" s="14"/>
      <c r="EK158" s="14"/>
      <c r="EL158" s="14"/>
    </row>
    <row r="159" spans="1:142" x14ac:dyDescent="0.25">
      <c r="A159" s="14"/>
      <c r="B159" s="62"/>
      <c r="C159" s="19"/>
      <c r="D159" s="59"/>
      <c r="E159" s="14"/>
      <c r="F159" s="14"/>
      <c r="G159" s="14"/>
      <c r="H159" s="21"/>
      <c r="I159" s="21"/>
      <c r="J159" s="14"/>
      <c r="K159" s="14"/>
      <c r="L159" s="14"/>
      <c r="M159" s="14"/>
      <c r="N159" s="14"/>
      <c r="O159" s="14"/>
      <c r="P159" s="14"/>
      <c r="Q159" s="47"/>
      <c r="R159" s="19"/>
      <c r="S159" s="62"/>
      <c r="T159" s="19"/>
      <c r="U159" s="59"/>
      <c r="V159" s="14"/>
      <c r="W159" s="14"/>
      <c r="X159" s="107" t="s">
        <v>39</v>
      </c>
      <c r="Y159" s="27">
        <f t="shared" si="106"/>
        <v>0</v>
      </c>
      <c r="Z159" s="41">
        <f t="shared" si="107"/>
        <v>0</v>
      </c>
      <c r="AA159" s="14"/>
      <c r="AB159" s="14"/>
      <c r="AC159" s="14"/>
      <c r="AD159" s="65"/>
      <c r="AE159" s="63"/>
      <c r="AF159" s="47"/>
      <c r="AG159" s="19"/>
      <c r="AH159" s="62"/>
      <c r="AI159" s="19"/>
      <c r="AJ159" s="59"/>
      <c r="AK159" s="14"/>
      <c r="AL159" s="14"/>
      <c r="AM159" s="107" t="s">
        <v>39</v>
      </c>
      <c r="AN159" s="27">
        <f t="shared" si="108"/>
        <v>0</v>
      </c>
      <c r="AO159" s="41">
        <f t="shared" si="112"/>
        <v>0</v>
      </c>
      <c r="AP159" s="14"/>
      <c r="AQ159" s="14"/>
      <c r="AR159" s="14"/>
      <c r="AS159" s="65"/>
      <c r="AT159" s="63"/>
      <c r="AU159" s="47"/>
      <c r="AV159" s="14"/>
      <c r="AW159" s="62"/>
      <c r="AX159" s="19"/>
      <c r="AY159" s="59"/>
      <c r="AZ159" s="14"/>
      <c r="BA159" s="14"/>
      <c r="BB159" s="107" t="s">
        <v>39</v>
      </c>
      <c r="BC159" s="27">
        <f t="shared" si="109"/>
        <v>0</v>
      </c>
      <c r="BD159" s="41">
        <f t="shared" si="113"/>
        <v>0</v>
      </c>
      <c r="BE159" s="14"/>
      <c r="BF159" s="14"/>
      <c r="BG159" s="14"/>
      <c r="BH159" s="65"/>
      <c r="BI159" s="63"/>
      <c r="BJ159" s="352"/>
      <c r="BK159" s="19"/>
      <c r="BL159" s="62"/>
      <c r="BM159" s="19"/>
      <c r="BN159" s="59"/>
      <c r="BO159" s="14"/>
      <c r="BP159" s="14"/>
      <c r="BQ159" s="107" t="s">
        <v>39</v>
      </c>
      <c r="BR159" s="27">
        <f t="shared" si="110"/>
        <v>0</v>
      </c>
      <c r="BS159" s="41">
        <f t="shared" si="114"/>
        <v>0</v>
      </c>
      <c r="BT159" s="14"/>
      <c r="BU159" s="14"/>
      <c r="BV159" s="14"/>
      <c r="BW159" s="65"/>
      <c r="BX159" s="63"/>
      <c r="BY159" s="352"/>
      <c r="BZ159" s="14"/>
      <c r="CA159" s="14"/>
      <c r="CB159" s="21"/>
      <c r="CC159" s="21"/>
      <c r="CD159" s="180"/>
      <c r="CE159" s="181"/>
      <c r="CF159" s="31"/>
      <c r="CG159" s="52"/>
      <c r="CH159" s="52"/>
      <c r="CI159" s="99"/>
      <c r="CJ159" s="14"/>
      <c r="CK159" s="14"/>
      <c r="CL159" s="14"/>
      <c r="CM159" s="14"/>
      <c r="CN159" s="14"/>
      <c r="CO159" s="129"/>
      <c r="CP159" s="14"/>
      <c r="CQ159" s="47"/>
      <c r="CR159" s="14"/>
      <c r="CS159" s="14"/>
      <c r="CT159" s="14"/>
      <c r="CU159" s="14"/>
      <c r="CV159" s="180"/>
      <c r="CW159" s="190"/>
      <c r="CX159" s="191"/>
      <c r="CY159" s="52"/>
      <c r="CZ159" s="52"/>
      <c r="DA159" s="54"/>
      <c r="DB159" s="14"/>
      <c r="DC159" s="14"/>
      <c r="DD159" s="14"/>
      <c r="DE159" s="14"/>
      <c r="DF159" s="14"/>
      <c r="DG159" s="129"/>
      <c r="DH159" s="14"/>
      <c r="DI159" s="47"/>
      <c r="DJ159" s="14"/>
      <c r="DK159" s="62"/>
      <c r="DL159" s="19"/>
      <c r="DM159" s="59"/>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row>
    <row r="160" spans="1:142" x14ac:dyDescent="0.25">
      <c r="A160" s="14"/>
      <c r="B160" s="62"/>
      <c r="C160" s="19"/>
      <c r="D160" s="59"/>
      <c r="E160" s="14"/>
      <c r="F160" s="14"/>
      <c r="G160" s="14"/>
      <c r="H160" s="21"/>
      <c r="I160" s="21"/>
      <c r="J160" s="14"/>
      <c r="K160" s="14"/>
      <c r="L160" s="14"/>
      <c r="M160" s="14"/>
      <c r="N160" s="14"/>
      <c r="O160" s="14"/>
      <c r="P160" s="14"/>
      <c r="Q160" s="47"/>
      <c r="R160" s="19"/>
      <c r="S160" s="62"/>
      <c r="T160" s="19"/>
      <c r="U160" s="59"/>
      <c r="V160" s="14"/>
      <c r="W160" s="14"/>
      <c r="X160" s="86" t="s">
        <v>145</v>
      </c>
      <c r="Y160" s="111">
        <f>COUNTIFS(S30_stakeholder_category,"NB",Response_Q176_2,"&lt;&gt;0")</f>
        <v>1</v>
      </c>
      <c r="Z160" s="119">
        <f t="shared" si="107"/>
        <v>1</v>
      </c>
      <c r="AA160" s="14"/>
      <c r="AB160" s="14"/>
      <c r="AC160" s="14"/>
      <c r="AD160" s="65"/>
      <c r="AE160" s="63"/>
      <c r="AF160" s="47"/>
      <c r="AG160" s="19"/>
      <c r="AH160" s="62"/>
      <c r="AI160" s="19"/>
      <c r="AJ160" s="59"/>
      <c r="AK160" s="14"/>
      <c r="AL160" s="14"/>
      <c r="AM160" s="86" t="s">
        <v>145</v>
      </c>
      <c r="AN160" s="111">
        <f>COUNTIFS(S30_stakeholder_category,"NB",Response_30b_CaseA,"&lt;&gt;0")</f>
        <v>1</v>
      </c>
      <c r="AO160" s="119">
        <f t="shared" si="112"/>
        <v>1</v>
      </c>
      <c r="AP160" s="14"/>
      <c r="AQ160" s="14"/>
      <c r="AR160" s="14"/>
      <c r="AS160" s="65"/>
      <c r="AT160" s="63"/>
      <c r="AU160" s="47"/>
      <c r="AV160" s="14"/>
      <c r="AW160" s="62"/>
      <c r="AX160" s="19"/>
      <c r="AY160" s="59"/>
      <c r="AZ160" s="14"/>
      <c r="BA160" s="14"/>
      <c r="BB160" s="86" t="s">
        <v>145</v>
      </c>
      <c r="BC160" s="111">
        <f>COUNTIFS(S30_stakeholder_category,"NB",Response_30b_CaseB,"&lt;&gt;0")</f>
        <v>1</v>
      </c>
      <c r="BD160" s="119">
        <f t="shared" si="113"/>
        <v>1</v>
      </c>
      <c r="BE160" s="14"/>
      <c r="BF160" s="14"/>
      <c r="BG160" s="14"/>
      <c r="BH160" s="65"/>
      <c r="BI160" s="63"/>
      <c r="BJ160" s="352"/>
      <c r="BK160" s="19"/>
      <c r="BL160" s="62"/>
      <c r="BM160" s="19"/>
      <c r="BN160" s="59"/>
      <c r="BO160" s="14"/>
      <c r="BP160" s="14"/>
      <c r="BQ160" s="86" t="s">
        <v>145</v>
      </c>
      <c r="BR160" s="111">
        <f>COUNTIFS(S30_stakeholder_category,"NB",Response_30b_CaseC,"&lt;&gt;0")</f>
        <v>1</v>
      </c>
      <c r="BS160" s="119">
        <f t="shared" si="114"/>
        <v>1</v>
      </c>
      <c r="BT160" s="14"/>
      <c r="BU160" s="14"/>
      <c r="BV160" s="14"/>
      <c r="BW160" s="65"/>
      <c r="BX160" s="63"/>
      <c r="BY160" s="352"/>
      <c r="BZ160" s="14"/>
      <c r="CA160" s="14"/>
      <c r="CB160" s="21"/>
      <c r="CC160" s="21"/>
      <c r="CD160" s="180"/>
      <c r="CE160" s="181"/>
      <c r="CF160" s="31"/>
      <c r="CG160" s="52"/>
      <c r="CH160" s="52"/>
      <c r="CI160" s="99"/>
      <c r="CJ160" s="14"/>
      <c r="CK160" s="14"/>
      <c r="CL160" s="14"/>
      <c r="CM160" s="14"/>
      <c r="CN160" s="14"/>
      <c r="CO160" s="129"/>
      <c r="CP160" s="14"/>
      <c r="CQ160" s="47"/>
      <c r="CR160" s="14"/>
      <c r="CS160" s="14"/>
      <c r="CT160" s="14"/>
      <c r="CU160" s="14"/>
      <c r="CV160" s="180"/>
      <c r="CW160" s="190"/>
      <c r="CX160" s="191"/>
      <c r="CY160" s="52"/>
      <c r="CZ160" s="52"/>
      <c r="DA160" s="54"/>
      <c r="DB160" s="14"/>
      <c r="DC160" s="14"/>
      <c r="DD160" s="14"/>
      <c r="DE160" s="14"/>
      <c r="DF160" s="14"/>
      <c r="DG160" s="129"/>
      <c r="DH160" s="14"/>
      <c r="DI160" s="47"/>
      <c r="DJ160" s="14"/>
      <c r="DK160" s="62"/>
      <c r="DL160" s="19"/>
      <c r="DM160" s="59"/>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row>
    <row r="161" spans="1:142" s="135" customFormat="1" ht="15" customHeight="1" x14ac:dyDescent="0.25">
      <c r="A161" s="14"/>
      <c r="B161" s="13"/>
      <c r="C161" s="13"/>
      <c r="D161" s="21"/>
      <c r="E161" s="14"/>
      <c r="F161" s="14"/>
      <c r="G161" s="14"/>
      <c r="H161" s="21"/>
      <c r="I161" s="21"/>
      <c r="J161" s="14"/>
      <c r="K161" s="14"/>
      <c r="L161" s="14"/>
      <c r="M161" s="14"/>
      <c r="N161" s="14"/>
      <c r="O161" s="14"/>
      <c r="P161" s="14"/>
      <c r="Q161" s="47"/>
      <c r="R161" s="19"/>
      <c r="S161" s="13"/>
      <c r="T161" s="13"/>
      <c r="U161" s="21"/>
      <c r="V161" s="14"/>
      <c r="W161" s="14"/>
      <c r="X161" s="14"/>
      <c r="Y161" s="14"/>
      <c r="Z161" s="14"/>
      <c r="AA161" s="14"/>
      <c r="AB161" s="14"/>
      <c r="AC161" s="14"/>
      <c r="AD161" s="65"/>
      <c r="AE161" s="63"/>
      <c r="AF161" s="47"/>
      <c r="AG161" s="19"/>
      <c r="AH161" s="13"/>
      <c r="AI161" s="13"/>
      <c r="AJ161" s="21"/>
      <c r="AK161" s="14"/>
      <c r="AL161" s="14"/>
      <c r="AM161" s="14"/>
      <c r="AN161" s="14"/>
      <c r="AO161" s="14"/>
      <c r="AP161" s="14"/>
      <c r="AQ161" s="14"/>
      <c r="AR161" s="14"/>
      <c r="AS161" s="65"/>
      <c r="AT161" s="63"/>
      <c r="AU161" s="47"/>
      <c r="AV161" s="14"/>
      <c r="AW161" s="13"/>
      <c r="AX161" s="13"/>
      <c r="AY161" s="21"/>
      <c r="AZ161" s="14"/>
      <c r="BA161" s="14"/>
      <c r="BB161" s="14"/>
      <c r="BC161" s="14"/>
      <c r="BD161" s="14"/>
      <c r="BE161" s="14"/>
      <c r="BF161" s="14"/>
      <c r="BG161" s="14"/>
      <c r="BH161" s="65"/>
      <c r="BI161" s="63"/>
      <c r="BJ161" s="352"/>
      <c r="BK161" s="19"/>
      <c r="BL161" s="13"/>
      <c r="BM161" s="13"/>
      <c r="BN161" s="21"/>
      <c r="BO161" s="14"/>
      <c r="BP161" s="14"/>
      <c r="BQ161" s="14"/>
      <c r="BR161" s="14"/>
      <c r="BS161" s="14"/>
      <c r="BT161" s="14"/>
      <c r="BU161" s="14"/>
      <c r="BV161" s="14"/>
      <c r="BW161" s="65"/>
      <c r="BX161" s="63"/>
      <c r="BY161" s="352"/>
      <c r="BZ161" s="14"/>
      <c r="CA161" s="14"/>
      <c r="CB161" s="21"/>
      <c r="CC161" s="21"/>
      <c r="CD161" s="180"/>
      <c r="CE161" s="181"/>
      <c r="CF161" s="31"/>
      <c r="CG161" s="31"/>
      <c r="CH161" s="31"/>
      <c r="CI161" s="14"/>
      <c r="CJ161" s="14"/>
      <c r="CK161" s="14"/>
      <c r="CL161" s="14"/>
      <c r="CM161" s="14"/>
      <c r="CN161" s="14"/>
      <c r="CO161" s="129"/>
      <c r="CP161" s="14"/>
      <c r="CQ161" s="47"/>
      <c r="CR161" s="14"/>
      <c r="CS161" s="14"/>
      <c r="CT161" s="14"/>
      <c r="CU161" s="14"/>
      <c r="CV161" s="180"/>
      <c r="CW161" s="190"/>
      <c r="CX161" s="191"/>
      <c r="CY161" s="31"/>
      <c r="CZ161" s="31"/>
      <c r="DA161" s="14"/>
      <c r="DB161" s="14"/>
      <c r="DC161" s="14"/>
      <c r="DD161" s="14"/>
      <c r="DE161" s="14"/>
      <c r="DF161" s="14"/>
      <c r="DG161" s="129"/>
      <c r="DH161" s="14"/>
      <c r="DI161" s="47"/>
      <c r="DJ161" s="14"/>
      <c r="DK161" s="13"/>
      <c r="DL161" s="13"/>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row>
    <row r="162" spans="1:142" s="131" customFormat="1" x14ac:dyDescent="0.25">
      <c r="A162" s="78"/>
      <c r="B162" s="78" t="s">
        <v>153</v>
      </c>
      <c r="C162" s="78" t="s">
        <v>137</v>
      </c>
      <c r="D162" s="79"/>
      <c r="E162" s="78"/>
      <c r="F162" s="78"/>
      <c r="G162" s="78"/>
      <c r="H162" s="79"/>
      <c r="I162" s="79"/>
      <c r="J162" s="78"/>
      <c r="K162" s="78"/>
      <c r="L162" s="78"/>
      <c r="M162" s="78"/>
      <c r="N162" s="78"/>
      <c r="O162" s="78"/>
      <c r="P162" s="78"/>
      <c r="Q162" s="82"/>
      <c r="R162" s="83"/>
      <c r="S162" s="78" t="str">
        <f>$B162</f>
        <v>Policy makers and academia</v>
      </c>
      <c r="T162" s="78"/>
      <c r="U162" s="78"/>
      <c r="V162" s="78"/>
      <c r="W162" s="78"/>
      <c r="X162" s="78"/>
      <c r="Y162" s="78"/>
      <c r="Z162" s="78"/>
      <c r="AA162" s="78"/>
      <c r="AB162" s="78"/>
      <c r="AC162" s="78"/>
      <c r="AD162" s="80"/>
      <c r="AE162" s="81"/>
      <c r="AF162" s="82"/>
      <c r="AG162" s="83"/>
      <c r="AH162" s="78" t="str">
        <f>$B162</f>
        <v>Policy makers and academia</v>
      </c>
      <c r="AI162" s="78"/>
      <c r="AJ162" s="78"/>
      <c r="AK162" s="78"/>
      <c r="AL162" s="78"/>
      <c r="AM162" s="78"/>
      <c r="AN162" s="78"/>
      <c r="AO162" s="78"/>
      <c r="AP162" s="78"/>
      <c r="AQ162" s="78"/>
      <c r="AR162" s="78"/>
      <c r="AS162" s="80"/>
      <c r="AT162" s="81"/>
      <c r="AU162" s="82"/>
      <c r="AV162" s="78"/>
      <c r="AW162" s="78" t="str">
        <f>$B162</f>
        <v>Policy makers and academia</v>
      </c>
      <c r="AX162" s="78"/>
      <c r="AY162" s="78"/>
      <c r="AZ162" s="78"/>
      <c r="BA162" s="78"/>
      <c r="BB162" s="78"/>
      <c r="BC162" s="78"/>
      <c r="BD162" s="78"/>
      <c r="BE162" s="78"/>
      <c r="BF162" s="78"/>
      <c r="BG162" s="78"/>
      <c r="BH162" s="80"/>
      <c r="BI162" s="81"/>
      <c r="BJ162" s="373"/>
      <c r="BK162" s="83"/>
      <c r="BL162" s="78" t="str">
        <f>$B162</f>
        <v>Policy makers and academia</v>
      </c>
      <c r="BM162" s="78"/>
      <c r="BN162" s="78"/>
      <c r="BO162" s="78"/>
      <c r="BP162" s="78"/>
      <c r="BQ162" s="78"/>
      <c r="BR162" s="78"/>
      <c r="BS162" s="78"/>
      <c r="BT162" s="78"/>
      <c r="BU162" s="78"/>
      <c r="BV162" s="78"/>
      <c r="BW162" s="80"/>
      <c r="BX162" s="81"/>
      <c r="BY162" s="373"/>
      <c r="BZ162" s="78"/>
      <c r="CA162" s="78" t="str">
        <f>$B162</f>
        <v>Policy makers and academia</v>
      </c>
      <c r="CB162" s="79"/>
      <c r="CC162" s="79"/>
      <c r="CD162" s="182"/>
      <c r="CE162" s="182"/>
      <c r="CF162" s="79"/>
      <c r="CG162" s="78"/>
      <c r="CH162" s="78"/>
      <c r="CI162" s="78"/>
      <c r="CJ162" s="78"/>
      <c r="CK162" s="78"/>
      <c r="CL162" s="78"/>
      <c r="CM162" s="78"/>
      <c r="CN162" s="78"/>
      <c r="CO162" s="78"/>
      <c r="CP162" s="78"/>
      <c r="CQ162" s="82"/>
      <c r="CR162" s="78"/>
      <c r="CS162" s="78" t="str">
        <f>$B162</f>
        <v>Policy makers and academia</v>
      </c>
      <c r="CT162" s="78"/>
      <c r="CU162" s="78"/>
      <c r="CV162" s="182"/>
      <c r="CW162" s="192"/>
      <c r="CX162" s="192"/>
      <c r="CY162" s="78"/>
      <c r="CZ162" s="78"/>
      <c r="DA162" s="78"/>
      <c r="DB162" s="78"/>
      <c r="DC162" s="78"/>
      <c r="DD162" s="78"/>
      <c r="DE162" s="78"/>
      <c r="DF162" s="78"/>
      <c r="DG162" s="78"/>
      <c r="DH162" s="78"/>
      <c r="DI162" s="82"/>
      <c r="DJ162" s="78"/>
      <c r="DK162" s="78" t="str">
        <f>$B162</f>
        <v>Policy makers and academia</v>
      </c>
      <c r="DL162" s="78"/>
      <c r="DM162" s="78"/>
      <c r="DN162" s="78"/>
      <c r="DO162" s="78"/>
      <c r="DP162" s="78"/>
      <c r="DQ162" s="78"/>
      <c r="DR162" s="78"/>
      <c r="DS162" s="78"/>
      <c r="DT162" s="78"/>
      <c r="DU162" s="78"/>
      <c r="DV162" s="78"/>
      <c r="DW162" s="78"/>
      <c r="DX162" s="78"/>
      <c r="DY162" s="78"/>
      <c r="DZ162" s="78"/>
      <c r="EA162" s="78"/>
      <c r="EB162" s="78"/>
      <c r="EC162" s="78"/>
      <c r="ED162" s="78"/>
      <c r="EE162" s="78"/>
      <c r="EF162" s="78"/>
      <c r="EG162" s="78"/>
      <c r="EH162" s="78"/>
      <c r="EI162" s="78"/>
      <c r="EJ162" s="78"/>
      <c r="EK162" s="78"/>
      <c r="EL162" s="78"/>
    </row>
    <row r="163" spans="1:142" x14ac:dyDescent="0.25">
      <c r="A163" s="14"/>
      <c r="B163" s="84" t="s">
        <v>301</v>
      </c>
      <c r="C163" s="84"/>
      <c r="D163" s="85"/>
      <c r="E163" s="84"/>
      <c r="F163" s="14"/>
      <c r="G163" s="14"/>
      <c r="H163" s="21"/>
      <c r="I163" s="21"/>
      <c r="J163" s="14"/>
      <c r="K163" s="14"/>
      <c r="L163" s="14"/>
      <c r="M163" s="14"/>
      <c r="N163" s="14"/>
      <c r="O163" s="14"/>
      <c r="P163" s="14"/>
      <c r="Q163" s="47"/>
      <c r="R163" s="19"/>
      <c r="S163" s="84" t="s">
        <v>322</v>
      </c>
      <c r="T163" s="84"/>
      <c r="U163" s="85"/>
      <c r="V163" s="84"/>
      <c r="W163" s="14"/>
      <c r="X163" s="14"/>
      <c r="Y163" s="14"/>
      <c r="Z163" s="14"/>
      <c r="AA163" s="14"/>
      <c r="AB163" s="14"/>
      <c r="AC163" s="14"/>
      <c r="AD163" s="65"/>
      <c r="AE163" s="63"/>
      <c r="AF163" s="47"/>
      <c r="AG163" s="19"/>
      <c r="AH163" s="84" t="s">
        <v>328</v>
      </c>
      <c r="AI163" s="84"/>
      <c r="AJ163" s="85"/>
      <c r="AK163" s="84"/>
      <c r="AL163" s="84"/>
      <c r="AM163" s="14"/>
      <c r="AN163" s="14"/>
      <c r="AO163" s="14"/>
      <c r="AP163" s="14"/>
      <c r="AQ163" s="14"/>
      <c r="AR163" s="14"/>
      <c r="AS163" s="65"/>
      <c r="AT163" s="63"/>
      <c r="AU163" s="47"/>
      <c r="AV163" s="14"/>
      <c r="AW163" s="84" t="s">
        <v>347</v>
      </c>
      <c r="AX163" s="84"/>
      <c r="AY163" s="85"/>
      <c r="AZ163" s="84"/>
      <c r="BA163" s="84"/>
      <c r="BB163" s="14"/>
      <c r="BC163" s="14"/>
      <c r="BD163" s="14"/>
      <c r="BE163" s="14"/>
      <c r="BF163" s="14"/>
      <c r="BG163" s="14"/>
      <c r="BH163" s="65"/>
      <c r="BI163" s="63"/>
      <c r="BJ163" s="352"/>
      <c r="BK163" s="19"/>
      <c r="BL163" s="84" t="s">
        <v>348</v>
      </c>
      <c r="BM163" s="84"/>
      <c r="BN163" s="85"/>
      <c r="BO163" s="84"/>
      <c r="BP163" s="84"/>
      <c r="BQ163" s="14"/>
      <c r="BR163" s="14"/>
      <c r="BS163" s="14"/>
      <c r="BT163" s="14"/>
      <c r="BU163" s="14"/>
      <c r="BV163" s="14"/>
      <c r="BW163" s="65"/>
      <c r="BX163" s="63"/>
      <c r="BY163" s="352"/>
      <c r="BZ163" s="14"/>
      <c r="CA163" s="148" t="s">
        <v>303</v>
      </c>
      <c r="CB163" s="85"/>
      <c r="CC163" s="85"/>
      <c r="CD163" s="186"/>
      <c r="CE163" s="185"/>
      <c r="CF163" s="147"/>
      <c r="CG163" s="14"/>
      <c r="CH163" s="14"/>
      <c r="CI163" s="14"/>
      <c r="CJ163" s="14"/>
      <c r="CK163" s="14"/>
      <c r="CL163" s="14"/>
      <c r="CM163" s="14"/>
      <c r="CN163" s="14"/>
      <c r="CO163" s="129"/>
      <c r="CP163" s="14"/>
      <c r="CQ163" s="47"/>
      <c r="CR163" s="14"/>
      <c r="CS163" s="148" t="s">
        <v>304</v>
      </c>
      <c r="CT163" s="84"/>
      <c r="CU163" s="85"/>
      <c r="CV163" s="186"/>
      <c r="CW163" s="193"/>
      <c r="CX163" s="193"/>
      <c r="CY163" s="14"/>
      <c r="CZ163" s="14"/>
      <c r="DA163" s="14"/>
      <c r="DB163" s="14"/>
      <c r="DC163" s="14"/>
      <c r="DD163" s="14"/>
      <c r="DE163" s="14"/>
      <c r="DF163" s="14"/>
      <c r="DG163" s="129"/>
      <c r="DH163" s="14"/>
      <c r="DI163" s="47"/>
      <c r="DJ163" s="14"/>
      <c r="DK163" s="84" t="s">
        <v>305</v>
      </c>
      <c r="DL163" s="84"/>
      <c r="DM163" s="85"/>
      <c r="DN163" s="8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row>
    <row r="164" spans="1:142" x14ac:dyDescent="0.25">
      <c r="A164" s="14"/>
      <c r="B164" s="14"/>
      <c r="C164" s="14"/>
      <c r="D164" s="15"/>
      <c r="E164" s="14"/>
      <c r="F164" s="14"/>
      <c r="G164" s="14"/>
      <c r="H164" s="21"/>
      <c r="I164" s="21"/>
      <c r="J164" s="14"/>
      <c r="K164" s="19"/>
      <c r="L164" s="14"/>
      <c r="M164" s="14"/>
      <c r="N164" s="14"/>
      <c r="O164" s="14"/>
      <c r="P164" s="14"/>
      <c r="Q164" s="47"/>
      <c r="R164" s="19"/>
      <c r="S164" s="14"/>
      <c r="T164" s="14"/>
      <c r="U164" s="15"/>
      <c r="V164" s="14"/>
      <c r="W164" s="14"/>
      <c r="X164" s="14"/>
      <c r="Y164" s="14"/>
      <c r="Z164" s="14"/>
      <c r="AA164" s="14"/>
      <c r="AB164" s="14"/>
      <c r="AC164" s="14"/>
      <c r="AD164" s="65"/>
      <c r="AE164" s="63"/>
      <c r="AF164" s="47"/>
      <c r="AG164" s="19"/>
      <c r="AH164" s="14"/>
      <c r="AI164" s="14"/>
      <c r="AJ164" s="15"/>
      <c r="AK164" s="14"/>
      <c r="AL164" s="14"/>
      <c r="AM164" s="14"/>
      <c r="AN164" s="14"/>
      <c r="AO164" s="14"/>
      <c r="AP164" s="14"/>
      <c r="AQ164" s="14"/>
      <c r="AR164" s="14"/>
      <c r="AS164" s="65"/>
      <c r="AT164" s="63"/>
      <c r="AU164" s="47"/>
      <c r="AV164" s="14"/>
      <c r="AW164" s="14"/>
      <c r="AX164" s="14"/>
      <c r="AY164" s="15"/>
      <c r="AZ164" s="14"/>
      <c r="BA164" s="14"/>
      <c r="BB164" s="14"/>
      <c r="BC164" s="14"/>
      <c r="BD164" s="14"/>
      <c r="BE164" s="14"/>
      <c r="BF164" s="14"/>
      <c r="BG164" s="14"/>
      <c r="BH164" s="65"/>
      <c r="BI164" s="63"/>
      <c r="BJ164" s="352"/>
      <c r="BK164" s="19"/>
      <c r="BL164" s="14"/>
      <c r="BM164" s="14"/>
      <c r="BN164" s="15"/>
      <c r="BO164" s="14"/>
      <c r="BP164" s="14"/>
      <c r="BQ164" s="14"/>
      <c r="BR164" s="14"/>
      <c r="BS164" s="14"/>
      <c r="BT164" s="14"/>
      <c r="BU164" s="14"/>
      <c r="BV164" s="14"/>
      <c r="BW164" s="65"/>
      <c r="BX164" s="63"/>
      <c r="BY164" s="352"/>
      <c r="BZ164" s="14"/>
      <c r="CA164" s="14"/>
      <c r="CB164" s="21"/>
      <c r="CC164" s="21"/>
      <c r="CD164" s="180"/>
      <c r="CE164" s="180"/>
      <c r="CF164" s="21"/>
      <c r="CG164" s="14"/>
      <c r="CH164" s="14"/>
      <c r="CI164" s="14"/>
      <c r="CJ164" s="14"/>
      <c r="CK164" s="14"/>
      <c r="CL164" s="14"/>
      <c r="CM164" s="14"/>
      <c r="CN164" s="14"/>
      <c r="CO164" s="129"/>
      <c r="CP164" s="14"/>
      <c r="CQ164" s="47"/>
      <c r="CR164" s="14"/>
      <c r="CS164" s="14"/>
      <c r="CT164" s="14"/>
      <c r="CU164" s="14"/>
      <c r="CV164" s="180"/>
      <c r="CW164" s="189"/>
      <c r="CX164" s="189"/>
      <c r="CY164" s="14"/>
      <c r="CZ164" s="14"/>
      <c r="DA164" s="14"/>
      <c r="DB164" s="14"/>
      <c r="DC164" s="14"/>
      <c r="DD164" s="14"/>
      <c r="DE164" s="14"/>
      <c r="DF164" s="14"/>
      <c r="DG164" s="129"/>
      <c r="DH164" s="14"/>
      <c r="DI164" s="47"/>
      <c r="DJ164" s="14"/>
      <c r="DK164" s="14"/>
      <c r="DL164" s="14"/>
      <c r="DM164" s="15"/>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row>
    <row r="165" spans="1:142" ht="27.6" x14ac:dyDescent="0.25">
      <c r="A165" s="14"/>
      <c r="B165" s="112" t="s">
        <v>23</v>
      </c>
      <c r="C165" s="113" t="s">
        <v>24</v>
      </c>
      <c r="D165" s="113" t="s">
        <v>145</v>
      </c>
      <c r="E165" s="113" t="s">
        <v>300</v>
      </c>
      <c r="F165" s="14"/>
      <c r="G165" s="14"/>
      <c r="H165" s="21"/>
      <c r="I165" s="21"/>
      <c r="J165" s="14"/>
      <c r="K165" s="19"/>
      <c r="L165" s="51"/>
      <c r="M165" s="51"/>
      <c r="N165" s="51"/>
      <c r="O165" s="51"/>
      <c r="P165" s="51"/>
      <c r="Q165" s="47"/>
      <c r="R165" s="19"/>
      <c r="S165" s="112" t="s">
        <v>23</v>
      </c>
      <c r="T165" s="113" t="s">
        <v>24</v>
      </c>
      <c r="U165" s="113" t="s">
        <v>145</v>
      </c>
      <c r="V165" s="113" t="s">
        <v>300</v>
      </c>
      <c r="W165" s="14"/>
      <c r="X165" s="14"/>
      <c r="Y165" s="14"/>
      <c r="Z165" s="14"/>
      <c r="AA165" s="56"/>
      <c r="AB165" s="56"/>
      <c r="AC165" s="56"/>
      <c r="AD165" s="65"/>
      <c r="AE165" s="63"/>
      <c r="AF165" s="47"/>
      <c r="AG165" s="19"/>
      <c r="AH165" s="112" t="s">
        <v>23</v>
      </c>
      <c r="AI165" s="113" t="s">
        <v>24</v>
      </c>
      <c r="AJ165" s="113" t="s">
        <v>145</v>
      </c>
      <c r="AK165" s="113" t="s">
        <v>300</v>
      </c>
      <c r="AL165" s="14"/>
      <c r="AM165" s="14"/>
      <c r="AN165" s="14"/>
      <c r="AO165" s="14"/>
      <c r="AP165" s="56"/>
      <c r="AQ165" s="56"/>
      <c r="AR165" s="56"/>
      <c r="AS165" s="65"/>
      <c r="AT165" s="63"/>
      <c r="AU165" s="47"/>
      <c r="AV165" s="14"/>
      <c r="AW165" s="112" t="s">
        <v>23</v>
      </c>
      <c r="AX165" s="113" t="s">
        <v>24</v>
      </c>
      <c r="AY165" s="113" t="s">
        <v>145</v>
      </c>
      <c r="AZ165" s="113" t="s">
        <v>300</v>
      </c>
      <c r="BA165" s="14"/>
      <c r="BB165" s="14"/>
      <c r="BC165" s="14"/>
      <c r="BD165" s="14"/>
      <c r="BE165" s="56"/>
      <c r="BF165" s="56"/>
      <c r="BG165" s="56"/>
      <c r="BH165" s="65"/>
      <c r="BI165" s="63"/>
      <c r="BJ165" s="352"/>
      <c r="BK165" s="19"/>
      <c r="BL165" s="112" t="s">
        <v>23</v>
      </c>
      <c r="BM165" s="113" t="s">
        <v>24</v>
      </c>
      <c r="BN165" s="113" t="s">
        <v>145</v>
      </c>
      <c r="BO165" s="113" t="s">
        <v>300</v>
      </c>
      <c r="BP165" s="14"/>
      <c r="BQ165" s="14"/>
      <c r="BR165" s="14"/>
      <c r="BS165" s="14"/>
      <c r="BT165" s="56"/>
      <c r="BU165" s="56"/>
      <c r="BV165" s="56"/>
      <c r="BW165" s="65"/>
      <c r="BX165" s="63"/>
      <c r="BY165" s="352"/>
      <c r="BZ165" s="14"/>
      <c r="CA165" s="112" t="s">
        <v>23</v>
      </c>
      <c r="CB165" s="113" t="s">
        <v>145</v>
      </c>
      <c r="CC165" s="21"/>
      <c r="CD165" s="180"/>
      <c r="CE165" s="180"/>
      <c r="CF165" s="21"/>
      <c r="CG165" s="14"/>
      <c r="CH165" s="14"/>
      <c r="CI165" s="14"/>
      <c r="CJ165" s="14"/>
      <c r="CK165" s="14"/>
      <c r="CL165" s="14"/>
      <c r="CM165" s="14"/>
      <c r="CN165" s="14"/>
      <c r="CO165" s="129"/>
      <c r="CP165" s="17"/>
      <c r="CQ165" s="47"/>
      <c r="CR165" s="14"/>
      <c r="CS165" s="112" t="s">
        <v>23</v>
      </c>
      <c r="CT165" s="113" t="s">
        <v>145</v>
      </c>
      <c r="CU165" s="14"/>
      <c r="CV165" s="180"/>
      <c r="CW165" s="189"/>
      <c r="CX165" s="189"/>
      <c r="CY165" s="14"/>
      <c r="CZ165" s="14"/>
      <c r="DA165" s="14"/>
      <c r="DB165" s="14"/>
      <c r="DC165" s="14"/>
      <c r="DD165" s="14"/>
      <c r="DE165" s="14"/>
      <c r="DF165" s="14"/>
      <c r="DG165" s="129"/>
      <c r="DH165" s="17"/>
      <c r="DI165" s="47"/>
      <c r="DJ165" s="17"/>
      <c r="DK165" s="112" t="s">
        <v>23</v>
      </c>
      <c r="DL165" s="113" t="s">
        <v>24</v>
      </c>
      <c r="DM165" s="113" t="s">
        <v>145</v>
      </c>
      <c r="DN165" s="113" t="s">
        <v>300</v>
      </c>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row>
    <row r="166" spans="1:142" ht="27.6" x14ac:dyDescent="0.25">
      <c r="A166" s="14"/>
      <c r="B166" s="57" t="s">
        <v>153</v>
      </c>
      <c r="C166" s="121" t="str">
        <f>IF(H185=0,"na",IF(COUNTIF(H180:H184,MAX(H180:H184))&gt;COUNTIF(G180:G184,"&lt;&gt;""")/2,"No clear choice of the most common response",INDEX(G180:G184,MATCH(MAX(H180:H184),H180:H184,0),1)))</f>
        <v>No clear choice of the most common response</v>
      </c>
      <c r="D166" s="58">
        <f>COUNTIFS(S30_stakeholder_category,"PO",Response_Q173_3,"&lt;&gt;0")</f>
        <v>3</v>
      </c>
      <c r="E166" s="121">
        <f>COUNTIFS(S30_stakeholder_category,"PO",Response_Q173_3,"I don’t know")</f>
        <v>0</v>
      </c>
      <c r="F166" s="14"/>
      <c r="G166" s="14"/>
      <c r="H166" s="21"/>
      <c r="I166" s="21"/>
      <c r="J166" s="14"/>
      <c r="K166" s="19"/>
      <c r="L166" s="40"/>
      <c r="M166" s="40"/>
      <c r="N166" s="40"/>
      <c r="O166" s="40"/>
      <c r="P166" s="40"/>
      <c r="Q166" s="47"/>
      <c r="R166" s="19"/>
      <c r="S166" s="34" t="s">
        <v>153</v>
      </c>
      <c r="T166" s="37" t="str">
        <f>IF(Y187=0,"na",IF(COUNTIF(Y180:Y186,MAX(Y180:Y186))&gt;COUNTIF(X180:X186,"&lt;&gt;""")/2,"No clear choice of the most common response",INDEX(X180:X186,MATCH(MAX(Y180:Y186),Y180:Y186,0),1)))</f>
        <v>Very unlikely</v>
      </c>
      <c r="U166" s="33">
        <f>COUNTIFS(S30_stakeholder_category,"PO",Response_Q176_2,"&lt;&gt;0")</f>
        <v>3</v>
      </c>
      <c r="V166" s="37">
        <f>COUNTIFS(S30_stakeholder_category,"PO",Response_Q176_2,"I don’t know")</f>
        <v>0</v>
      </c>
      <c r="W166" s="14"/>
      <c r="X166" s="14"/>
      <c r="Y166" s="14"/>
      <c r="Z166" s="14"/>
      <c r="AA166" s="19"/>
      <c r="AB166" s="19"/>
      <c r="AC166" s="19"/>
      <c r="AD166" s="65"/>
      <c r="AE166" s="63"/>
      <c r="AF166" s="47"/>
      <c r="AG166" s="19"/>
      <c r="AH166" s="57" t="s">
        <v>153</v>
      </c>
      <c r="AI166" s="121" t="str">
        <f>IF(AN187=0,"na",IF(COUNTIF(AN180:AN186,MAX(AN180:AN186))&gt;COUNTIF(AM180:AM186,"&lt;&gt;""")/2,"No clear choice of the most common response",INDEX(AM180:AM186,MATCH(MAX(AN180:AN186),AN180:AN186,0),1)))</f>
        <v>Very unlikely</v>
      </c>
      <c r="AJ166" s="58">
        <f>COUNTIFS(S30_stakeholder_category,"PO",Response_30b_CaseA,"&lt;&gt;0")</f>
        <v>1</v>
      </c>
      <c r="AK166" s="121">
        <f>COUNTIFS(S30_stakeholder_category,"PO",Response_30b_CaseA,"I don’t know")</f>
        <v>0</v>
      </c>
      <c r="AL166" s="14"/>
      <c r="AM166" s="14"/>
      <c r="AN166" s="14"/>
      <c r="AO166" s="14"/>
      <c r="AP166" s="19"/>
      <c r="AQ166" s="19"/>
      <c r="AR166" s="19"/>
      <c r="AS166" s="65"/>
      <c r="AT166" s="63"/>
      <c r="AU166" s="47"/>
      <c r="AV166" s="14"/>
      <c r="AW166" s="57" t="s">
        <v>153</v>
      </c>
      <c r="AX166" s="121" t="str">
        <f>IF(BC187=0,"na",IF(COUNTIF(BC180:BC186,MAX(BC180:BC186))&gt;COUNTIF(BB180:BB186,"&lt;&gt;""")/2,"No clear choice of the most common response",INDEX(BB180:BB186,MATCH(MAX(BC180:BC186),BC180:BC186,0),1)))</f>
        <v>Very unlikely</v>
      </c>
      <c r="AY166" s="58">
        <f>COUNTIFS(S30_stakeholder_category,"PO",Response_30b_CaseB,"&lt;&gt;0")</f>
        <v>1</v>
      </c>
      <c r="AZ166" s="121">
        <f>COUNTIFS(S30_stakeholder_category,"PO",Response_30b_CaseB,"I don’t know")</f>
        <v>0</v>
      </c>
      <c r="BA166" s="14"/>
      <c r="BB166" s="14"/>
      <c r="BC166" s="14"/>
      <c r="BD166" s="14"/>
      <c r="BE166" s="19"/>
      <c r="BF166" s="19"/>
      <c r="BG166" s="19"/>
      <c r="BH166" s="65"/>
      <c r="BI166" s="63"/>
      <c r="BJ166" s="352"/>
      <c r="BK166" s="19"/>
      <c r="BL166" s="57" t="s">
        <v>153</v>
      </c>
      <c r="BM166" s="121" t="str">
        <f>IF(BR187=0,"na",IF(COUNTIF(BR180:BR186,MAX(BR180:BR186))&gt;COUNTIF(BQ180:BQ186,"&lt;&gt;""")/2,"No clear choice of the most common response",INDEX(BQ180:BQ186,MATCH(MAX(BR180:BR186),BR180:BR186,0),1)))</f>
        <v>Likely</v>
      </c>
      <c r="BN166" s="58">
        <f>COUNTIFS(S30_stakeholder_category,"PO",Response_30b_CaseC,"&lt;&gt;0")</f>
        <v>1</v>
      </c>
      <c r="BO166" s="121">
        <f>COUNTIFS(S30_stakeholder_category,"PO",Response_30b_CaseC,"I don’t know")</f>
        <v>0</v>
      </c>
      <c r="BP166" s="14"/>
      <c r="BQ166" s="14"/>
      <c r="BR166" s="14"/>
      <c r="BS166" s="14"/>
      <c r="BT166" s="19"/>
      <c r="BU166" s="19"/>
      <c r="BV166" s="19"/>
      <c r="BW166" s="65"/>
      <c r="BX166" s="63"/>
      <c r="BY166" s="352"/>
      <c r="BZ166" s="14"/>
      <c r="CA166" s="34" t="s">
        <v>153</v>
      </c>
      <c r="CB166" s="37">
        <f>MAX(SUM(CC172:CC178),SUM(CD172:CD178),SUM(CE172:CE178))</f>
        <v>4</v>
      </c>
      <c r="CC166" s="21"/>
      <c r="CD166" s="180"/>
      <c r="CE166" s="180"/>
      <c r="CF166" s="21"/>
      <c r="CG166" s="14"/>
      <c r="CH166" s="14"/>
      <c r="CI166" s="14"/>
      <c r="CJ166" s="14"/>
      <c r="CK166" s="14"/>
      <c r="CL166" s="14"/>
      <c r="CM166" s="14"/>
      <c r="CN166" s="14"/>
      <c r="CO166" s="129"/>
      <c r="CP166" s="29"/>
      <c r="CQ166" s="47"/>
      <c r="CR166" s="14"/>
      <c r="CS166" s="34" t="s">
        <v>153</v>
      </c>
      <c r="CT166" s="37">
        <f>MAX(SUM(CU172:CU178),SUM(CV172:CV178),SUM(CW172:CW178))</f>
        <v>2</v>
      </c>
      <c r="CU166" s="14"/>
      <c r="CV166" s="180"/>
      <c r="CW166" s="189"/>
      <c r="CX166" s="189"/>
      <c r="CY166" s="14"/>
      <c r="CZ166" s="14"/>
      <c r="DA166" s="14"/>
      <c r="DB166" s="14"/>
      <c r="DC166" s="14"/>
      <c r="DD166" s="14"/>
      <c r="DE166" s="14"/>
      <c r="DF166" s="14"/>
      <c r="DG166" s="129"/>
      <c r="DH166" s="29"/>
      <c r="DI166" s="47"/>
      <c r="DJ166" s="29"/>
      <c r="DK166" s="34" t="s">
        <v>153</v>
      </c>
      <c r="DL166" s="37" t="str">
        <f>IF(DQ185=0,"na",IF(COUNTIF(DQ180:DQ184,MAX(DQ180:DQ184))&gt;COUNTIF(DP180:DP184,"&lt;&gt;""")/2,"No clear choice of the most common response",INDEX(DP180:DP184,MATCH(MAX(DQ180:DQ184),DQ180:DQ184,0),1)))</f>
        <v>Most of the time</v>
      </c>
      <c r="DM166" s="33">
        <f>COUNTIFS(S30_stakeholder_category,"PO",Response_Q172_1,"&lt;&gt;0",Response_Q173_3,"&lt;&gt;0")</f>
        <v>3</v>
      </c>
      <c r="DN166" s="37">
        <f>DQ184</f>
        <v>0</v>
      </c>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row>
    <row r="167" spans="1:142" x14ac:dyDescent="0.25">
      <c r="A167" s="14"/>
      <c r="B167" s="57"/>
      <c r="C167" s="121" t="str">
        <f ca="1">IF(H185=0,"",IF(COUNTIF(H180:H184,MAX(H180:H184))=1,"",IF(COUNTIF(H180:H184,MAX(H180:H184))&gt;COUNTIF(G180:G184,"&lt;&gt;""")/2,"",INDEX(OFFSET(G180,MATCH(C166,G180:G185,0),0):G184,MATCH(MAX(H180:H184),OFFSET(H180,MATCH(C166,G180:G185,0),0):H184,0),1))))</f>
        <v/>
      </c>
      <c r="D167" s="58"/>
      <c r="E167" s="121"/>
      <c r="F167" s="14"/>
      <c r="G167" s="14"/>
      <c r="H167" s="21"/>
      <c r="I167" s="21"/>
      <c r="J167" s="14"/>
      <c r="K167" s="19"/>
      <c r="L167" s="40"/>
      <c r="M167" s="40"/>
      <c r="N167" s="40"/>
      <c r="O167" s="40"/>
      <c r="P167" s="40"/>
      <c r="Q167" s="47"/>
      <c r="R167" s="19"/>
      <c r="S167" s="34"/>
      <c r="T167" s="37" t="str">
        <f ca="1">IF(Y187=0,"",IF(COUNTIF(Y180:Y186,MAX(Y180:Y186))=1,"",IF(COUNTIF(Y180:Y186,MAX(Y180:Y186))&gt;COUNTIF(X180:X186,"&lt;&gt;""")/2,"",INDEX(OFFSET(X180,MATCH(T166,X180:X186,0),0):X186,MATCH(MAX(Y180:Y186),OFFSET(Y180,MATCH(T166,X180:X186,0),0):Y186,0),1))))</f>
        <v>Moderately unlikely</v>
      </c>
      <c r="U167" s="33"/>
      <c r="V167" s="37"/>
      <c r="W167" s="14"/>
      <c r="X167" s="14"/>
      <c r="Y167" s="14"/>
      <c r="Z167" s="14"/>
      <c r="AA167" s="19"/>
      <c r="AB167" s="19"/>
      <c r="AC167" s="19"/>
      <c r="AD167" s="65"/>
      <c r="AE167" s="63"/>
      <c r="AF167" s="47"/>
      <c r="AG167" s="19"/>
      <c r="AH167" s="57"/>
      <c r="AI167" s="121" t="str">
        <f ca="1">IF(AN187=0,"",IF(COUNTIF(AN180:AN186,MAX(AN180:AN186))=1,"",IF(COUNTIF(AN180:AN186,MAX(AN180:AN186))&gt;COUNTIF(AM180:AM186,"&lt;&gt;""")/2,"",INDEX(OFFSET(AM180,MATCH(AI166,AM180:AM186,0),0):AM186,MATCH(MAX(AN180:AN186),OFFSET(AN180,MATCH(AI166,AM180:AM186,0),0):AN186,0),1))))</f>
        <v/>
      </c>
      <c r="AJ167" s="58"/>
      <c r="AK167" s="121"/>
      <c r="AL167" s="14"/>
      <c r="AM167" s="14"/>
      <c r="AN167" s="14"/>
      <c r="AO167" s="14"/>
      <c r="AP167" s="19"/>
      <c r="AQ167" s="19"/>
      <c r="AR167" s="19"/>
      <c r="AS167" s="65"/>
      <c r="AT167" s="63"/>
      <c r="AU167" s="47"/>
      <c r="AV167" s="14"/>
      <c r="AW167" s="57"/>
      <c r="AX167" s="121" t="str">
        <f ca="1">IF(BC187=0,"",IF(COUNTIF(BC180:BC186,MAX(BC180:BC186))=1,"",IF(COUNTIF(BC180:BC186,MAX(BC180:BC186))&gt;COUNTIF(BB180:BB186,"&lt;&gt;""")/2,"",INDEX(OFFSET(BB180,MATCH(AX166,BB180:BB186,0),0):BB186,MATCH(MAX(BC180:BC186),OFFSET(BC180,MATCH(AX166,BB180:BB186,0),0):BC186,0),1))))</f>
        <v/>
      </c>
      <c r="AY167" s="58"/>
      <c r="AZ167" s="121"/>
      <c r="BA167" s="14"/>
      <c r="BB167" s="14"/>
      <c r="BC167" s="14"/>
      <c r="BD167" s="14"/>
      <c r="BE167" s="19"/>
      <c r="BF167" s="19"/>
      <c r="BG167" s="19"/>
      <c r="BH167" s="65"/>
      <c r="BI167" s="63"/>
      <c r="BJ167" s="352"/>
      <c r="BK167" s="19"/>
      <c r="BL167" s="57"/>
      <c r="BM167" s="121" t="str">
        <f ca="1">IF(BR187=0,"",IF(COUNTIF(BR180:BR186,MAX(BR180:BR186))=1,"",IF(COUNTIF(BR180:BR186,MAX(BR180:BR186))&gt;COUNTIF(BQ180:BQ186,"&lt;&gt;""")/2,"",INDEX(OFFSET(BQ180,MATCH(BM166,BQ180:BQ186,0),0):BQ186,MATCH(MAX(BR180:BR186),OFFSET(BR180,MATCH(BM166,BQ180:BQ186,0),0):BR186,0),1))))</f>
        <v/>
      </c>
      <c r="BN167" s="58"/>
      <c r="BO167" s="121"/>
      <c r="BP167" s="14"/>
      <c r="BQ167" s="14"/>
      <c r="BR167" s="14"/>
      <c r="BS167" s="14"/>
      <c r="BT167" s="19"/>
      <c r="BU167" s="19"/>
      <c r="BV167" s="19"/>
      <c r="BW167" s="65"/>
      <c r="BX167" s="63"/>
      <c r="BY167" s="352"/>
      <c r="BZ167" s="14"/>
      <c r="CA167" s="14"/>
      <c r="CB167" s="21"/>
      <c r="CC167" s="21"/>
      <c r="CD167" s="180"/>
      <c r="CE167" s="180"/>
      <c r="CF167" s="21"/>
      <c r="CG167" s="14"/>
      <c r="CH167" s="14"/>
      <c r="CI167" s="14"/>
      <c r="CJ167" s="14"/>
      <c r="CK167" s="14"/>
      <c r="CL167" s="14"/>
      <c r="CM167" s="14"/>
      <c r="CN167" s="14"/>
      <c r="CO167" s="129"/>
      <c r="CP167" s="29"/>
      <c r="CQ167" s="47"/>
      <c r="CR167" s="14"/>
      <c r="CS167" s="14"/>
      <c r="CT167" s="14"/>
      <c r="CU167" s="14"/>
      <c r="CV167" s="180"/>
      <c r="CW167" s="189"/>
      <c r="CX167" s="189"/>
      <c r="CY167" s="14"/>
      <c r="CZ167" s="14"/>
      <c r="DA167" s="14"/>
      <c r="DB167" s="14"/>
      <c r="DC167" s="14"/>
      <c r="DD167" s="14"/>
      <c r="DE167" s="14"/>
      <c r="DF167" s="14"/>
      <c r="DG167" s="129"/>
      <c r="DH167" s="29"/>
      <c r="DI167" s="47"/>
      <c r="DJ167" s="29"/>
      <c r="DK167" s="34"/>
      <c r="DL167" s="37" t="str">
        <f ca="1">IF(DQ185=0,"",IF(COUNTIF(DQ180:DQ184,MAX(DQ180:DQ184))=1,"",IF(COUNTIF(DQ180:DQ184,MAX(DQ180:DQ184))&gt;COUNTIF(DP180:DP184,"&lt;&gt;""")/2,"",INDEX(OFFSET(DP180,MATCH(DL166,DP180:DP185,0),0):DP184,MATCH(MAX(DQ180:DQ184),OFFSET(DQ180,MATCH(DL166,DP180:DP185,0),0):DQ184,0),1))))</f>
        <v/>
      </c>
      <c r="DM167" s="33"/>
      <c r="DN167" s="37"/>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row>
    <row r="168" spans="1:142" x14ac:dyDescent="0.25">
      <c r="A168" s="14"/>
      <c r="B168" s="57"/>
      <c r="C168" s="121" t="str">
        <f ca="1" xml:space="preserve"> IF(H185=0,"", IF(COUNTIF(H180:H184,MAX(H180:H184))&lt;=2,"",IF(COUNTIF(H180:H184,MAX(H180:H184))&gt;COUNTIF(G180:G184,"&lt;&gt;""")/2,"", INDEX(OFFSET(G180,MATCH(C167,G180:G185,0),0):G184,         MATCH(MAX(H180:H184),        OFFSET(H180,MATCH(C167,G180:G185,0),0):H184,0),1))))</f>
        <v/>
      </c>
      <c r="D168" s="58"/>
      <c r="E168" s="121"/>
      <c r="F168" s="14"/>
      <c r="G168" s="14"/>
      <c r="H168" s="21"/>
      <c r="I168" s="21"/>
      <c r="J168" s="14"/>
      <c r="K168" s="19"/>
      <c r="L168" s="40"/>
      <c r="M168" s="40"/>
      <c r="N168" s="40"/>
      <c r="O168" s="40"/>
      <c r="P168" s="40"/>
      <c r="Q168" s="47"/>
      <c r="R168" s="19"/>
      <c r="S168" s="34"/>
      <c r="T168" s="121" t="str">
        <f ca="1" xml:space="preserve"> IF(Y187=0,"",IF(Y187=0,"", IF(COUNTIF(Y180:Y186,MAX(Y180:Y186))&lt;=2,"",IF(COUNTIF(Y180:Y186,MAX(Y180:Y186))&gt;COUNTIF(X180:X186,"&lt;&gt;""")/2,"", INDEX(OFFSET(X180,MATCH(T167,X180:X186,0),0):X186,         MATCH(MAX(Y180:Y186),        OFFSET(Y180,MATCH(T167,X180:X186,0),0):Y186,0),1)))))</f>
        <v>Likely</v>
      </c>
      <c r="U168" s="33"/>
      <c r="V168" s="37"/>
      <c r="W168" s="14"/>
      <c r="X168" s="14"/>
      <c r="Y168" s="14"/>
      <c r="Z168" s="14"/>
      <c r="AA168" s="19"/>
      <c r="AB168" s="19"/>
      <c r="AC168" s="19"/>
      <c r="AD168" s="65"/>
      <c r="AE168" s="63"/>
      <c r="AF168" s="47"/>
      <c r="AG168" s="19"/>
      <c r="AH168" s="57"/>
      <c r="AI168" s="121" t="str">
        <f ca="1" xml:space="preserve"> IF(AN187=0,"",IF(AN187=0,"", IF(COUNTIF(AN180:AN186,MAX(AN180:AN186))&lt;=2,"",IF(COUNTIF(AN180:AN186,MAX(AN180:AN186))&gt;COUNTIF(AM180:AM186,"&lt;&gt;""")/2,"", INDEX(OFFSET(AM180,MATCH(AI167,AM180:AM186,0),0):AM186,         MATCH(MAX(AN180:AN186),        OFFSET(AN180,MATCH(AI167,AM180:AM186,0),0):AN186,0),1)))))</f>
        <v/>
      </c>
      <c r="AJ168" s="58"/>
      <c r="AK168" s="121"/>
      <c r="AL168" s="14"/>
      <c r="AM168" s="14"/>
      <c r="AN168" s="14"/>
      <c r="AO168" s="14"/>
      <c r="AP168" s="19"/>
      <c r="AQ168" s="19"/>
      <c r="AR168" s="19"/>
      <c r="AS168" s="65"/>
      <c r="AT168" s="63"/>
      <c r="AU168" s="47"/>
      <c r="AV168" s="14"/>
      <c r="AW168" s="57"/>
      <c r="AX168" s="121" t="str">
        <f ca="1" xml:space="preserve"> IF(BC187=0,"",IF(BC187=0,"", IF(COUNTIF(BC180:BC186,MAX(BC180:BC186))&lt;=2,"",IF(COUNTIF(BC180:BC186,MAX(BC180:BC186))&gt;COUNTIF(BB180:BB186,"&lt;&gt;""")/2,"", INDEX(OFFSET(BB180,MATCH(AX167,BB180:BB186,0),0):BB186,         MATCH(MAX(BC180:BC186),        OFFSET(BC180,MATCH(AX167,BB180:BB186,0),0):BC186,0),1)))))</f>
        <v/>
      </c>
      <c r="AY168" s="58"/>
      <c r="AZ168" s="121"/>
      <c r="BA168" s="14"/>
      <c r="BB168" s="14"/>
      <c r="BC168" s="14"/>
      <c r="BD168" s="14"/>
      <c r="BE168" s="19"/>
      <c r="BF168" s="19"/>
      <c r="BG168" s="19"/>
      <c r="BH168" s="65"/>
      <c r="BI168" s="63"/>
      <c r="BJ168" s="352"/>
      <c r="BK168" s="19"/>
      <c r="BL168" s="57"/>
      <c r="BM168" s="121" t="str">
        <f ca="1" xml:space="preserve"> IF(BR187=0,"",IF(BR187=0,"", IF(COUNTIF(BR180:BR186,MAX(BR180:BR186))&lt;=2,"",IF(COUNTIF(BR180:BR186,MAX(BR180:BR186))&gt;COUNTIF(BQ180:BQ186,"&lt;&gt;""")/2,"", INDEX(OFFSET(BQ180,MATCH(BM167,BQ180:BQ186,0),0):BQ186,         MATCH(MAX(BR180:BR186),        OFFSET(BR180,MATCH(BM167,BQ180:BQ186,0),0):BR186,0),1)))))</f>
        <v/>
      </c>
      <c r="BN168" s="58"/>
      <c r="BO168" s="121"/>
      <c r="BP168" s="14"/>
      <c r="BQ168" s="14"/>
      <c r="BR168" s="14"/>
      <c r="BS168" s="14"/>
      <c r="BT168" s="19"/>
      <c r="BU168" s="19"/>
      <c r="BV168" s="19"/>
      <c r="BW168" s="65"/>
      <c r="BX168" s="63"/>
      <c r="BY168" s="352"/>
      <c r="BZ168" s="14"/>
      <c r="CA168" s="14"/>
      <c r="CB168" s="21"/>
      <c r="CC168" s="21"/>
      <c r="CD168" s="180"/>
      <c r="CE168" s="180"/>
      <c r="CF168" s="21"/>
      <c r="CG168" s="14"/>
      <c r="CH168" s="14"/>
      <c r="CI168" s="14"/>
      <c r="CJ168" s="14"/>
      <c r="CK168" s="14"/>
      <c r="CL168" s="14"/>
      <c r="CM168" s="14"/>
      <c r="CN168" s="14"/>
      <c r="CO168" s="129"/>
      <c r="CP168" s="29"/>
      <c r="CQ168" s="47"/>
      <c r="CR168" s="14"/>
      <c r="CS168" s="14"/>
      <c r="CT168" s="14"/>
      <c r="CU168" s="14"/>
      <c r="CV168" s="180"/>
      <c r="CW168" s="189"/>
      <c r="CX168" s="189"/>
      <c r="CY168" s="14"/>
      <c r="CZ168" s="14"/>
      <c r="DA168" s="14"/>
      <c r="DB168" s="14"/>
      <c r="DC168" s="14"/>
      <c r="DD168" s="14"/>
      <c r="DE168" s="14"/>
      <c r="DF168" s="14"/>
      <c r="DG168" s="129"/>
      <c r="DH168" s="29"/>
      <c r="DI168" s="47"/>
      <c r="DJ168" s="29"/>
      <c r="DK168" s="34"/>
      <c r="DL168" s="37" t="str">
        <f ca="1">IF(DQ185=0,"",IF(COUNTIF(DQ180:DQ184,MAX(DQ180:DQ184))&lt;=2,"",IF(COUNTIF(DQ180:DQ184,MAX(DQ180:DQ184))&gt;COUNTIF(DP180:DP184,"&lt;&gt;""")/2,"",INDEX(OFFSET(DP180,MATCH(DL167,DP180:DP185,0),0):DP184,MATCH(MAX(DQ180:DQ184),OFFSET(DQ180,MATCH(DL167,DP180:DP185,0),0):DQ184,0),1))))</f>
        <v/>
      </c>
      <c r="DM168" s="33"/>
      <c r="DN168" s="37"/>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row>
    <row r="169" spans="1:142" x14ac:dyDescent="0.25">
      <c r="A169" s="14"/>
      <c r="B169" s="14"/>
      <c r="C169" s="14"/>
      <c r="D169" s="27"/>
      <c r="E169" s="14"/>
      <c r="F169" s="14"/>
      <c r="G169" s="14"/>
      <c r="H169" s="21"/>
      <c r="I169" s="21"/>
      <c r="J169" s="14"/>
      <c r="K169" s="19"/>
      <c r="L169" s="40"/>
      <c r="M169" s="40"/>
      <c r="N169" s="40"/>
      <c r="O169" s="40"/>
      <c r="P169" s="40"/>
      <c r="Q169" s="47"/>
      <c r="R169" s="19"/>
      <c r="S169" s="19"/>
      <c r="T169" s="19"/>
      <c r="U169" s="19"/>
      <c r="V169" s="19"/>
      <c r="W169" s="14"/>
      <c r="X169" s="14"/>
      <c r="Y169" s="14"/>
      <c r="Z169" s="14"/>
      <c r="AA169" s="19"/>
      <c r="AB169" s="19"/>
      <c r="AC169" s="19"/>
      <c r="AD169" s="65"/>
      <c r="AE169" s="63"/>
      <c r="AF169" s="47"/>
      <c r="AG169" s="19"/>
      <c r="AH169" s="19"/>
      <c r="AI169" s="19"/>
      <c r="AJ169" s="19"/>
      <c r="AK169" s="19"/>
      <c r="AL169" s="14"/>
      <c r="AM169" s="14"/>
      <c r="AN169" s="14"/>
      <c r="AO169" s="14"/>
      <c r="AP169" s="19"/>
      <c r="AQ169" s="19"/>
      <c r="AR169" s="19"/>
      <c r="AS169" s="65"/>
      <c r="AT169" s="63"/>
      <c r="AU169" s="47"/>
      <c r="AV169" s="14"/>
      <c r="AW169" s="19"/>
      <c r="AX169" s="19"/>
      <c r="AY169" s="19"/>
      <c r="AZ169" s="19"/>
      <c r="BA169" s="14"/>
      <c r="BB169" s="14"/>
      <c r="BC169" s="14"/>
      <c r="BD169" s="14"/>
      <c r="BE169" s="19"/>
      <c r="BF169" s="19"/>
      <c r="BG169" s="19"/>
      <c r="BH169" s="65"/>
      <c r="BI169" s="63"/>
      <c r="BJ169" s="352"/>
      <c r="BK169" s="19"/>
      <c r="BL169" s="19"/>
      <c r="BM169" s="19"/>
      <c r="BN169" s="19"/>
      <c r="BO169" s="19"/>
      <c r="BP169" s="14"/>
      <c r="BQ169" s="14"/>
      <c r="BR169" s="14"/>
      <c r="BS169" s="14"/>
      <c r="BT169" s="19"/>
      <c r="BU169" s="19"/>
      <c r="BV169" s="19"/>
      <c r="BW169" s="65"/>
      <c r="BX169" s="63"/>
      <c r="BY169" s="352"/>
      <c r="BZ169" s="14"/>
      <c r="CA169" s="14"/>
      <c r="CB169" s="21"/>
      <c r="CC169" s="21"/>
      <c r="CD169" s="180"/>
      <c r="CE169" s="180"/>
      <c r="CF169" s="21"/>
      <c r="CG169" s="14"/>
      <c r="CH169" s="14"/>
      <c r="CI169" s="14"/>
      <c r="CJ169" s="14"/>
      <c r="CK169" s="14"/>
      <c r="CL169" s="14"/>
      <c r="CM169" s="14"/>
      <c r="CN169" s="14"/>
      <c r="CO169" s="129"/>
      <c r="CP169" s="29"/>
      <c r="CQ169" s="47"/>
      <c r="CR169" s="14"/>
      <c r="CS169" s="14"/>
      <c r="CT169" s="14"/>
      <c r="CU169" s="14"/>
      <c r="CV169" s="180"/>
      <c r="CW169" s="189"/>
      <c r="CX169" s="189"/>
      <c r="CY169" s="14"/>
      <c r="CZ169" s="14"/>
      <c r="DA169" s="14"/>
      <c r="DB169" s="14"/>
      <c r="DC169" s="14"/>
      <c r="DD169" s="14"/>
      <c r="DE169" s="14"/>
      <c r="DF169" s="14"/>
      <c r="DG169" s="129"/>
      <c r="DH169" s="29"/>
      <c r="DI169" s="47"/>
      <c r="DJ169" s="29"/>
      <c r="DK169" s="14"/>
      <c r="DL169" s="14"/>
      <c r="DM169" s="27"/>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row>
    <row r="170" spans="1:142" x14ac:dyDescent="0.25">
      <c r="A170" s="14"/>
      <c r="B170" s="14"/>
      <c r="C170" s="14"/>
      <c r="D170" s="27"/>
      <c r="E170" s="14"/>
      <c r="F170" s="14"/>
      <c r="G170" s="14"/>
      <c r="H170" s="21"/>
      <c r="I170" s="21"/>
      <c r="J170" s="14"/>
      <c r="K170" s="19"/>
      <c r="L170" s="40"/>
      <c r="M170" s="40"/>
      <c r="N170" s="40"/>
      <c r="O170" s="40"/>
      <c r="P170" s="40"/>
      <c r="Q170" s="47"/>
      <c r="R170" s="19"/>
      <c r="S170" s="19"/>
      <c r="T170" s="19"/>
      <c r="U170" s="19"/>
      <c r="V170" s="19"/>
      <c r="W170" s="14"/>
      <c r="X170" s="14"/>
      <c r="Y170" s="14"/>
      <c r="Z170" s="14"/>
      <c r="AA170" s="19"/>
      <c r="AB170" s="19"/>
      <c r="AC170" s="19"/>
      <c r="AD170" s="65"/>
      <c r="AE170" s="63"/>
      <c r="AF170" s="47"/>
      <c r="AG170" s="19"/>
      <c r="AH170" s="19"/>
      <c r="AI170" s="19"/>
      <c r="AJ170" s="19"/>
      <c r="AK170" s="19"/>
      <c r="AL170" s="14"/>
      <c r="AM170" s="14"/>
      <c r="AN170" s="14"/>
      <c r="AO170" s="14"/>
      <c r="AP170" s="19"/>
      <c r="AQ170" s="19"/>
      <c r="AR170" s="19"/>
      <c r="AS170" s="65"/>
      <c r="AT170" s="63"/>
      <c r="AU170" s="47"/>
      <c r="AV170" s="14"/>
      <c r="AW170" s="19"/>
      <c r="AX170" s="19"/>
      <c r="AY170" s="19"/>
      <c r="AZ170" s="19"/>
      <c r="BA170" s="14"/>
      <c r="BB170" s="14"/>
      <c r="BC170" s="14"/>
      <c r="BD170" s="14"/>
      <c r="BE170" s="19"/>
      <c r="BF170" s="19"/>
      <c r="BG170" s="19"/>
      <c r="BH170" s="65"/>
      <c r="BI170" s="63"/>
      <c r="BJ170" s="352"/>
      <c r="BK170" s="19"/>
      <c r="BL170" s="19"/>
      <c r="BM170" s="19"/>
      <c r="BN170" s="19"/>
      <c r="BO170" s="19"/>
      <c r="BP170" s="14"/>
      <c r="BQ170" s="14"/>
      <c r="BR170" s="14"/>
      <c r="BS170" s="14"/>
      <c r="BT170" s="19"/>
      <c r="BU170" s="19"/>
      <c r="BV170" s="19"/>
      <c r="BW170" s="65"/>
      <c r="BX170" s="63"/>
      <c r="BY170" s="352"/>
      <c r="BZ170" s="14"/>
      <c r="CA170" s="14"/>
      <c r="CB170" s="21"/>
      <c r="CC170" s="21"/>
      <c r="CD170" s="180"/>
      <c r="CE170" s="180"/>
      <c r="CF170" s="21"/>
      <c r="CG170" s="14"/>
      <c r="CH170" s="14"/>
      <c r="CI170" s="14"/>
      <c r="CJ170" s="14"/>
      <c r="CK170" s="14"/>
      <c r="CL170" s="14"/>
      <c r="CM170" s="14"/>
      <c r="CN170" s="14"/>
      <c r="CO170" s="129"/>
      <c r="CP170" s="29"/>
      <c r="CQ170" s="47"/>
      <c r="CR170" s="14"/>
      <c r="CS170" s="14"/>
      <c r="CT170" s="14"/>
      <c r="CU170" s="14"/>
      <c r="CV170" s="180"/>
      <c r="CW170" s="189"/>
      <c r="CX170" s="189"/>
      <c r="CY170" s="14"/>
      <c r="CZ170" s="14"/>
      <c r="DA170" s="14"/>
      <c r="DB170" s="14"/>
      <c r="DC170" s="14"/>
      <c r="DD170" s="14"/>
      <c r="DE170" s="14"/>
      <c r="DF170" s="14"/>
      <c r="DG170" s="129"/>
      <c r="DH170" s="29"/>
      <c r="DI170" s="47"/>
      <c r="DJ170" s="29"/>
      <c r="DK170" s="14"/>
      <c r="DL170" s="14"/>
      <c r="DM170" s="27"/>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row>
    <row r="171" spans="1:142" ht="27.6" x14ac:dyDescent="0.25">
      <c r="A171" s="14"/>
      <c r="B171" s="14"/>
      <c r="C171" s="14"/>
      <c r="D171" s="27"/>
      <c r="E171" s="14"/>
      <c r="F171" s="14"/>
      <c r="G171" s="14"/>
      <c r="H171" s="21"/>
      <c r="I171" s="21"/>
      <c r="J171" s="14"/>
      <c r="K171" s="19"/>
      <c r="L171" s="40"/>
      <c r="M171" s="40"/>
      <c r="N171" s="40"/>
      <c r="O171" s="40"/>
      <c r="P171" s="40"/>
      <c r="Q171" s="47"/>
      <c r="R171" s="19"/>
      <c r="S171" s="19"/>
      <c r="T171" s="19"/>
      <c r="U171" s="19"/>
      <c r="V171" s="19"/>
      <c r="W171" s="14"/>
      <c r="X171" s="14"/>
      <c r="Y171" s="14"/>
      <c r="Z171" s="14"/>
      <c r="AA171" s="19"/>
      <c r="AB171" s="19"/>
      <c r="AC171" s="19"/>
      <c r="AD171" s="65"/>
      <c r="AE171" s="63"/>
      <c r="AF171" s="47"/>
      <c r="AG171" s="19"/>
      <c r="AH171" s="19"/>
      <c r="AI171" s="19"/>
      <c r="AJ171" s="19"/>
      <c r="AK171" s="19"/>
      <c r="AL171" s="14"/>
      <c r="AM171" s="14"/>
      <c r="AN171" s="14"/>
      <c r="AO171" s="14"/>
      <c r="AP171" s="19"/>
      <c r="AQ171" s="19"/>
      <c r="AR171" s="19"/>
      <c r="AS171" s="65"/>
      <c r="AT171" s="63"/>
      <c r="AU171" s="47"/>
      <c r="AV171" s="14"/>
      <c r="AW171" s="19"/>
      <c r="AX171" s="19"/>
      <c r="AY171" s="19"/>
      <c r="AZ171" s="19"/>
      <c r="BA171" s="14"/>
      <c r="BB171" s="14"/>
      <c r="BC171" s="14"/>
      <c r="BD171" s="14"/>
      <c r="BE171" s="19"/>
      <c r="BF171" s="19"/>
      <c r="BG171" s="19"/>
      <c r="BH171" s="65"/>
      <c r="BI171" s="63"/>
      <c r="BJ171" s="352"/>
      <c r="BK171" s="19"/>
      <c r="BL171" s="19"/>
      <c r="BM171" s="19"/>
      <c r="BN171" s="19"/>
      <c r="BO171" s="19"/>
      <c r="BP171" s="14"/>
      <c r="BQ171" s="14"/>
      <c r="BR171" s="14"/>
      <c r="BS171" s="14"/>
      <c r="BT171" s="19"/>
      <c r="BU171" s="19"/>
      <c r="BV171" s="19"/>
      <c r="BW171" s="65"/>
      <c r="BX171" s="63"/>
      <c r="BY171" s="352"/>
      <c r="BZ171" s="14"/>
      <c r="CA171" s="109" t="s">
        <v>14</v>
      </c>
      <c r="CB171" s="110" t="s">
        <v>164</v>
      </c>
      <c r="CC171" s="110" t="s">
        <v>149</v>
      </c>
      <c r="CD171" s="184" t="s">
        <v>150</v>
      </c>
      <c r="CE171" s="184" t="s">
        <v>151</v>
      </c>
      <c r="CF171" s="110" t="s">
        <v>152</v>
      </c>
      <c r="CG171" s="14"/>
      <c r="CH171" s="109"/>
      <c r="CI171" s="110" t="s">
        <v>5</v>
      </c>
      <c r="CJ171" s="110" t="s">
        <v>4</v>
      </c>
      <c r="CK171" s="110" t="s">
        <v>33</v>
      </c>
      <c r="CL171" s="110" t="s">
        <v>29</v>
      </c>
      <c r="CM171" s="110" t="s">
        <v>3</v>
      </c>
      <c r="CN171" s="110" t="s">
        <v>54</v>
      </c>
      <c r="CO171" s="328" t="s">
        <v>160</v>
      </c>
      <c r="CP171" s="29"/>
      <c r="CQ171" s="47"/>
      <c r="CR171" s="14"/>
      <c r="CS171" s="109" t="s">
        <v>14</v>
      </c>
      <c r="CT171" s="110" t="s">
        <v>164</v>
      </c>
      <c r="CU171" s="110" t="s">
        <v>149</v>
      </c>
      <c r="CV171" s="184" t="s">
        <v>150</v>
      </c>
      <c r="CW171" s="184" t="s">
        <v>151</v>
      </c>
      <c r="CX171" s="194" t="s">
        <v>152</v>
      </c>
      <c r="CY171" s="14"/>
      <c r="CZ171" s="109" t="s">
        <v>14</v>
      </c>
      <c r="DA171" s="110" t="s">
        <v>5</v>
      </c>
      <c r="DB171" s="110" t="s">
        <v>4</v>
      </c>
      <c r="DC171" s="110" t="s">
        <v>33</v>
      </c>
      <c r="DD171" s="110" t="s">
        <v>29</v>
      </c>
      <c r="DE171" s="110" t="s">
        <v>3</v>
      </c>
      <c r="DF171" s="110" t="s">
        <v>54</v>
      </c>
      <c r="DG171" s="328" t="s">
        <v>160</v>
      </c>
      <c r="DH171" s="29"/>
      <c r="DI171" s="47"/>
      <c r="DJ171" s="29"/>
      <c r="DK171" s="19"/>
      <c r="DL171" s="19"/>
      <c r="DM171" s="27"/>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row>
    <row r="172" spans="1:142" x14ac:dyDescent="0.25">
      <c r="A172" s="14"/>
      <c r="B172" s="14"/>
      <c r="C172" s="14"/>
      <c r="D172" s="21"/>
      <c r="E172" s="14"/>
      <c r="F172" s="14"/>
      <c r="G172" s="14"/>
      <c r="H172" s="21"/>
      <c r="I172" s="21"/>
      <c r="J172" s="14"/>
      <c r="K172" s="19"/>
      <c r="L172" s="14"/>
      <c r="M172" s="14"/>
      <c r="N172" s="14"/>
      <c r="O172" s="14"/>
      <c r="P172" s="14"/>
      <c r="Q172" s="47"/>
      <c r="R172" s="19"/>
      <c r="S172" s="19"/>
      <c r="T172" s="19"/>
      <c r="U172" s="19"/>
      <c r="V172" s="19"/>
      <c r="W172" s="14"/>
      <c r="X172" s="14"/>
      <c r="Y172" s="14"/>
      <c r="Z172" s="14"/>
      <c r="AA172" s="19"/>
      <c r="AB172" s="19"/>
      <c r="AC172" s="19"/>
      <c r="AD172" s="65"/>
      <c r="AE172" s="63"/>
      <c r="AF172" s="47"/>
      <c r="AG172" s="19"/>
      <c r="AH172" s="19"/>
      <c r="AI172" s="19"/>
      <c r="AJ172" s="19"/>
      <c r="AK172" s="19"/>
      <c r="AL172" s="14"/>
      <c r="AM172" s="14"/>
      <c r="AN172" s="14"/>
      <c r="AO172" s="14"/>
      <c r="AP172" s="19"/>
      <c r="AQ172" s="19"/>
      <c r="AR172" s="19"/>
      <c r="AS172" s="65"/>
      <c r="AT172" s="63"/>
      <c r="AU172" s="47"/>
      <c r="AV172" s="14"/>
      <c r="AW172" s="19"/>
      <c r="AX172" s="19"/>
      <c r="AY172" s="19"/>
      <c r="AZ172" s="19"/>
      <c r="BA172" s="14"/>
      <c r="BB172" s="14"/>
      <c r="BC172" s="14"/>
      <c r="BD172" s="14"/>
      <c r="BE172" s="19"/>
      <c r="BF172" s="19"/>
      <c r="BG172" s="19"/>
      <c r="BH172" s="65"/>
      <c r="BI172" s="63"/>
      <c r="BJ172" s="352"/>
      <c r="BK172" s="19"/>
      <c r="BL172" s="19"/>
      <c r="BM172" s="19"/>
      <c r="BN172" s="19"/>
      <c r="BO172" s="19"/>
      <c r="BP172" s="14"/>
      <c r="BQ172" s="14"/>
      <c r="BR172" s="14"/>
      <c r="BS172" s="14"/>
      <c r="BT172" s="19"/>
      <c r="BU172" s="19"/>
      <c r="BV172" s="19"/>
      <c r="BW172" s="65"/>
      <c r="BX172" s="63"/>
      <c r="BY172" s="352"/>
      <c r="BZ172" s="14"/>
      <c r="CA172" s="140" t="s">
        <v>701</v>
      </c>
      <c r="CB172" s="27">
        <f>COUNTIFS(S30_stakeholder_category,"PO",Response_Q177_1,"&lt;&gt;0",Response_Q173_3,"&lt;&gt;0")</f>
        <v>3</v>
      </c>
      <c r="CC172" s="37">
        <f>COUNTIFS(S30_stakeholder_category,"PO",Response_Q177_1,1,Response_Q173_3,"&lt;&gt;""0")</f>
        <v>2</v>
      </c>
      <c r="CD172" s="37">
        <f>COUNTIFS(S30_stakeholder_category,"PO",Response_Q177_1,2,Response_Q173_3,"&lt;&gt;""0")</f>
        <v>1</v>
      </c>
      <c r="CE172" s="37">
        <f>COUNTIFS(S30_stakeholder_category,"PO",Response_Q177_1,3,Response_Q173_3,"&lt;&gt;""0")</f>
        <v>1</v>
      </c>
      <c r="CF172" s="97">
        <f>IF(CB166=0,0,SUMPRODUCT(CC172:CE172,Rank_score)/$CB166)</f>
        <v>2.25</v>
      </c>
      <c r="CG172" s="14"/>
      <c r="CH172" s="140" t="s">
        <v>701</v>
      </c>
      <c r="CI172" s="27">
        <f t="shared" ref="CI172:CN172" si="115">COUNTIFS(S30_stakeholder_category,"PO",Response_Q177_1,"&lt;&gt;0",Response_Q177_2,CI$63,Response_Q173_3,"&lt;&gt;0")</f>
        <v>0</v>
      </c>
      <c r="CJ172" s="27">
        <f t="shared" si="115"/>
        <v>1</v>
      </c>
      <c r="CK172" s="27">
        <f t="shared" si="115"/>
        <v>0</v>
      </c>
      <c r="CL172" s="27">
        <f t="shared" si="115"/>
        <v>0</v>
      </c>
      <c r="CM172" s="27">
        <f t="shared" si="115"/>
        <v>0</v>
      </c>
      <c r="CN172" s="27">
        <f t="shared" si="115"/>
        <v>0</v>
      </c>
      <c r="CO172" s="141">
        <f t="shared" ref="CO172:CO178" si="116">IF(ISBLANK(CH172),"",IF(CF172=0,not_ranked,IF(SUM(CI172:CN172)=0,not_estimated,IFERROR(SUMPRODUCT(CI172:CN172,Likekihood_score)/SUM(CI172:CN172),0))))</f>
        <v>2</v>
      </c>
      <c r="CP172" s="29"/>
      <c r="CQ172" s="47"/>
      <c r="CR172" s="14"/>
      <c r="CS172" s="140" t="s">
        <v>373</v>
      </c>
      <c r="CT172" s="27">
        <f>COUNTIFS(S30_stakeholder_category,"PO",Response_Q178_1,"&lt;&gt;0",Response_Q173_3,"&lt;&gt;0")</f>
        <v>2</v>
      </c>
      <c r="CU172" s="37">
        <f>COUNTIFS(S30_stakeholder_category,"PO",Response_Q178_1,1,Response_Q173_3,"&lt;&gt;0")</f>
        <v>1</v>
      </c>
      <c r="CV172" s="37">
        <f>COUNTIFS(S30_stakeholder_category,"PO",Response_Q178_1,2,Response_Q173_3,"&lt;&gt;0")</f>
        <v>1</v>
      </c>
      <c r="CW172" s="37">
        <f>COUNTIFS(S30_stakeholder_category,"PO",Response_Q178_1,3,Response_Q173_3,"&lt;&gt;0")</f>
        <v>0</v>
      </c>
      <c r="CX172" s="37">
        <f>IF(CT166=0,0,SUMPRODUCT(CU172:CW172,Rank_score)/CT$58)</f>
        <v>1.6666666666666667</v>
      </c>
      <c r="CY172" s="14"/>
      <c r="CZ172" s="140" t="s">
        <v>373</v>
      </c>
      <c r="DA172" s="27">
        <f t="shared" ref="DA172:DF172" si="117">COUNTIFS(S30_stakeholder_category,"PO",Response_Q178_1,"&lt;&gt;0",Response_Q178_2,DA$63,Response_Q173_3,"&lt;&gt;0")</f>
        <v>0</v>
      </c>
      <c r="DB172" s="27">
        <f t="shared" si="117"/>
        <v>0</v>
      </c>
      <c r="DC172" s="27">
        <f t="shared" si="117"/>
        <v>0</v>
      </c>
      <c r="DD172" s="27">
        <f t="shared" si="117"/>
        <v>0</v>
      </c>
      <c r="DE172" s="27">
        <f t="shared" si="117"/>
        <v>1</v>
      </c>
      <c r="DF172" s="27">
        <f t="shared" si="117"/>
        <v>0</v>
      </c>
      <c r="DG172" s="141">
        <f t="shared" ref="DG172:DG179" si="118">IF(ISBLANK(CZ172),"",IF(CX172=0,not_ranked,IF(SUM(DA172:DF172)=0,not_estimated,IFERROR(SUMPRODUCT(DA172:DF172,Likekihood_score)/SUM(DA172:DF172),0))))</f>
        <v>5</v>
      </c>
      <c r="DH172" s="29"/>
      <c r="DI172" s="47"/>
      <c r="DJ172" s="29"/>
      <c r="DK172" s="19"/>
      <c r="DL172" s="19"/>
      <c r="DM172" s="14"/>
      <c r="DN172" s="14"/>
      <c r="DO172" s="14"/>
      <c r="DP172" s="14"/>
      <c r="DQ172" s="14"/>
      <c r="DR172" s="13"/>
      <c r="DS172" s="13"/>
      <c r="DT172" s="14"/>
      <c r="DU172" s="14"/>
      <c r="DV172" s="14"/>
      <c r="DW172" s="14"/>
      <c r="DX172" s="14"/>
      <c r="DY172" s="14"/>
      <c r="DZ172" s="14"/>
      <c r="EA172" s="14"/>
      <c r="EB172" s="14"/>
      <c r="EC172" s="14"/>
      <c r="ED172" s="14"/>
      <c r="EE172" s="14"/>
      <c r="EF172" s="14"/>
      <c r="EG172" s="14"/>
      <c r="EH172" s="14"/>
      <c r="EI172" s="14"/>
      <c r="EJ172" s="14"/>
      <c r="EK172" s="14"/>
      <c r="EL172" s="14"/>
    </row>
    <row r="173" spans="1:142" ht="14.4" x14ac:dyDescent="0.25">
      <c r="A173" s="14"/>
      <c r="B173" s="60"/>
      <c r="C173" s="19"/>
      <c r="D173" s="59"/>
      <c r="E173" s="14"/>
      <c r="F173" s="14"/>
      <c r="G173" s="14"/>
      <c r="H173" s="21"/>
      <c r="I173" s="21"/>
      <c r="J173" s="14"/>
      <c r="K173" s="14"/>
      <c r="L173" s="14"/>
      <c r="M173" s="14"/>
      <c r="N173" s="14"/>
      <c r="O173" s="14"/>
      <c r="P173" s="14"/>
      <c r="Q173" s="47"/>
      <c r="R173" s="19"/>
      <c r="S173" s="19"/>
      <c r="T173" s="19"/>
      <c r="U173" s="19"/>
      <c r="V173" s="19"/>
      <c r="W173" s="14"/>
      <c r="X173" s="14"/>
      <c r="Y173" s="14"/>
      <c r="Z173" s="14"/>
      <c r="AA173" s="19"/>
      <c r="AB173" s="19"/>
      <c r="AC173" s="19"/>
      <c r="AD173" s="65"/>
      <c r="AE173" s="63"/>
      <c r="AF173" s="47"/>
      <c r="AG173" s="19"/>
      <c r="AH173" s="19"/>
      <c r="AI173" s="19"/>
      <c r="AJ173" s="19"/>
      <c r="AK173" s="19"/>
      <c r="AL173" s="14"/>
      <c r="AM173" s="14"/>
      <c r="AN173" s="14"/>
      <c r="AO173" s="14"/>
      <c r="AP173" s="19"/>
      <c r="AQ173" s="19"/>
      <c r="AR173" s="19"/>
      <c r="AS173" s="65"/>
      <c r="AT173" s="63"/>
      <c r="AU173" s="47"/>
      <c r="AV173" s="14"/>
      <c r="AW173" s="19"/>
      <c r="AX173" s="19"/>
      <c r="AY173" s="19"/>
      <c r="AZ173" s="19"/>
      <c r="BA173" s="14"/>
      <c r="BB173" s="14"/>
      <c r="BC173" s="14"/>
      <c r="BD173" s="14"/>
      <c r="BE173" s="19"/>
      <c r="BF173" s="19"/>
      <c r="BG173" s="19"/>
      <c r="BH173" s="65"/>
      <c r="BI173" s="63"/>
      <c r="BJ173" s="352"/>
      <c r="BK173" s="19"/>
      <c r="BL173" s="19"/>
      <c r="BM173" s="19"/>
      <c r="BN173" s="19"/>
      <c r="BO173" s="19"/>
      <c r="BP173" s="14"/>
      <c r="BQ173" s="14"/>
      <c r="BR173" s="14"/>
      <c r="BS173" s="14"/>
      <c r="BT173" s="19"/>
      <c r="BU173" s="19"/>
      <c r="BV173" s="19"/>
      <c r="BW173" s="65"/>
      <c r="BX173" s="63"/>
      <c r="BY173" s="352"/>
      <c r="BZ173" s="14"/>
      <c r="CA173" s="140" t="s">
        <v>344</v>
      </c>
      <c r="CB173" s="27">
        <f>COUNTIFS(S30_stakeholder_category,"PO",Response_Q177_3,"&lt;&gt;0",Response_Q173_3,"&lt;&gt;0")</f>
        <v>1</v>
      </c>
      <c r="CC173" s="37">
        <f>COUNTIFS(S30_stakeholder_category,"PO",Response_Q177_3,1,Response_Q173_3,"&lt;&gt;0")</f>
        <v>0</v>
      </c>
      <c r="CD173" s="37">
        <f>COUNTIFS(S30_stakeholder_category,"PO",Response_Q177_3,2,Response_Q173_3,"&lt;&gt;0")</f>
        <v>1</v>
      </c>
      <c r="CE173" s="37">
        <f>COUNTIFS(S30_stakeholder_category,"PO",Response_Q177_3,3,Response_Q173_3,"&lt;&gt;0")</f>
        <v>0</v>
      </c>
      <c r="CF173" s="97">
        <f>IF(CB166=0,0,SUMPRODUCT(CC173:CE173,Rank_score)/$CB166)</f>
        <v>0.5</v>
      </c>
      <c r="CG173" s="14"/>
      <c r="CH173" s="140" t="s">
        <v>344</v>
      </c>
      <c r="CI173" s="27">
        <f t="shared" ref="CI173:CN173" si="119">COUNTIFS(S30_stakeholder_category,"PO",Response_Q177_3,"&lt;&gt;0",Response_Q177_4,CI$63,Response_Q173_3,"&lt;&gt;0")</f>
        <v>0</v>
      </c>
      <c r="CJ173" s="27">
        <f t="shared" si="119"/>
        <v>0</v>
      </c>
      <c r="CK173" s="27">
        <f t="shared" si="119"/>
        <v>1</v>
      </c>
      <c r="CL173" s="27">
        <f t="shared" si="119"/>
        <v>0</v>
      </c>
      <c r="CM173" s="27">
        <f t="shared" si="119"/>
        <v>0</v>
      </c>
      <c r="CN173" s="27">
        <f t="shared" si="119"/>
        <v>0</v>
      </c>
      <c r="CO173" s="141">
        <f t="shared" si="116"/>
        <v>3</v>
      </c>
      <c r="CP173" s="14"/>
      <c r="CQ173" s="47"/>
      <c r="CR173" s="14"/>
      <c r="CS173" s="140" t="s">
        <v>338</v>
      </c>
      <c r="CT173" s="27">
        <f>COUNTIFS(S30_stakeholder_category,"PO",Response_Q178_3,"&lt;&gt;0",Response_Q173_3,"&lt;&gt;0")</f>
        <v>2</v>
      </c>
      <c r="CU173" s="37">
        <f>COUNTIFS(S30_stakeholder_category,"PO",Response_Q178_3,1,Response_Q173_3,"&lt;&gt;0")</f>
        <v>1</v>
      </c>
      <c r="CV173" s="37">
        <f>COUNTIFS(S30_stakeholder_category,"PO",Response_Q178_3,2,Response_Q173_3,"&lt;&gt;0")</f>
        <v>0</v>
      </c>
      <c r="CW173" s="37">
        <f>COUNTIFS(S30_stakeholder_category,"PO",Response_Q178_3,3,Response_Q173_3,"&lt;&gt;0")</f>
        <v>1</v>
      </c>
      <c r="CX173" s="37">
        <f>IF(CT166=0,0,SUMPRODUCT(CU173:CW173,Rank_score)/CT$58)</f>
        <v>1.3333333333333333</v>
      </c>
      <c r="CY173" s="14"/>
      <c r="CZ173" s="140" t="s">
        <v>338</v>
      </c>
      <c r="DA173" s="27">
        <f t="shared" ref="DA173:DF173" si="120">COUNTIFS(S30_stakeholder_category,"PO",Response_Q178_3,"&lt;&gt;0",Response_Q178_4,DA$63,Response_Q173_3,"&lt;&gt;0")</f>
        <v>1</v>
      </c>
      <c r="DB173" s="27">
        <f t="shared" si="120"/>
        <v>0</v>
      </c>
      <c r="DC173" s="27">
        <f t="shared" si="120"/>
        <v>0</v>
      </c>
      <c r="DD173" s="27">
        <f t="shared" si="120"/>
        <v>0</v>
      </c>
      <c r="DE173" s="27">
        <f t="shared" si="120"/>
        <v>0</v>
      </c>
      <c r="DF173" s="27">
        <f t="shared" si="120"/>
        <v>0</v>
      </c>
      <c r="DG173" s="141">
        <f t="shared" si="118"/>
        <v>1</v>
      </c>
      <c r="DH173" s="14"/>
      <c r="DI173" s="47"/>
      <c r="DJ173" s="14"/>
      <c r="DK173" s="56"/>
      <c r="DL173" s="29"/>
      <c r="DM173" s="59"/>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row>
    <row r="174" spans="1:142" x14ac:dyDescent="0.25">
      <c r="A174" s="14"/>
      <c r="B174" s="62"/>
      <c r="C174" s="19"/>
      <c r="D174" s="59"/>
      <c r="E174" s="14"/>
      <c r="F174" s="14"/>
      <c r="G174" s="14"/>
      <c r="H174" s="21"/>
      <c r="I174" s="21"/>
      <c r="J174" s="14"/>
      <c r="K174" s="14"/>
      <c r="L174" s="14"/>
      <c r="M174" s="14"/>
      <c r="N174" s="14"/>
      <c r="O174" s="14"/>
      <c r="P174" s="14"/>
      <c r="Q174" s="47"/>
      <c r="R174" s="19"/>
      <c r="S174" s="19"/>
      <c r="T174" s="19"/>
      <c r="U174" s="19"/>
      <c r="V174" s="19"/>
      <c r="W174" s="14"/>
      <c r="X174" s="14"/>
      <c r="Y174" s="14"/>
      <c r="Z174" s="13"/>
      <c r="AA174" s="13"/>
      <c r="AB174" s="13"/>
      <c r="AC174" s="13"/>
      <c r="AD174" s="65"/>
      <c r="AE174" s="63"/>
      <c r="AF174" s="47"/>
      <c r="AG174" s="19"/>
      <c r="AH174" s="19"/>
      <c r="AI174" s="19"/>
      <c r="AJ174" s="19"/>
      <c r="AK174" s="19"/>
      <c r="AL174" s="14"/>
      <c r="AM174" s="14"/>
      <c r="AN174" s="14"/>
      <c r="AO174" s="13"/>
      <c r="AP174" s="13"/>
      <c r="AQ174" s="13"/>
      <c r="AR174" s="13"/>
      <c r="AS174" s="65"/>
      <c r="AT174" s="63"/>
      <c r="AU174" s="47"/>
      <c r="AV174" s="14"/>
      <c r="AW174" s="19"/>
      <c r="AX174" s="19"/>
      <c r="AY174" s="19"/>
      <c r="AZ174" s="19"/>
      <c r="BA174" s="14"/>
      <c r="BB174" s="14"/>
      <c r="BC174" s="14"/>
      <c r="BD174" s="13"/>
      <c r="BE174" s="13"/>
      <c r="BF174" s="13"/>
      <c r="BG174" s="13"/>
      <c r="BH174" s="65"/>
      <c r="BI174" s="63"/>
      <c r="BJ174" s="352"/>
      <c r="BK174" s="19"/>
      <c r="BL174" s="19"/>
      <c r="BM174" s="19"/>
      <c r="BN174" s="19"/>
      <c r="BO174" s="19"/>
      <c r="BP174" s="14"/>
      <c r="BQ174" s="14"/>
      <c r="BR174" s="14"/>
      <c r="BS174" s="13"/>
      <c r="BT174" s="13"/>
      <c r="BU174" s="13"/>
      <c r="BV174" s="13"/>
      <c r="BW174" s="65"/>
      <c r="BX174" s="63"/>
      <c r="BY174" s="352"/>
      <c r="BZ174" s="14"/>
      <c r="CA174" s="140" t="s">
        <v>146</v>
      </c>
      <c r="CB174" s="27">
        <f>COUNTIFS(S30_stakeholder_category,"PO",Response_Q177_5,"&lt;&gt;0",Response_Q173_3,"&lt;&gt;0")</f>
        <v>1</v>
      </c>
      <c r="CC174" s="37">
        <f>COUNTIFS(S30_stakeholder_category,"PO",Response_Q177_5,1,Response_Q173_3,"&lt;&gt;0")</f>
        <v>1</v>
      </c>
      <c r="CD174" s="37">
        <f>COUNTIFS(S30_stakeholder_category,"PO",Response_Q177_5,2,Response_Q173_3,"&lt;&gt;0")</f>
        <v>0</v>
      </c>
      <c r="CE174" s="37">
        <f>COUNTIFS(S30_stakeholder_category,"PO",Response_Q177_5,3,Response_Q173_3,"&lt;&gt;0")</f>
        <v>0</v>
      </c>
      <c r="CF174" s="97">
        <f>IF(CB166=0,0,SUMPRODUCT(CC174:CE174,Rank_score)/$CB166)</f>
        <v>0.75</v>
      </c>
      <c r="CG174" s="14"/>
      <c r="CH174" s="140" t="s">
        <v>146</v>
      </c>
      <c r="CI174" s="27">
        <f t="shared" ref="CI174:CN174" si="121">COUNTIFS(S30_stakeholder_category,"PO",Response_Q177_5,"&lt;&gt;0",Response_Q177_6,CI$63,Response_Q173_3,"&lt;&gt;0")</f>
        <v>0</v>
      </c>
      <c r="CJ174" s="27">
        <f t="shared" si="121"/>
        <v>0</v>
      </c>
      <c r="CK174" s="27">
        <f t="shared" si="121"/>
        <v>0</v>
      </c>
      <c r="CL174" s="27">
        <f t="shared" si="121"/>
        <v>0</v>
      </c>
      <c r="CM174" s="27">
        <f t="shared" si="121"/>
        <v>0</v>
      </c>
      <c r="CN174" s="27">
        <f t="shared" si="121"/>
        <v>0</v>
      </c>
      <c r="CO174" s="141" t="str">
        <f t="shared" si="116"/>
        <v>Ranked, but likelihood not estimated</v>
      </c>
      <c r="CP174" s="14"/>
      <c r="CQ174" s="47"/>
      <c r="CR174" s="14"/>
      <c r="CS174" s="106" t="s">
        <v>339</v>
      </c>
      <c r="CT174" s="27">
        <f>COUNTIFS(S30_stakeholder_category,"PO",Response_Q178_5,"&lt;&gt;0",Response_Q173_3,"&lt;&gt;0")</f>
        <v>0</v>
      </c>
      <c r="CU174" s="37">
        <f>COUNTIFS(S30_stakeholder_category,"PO",Response_Q178_5,1,Response_Q173_3,"&lt;&gt;0")</f>
        <v>0</v>
      </c>
      <c r="CV174" s="37">
        <f>COUNTIFS(S30_stakeholder_category,"PO",Response_Q178_5,2,Response_Q173_3,"&lt;&gt;0")</f>
        <v>0</v>
      </c>
      <c r="CW174" s="37">
        <f>COUNTIFS(S30_stakeholder_category,"PO",Response_Q178_5,3,Response_Q173_3,"&lt;&gt;0")</f>
        <v>0</v>
      </c>
      <c r="CX174" s="37">
        <f>IF(CT166=0,0,SUMPRODUCT(CU174:CW174,Rank_score)/CT$58)</f>
        <v>0</v>
      </c>
      <c r="CY174" s="14"/>
      <c r="CZ174" s="106" t="s">
        <v>339</v>
      </c>
      <c r="DA174" s="27">
        <f t="shared" ref="DA174:DF174" si="122">COUNTIFS(S30_stakeholder_category,"PO",Response_Q178_5,"&lt;&gt;0",Response_Q178_6,DA$63,Response_Q173_3,"&lt;&gt;0")</f>
        <v>0</v>
      </c>
      <c r="DB174" s="27">
        <f t="shared" si="122"/>
        <v>0</v>
      </c>
      <c r="DC174" s="27">
        <f t="shared" si="122"/>
        <v>0</v>
      </c>
      <c r="DD174" s="27">
        <f t="shared" si="122"/>
        <v>0</v>
      </c>
      <c r="DE174" s="27">
        <f t="shared" si="122"/>
        <v>0</v>
      </c>
      <c r="DF174" s="27">
        <f t="shared" si="122"/>
        <v>0</v>
      </c>
      <c r="DG174" s="141" t="str">
        <f t="shared" si="118"/>
        <v>Factor not ranked</v>
      </c>
      <c r="DH174" s="14"/>
      <c r="DI174" s="47"/>
      <c r="DJ174" s="14"/>
      <c r="DK174" s="56"/>
      <c r="DL174" s="19"/>
      <c r="DM174" s="59"/>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row>
    <row r="175" spans="1:142" x14ac:dyDescent="0.25">
      <c r="A175" s="14"/>
      <c r="B175" s="62"/>
      <c r="C175" s="19"/>
      <c r="D175" s="59"/>
      <c r="E175" s="14"/>
      <c r="F175" s="14"/>
      <c r="G175" s="14"/>
      <c r="H175" s="21"/>
      <c r="I175" s="21"/>
      <c r="J175" s="14"/>
      <c r="K175" s="14"/>
      <c r="L175" s="14"/>
      <c r="M175" s="14"/>
      <c r="N175" s="14"/>
      <c r="O175" s="14"/>
      <c r="P175" s="14"/>
      <c r="Q175" s="47"/>
      <c r="R175" s="19"/>
      <c r="S175" s="19"/>
      <c r="T175" s="19"/>
      <c r="U175" s="59"/>
      <c r="V175" s="19"/>
      <c r="W175" s="14"/>
      <c r="X175" s="14"/>
      <c r="Y175" s="14"/>
      <c r="Z175" s="14"/>
      <c r="AA175" s="14"/>
      <c r="AB175" s="14"/>
      <c r="AC175" s="14"/>
      <c r="AD175" s="65"/>
      <c r="AE175" s="63"/>
      <c r="AF175" s="47"/>
      <c r="AG175" s="19"/>
      <c r="AH175" s="19"/>
      <c r="AI175" s="19"/>
      <c r="AJ175" s="59"/>
      <c r="AK175" s="19"/>
      <c r="AL175" s="14"/>
      <c r="AM175" s="14"/>
      <c r="AN175" s="14"/>
      <c r="AO175" s="14"/>
      <c r="AP175" s="14"/>
      <c r="AQ175" s="14"/>
      <c r="AR175" s="14"/>
      <c r="AS175" s="65"/>
      <c r="AT175" s="63"/>
      <c r="AU175" s="47"/>
      <c r="AV175" s="14"/>
      <c r="AW175" s="19"/>
      <c r="AX175" s="19"/>
      <c r="AY175" s="59"/>
      <c r="AZ175" s="19"/>
      <c r="BA175" s="14"/>
      <c r="BB175" s="14"/>
      <c r="BC175" s="14"/>
      <c r="BD175" s="14"/>
      <c r="BE175" s="14"/>
      <c r="BF175" s="14"/>
      <c r="BG175" s="14"/>
      <c r="BH175" s="65"/>
      <c r="BI175" s="63"/>
      <c r="BJ175" s="352"/>
      <c r="BK175" s="19"/>
      <c r="BL175" s="19"/>
      <c r="BM175" s="19"/>
      <c r="BN175" s="59"/>
      <c r="BO175" s="19"/>
      <c r="BP175" s="14"/>
      <c r="BQ175" s="14"/>
      <c r="BR175" s="14"/>
      <c r="BS175" s="14"/>
      <c r="BT175" s="14"/>
      <c r="BU175" s="14"/>
      <c r="BV175" s="14"/>
      <c r="BW175" s="65"/>
      <c r="BX175" s="63"/>
      <c r="BY175" s="352"/>
      <c r="BZ175" s="14"/>
      <c r="CA175" s="140" t="s">
        <v>147</v>
      </c>
      <c r="CB175" s="27">
        <f>COUNTIFS(S30_stakeholder_category,"PO",Response_Q177_7,"&lt;&gt;0",Response_Q173_3,"&lt;&gt;0")</f>
        <v>3</v>
      </c>
      <c r="CC175" s="37">
        <f>COUNTIFS(S30_stakeholder_category,"PO",Response_Q177_7,1,Response_Q173_3,"&lt;&gt;0")</f>
        <v>0</v>
      </c>
      <c r="CD175" s="37">
        <f>COUNTIFS(S30_stakeholder_category,"PO",Response_Q177_7,2,Response_Q173_3,"&lt;&gt;0")</f>
        <v>2</v>
      </c>
      <c r="CE175" s="37">
        <f>COUNTIFS(S30_stakeholder_category,"PO",Response_Q177_7,3,Response_Q173_3,"&lt;&gt;0")</f>
        <v>1</v>
      </c>
      <c r="CF175" s="97">
        <f>IF(CB166=0,0,SUMPRODUCT(CC175:CE175,Rank_score)/$CB166)</f>
        <v>1.25</v>
      </c>
      <c r="CG175" s="14"/>
      <c r="CH175" s="140" t="s">
        <v>147</v>
      </c>
      <c r="CI175" s="27">
        <f t="shared" ref="CI175:CN175" si="123">COUNTIFS(S30_stakeholder_category,"PO",Response_Q177_7,"&lt;&gt;0",Response_Q177_8,CI$63,Response_Q173_3,"&lt;&gt;0")</f>
        <v>0</v>
      </c>
      <c r="CJ175" s="27">
        <f t="shared" si="123"/>
        <v>1</v>
      </c>
      <c r="CK175" s="27">
        <f t="shared" si="123"/>
        <v>0</v>
      </c>
      <c r="CL175" s="27">
        <f t="shared" si="123"/>
        <v>0</v>
      </c>
      <c r="CM175" s="27">
        <f t="shared" si="123"/>
        <v>0</v>
      </c>
      <c r="CN175" s="27">
        <f t="shared" si="123"/>
        <v>0</v>
      </c>
      <c r="CO175" s="141">
        <f t="shared" si="116"/>
        <v>2</v>
      </c>
      <c r="CP175" s="14"/>
      <c r="CQ175" s="47"/>
      <c r="CR175" s="14"/>
      <c r="CS175" s="106" t="s">
        <v>345</v>
      </c>
      <c r="CT175" s="27">
        <f>COUNTIFS(S30_stakeholder_category,"PO",Response_Q178_7,"&lt;&gt;0",Response_Q173_3,"&lt;&gt;0")</f>
        <v>2</v>
      </c>
      <c r="CU175" s="37">
        <f>COUNTIFS(S30_stakeholder_category,"PO",Response_Q178_7,1,Response_Q173_3,"&lt;&gt;0")</f>
        <v>0</v>
      </c>
      <c r="CV175" s="37">
        <f>COUNTIFS(S30_stakeholder_category,"PO",Response_Q178_7,2,Response_Q173_3,"&lt;&gt;0")</f>
        <v>1</v>
      </c>
      <c r="CW175" s="37">
        <f>COUNTIFS(S30_stakeholder_category,"PO",Response_Q178_7,3,Response_Q173_3,"&lt;&gt;0")</f>
        <v>1</v>
      </c>
      <c r="CX175" s="37">
        <f>IF(CT166=0,0,SUMPRODUCT(CU175:CW175,Rank_score)/CT$58)</f>
        <v>1</v>
      </c>
      <c r="CY175" s="14"/>
      <c r="CZ175" s="106" t="s">
        <v>345</v>
      </c>
      <c r="DA175" s="27">
        <f t="shared" ref="DA175:DF175" si="124">COUNTIFS(S30_stakeholder_category,"PO",Response_Q178_7,"&lt;&gt;0",Response_Q178_8,DA$63,Response_Q173_3,"&lt;&gt;0")</f>
        <v>0</v>
      </c>
      <c r="DB175" s="27">
        <f t="shared" si="124"/>
        <v>0</v>
      </c>
      <c r="DC175" s="27">
        <f t="shared" si="124"/>
        <v>0</v>
      </c>
      <c r="DD175" s="27">
        <f t="shared" si="124"/>
        <v>0</v>
      </c>
      <c r="DE175" s="27">
        <f t="shared" si="124"/>
        <v>1</v>
      </c>
      <c r="DF175" s="27">
        <f t="shared" si="124"/>
        <v>0</v>
      </c>
      <c r="DG175" s="141">
        <f t="shared" si="118"/>
        <v>5</v>
      </c>
      <c r="DH175" s="14"/>
      <c r="DI175" s="47"/>
      <c r="DJ175" s="14"/>
      <c r="DK175" s="14"/>
      <c r="DL175" s="19"/>
      <c r="DM175" s="59"/>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row>
    <row r="176" spans="1:142" x14ac:dyDescent="0.25">
      <c r="A176" s="14"/>
      <c r="B176" s="19"/>
      <c r="C176" s="19"/>
      <c r="D176" s="59"/>
      <c r="E176" s="14"/>
      <c r="F176" s="14"/>
      <c r="G176" s="14"/>
      <c r="H176" s="21"/>
      <c r="I176" s="21"/>
      <c r="J176" s="14"/>
      <c r="K176" s="14"/>
      <c r="L176" s="14"/>
      <c r="M176" s="14"/>
      <c r="N176" s="14"/>
      <c r="O176" s="14"/>
      <c r="P176" s="14"/>
      <c r="Q176" s="47"/>
      <c r="R176" s="19"/>
      <c r="S176" s="19"/>
      <c r="T176" s="19"/>
      <c r="U176" s="59"/>
      <c r="V176" s="19"/>
      <c r="W176" s="14"/>
      <c r="X176" s="14"/>
      <c r="Y176" s="14"/>
      <c r="Z176" s="14"/>
      <c r="AA176" s="14"/>
      <c r="AB176" s="14"/>
      <c r="AC176" s="14"/>
      <c r="AD176" s="65"/>
      <c r="AE176" s="63"/>
      <c r="AF176" s="47"/>
      <c r="AG176" s="19"/>
      <c r="AH176" s="19"/>
      <c r="AI176" s="19"/>
      <c r="AJ176" s="59"/>
      <c r="AK176" s="19"/>
      <c r="AL176" s="14"/>
      <c r="AM176" s="14"/>
      <c r="AN176" s="14"/>
      <c r="AO176" s="14"/>
      <c r="AP176" s="14"/>
      <c r="AQ176" s="14"/>
      <c r="AR176" s="14"/>
      <c r="AS176" s="65"/>
      <c r="AT176" s="63"/>
      <c r="AU176" s="47"/>
      <c r="AV176" s="14"/>
      <c r="AW176" s="19"/>
      <c r="AX176" s="19"/>
      <c r="AY176" s="59"/>
      <c r="AZ176" s="19"/>
      <c r="BA176" s="14"/>
      <c r="BB176" s="14"/>
      <c r="BC176" s="14"/>
      <c r="BD176" s="14"/>
      <c r="BE176" s="14"/>
      <c r="BF176" s="14"/>
      <c r="BG176" s="14"/>
      <c r="BH176" s="65"/>
      <c r="BI176" s="63"/>
      <c r="BJ176" s="352"/>
      <c r="BK176" s="19"/>
      <c r="BL176" s="19"/>
      <c r="BM176" s="19"/>
      <c r="BN176" s="59"/>
      <c r="BO176" s="19"/>
      <c r="BP176" s="14"/>
      <c r="BQ176" s="14"/>
      <c r="BR176" s="14"/>
      <c r="BS176" s="14"/>
      <c r="BT176" s="14"/>
      <c r="BU176" s="14"/>
      <c r="BV176" s="14"/>
      <c r="BW176" s="65"/>
      <c r="BX176" s="63"/>
      <c r="BY176" s="352"/>
      <c r="BZ176" s="14"/>
      <c r="CA176" s="140" t="s">
        <v>341</v>
      </c>
      <c r="CB176" s="27">
        <f>COUNTIFS(S30_stakeholder_category,"PO",Response_Q177_9,"&lt;&gt;0",Response_Q173_3,"&lt;&gt;0")</f>
        <v>0</v>
      </c>
      <c r="CC176" s="37">
        <f>COUNTIFS(S30_stakeholder_category,"PO",Response_Q177_9,1,Response_Q173_3,"&lt;&gt;0")</f>
        <v>0</v>
      </c>
      <c r="CD176" s="37">
        <f>COUNTIFS(S30_stakeholder_category,"PO",Response_Q177_9,2,Response_Q173_3,"&lt;&gt;0")</f>
        <v>0</v>
      </c>
      <c r="CE176" s="37">
        <f>COUNTIFS(S30_stakeholder_category,"PO",Response_Q177_9,3,Response_Q173_3,"&lt;&gt;0")</f>
        <v>0</v>
      </c>
      <c r="CF176" s="97">
        <f>IF(CB166=0,0,SUMPRODUCT(CC176:CE176,Rank_score)/$CB166)</f>
        <v>0</v>
      </c>
      <c r="CG176" s="14"/>
      <c r="CH176" s="140" t="s">
        <v>341</v>
      </c>
      <c r="CI176" s="27">
        <f t="shared" ref="CI176:CN176" si="125">COUNTIFS(S30_stakeholder_category,"PO",Response_Q177_9,"&lt;&gt;0",Response_Q177_10,CI$63,Response_Q173_3,"&lt;&gt;0")</f>
        <v>0</v>
      </c>
      <c r="CJ176" s="27">
        <f t="shared" si="125"/>
        <v>0</v>
      </c>
      <c r="CK176" s="27">
        <f t="shared" si="125"/>
        <v>0</v>
      </c>
      <c r="CL176" s="27">
        <f t="shared" si="125"/>
        <v>0</v>
      </c>
      <c r="CM176" s="27">
        <f t="shared" si="125"/>
        <v>0</v>
      </c>
      <c r="CN176" s="27">
        <f t="shared" si="125"/>
        <v>0</v>
      </c>
      <c r="CO176" s="141" t="str">
        <f t="shared" si="116"/>
        <v>Factor not ranked</v>
      </c>
      <c r="CP176" s="14"/>
      <c r="CQ176" s="47"/>
      <c r="CR176" s="14"/>
      <c r="CS176" s="106" t="s">
        <v>561</v>
      </c>
      <c r="CT176" s="27">
        <f>COUNTIFS(S30_stakeholder_category,"PO",Response_Q178_9,"&lt;&gt;0",Response_Q173_3,"&lt;&gt;0")</f>
        <v>0</v>
      </c>
      <c r="CU176" s="37">
        <f>COUNTIFS(S30_stakeholder_category,"PO",Response_Q178_9,1,Response_Q173_3,"&lt;&gt;0")</f>
        <v>0</v>
      </c>
      <c r="CV176" s="37">
        <f>COUNTIFS(S30_stakeholder_category,"PO",Response_Q178_9,2,Response_Q173_3,"&lt;&gt;0")</f>
        <v>0</v>
      </c>
      <c r="CW176" s="37">
        <f>COUNTIFS(S30_stakeholder_category,"PO",Response_Q178_9,3,Response_Q173_3,"&lt;&gt;0")</f>
        <v>0</v>
      </c>
      <c r="CX176" s="37">
        <f>IF(CT166=0,0,SUMPRODUCT(CU176:CW176,Rank_score)/CT$58)</f>
        <v>0</v>
      </c>
      <c r="CY176" s="14"/>
      <c r="CZ176" s="106" t="s">
        <v>561</v>
      </c>
      <c r="DA176" s="27">
        <f t="shared" ref="DA176:DF176" si="126">COUNTIFS(S30_stakeholder_category,"PO",Response_Q178_9,"&lt;&gt;0",Response_Q178_10,DA$63,Response_Q173_3,"&lt;&gt;0")</f>
        <v>0</v>
      </c>
      <c r="DB176" s="27">
        <f t="shared" si="126"/>
        <v>0</v>
      </c>
      <c r="DC176" s="27">
        <f t="shared" si="126"/>
        <v>0</v>
      </c>
      <c r="DD176" s="27">
        <f t="shared" si="126"/>
        <v>0</v>
      </c>
      <c r="DE176" s="27">
        <f t="shared" si="126"/>
        <v>0</v>
      </c>
      <c r="DF176" s="27">
        <f t="shared" si="126"/>
        <v>0</v>
      </c>
      <c r="DG176" s="141" t="str">
        <f t="shared" si="118"/>
        <v>Factor not ranked</v>
      </c>
      <c r="DH176" s="14"/>
      <c r="DI176" s="47"/>
      <c r="DJ176" s="14"/>
      <c r="DK176" s="14"/>
      <c r="DL176" s="19"/>
      <c r="DM176" s="59"/>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row>
    <row r="177" spans="1:142" x14ac:dyDescent="0.25">
      <c r="A177" s="14"/>
      <c r="B177" s="19"/>
      <c r="C177" s="19"/>
      <c r="D177" s="59"/>
      <c r="E177" s="14"/>
      <c r="F177" s="14"/>
      <c r="G177" s="14"/>
      <c r="H177" s="21"/>
      <c r="I177" s="21"/>
      <c r="J177" s="14"/>
      <c r="K177" s="14"/>
      <c r="L177" s="14"/>
      <c r="M177" s="14"/>
      <c r="N177" s="14"/>
      <c r="O177" s="14"/>
      <c r="P177" s="14"/>
      <c r="Q177" s="47"/>
      <c r="R177" s="19"/>
      <c r="S177" s="56"/>
      <c r="T177" s="29"/>
      <c r="U177" s="27"/>
      <c r="V177" s="19"/>
      <c r="W177" s="14"/>
      <c r="X177" s="14"/>
      <c r="Y177" s="14"/>
      <c r="Z177" s="14"/>
      <c r="AA177" s="14"/>
      <c r="AB177" s="14"/>
      <c r="AC177" s="14"/>
      <c r="AD177" s="65"/>
      <c r="AE177" s="63"/>
      <c r="AF177" s="47"/>
      <c r="AG177" s="19"/>
      <c r="AH177" s="56"/>
      <c r="AI177" s="29"/>
      <c r="AJ177" s="27"/>
      <c r="AK177" s="19"/>
      <c r="AL177" s="14"/>
      <c r="AM177" s="14"/>
      <c r="AN177" s="14"/>
      <c r="AO177" s="14"/>
      <c r="AP177" s="14"/>
      <c r="AQ177" s="14"/>
      <c r="AR177" s="14"/>
      <c r="AS177" s="65"/>
      <c r="AT177" s="63"/>
      <c r="AU177" s="47"/>
      <c r="AV177" s="14"/>
      <c r="AW177" s="56"/>
      <c r="AX177" s="29"/>
      <c r="AY177" s="27"/>
      <c r="AZ177" s="19"/>
      <c r="BA177" s="14"/>
      <c r="BB177" s="14"/>
      <c r="BC177" s="14"/>
      <c r="BD177" s="14"/>
      <c r="BE177" s="14"/>
      <c r="BF177" s="14"/>
      <c r="BG177" s="14"/>
      <c r="BH177" s="65"/>
      <c r="BI177" s="63"/>
      <c r="BJ177" s="352"/>
      <c r="BK177" s="19"/>
      <c r="BL177" s="56"/>
      <c r="BM177" s="29"/>
      <c r="BN177" s="27"/>
      <c r="BO177" s="19"/>
      <c r="BP177" s="14"/>
      <c r="BQ177" s="14"/>
      <c r="BR177" s="14"/>
      <c r="BS177" s="14"/>
      <c r="BT177" s="14"/>
      <c r="BU177" s="14"/>
      <c r="BV177" s="14"/>
      <c r="BW177" s="65"/>
      <c r="BX177" s="63"/>
      <c r="BY177" s="352"/>
      <c r="BZ177" s="14"/>
      <c r="CA177" s="106" t="s">
        <v>148</v>
      </c>
      <c r="CB177" s="27">
        <f>COUNTIFS(S30_stakeholder_category,"PO",Response_Q177_11,"&lt;&gt;0",Response_Q173_3,"&lt;&gt;0")</f>
        <v>0</v>
      </c>
      <c r="CC177" s="37">
        <f>COUNTIFS(S30_stakeholder_category,"PO",Response_Q177_11,1,Response_Q173_3,"&lt;&gt;0")</f>
        <v>0</v>
      </c>
      <c r="CD177" s="37">
        <f>COUNTIFS(S30_stakeholder_category,"PO",Response_Q177_11,2,Response_Q173_3,"&lt;&gt;0")</f>
        <v>0</v>
      </c>
      <c r="CE177" s="37">
        <f>COUNTIFS(S30_stakeholder_category,"PO",Response_Q177_11,3,Response_Q173_3,"&lt;&gt;0")</f>
        <v>0</v>
      </c>
      <c r="CF177" s="97">
        <f>IF(CB166=0,0,SUMPRODUCT(CC177:CE177,Rank_score)/$CB166)</f>
        <v>0</v>
      </c>
      <c r="CG177" s="43"/>
      <c r="CH177" s="106" t="s">
        <v>148</v>
      </c>
      <c r="CI177" s="27">
        <f t="shared" ref="CI177:CN177" si="127">COUNTIFS(S30_stakeholder_category,"PO",Response_Q177_11,"&lt;&gt;0",Response_Q177_12,CI$63,Response_Q173_3,"&lt;&gt;0")</f>
        <v>0</v>
      </c>
      <c r="CJ177" s="27">
        <f t="shared" si="127"/>
        <v>0</v>
      </c>
      <c r="CK177" s="27">
        <f t="shared" si="127"/>
        <v>0</v>
      </c>
      <c r="CL177" s="27">
        <f t="shared" si="127"/>
        <v>0</v>
      </c>
      <c r="CM177" s="27">
        <f t="shared" si="127"/>
        <v>0</v>
      </c>
      <c r="CN177" s="27">
        <f t="shared" si="127"/>
        <v>0</v>
      </c>
      <c r="CO177" s="141" t="str">
        <f t="shared" si="116"/>
        <v>Factor not ranked</v>
      </c>
      <c r="CP177" s="14"/>
      <c r="CQ177" s="47"/>
      <c r="CR177" s="14"/>
      <c r="CS177" s="106" t="s">
        <v>49</v>
      </c>
      <c r="CT177" s="27">
        <f>COUNTIFS(S30_stakeholder_category,"PO",Response_Q178_11,"&lt;&gt;0",Response_Q173_3,"&lt;&gt;0")</f>
        <v>0</v>
      </c>
      <c r="CU177" s="37">
        <f>COUNTIFS(S30_stakeholder_category,"PO",Response_Q178_11,1,Response_Q173_3,"&lt;&gt;0")</f>
        <v>0</v>
      </c>
      <c r="CV177" s="37">
        <f>COUNTIFS(S30_stakeholder_category,"PO",Response_Q178_11,2,Response_Q173_3,"&lt;&gt;0")</f>
        <v>0</v>
      </c>
      <c r="CW177" s="37">
        <f>COUNTIFS(S30_stakeholder_category,"PO",Response_Q178_11,3,Response_Q173_3,"&lt;&gt;0")</f>
        <v>0</v>
      </c>
      <c r="CX177" s="37">
        <f>IF(CT166=0,0,SUMPRODUCT(CU177:CW177,Rank_score)/CT$58)</f>
        <v>0</v>
      </c>
      <c r="CY177" s="43"/>
      <c r="CZ177" s="106" t="s">
        <v>49</v>
      </c>
      <c r="DA177" s="27">
        <f t="shared" ref="DA177:DF177" si="128">COUNTIFS(S30_stakeholder_category,"PO",Response_Q178_11,"&lt;&gt;0",Response_Q178_12,DA$63,Response_Q173_3,"&lt;&gt;0")</f>
        <v>0</v>
      </c>
      <c r="DB177" s="27">
        <f t="shared" si="128"/>
        <v>0</v>
      </c>
      <c r="DC177" s="27">
        <f t="shared" si="128"/>
        <v>0</v>
      </c>
      <c r="DD177" s="27">
        <f t="shared" si="128"/>
        <v>0</v>
      </c>
      <c r="DE177" s="27">
        <f t="shared" si="128"/>
        <v>0</v>
      </c>
      <c r="DF177" s="27">
        <f t="shared" si="128"/>
        <v>0</v>
      </c>
      <c r="DG177" s="141" t="str">
        <f t="shared" si="118"/>
        <v>Factor not ranked</v>
      </c>
      <c r="DH177" s="14"/>
      <c r="DI177" s="47"/>
      <c r="DJ177" s="14"/>
      <c r="DK177" s="14"/>
      <c r="DL177" s="19"/>
      <c r="DM177" s="59"/>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row>
    <row r="178" spans="1:142" x14ac:dyDescent="0.25">
      <c r="A178" s="14"/>
      <c r="B178" s="56"/>
      <c r="C178" s="29"/>
      <c r="D178" s="59"/>
      <c r="E178" s="14"/>
      <c r="F178" s="14"/>
      <c r="G178" s="14"/>
      <c r="H178" s="21"/>
      <c r="I178" s="21"/>
      <c r="J178" s="14"/>
      <c r="K178" s="14"/>
      <c r="L178" s="14"/>
      <c r="M178" s="14"/>
      <c r="N178" s="14"/>
      <c r="O178" s="14"/>
      <c r="P178" s="14"/>
      <c r="Q178" s="47"/>
      <c r="R178" s="19"/>
      <c r="S178" s="56"/>
      <c r="T178" s="19"/>
      <c r="U178" s="27"/>
      <c r="V178" s="19"/>
      <c r="W178" s="14"/>
      <c r="X178" s="14"/>
      <c r="Y178" s="14"/>
      <c r="Z178" s="14"/>
      <c r="AA178" s="14"/>
      <c r="AB178" s="14"/>
      <c r="AC178" s="14"/>
      <c r="AD178" s="65"/>
      <c r="AE178" s="63"/>
      <c r="AF178" s="47"/>
      <c r="AG178" s="19"/>
      <c r="AH178" s="56"/>
      <c r="AI178" s="19"/>
      <c r="AJ178" s="27"/>
      <c r="AK178" s="19"/>
      <c r="AL178" s="14"/>
      <c r="AM178" s="14"/>
      <c r="AN178" s="14"/>
      <c r="AO178" s="14"/>
      <c r="AP178" s="14"/>
      <c r="AQ178" s="14"/>
      <c r="AR178" s="14"/>
      <c r="AS178" s="65"/>
      <c r="AT178" s="63"/>
      <c r="AU178" s="47"/>
      <c r="AV178" s="14"/>
      <c r="AW178" s="56"/>
      <c r="AX178" s="19"/>
      <c r="AY178" s="27"/>
      <c r="AZ178" s="19"/>
      <c r="BA178" s="14"/>
      <c r="BB178" s="14"/>
      <c r="BC178" s="14"/>
      <c r="BD178" s="14"/>
      <c r="BE178" s="14"/>
      <c r="BF178" s="14"/>
      <c r="BG178" s="14"/>
      <c r="BH178" s="65"/>
      <c r="BI178" s="63"/>
      <c r="BJ178" s="352"/>
      <c r="BK178" s="19"/>
      <c r="BL178" s="56"/>
      <c r="BM178" s="19"/>
      <c r="BN178" s="27"/>
      <c r="BO178" s="19"/>
      <c r="BP178" s="14"/>
      <c r="BQ178" s="14"/>
      <c r="BR178" s="14"/>
      <c r="BS178" s="14"/>
      <c r="BT178" s="14"/>
      <c r="BU178" s="14"/>
      <c r="BV178" s="14"/>
      <c r="BW178" s="65"/>
      <c r="BX178" s="63"/>
      <c r="BY178" s="352"/>
      <c r="BZ178" s="14"/>
      <c r="CA178" s="107" t="s">
        <v>49</v>
      </c>
      <c r="CB178" s="27">
        <f>COUNTIFS(S30_stakeholder_category,"PO",Response_Q177_13,"&lt;&gt;0",Response_Q173_3,"&lt;&gt;0")</f>
        <v>0</v>
      </c>
      <c r="CC178" s="37">
        <f>COUNTIFS(S30_stakeholder_category,"PO",Response_Q177_13,1,Response_Q173_3,"&lt;&gt;0")</f>
        <v>0</v>
      </c>
      <c r="CD178" s="37">
        <f>COUNTIFS(S30_stakeholder_category,"PO",Response_Q177_13,2,Response_Q173_3,"&lt;&gt;0")</f>
        <v>0</v>
      </c>
      <c r="CE178" s="37">
        <f>COUNTIFS(S30_stakeholder_category,"PO",Response_Q177_13,3,Response_Q173_3,"&lt;&gt;0")</f>
        <v>0</v>
      </c>
      <c r="CF178" s="97">
        <f>IF(CB166=0,0,SUMPRODUCT(CC178:CE178,Rank_score)/$CB166)</f>
        <v>0</v>
      </c>
      <c r="CG178" s="29"/>
      <c r="CH178" s="107" t="s">
        <v>49</v>
      </c>
      <c r="CI178" s="27">
        <f t="shared" ref="CI178:CN178" si="129">COUNTIFS(S30_stakeholder_category,"PO",Response_Q177_13,"&lt;&gt;0",Response_Q177_14,CI$63,Response_Q173_3,"&lt;&gt;0")</f>
        <v>0</v>
      </c>
      <c r="CJ178" s="27">
        <f t="shared" si="129"/>
        <v>0</v>
      </c>
      <c r="CK178" s="27">
        <f t="shared" si="129"/>
        <v>0</v>
      </c>
      <c r="CL178" s="27">
        <f t="shared" si="129"/>
        <v>0</v>
      </c>
      <c r="CM178" s="27">
        <f t="shared" si="129"/>
        <v>0</v>
      </c>
      <c r="CN178" s="27">
        <f t="shared" si="129"/>
        <v>0</v>
      </c>
      <c r="CO178" s="141" t="str">
        <f t="shared" si="116"/>
        <v>Factor not ranked</v>
      </c>
      <c r="CP178" s="14"/>
      <c r="CQ178" s="47"/>
      <c r="CR178" s="14"/>
      <c r="CS178" s="107"/>
      <c r="CT178" s="27"/>
      <c r="CU178" s="37"/>
      <c r="CV178" s="37"/>
      <c r="CW178" s="37"/>
      <c r="CX178" s="37"/>
      <c r="CY178" s="29"/>
      <c r="CZ178" s="106"/>
      <c r="DA178" s="27"/>
      <c r="DB178" s="27"/>
      <c r="DC178" s="27"/>
      <c r="DD178" s="27"/>
      <c r="DE178" s="27"/>
      <c r="DF178" s="27"/>
      <c r="DG178" s="141" t="str">
        <f t="shared" si="118"/>
        <v/>
      </c>
      <c r="DH178" s="14"/>
      <c r="DI178" s="47"/>
      <c r="DJ178" s="14"/>
      <c r="DK178" s="62"/>
      <c r="DL178" s="19"/>
      <c r="DM178" s="59"/>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row>
    <row r="179" spans="1:142" x14ac:dyDescent="0.25">
      <c r="A179" s="14"/>
      <c r="B179" s="56"/>
      <c r="C179" s="19"/>
      <c r="D179" s="59"/>
      <c r="E179" s="14"/>
      <c r="F179" s="14"/>
      <c r="G179" s="109" t="s">
        <v>14</v>
      </c>
      <c r="H179" s="110" t="s">
        <v>6</v>
      </c>
      <c r="I179" s="110" t="s">
        <v>7</v>
      </c>
      <c r="J179" s="14"/>
      <c r="K179" s="14"/>
      <c r="L179" s="14"/>
      <c r="M179" s="14"/>
      <c r="N179" s="14"/>
      <c r="O179" s="14"/>
      <c r="P179" s="14"/>
      <c r="Q179" s="47"/>
      <c r="R179" s="19"/>
      <c r="S179" s="19"/>
      <c r="T179" s="19"/>
      <c r="U179" s="27"/>
      <c r="V179" s="19"/>
      <c r="W179" s="14"/>
      <c r="X179" s="109" t="s">
        <v>14</v>
      </c>
      <c r="Y179" s="110" t="s">
        <v>6</v>
      </c>
      <c r="Z179" s="110" t="s">
        <v>7</v>
      </c>
      <c r="AA179" s="14"/>
      <c r="AB179" s="14"/>
      <c r="AC179" s="14"/>
      <c r="AD179" s="65"/>
      <c r="AE179" s="63"/>
      <c r="AF179" s="47"/>
      <c r="AG179" s="19"/>
      <c r="AH179" s="19"/>
      <c r="AI179" s="19"/>
      <c r="AJ179" s="27"/>
      <c r="AK179" s="19"/>
      <c r="AL179" s="14"/>
      <c r="AM179" s="109" t="s">
        <v>14</v>
      </c>
      <c r="AN179" s="110" t="s">
        <v>6</v>
      </c>
      <c r="AO179" s="110" t="s">
        <v>7</v>
      </c>
      <c r="AP179" s="14"/>
      <c r="AQ179" s="14"/>
      <c r="AR179" s="14"/>
      <c r="AS179" s="65"/>
      <c r="AT179" s="63"/>
      <c r="AU179" s="47"/>
      <c r="AV179" s="14"/>
      <c r="AW179" s="19"/>
      <c r="AX179" s="19"/>
      <c r="AY179" s="27"/>
      <c r="AZ179" s="19"/>
      <c r="BA179" s="14"/>
      <c r="BB179" s="109" t="s">
        <v>14</v>
      </c>
      <c r="BC179" s="110" t="s">
        <v>6</v>
      </c>
      <c r="BD179" s="110" t="s">
        <v>7</v>
      </c>
      <c r="BE179" s="14"/>
      <c r="BF179" s="14"/>
      <c r="BG179" s="14"/>
      <c r="BH179" s="65"/>
      <c r="BI179" s="63"/>
      <c r="BJ179" s="352"/>
      <c r="BK179" s="19"/>
      <c r="BL179" s="19"/>
      <c r="BM179" s="19"/>
      <c r="BN179" s="27"/>
      <c r="BO179" s="19"/>
      <c r="BP179" s="14"/>
      <c r="BQ179" s="109" t="s">
        <v>14</v>
      </c>
      <c r="BR179" s="110" t="s">
        <v>6</v>
      </c>
      <c r="BS179" s="110" t="s">
        <v>7</v>
      </c>
      <c r="BT179" s="14"/>
      <c r="BU179" s="14"/>
      <c r="BV179" s="14"/>
      <c r="BW179" s="65"/>
      <c r="BX179" s="63"/>
      <c r="BY179" s="352"/>
      <c r="BZ179" s="14"/>
      <c r="CA179" s="86"/>
      <c r="CB179" s="111"/>
      <c r="CC179" s="111"/>
      <c r="CD179" s="179"/>
      <c r="CE179" s="179"/>
      <c r="CF179" s="108"/>
      <c r="CG179" s="29"/>
      <c r="CH179" s="109"/>
      <c r="CI179" s="109"/>
      <c r="CJ179" s="109"/>
      <c r="CK179" s="109"/>
      <c r="CL179" s="109"/>
      <c r="CM179" s="109"/>
      <c r="CN179" s="109"/>
      <c r="CO179" s="329"/>
      <c r="CP179" s="14"/>
      <c r="CQ179" s="47"/>
      <c r="CR179" s="14"/>
      <c r="CS179" s="107"/>
      <c r="CT179" s="27"/>
      <c r="CU179" s="37"/>
      <c r="CV179" s="37"/>
      <c r="CW179" s="37"/>
      <c r="CX179" s="37"/>
      <c r="CY179" s="29"/>
      <c r="CZ179" s="106"/>
      <c r="DA179" s="27"/>
      <c r="DB179" s="27"/>
      <c r="DC179" s="27"/>
      <c r="DD179" s="27"/>
      <c r="DE179" s="27"/>
      <c r="DF179" s="27"/>
      <c r="DG179" s="141" t="str">
        <f t="shared" si="118"/>
        <v/>
      </c>
      <c r="DH179" s="14"/>
      <c r="DI179" s="47"/>
      <c r="DJ179" s="14"/>
      <c r="DK179" s="62"/>
      <c r="DL179" s="19"/>
      <c r="DM179" s="59"/>
      <c r="DN179" s="14"/>
      <c r="DO179" s="14"/>
      <c r="DP179" s="109" t="s">
        <v>14</v>
      </c>
      <c r="DQ179" s="110" t="s">
        <v>6</v>
      </c>
      <c r="DR179" s="110" t="s">
        <v>7</v>
      </c>
      <c r="DS179" s="14"/>
      <c r="DT179" s="14"/>
      <c r="DU179" s="14"/>
      <c r="DV179" s="14"/>
      <c r="DW179" s="14"/>
      <c r="DX179" s="14"/>
      <c r="DY179" s="14"/>
      <c r="DZ179" s="14"/>
      <c r="EA179" s="14"/>
      <c r="EB179" s="14"/>
      <c r="EC179" s="14"/>
      <c r="ED179" s="14"/>
      <c r="EE179" s="14"/>
      <c r="EF179" s="14"/>
      <c r="EG179" s="14"/>
      <c r="EH179" s="14"/>
      <c r="EI179" s="14"/>
      <c r="EJ179" s="14"/>
      <c r="EK179" s="14"/>
      <c r="EL179" s="14"/>
    </row>
    <row r="180" spans="1:142" x14ac:dyDescent="0.25">
      <c r="A180" s="14"/>
      <c r="B180" s="14"/>
      <c r="C180" s="19"/>
      <c r="D180" s="59"/>
      <c r="E180" s="14"/>
      <c r="F180" s="14"/>
      <c r="G180" s="107" t="s">
        <v>34</v>
      </c>
      <c r="H180" s="27">
        <f>COUNTIFS(S30_stakeholder_category,"PO",Response_Q173_3,G180)</f>
        <v>1</v>
      </c>
      <c r="I180" s="41">
        <f>IFERROR(H180/H$185,"")</f>
        <v>0.33333333333333331</v>
      </c>
      <c r="J180" s="14"/>
      <c r="K180" s="14"/>
      <c r="L180" s="14"/>
      <c r="M180" s="14"/>
      <c r="N180" s="14"/>
      <c r="O180" s="14"/>
      <c r="P180" s="14"/>
      <c r="Q180" s="47"/>
      <c r="R180" s="19"/>
      <c r="S180" s="19"/>
      <c r="T180" s="19"/>
      <c r="U180" s="27"/>
      <c r="V180" s="19"/>
      <c r="W180" s="14"/>
      <c r="X180" s="107" t="s">
        <v>5</v>
      </c>
      <c r="Y180" s="27">
        <f t="shared" ref="Y180:Y186" si="130">COUNTIFS(S30_stakeholder_category,"PO",Response_Q176_2,X180)</f>
        <v>1</v>
      </c>
      <c r="Z180" s="41">
        <f t="shared" ref="Z180:Z186" si="131">IFERROR(Y180/Y$187,0)</f>
        <v>0.33333333333333331</v>
      </c>
      <c r="AA180" s="14"/>
      <c r="AB180" s="14"/>
      <c r="AC180" s="14"/>
      <c r="AD180" s="65"/>
      <c r="AE180" s="63"/>
      <c r="AF180" s="47"/>
      <c r="AG180" s="19"/>
      <c r="AH180" s="19"/>
      <c r="AI180" s="19"/>
      <c r="AJ180" s="27"/>
      <c r="AK180" s="19"/>
      <c r="AL180" s="14"/>
      <c r="AM180" s="107" t="s">
        <v>5</v>
      </c>
      <c r="AN180" s="27">
        <f t="shared" ref="AN180:AN186" si="132">COUNTIFS(S30_stakeholder_category,"PO",Response_30b_CaseA,AM180)</f>
        <v>1</v>
      </c>
      <c r="AO180" s="41">
        <f>IFERROR(AN180/AN$187,0)</f>
        <v>1</v>
      </c>
      <c r="AP180" s="14"/>
      <c r="AQ180" s="14"/>
      <c r="AR180" s="14"/>
      <c r="AS180" s="65"/>
      <c r="AT180" s="63"/>
      <c r="AU180" s="47"/>
      <c r="AV180" s="14"/>
      <c r="AW180" s="19"/>
      <c r="AX180" s="19"/>
      <c r="AY180" s="27"/>
      <c r="AZ180" s="19"/>
      <c r="BA180" s="14"/>
      <c r="BB180" s="107" t="s">
        <v>5</v>
      </c>
      <c r="BC180" s="27">
        <f t="shared" ref="BC180:BC186" si="133">COUNTIFS(S30_stakeholder_category,"PO",Response_30b_CaseB,BB180)</f>
        <v>1</v>
      </c>
      <c r="BD180" s="41">
        <f>IFERROR(BC180/BC$187,0)</f>
        <v>1</v>
      </c>
      <c r="BE180" s="14"/>
      <c r="BF180" s="14"/>
      <c r="BG180" s="14"/>
      <c r="BH180" s="65"/>
      <c r="BI180" s="63"/>
      <c r="BJ180" s="352"/>
      <c r="BK180" s="19"/>
      <c r="BL180" s="19"/>
      <c r="BM180" s="19"/>
      <c r="BN180" s="27"/>
      <c r="BO180" s="19"/>
      <c r="BP180" s="14"/>
      <c r="BQ180" s="107" t="s">
        <v>5</v>
      </c>
      <c r="BR180" s="27">
        <f t="shared" ref="BR180:BR186" si="134">COUNTIFS(S30_stakeholder_category,"PO",Response_30b_CaseC,BQ180)</f>
        <v>0</v>
      </c>
      <c r="BS180" s="41">
        <f>IFERROR(BR180/BR$187,0)</f>
        <v>0</v>
      </c>
      <c r="BT180" s="14"/>
      <c r="BU180" s="14"/>
      <c r="BV180" s="14"/>
      <c r="BW180" s="65"/>
      <c r="BX180" s="63"/>
      <c r="BY180" s="352"/>
      <c r="BZ180" s="14"/>
      <c r="CA180" s="14"/>
      <c r="CB180" s="21"/>
      <c r="CC180" s="21"/>
      <c r="CD180" s="180"/>
      <c r="CE180" s="181"/>
      <c r="CF180" s="31"/>
      <c r="CG180" s="52"/>
      <c r="CH180" s="52"/>
      <c r="CI180" s="99"/>
      <c r="CJ180" s="14"/>
      <c r="CK180" s="14"/>
      <c r="CL180" s="14"/>
      <c r="CM180" s="14"/>
      <c r="CN180" s="14"/>
      <c r="CO180" s="129"/>
      <c r="CP180" s="14"/>
      <c r="CQ180" s="47"/>
      <c r="CR180" s="14"/>
      <c r="CS180" s="86"/>
      <c r="CT180" s="111"/>
      <c r="CU180" s="86"/>
      <c r="CV180" s="179"/>
      <c r="CW180" s="188"/>
      <c r="CX180" s="179"/>
      <c r="CY180" s="29"/>
      <c r="CZ180" s="109"/>
      <c r="DA180" s="109"/>
      <c r="DB180" s="109"/>
      <c r="DC180" s="109"/>
      <c r="DD180" s="109"/>
      <c r="DE180" s="109"/>
      <c r="DF180" s="109"/>
      <c r="DG180" s="329"/>
      <c r="DH180" s="14"/>
      <c r="DI180" s="47"/>
      <c r="DJ180" s="14"/>
      <c r="DK180" s="62"/>
      <c r="DL180" s="19"/>
      <c r="DM180" s="59"/>
      <c r="DN180" s="14"/>
      <c r="DO180" s="14"/>
      <c r="DP180" s="107" t="s">
        <v>34</v>
      </c>
      <c r="DQ180" s="27">
        <f>COUNTIFS(S30_stakeholder_category,"PO",Response_Q172_1,DP180,Response_Q173_3,"&lt;&gt;0")</f>
        <v>0</v>
      </c>
      <c r="DR180" s="41">
        <f>IF(DQ185=0,"",DQ180/DQ185)</f>
        <v>0</v>
      </c>
      <c r="DS180" s="14"/>
      <c r="DT180" s="14"/>
      <c r="DU180" s="14"/>
      <c r="DV180" s="14"/>
      <c r="DW180" s="14"/>
      <c r="DX180" s="14"/>
      <c r="DY180" s="14"/>
      <c r="DZ180" s="14"/>
      <c r="EA180" s="14"/>
      <c r="EB180" s="14"/>
      <c r="EC180" s="14"/>
      <c r="ED180" s="14"/>
      <c r="EE180" s="14"/>
      <c r="EF180" s="14"/>
      <c r="EG180" s="14"/>
      <c r="EH180" s="14"/>
      <c r="EI180" s="14"/>
      <c r="EJ180" s="14"/>
      <c r="EK180" s="14"/>
      <c r="EL180" s="14"/>
    </row>
    <row r="181" spans="1:142" x14ac:dyDescent="0.25">
      <c r="A181" s="14"/>
      <c r="B181" s="14"/>
      <c r="C181" s="19"/>
      <c r="D181" s="59"/>
      <c r="E181" s="14"/>
      <c r="F181" s="14"/>
      <c r="G181" s="107" t="s">
        <v>35</v>
      </c>
      <c r="H181" s="27">
        <f>COUNTIFS(S30_stakeholder_category,"PO",Response_Q173_3,G181)</f>
        <v>1</v>
      </c>
      <c r="I181" s="41">
        <f t="shared" ref="I181:I185" si="135">IFERROR(H181/H$185,"")</f>
        <v>0.33333333333333331</v>
      </c>
      <c r="J181" s="14"/>
      <c r="K181" s="14"/>
      <c r="L181" s="14"/>
      <c r="M181" s="14"/>
      <c r="N181" s="14"/>
      <c r="O181" s="14"/>
      <c r="P181" s="14"/>
      <c r="Q181" s="47"/>
      <c r="R181" s="19"/>
      <c r="S181" s="19"/>
      <c r="T181" s="19"/>
      <c r="U181" s="27"/>
      <c r="V181" s="19"/>
      <c r="W181" s="14"/>
      <c r="X181" s="107" t="s">
        <v>4</v>
      </c>
      <c r="Y181" s="27">
        <f t="shared" si="130"/>
        <v>0</v>
      </c>
      <c r="Z181" s="41">
        <f t="shared" si="131"/>
        <v>0</v>
      </c>
      <c r="AA181" s="14"/>
      <c r="AB181" s="14"/>
      <c r="AC181" s="14"/>
      <c r="AD181" s="65"/>
      <c r="AE181" s="63"/>
      <c r="AF181" s="47"/>
      <c r="AG181" s="19"/>
      <c r="AH181" s="19"/>
      <c r="AI181" s="19"/>
      <c r="AJ181" s="27"/>
      <c r="AK181" s="19"/>
      <c r="AL181" s="14"/>
      <c r="AM181" s="107" t="s">
        <v>4</v>
      </c>
      <c r="AN181" s="27">
        <f t="shared" si="132"/>
        <v>0</v>
      </c>
      <c r="AO181" s="41">
        <f t="shared" ref="AO181:AO186" si="136">IFERROR(AN181/AN$187,0)</f>
        <v>0</v>
      </c>
      <c r="AP181" s="14"/>
      <c r="AQ181" s="14"/>
      <c r="AR181" s="14"/>
      <c r="AS181" s="65"/>
      <c r="AT181" s="63"/>
      <c r="AU181" s="47"/>
      <c r="AV181" s="14"/>
      <c r="AW181" s="19"/>
      <c r="AX181" s="19"/>
      <c r="AY181" s="27"/>
      <c r="AZ181" s="19"/>
      <c r="BA181" s="14"/>
      <c r="BB181" s="107" t="s">
        <v>4</v>
      </c>
      <c r="BC181" s="27">
        <f t="shared" si="133"/>
        <v>0</v>
      </c>
      <c r="BD181" s="41">
        <f t="shared" ref="BD181:BD186" si="137">IFERROR(BC181/BC$187,0)</f>
        <v>0</v>
      </c>
      <c r="BE181" s="14"/>
      <c r="BF181" s="14"/>
      <c r="BG181" s="14"/>
      <c r="BH181" s="65"/>
      <c r="BI181" s="63"/>
      <c r="BJ181" s="352"/>
      <c r="BK181" s="19"/>
      <c r="BL181" s="19"/>
      <c r="BM181" s="19"/>
      <c r="BN181" s="27"/>
      <c r="BO181" s="19"/>
      <c r="BP181" s="14"/>
      <c r="BQ181" s="107" t="s">
        <v>4</v>
      </c>
      <c r="BR181" s="27">
        <f t="shared" si="134"/>
        <v>0</v>
      </c>
      <c r="BS181" s="41">
        <f t="shared" ref="BS181:BS186" si="138">IFERROR(BR181/BR$187,0)</f>
        <v>0</v>
      </c>
      <c r="BT181" s="14"/>
      <c r="BU181" s="14"/>
      <c r="BV181" s="14"/>
      <c r="BW181" s="65"/>
      <c r="BX181" s="63"/>
      <c r="BY181" s="352"/>
      <c r="BZ181" s="14"/>
      <c r="CA181" s="14"/>
      <c r="CB181" s="21"/>
      <c r="CC181" s="21"/>
      <c r="CD181" s="180"/>
      <c r="CE181" s="181"/>
      <c r="CF181" s="31"/>
      <c r="CG181" s="52"/>
      <c r="CH181" s="52"/>
      <c r="CI181" s="99"/>
      <c r="CJ181" s="14"/>
      <c r="CK181" s="14"/>
      <c r="CL181" s="14"/>
      <c r="CM181" s="14"/>
      <c r="CN181" s="14"/>
      <c r="CO181" s="129"/>
      <c r="CP181" s="14"/>
      <c r="CQ181" s="47"/>
      <c r="CR181" s="14"/>
      <c r="CS181" s="14"/>
      <c r="CT181" s="14"/>
      <c r="CU181" s="14"/>
      <c r="CV181" s="180"/>
      <c r="CW181" s="190"/>
      <c r="CX181" s="191"/>
      <c r="CY181" s="52"/>
      <c r="CZ181" s="52"/>
      <c r="DA181" s="54"/>
      <c r="DB181" s="14"/>
      <c r="DC181" s="14"/>
      <c r="DD181" s="14"/>
      <c r="DE181" s="14"/>
      <c r="DF181" s="14"/>
      <c r="DG181" s="129"/>
      <c r="DH181" s="14"/>
      <c r="DI181" s="47"/>
      <c r="DJ181" s="14"/>
      <c r="DK181" s="62"/>
      <c r="DL181" s="19"/>
      <c r="DM181" s="59"/>
      <c r="DN181" s="14"/>
      <c r="DO181" s="14"/>
      <c r="DP181" s="107" t="s">
        <v>35</v>
      </c>
      <c r="DQ181" s="27">
        <f>COUNTIFS(S30_stakeholder_category,"PO",Response_Q172_1,DP181,Response_Q173_3,"&lt;&gt;0")</f>
        <v>0</v>
      </c>
      <c r="DR181" s="41">
        <f>IF(DQ185=0,"",DQ181/DQ185)</f>
        <v>0</v>
      </c>
      <c r="DS181" s="14"/>
      <c r="DT181" s="14"/>
      <c r="DU181" s="14"/>
      <c r="DV181" s="14"/>
      <c r="DW181" s="14"/>
      <c r="DX181" s="14"/>
      <c r="DY181" s="14"/>
      <c r="DZ181" s="14"/>
      <c r="EA181" s="14"/>
      <c r="EB181" s="14"/>
      <c r="EC181" s="14"/>
      <c r="ED181" s="14"/>
      <c r="EE181" s="14"/>
      <c r="EF181" s="14"/>
      <c r="EG181" s="14"/>
      <c r="EH181" s="14"/>
      <c r="EI181" s="14"/>
      <c r="EJ181" s="14"/>
      <c r="EK181" s="14"/>
      <c r="EL181" s="14"/>
    </row>
    <row r="182" spans="1:142" x14ac:dyDescent="0.25">
      <c r="A182" s="14"/>
      <c r="B182" s="14"/>
      <c r="C182" s="19"/>
      <c r="D182" s="59"/>
      <c r="E182" s="14"/>
      <c r="F182" s="14"/>
      <c r="G182" s="107" t="s">
        <v>36</v>
      </c>
      <c r="H182" s="27">
        <f>COUNTIFS(S30_stakeholder_category,"PO",Response_Q173_3,G182)</f>
        <v>1</v>
      </c>
      <c r="I182" s="41">
        <f t="shared" si="135"/>
        <v>0.33333333333333331</v>
      </c>
      <c r="J182" s="14"/>
      <c r="K182" s="14"/>
      <c r="L182" s="14"/>
      <c r="M182" s="14"/>
      <c r="N182" s="14"/>
      <c r="O182" s="14"/>
      <c r="P182" s="14"/>
      <c r="Q182" s="47"/>
      <c r="R182" s="19"/>
      <c r="S182" s="19"/>
      <c r="T182" s="19"/>
      <c r="U182" s="27"/>
      <c r="V182" s="19"/>
      <c r="W182" s="14"/>
      <c r="X182" s="107" t="s">
        <v>33</v>
      </c>
      <c r="Y182" s="27">
        <f t="shared" si="130"/>
        <v>1</v>
      </c>
      <c r="Z182" s="41">
        <f t="shared" si="131"/>
        <v>0.33333333333333331</v>
      </c>
      <c r="AA182" s="14"/>
      <c r="AB182" s="14"/>
      <c r="AC182" s="14"/>
      <c r="AD182" s="65"/>
      <c r="AE182" s="63"/>
      <c r="AF182" s="47"/>
      <c r="AG182" s="19"/>
      <c r="AH182" s="19"/>
      <c r="AI182" s="19"/>
      <c r="AJ182" s="27"/>
      <c r="AK182" s="19"/>
      <c r="AL182" s="14"/>
      <c r="AM182" s="107" t="s">
        <v>33</v>
      </c>
      <c r="AN182" s="27">
        <f t="shared" si="132"/>
        <v>0</v>
      </c>
      <c r="AO182" s="41">
        <f t="shared" si="136"/>
        <v>0</v>
      </c>
      <c r="AP182" s="14"/>
      <c r="AQ182" s="14"/>
      <c r="AR182" s="14"/>
      <c r="AS182" s="65"/>
      <c r="AT182" s="63"/>
      <c r="AU182" s="47"/>
      <c r="AV182" s="14"/>
      <c r="AW182" s="19"/>
      <c r="AX182" s="19"/>
      <c r="AY182" s="27"/>
      <c r="AZ182" s="19"/>
      <c r="BA182" s="14"/>
      <c r="BB182" s="107" t="s">
        <v>33</v>
      </c>
      <c r="BC182" s="27">
        <f t="shared" si="133"/>
        <v>0</v>
      </c>
      <c r="BD182" s="41">
        <f t="shared" si="137"/>
        <v>0</v>
      </c>
      <c r="BE182" s="14"/>
      <c r="BF182" s="14"/>
      <c r="BG182" s="14"/>
      <c r="BH182" s="65"/>
      <c r="BI182" s="63"/>
      <c r="BJ182" s="352"/>
      <c r="BK182" s="19"/>
      <c r="BL182" s="19"/>
      <c r="BM182" s="19"/>
      <c r="BN182" s="27"/>
      <c r="BO182" s="19"/>
      <c r="BP182" s="14"/>
      <c r="BQ182" s="107" t="s">
        <v>33</v>
      </c>
      <c r="BR182" s="27">
        <f t="shared" si="134"/>
        <v>0</v>
      </c>
      <c r="BS182" s="41">
        <f t="shared" si="138"/>
        <v>0</v>
      </c>
      <c r="BT182" s="14"/>
      <c r="BU182" s="14"/>
      <c r="BV182" s="14"/>
      <c r="BW182" s="65"/>
      <c r="BX182" s="63"/>
      <c r="BY182" s="352"/>
      <c r="BZ182" s="14"/>
      <c r="CA182" s="14"/>
      <c r="CB182" s="21"/>
      <c r="CC182" s="21"/>
      <c r="CD182" s="180"/>
      <c r="CE182" s="181"/>
      <c r="CF182" s="31"/>
      <c r="CG182" s="52"/>
      <c r="CH182" s="52"/>
      <c r="CI182" s="99"/>
      <c r="CJ182" s="14"/>
      <c r="CK182" s="14"/>
      <c r="CL182" s="14"/>
      <c r="CM182" s="14"/>
      <c r="CN182" s="14"/>
      <c r="CO182" s="129"/>
      <c r="CP182" s="14"/>
      <c r="CQ182" s="47"/>
      <c r="CR182" s="14"/>
      <c r="CS182" s="14"/>
      <c r="CT182" s="14"/>
      <c r="CU182" s="14"/>
      <c r="CV182" s="180"/>
      <c r="CW182" s="190"/>
      <c r="CX182" s="191"/>
      <c r="CY182" s="52"/>
      <c r="CZ182" s="52"/>
      <c r="DA182" s="54"/>
      <c r="DB182" s="14"/>
      <c r="DC182" s="14"/>
      <c r="DD182" s="14"/>
      <c r="DE182" s="14"/>
      <c r="DF182" s="14"/>
      <c r="DG182" s="129"/>
      <c r="DH182" s="14"/>
      <c r="DI182" s="47"/>
      <c r="DJ182" s="14"/>
      <c r="DK182" s="62"/>
      <c r="DL182" s="19"/>
      <c r="DM182" s="59"/>
      <c r="DN182" s="14"/>
      <c r="DO182" s="14"/>
      <c r="DP182" s="107" t="s">
        <v>36</v>
      </c>
      <c r="DQ182" s="27">
        <f>COUNTIFS(S30_stakeholder_category,"PO",Response_Q172_1,DP182,Response_Q173_3,"&lt;&gt;0")</f>
        <v>2</v>
      </c>
      <c r="DR182" s="41">
        <f>IF(DQ185=0,"",DQ182/DQ185)</f>
        <v>0.66666666666666663</v>
      </c>
      <c r="DS182" s="14"/>
      <c r="DT182" s="14"/>
      <c r="DU182" s="14"/>
      <c r="DV182" s="14"/>
      <c r="DW182" s="14"/>
      <c r="DX182" s="14"/>
      <c r="DY182" s="14"/>
      <c r="DZ182" s="14"/>
      <c r="EA182" s="14"/>
      <c r="EB182" s="14"/>
      <c r="EC182" s="14"/>
      <c r="ED182" s="14"/>
      <c r="EE182" s="14"/>
      <c r="EF182" s="14"/>
      <c r="EG182" s="14"/>
      <c r="EH182" s="14"/>
      <c r="EI182" s="14"/>
      <c r="EJ182" s="14"/>
      <c r="EK182" s="14"/>
      <c r="EL182" s="14"/>
    </row>
    <row r="183" spans="1:142" ht="14.4" x14ac:dyDescent="0.25">
      <c r="A183" s="14"/>
      <c r="B183" s="62"/>
      <c r="C183" s="19"/>
      <c r="D183" s="59"/>
      <c r="E183" s="14"/>
      <c r="F183" s="14"/>
      <c r="G183" s="107" t="s">
        <v>38</v>
      </c>
      <c r="H183" s="27">
        <f>COUNTIFS(S30_stakeholder_category,"PO",Response_Q173_3,G183)</f>
        <v>0</v>
      </c>
      <c r="I183" s="41">
        <f t="shared" si="135"/>
        <v>0</v>
      </c>
      <c r="J183" s="14"/>
      <c r="K183" s="14"/>
      <c r="L183" s="14"/>
      <c r="M183" s="14"/>
      <c r="N183" s="14"/>
      <c r="O183" s="14"/>
      <c r="P183" s="14"/>
      <c r="Q183" s="47"/>
      <c r="R183" s="19"/>
      <c r="S183" s="60"/>
      <c r="T183" s="19"/>
      <c r="U183" s="59"/>
      <c r="V183" s="19"/>
      <c r="W183" s="14"/>
      <c r="X183" s="107" t="s">
        <v>29</v>
      </c>
      <c r="Y183" s="27">
        <f t="shared" si="130"/>
        <v>0</v>
      </c>
      <c r="Z183" s="41">
        <f t="shared" si="131"/>
        <v>0</v>
      </c>
      <c r="AA183" s="14"/>
      <c r="AB183" s="14"/>
      <c r="AC183" s="14"/>
      <c r="AD183" s="65"/>
      <c r="AE183" s="63"/>
      <c r="AF183" s="47"/>
      <c r="AG183" s="19"/>
      <c r="AH183" s="60"/>
      <c r="AI183" s="19"/>
      <c r="AJ183" s="59"/>
      <c r="AK183" s="19"/>
      <c r="AL183" s="14"/>
      <c r="AM183" s="107" t="s">
        <v>29</v>
      </c>
      <c r="AN183" s="27">
        <f t="shared" si="132"/>
        <v>0</v>
      </c>
      <c r="AO183" s="41">
        <f t="shared" si="136"/>
        <v>0</v>
      </c>
      <c r="AP183" s="14"/>
      <c r="AQ183" s="14"/>
      <c r="AR183" s="14"/>
      <c r="AS183" s="65"/>
      <c r="AT183" s="63"/>
      <c r="AU183" s="47"/>
      <c r="AV183" s="14"/>
      <c r="AW183" s="60"/>
      <c r="AX183" s="19"/>
      <c r="AY183" s="59"/>
      <c r="AZ183" s="19"/>
      <c r="BA183" s="14"/>
      <c r="BB183" s="107" t="s">
        <v>29</v>
      </c>
      <c r="BC183" s="27">
        <f t="shared" si="133"/>
        <v>0</v>
      </c>
      <c r="BD183" s="41">
        <f t="shared" si="137"/>
        <v>0</v>
      </c>
      <c r="BE183" s="14"/>
      <c r="BF183" s="14"/>
      <c r="BG183" s="14"/>
      <c r="BH183" s="65"/>
      <c r="BI183" s="63"/>
      <c r="BJ183" s="352"/>
      <c r="BK183" s="19"/>
      <c r="BL183" s="60"/>
      <c r="BM183" s="19"/>
      <c r="BN183" s="59"/>
      <c r="BO183" s="19"/>
      <c r="BP183" s="14"/>
      <c r="BQ183" s="107" t="s">
        <v>29</v>
      </c>
      <c r="BR183" s="27">
        <f t="shared" si="134"/>
        <v>0</v>
      </c>
      <c r="BS183" s="41">
        <f t="shared" si="138"/>
        <v>0</v>
      </c>
      <c r="BT183" s="14"/>
      <c r="BU183" s="14"/>
      <c r="BV183" s="14"/>
      <c r="BW183" s="65"/>
      <c r="BX183" s="63"/>
      <c r="BY183" s="352"/>
      <c r="BZ183" s="14"/>
      <c r="CA183" s="14"/>
      <c r="CB183" s="21"/>
      <c r="CC183" s="21"/>
      <c r="CD183" s="180"/>
      <c r="CE183" s="181"/>
      <c r="CF183" s="31"/>
      <c r="CG183" s="52"/>
      <c r="CH183" s="52"/>
      <c r="CI183" s="99"/>
      <c r="CJ183" s="14"/>
      <c r="CK183" s="14"/>
      <c r="CL183" s="14"/>
      <c r="CM183" s="14"/>
      <c r="CN183" s="14"/>
      <c r="CO183" s="129"/>
      <c r="CP183" s="14"/>
      <c r="CQ183" s="47"/>
      <c r="CR183" s="14"/>
      <c r="CS183" s="14"/>
      <c r="CT183" s="14"/>
      <c r="CU183" s="14"/>
      <c r="CV183" s="180"/>
      <c r="CW183" s="190"/>
      <c r="CX183" s="191"/>
      <c r="CY183" s="52"/>
      <c r="CZ183" s="52"/>
      <c r="DA183" s="54"/>
      <c r="DB183" s="14"/>
      <c r="DC183" s="14"/>
      <c r="DD183" s="14"/>
      <c r="DE183" s="14"/>
      <c r="DF183" s="14"/>
      <c r="DG183" s="129"/>
      <c r="DH183" s="14"/>
      <c r="DI183" s="47"/>
      <c r="DJ183" s="14"/>
      <c r="DK183" s="62"/>
      <c r="DL183" s="19"/>
      <c r="DM183" s="59"/>
      <c r="DN183" s="14"/>
      <c r="DO183" s="14"/>
      <c r="DP183" s="107" t="s">
        <v>38</v>
      </c>
      <c r="DQ183" s="27">
        <f>COUNTIFS(S30_stakeholder_category,"PO",Response_Q172_1,DP183,Response_Q173_3,"&lt;&gt;0")</f>
        <v>1</v>
      </c>
      <c r="DR183" s="41">
        <f>IF(DQ185=0,"",DQ183/DQ185)</f>
        <v>0.33333333333333331</v>
      </c>
      <c r="DS183" s="14"/>
      <c r="DT183" s="14"/>
      <c r="DU183" s="14"/>
      <c r="DV183" s="14"/>
      <c r="DW183" s="14"/>
      <c r="DX183" s="14"/>
      <c r="DY183" s="14"/>
      <c r="DZ183" s="14"/>
      <c r="EA183" s="14"/>
      <c r="EB183" s="14"/>
      <c r="EC183" s="14"/>
      <c r="ED183" s="14"/>
      <c r="EE183" s="14"/>
      <c r="EF183" s="14"/>
      <c r="EG183" s="14"/>
      <c r="EH183" s="14"/>
      <c r="EI183" s="14"/>
      <c r="EJ183" s="14"/>
      <c r="EK183" s="14"/>
      <c r="EL183" s="14"/>
    </row>
    <row r="184" spans="1:142" ht="14.4" x14ac:dyDescent="0.25">
      <c r="A184" s="14"/>
      <c r="B184" s="62"/>
      <c r="C184" s="19"/>
      <c r="D184" s="59"/>
      <c r="E184" s="14"/>
      <c r="F184" s="14"/>
      <c r="G184" s="107" t="s">
        <v>39</v>
      </c>
      <c r="H184" s="27">
        <f>COUNTIFS(S30_stakeholder_category,"PO",Response_Q173_3,G184)</f>
        <v>0</v>
      </c>
      <c r="I184" s="41">
        <f t="shared" si="135"/>
        <v>0</v>
      </c>
      <c r="J184" s="14"/>
      <c r="K184" s="14"/>
      <c r="L184" s="14"/>
      <c r="M184" s="14"/>
      <c r="N184" s="14"/>
      <c r="O184" s="14"/>
      <c r="P184" s="14"/>
      <c r="Q184" s="47"/>
      <c r="R184" s="19"/>
      <c r="S184" s="61"/>
      <c r="T184" s="19"/>
      <c r="U184" s="59"/>
      <c r="V184" s="19"/>
      <c r="W184" s="14"/>
      <c r="X184" s="107" t="s">
        <v>3</v>
      </c>
      <c r="Y184" s="27">
        <f t="shared" si="130"/>
        <v>1</v>
      </c>
      <c r="Z184" s="41">
        <f t="shared" si="131"/>
        <v>0.33333333333333331</v>
      </c>
      <c r="AA184" s="14"/>
      <c r="AB184" s="14"/>
      <c r="AC184" s="14"/>
      <c r="AD184" s="65"/>
      <c r="AE184" s="63"/>
      <c r="AF184" s="47"/>
      <c r="AG184" s="19"/>
      <c r="AH184" s="61"/>
      <c r="AI184" s="19"/>
      <c r="AJ184" s="59"/>
      <c r="AK184" s="19"/>
      <c r="AL184" s="14"/>
      <c r="AM184" s="107" t="s">
        <v>3</v>
      </c>
      <c r="AN184" s="27">
        <f t="shared" si="132"/>
        <v>0</v>
      </c>
      <c r="AO184" s="41">
        <f t="shared" si="136"/>
        <v>0</v>
      </c>
      <c r="AP184" s="14"/>
      <c r="AQ184" s="14"/>
      <c r="AR184" s="14"/>
      <c r="AS184" s="65"/>
      <c r="AT184" s="63"/>
      <c r="AU184" s="47"/>
      <c r="AV184" s="14"/>
      <c r="AW184" s="61"/>
      <c r="AX184" s="19"/>
      <c r="AY184" s="59"/>
      <c r="AZ184" s="19"/>
      <c r="BA184" s="14"/>
      <c r="BB184" s="107" t="s">
        <v>3</v>
      </c>
      <c r="BC184" s="27">
        <f t="shared" si="133"/>
        <v>0</v>
      </c>
      <c r="BD184" s="41">
        <f t="shared" si="137"/>
        <v>0</v>
      </c>
      <c r="BE184" s="14"/>
      <c r="BF184" s="14"/>
      <c r="BG184" s="14"/>
      <c r="BH184" s="65"/>
      <c r="BI184" s="63"/>
      <c r="BJ184" s="352"/>
      <c r="BK184" s="19"/>
      <c r="BL184" s="61"/>
      <c r="BM184" s="19"/>
      <c r="BN184" s="59"/>
      <c r="BO184" s="19"/>
      <c r="BP184" s="14"/>
      <c r="BQ184" s="107" t="s">
        <v>3</v>
      </c>
      <c r="BR184" s="27">
        <f t="shared" si="134"/>
        <v>1</v>
      </c>
      <c r="BS184" s="41">
        <f t="shared" si="138"/>
        <v>1</v>
      </c>
      <c r="BT184" s="14"/>
      <c r="BU184" s="14"/>
      <c r="BV184" s="14"/>
      <c r="BW184" s="65"/>
      <c r="BX184" s="63"/>
      <c r="BY184" s="352"/>
      <c r="BZ184" s="14"/>
      <c r="CA184" s="14"/>
      <c r="CB184" s="21"/>
      <c r="CC184" s="21"/>
      <c r="CD184" s="180"/>
      <c r="CE184" s="181"/>
      <c r="CF184" s="31"/>
      <c r="CG184" s="52"/>
      <c r="CH184" s="52"/>
      <c r="CI184" s="99"/>
      <c r="CJ184" s="14"/>
      <c r="CK184" s="14"/>
      <c r="CL184" s="14"/>
      <c r="CM184" s="14"/>
      <c r="CN184" s="14"/>
      <c r="CO184" s="129"/>
      <c r="CP184" s="14"/>
      <c r="CQ184" s="47"/>
      <c r="CR184" s="14"/>
      <c r="CS184" s="14"/>
      <c r="CT184" s="14"/>
      <c r="CU184" s="14"/>
      <c r="CV184" s="180"/>
      <c r="CW184" s="190"/>
      <c r="CX184" s="191"/>
      <c r="CY184" s="52"/>
      <c r="CZ184" s="52"/>
      <c r="DA184" s="54"/>
      <c r="DB184" s="14"/>
      <c r="DC184" s="14"/>
      <c r="DD184" s="14"/>
      <c r="DE184" s="14"/>
      <c r="DF184" s="14"/>
      <c r="DG184" s="129"/>
      <c r="DH184" s="14"/>
      <c r="DI184" s="47"/>
      <c r="DJ184" s="14"/>
      <c r="DK184" s="62"/>
      <c r="DL184" s="19"/>
      <c r="DM184" s="59"/>
      <c r="DN184" s="14"/>
      <c r="DO184" s="14"/>
      <c r="DP184" s="107" t="s">
        <v>39</v>
      </c>
      <c r="DQ184" s="27">
        <f>COUNTIFS(S30_stakeholder_category,"PO",Response_Q172_1,DP184,Response_Q173_3,"&lt;&gt;0")</f>
        <v>0</v>
      </c>
      <c r="DR184" s="41">
        <f>IF(DQ185=0,"",DQ184/DQ185)</f>
        <v>0</v>
      </c>
      <c r="DS184" s="14"/>
      <c r="DT184" s="14"/>
      <c r="DU184" s="14"/>
      <c r="DV184" s="14"/>
      <c r="DW184" s="14"/>
      <c r="DX184" s="14"/>
      <c r="DY184" s="14"/>
      <c r="DZ184" s="14"/>
      <c r="EA184" s="14"/>
      <c r="EB184" s="14"/>
      <c r="EC184" s="14"/>
      <c r="ED184" s="14"/>
      <c r="EE184" s="14"/>
      <c r="EF184" s="14"/>
      <c r="EG184" s="14"/>
      <c r="EH184" s="14"/>
      <c r="EI184" s="14"/>
      <c r="EJ184" s="14"/>
      <c r="EK184" s="14"/>
      <c r="EL184" s="14"/>
    </row>
    <row r="185" spans="1:142" x14ac:dyDescent="0.25">
      <c r="A185" s="14"/>
      <c r="B185" s="62"/>
      <c r="C185" s="19"/>
      <c r="D185" s="59"/>
      <c r="E185" s="14"/>
      <c r="F185" s="14"/>
      <c r="G185" s="86" t="s">
        <v>145</v>
      </c>
      <c r="H185" s="111">
        <f>COUNTIFS(S30_stakeholder_category,"PO",Response_Q173_3,"&lt;&gt;0")</f>
        <v>3</v>
      </c>
      <c r="I185" s="119">
        <f t="shared" si="135"/>
        <v>1</v>
      </c>
      <c r="J185" s="14"/>
      <c r="K185" s="14"/>
      <c r="L185" s="14"/>
      <c r="M185" s="14"/>
      <c r="N185" s="14"/>
      <c r="O185" s="14"/>
      <c r="P185" s="14"/>
      <c r="Q185" s="47"/>
      <c r="R185" s="19"/>
      <c r="S185" s="62"/>
      <c r="T185" s="19"/>
      <c r="U185" s="59"/>
      <c r="V185" s="19"/>
      <c r="W185" s="14"/>
      <c r="X185" s="107" t="s">
        <v>54</v>
      </c>
      <c r="Y185" s="27">
        <f t="shared" si="130"/>
        <v>0</v>
      </c>
      <c r="Z185" s="41">
        <f t="shared" si="131"/>
        <v>0</v>
      </c>
      <c r="AA185" s="14"/>
      <c r="AB185" s="14"/>
      <c r="AC185" s="14"/>
      <c r="AD185" s="65"/>
      <c r="AE185" s="63"/>
      <c r="AF185" s="47"/>
      <c r="AG185" s="19"/>
      <c r="AH185" s="62"/>
      <c r="AI185" s="19"/>
      <c r="AJ185" s="59"/>
      <c r="AK185" s="19"/>
      <c r="AL185" s="14"/>
      <c r="AM185" s="107" t="s">
        <v>54</v>
      </c>
      <c r="AN185" s="27">
        <f t="shared" si="132"/>
        <v>0</v>
      </c>
      <c r="AO185" s="41">
        <f t="shared" si="136"/>
        <v>0</v>
      </c>
      <c r="AP185" s="14"/>
      <c r="AQ185" s="14"/>
      <c r="AR185" s="14"/>
      <c r="AS185" s="65"/>
      <c r="AT185" s="63"/>
      <c r="AU185" s="47"/>
      <c r="AV185" s="14"/>
      <c r="AW185" s="62"/>
      <c r="AX185" s="19"/>
      <c r="AY185" s="59"/>
      <c r="AZ185" s="19"/>
      <c r="BA185" s="14"/>
      <c r="BB185" s="107" t="s">
        <v>54</v>
      </c>
      <c r="BC185" s="27">
        <f t="shared" si="133"/>
        <v>0</v>
      </c>
      <c r="BD185" s="41">
        <f t="shared" si="137"/>
        <v>0</v>
      </c>
      <c r="BE185" s="14"/>
      <c r="BF185" s="14"/>
      <c r="BG185" s="14"/>
      <c r="BH185" s="65"/>
      <c r="BI185" s="63"/>
      <c r="BJ185" s="352"/>
      <c r="BK185" s="19"/>
      <c r="BL185" s="62"/>
      <c r="BM185" s="19"/>
      <c r="BN185" s="59"/>
      <c r="BO185" s="19"/>
      <c r="BP185" s="14"/>
      <c r="BQ185" s="107" t="s">
        <v>54</v>
      </c>
      <c r="BR185" s="27">
        <f t="shared" si="134"/>
        <v>0</v>
      </c>
      <c r="BS185" s="41">
        <f t="shared" si="138"/>
        <v>0</v>
      </c>
      <c r="BT185" s="14"/>
      <c r="BU185" s="14"/>
      <c r="BV185" s="14"/>
      <c r="BW185" s="65"/>
      <c r="BX185" s="63"/>
      <c r="BY185" s="352"/>
      <c r="BZ185" s="14"/>
      <c r="CA185" s="14"/>
      <c r="CB185" s="21"/>
      <c r="CC185" s="21"/>
      <c r="CD185" s="180"/>
      <c r="CE185" s="181"/>
      <c r="CF185" s="31"/>
      <c r="CG185" s="52"/>
      <c r="CH185" s="52"/>
      <c r="CI185" s="99"/>
      <c r="CJ185" s="14"/>
      <c r="CK185" s="14"/>
      <c r="CL185" s="14"/>
      <c r="CM185" s="14"/>
      <c r="CN185" s="14"/>
      <c r="CO185" s="129"/>
      <c r="CP185" s="14"/>
      <c r="CQ185" s="47"/>
      <c r="CR185" s="14"/>
      <c r="CS185" s="14"/>
      <c r="CT185" s="14"/>
      <c r="CU185" s="14"/>
      <c r="CV185" s="180"/>
      <c r="CW185" s="190"/>
      <c r="CX185" s="191"/>
      <c r="CY185" s="52"/>
      <c r="CZ185" s="52"/>
      <c r="DA185" s="54"/>
      <c r="DB185" s="14"/>
      <c r="DC185" s="14"/>
      <c r="DD185" s="14"/>
      <c r="DE185" s="14"/>
      <c r="DF185" s="14"/>
      <c r="DG185" s="129"/>
      <c r="DH185" s="14"/>
      <c r="DI185" s="47"/>
      <c r="DJ185" s="14"/>
      <c r="DK185" s="62"/>
      <c r="DL185" s="19"/>
      <c r="DM185" s="59"/>
      <c r="DN185" s="14"/>
      <c r="DO185" s="14"/>
      <c r="DP185" s="86" t="s">
        <v>145</v>
      </c>
      <c r="DQ185" s="111">
        <f>COUNTIFS(S30_stakeholder_category,"PO",Response_Q172_1,"&lt;&gt;0",Response_Q173_3,"&lt;&gt;0")</f>
        <v>3</v>
      </c>
      <c r="DR185" s="119">
        <f>IF(DQ185=0,"",DQ185/DQ185)</f>
        <v>1</v>
      </c>
      <c r="DS185" s="14"/>
      <c r="DT185" s="14"/>
      <c r="DU185" s="14"/>
      <c r="DV185" s="14"/>
      <c r="DW185" s="14"/>
      <c r="DX185" s="14"/>
      <c r="DY185" s="14"/>
      <c r="DZ185" s="14"/>
      <c r="EA185" s="14"/>
      <c r="EB185" s="14"/>
      <c r="EC185" s="14"/>
      <c r="ED185" s="14"/>
      <c r="EE185" s="14"/>
      <c r="EF185" s="14"/>
      <c r="EG185" s="14"/>
      <c r="EH185" s="14"/>
      <c r="EI185" s="14"/>
      <c r="EJ185" s="14"/>
      <c r="EK185" s="14"/>
      <c r="EL185" s="14"/>
    </row>
    <row r="186" spans="1:142" x14ac:dyDescent="0.25">
      <c r="A186" s="14"/>
      <c r="B186" s="62"/>
      <c r="C186" s="19"/>
      <c r="D186" s="59"/>
      <c r="E186" s="14"/>
      <c r="F186" s="14"/>
      <c r="G186" s="14"/>
      <c r="H186" s="21"/>
      <c r="I186" s="21"/>
      <c r="J186" s="14"/>
      <c r="K186" s="14"/>
      <c r="L186" s="14"/>
      <c r="M186" s="14"/>
      <c r="N186" s="14"/>
      <c r="O186" s="14"/>
      <c r="P186" s="14"/>
      <c r="Q186" s="47"/>
      <c r="R186" s="19"/>
      <c r="S186" s="62"/>
      <c r="T186" s="19"/>
      <c r="U186" s="59"/>
      <c r="V186" s="19"/>
      <c r="W186" s="14"/>
      <c r="X186" s="107" t="s">
        <v>39</v>
      </c>
      <c r="Y186" s="27">
        <f t="shared" si="130"/>
        <v>0</v>
      </c>
      <c r="Z186" s="41">
        <f t="shared" si="131"/>
        <v>0</v>
      </c>
      <c r="AA186" s="14"/>
      <c r="AB186" s="14"/>
      <c r="AC186" s="14"/>
      <c r="AD186" s="65"/>
      <c r="AE186" s="63"/>
      <c r="AF186" s="47"/>
      <c r="AG186" s="19"/>
      <c r="AH186" s="62"/>
      <c r="AI186" s="19"/>
      <c r="AJ186" s="59"/>
      <c r="AK186" s="19"/>
      <c r="AL186" s="14"/>
      <c r="AM186" s="107" t="s">
        <v>39</v>
      </c>
      <c r="AN186" s="27">
        <f t="shared" si="132"/>
        <v>0</v>
      </c>
      <c r="AO186" s="41">
        <f t="shared" si="136"/>
        <v>0</v>
      </c>
      <c r="AP186" s="14"/>
      <c r="AQ186" s="14"/>
      <c r="AR186" s="14"/>
      <c r="AS186" s="65"/>
      <c r="AT186" s="63"/>
      <c r="AU186" s="47"/>
      <c r="AV186" s="14"/>
      <c r="AW186" s="62"/>
      <c r="AX186" s="19"/>
      <c r="AY186" s="59"/>
      <c r="AZ186" s="19"/>
      <c r="BA186" s="14"/>
      <c r="BB186" s="107" t="s">
        <v>39</v>
      </c>
      <c r="BC186" s="27">
        <f t="shared" si="133"/>
        <v>0</v>
      </c>
      <c r="BD186" s="41">
        <f t="shared" si="137"/>
        <v>0</v>
      </c>
      <c r="BE186" s="14"/>
      <c r="BF186" s="14"/>
      <c r="BG186" s="14"/>
      <c r="BH186" s="65"/>
      <c r="BI186" s="63"/>
      <c r="BJ186" s="352"/>
      <c r="BK186" s="19"/>
      <c r="BL186" s="62"/>
      <c r="BM186" s="19"/>
      <c r="BN186" s="59"/>
      <c r="BO186" s="19"/>
      <c r="BP186" s="14"/>
      <c r="BQ186" s="107" t="s">
        <v>39</v>
      </c>
      <c r="BR186" s="27">
        <f t="shared" si="134"/>
        <v>0</v>
      </c>
      <c r="BS186" s="41">
        <f t="shared" si="138"/>
        <v>0</v>
      </c>
      <c r="BT186" s="14"/>
      <c r="BU186" s="14"/>
      <c r="BV186" s="14"/>
      <c r="BW186" s="65"/>
      <c r="BX186" s="63"/>
      <c r="BY186" s="352"/>
      <c r="BZ186" s="14"/>
      <c r="CA186" s="14"/>
      <c r="CB186" s="21"/>
      <c r="CC186" s="21"/>
      <c r="CD186" s="180"/>
      <c r="CE186" s="181"/>
      <c r="CF186" s="31"/>
      <c r="CG186" s="52"/>
      <c r="CH186" s="52"/>
      <c r="CI186" s="99"/>
      <c r="CJ186" s="14"/>
      <c r="CK186" s="14"/>
      <c r="CL186" s="14"/>
      <c r="CM186" s="14"/>
      <c r="CN186" s="14"/>
      <c r="CO186" s="129"/>
      <c r="CP186" s="14"/>
      <c r="CQ186" s="47"/>
      <c r="CR186" s="14"/>
      <c r="CS186" s="14"/>
      <c r="CT186" s="14"/>
      <c r="CU186" s="14"/>
      <c r="CV186" s="180"/>
      <c r="CW186" s="190"/>
      <c r="CX186" s="191"/>
      <c r="CY186" s="52"/>
      <c r="CZ186" s="52"/>
      <c r="DA186" s="54"/>
      <c r="DB186" s="14"/>
      <c r="DC186" s="14"/>
      <c r="DD186" s="14"/>
      <c r="DE186" s="14"/>
      <c r="DF186" s="14"/>
      <c r="DG186" s="129"/>
      <c r="DH186" s="14"/>
      <c r="DI186" s="47"/>
      <c r="DJ186" s="14"/>
      <c r="DK186" s="62"/>
      <c r="DL186" s="19"/>
      <c r="DM186" s="59"/>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row>
    <row r="187" spans="1:142" x14ac:dyDescent="0.25">
      <c r="A187" s="14"/>
      <c r="B187" s="62"/>
      <c r="C187" s="19"/>
      <c r="D187" s="59"/>
      <c r="E187" s="14"/>
      <c r="F187" s="14"/>
      <c r="G187" s="14"/>
      <c r="H187" s="21"/>
      <c r="I187" s="21"/>
      <c r="J187" s="14"/>
      <c r="K187" s="14"/>
      <c r="L187" s="14"/>
      <c r="M187" s="14"/>
      <c r="N187" s="14"/>
      <c r="O187" s="14"/>
      <c r="P187" s="14"/>
      <c r="Q187" s="47"/>
      <c r="R187" s="19"/>
      <c r="S187" s="62"/>
      <c r="T187" s="19"/>
      <c r="U187" s="59"/>
      <c r="V187" s="19"/>
      <c r="W187" s="14"/>
      <c r="X187" s="86" t="s">
        <v>145</v>
      </c>
      <c r="Y187" s="111">
        <f>COUNTIFS(S30_stakeholder_category,"PO",Response_Q176_2,"&lt;&gt;0")</f>
        <v>3</v>
      </c>
      <c r="Z187" s="119">
        <f>SUM(Z180:Z186)</f>
        <v>1</v>
      </c>
      <c r="AA187" s="14"/>
      <c r="AB187" s="14"/>
      <c r="AC187" s="14"/>
      <c r="AD187" s="65"/>
      <c r="AE187" s="63"/>
      <c r="AF187" s="47"/>
      <c r="AG187" s="19"/>
      <c r="AH187" s="62"/>
      <c r="AI187" s="19"/>
      <c r="AJ187" s="59"/>
      <c r="AK187" s="19"/>
      <c r="AL187" s="14"/>
      <c r="AM187" s="86" t="s">
        <v>145</v>
      </c>
      <c r="AN187" s="111">
        <f>COUNTIFS(S30_stakeholder_category,"PO",Response_30b_CaseA,"&lt;&gt;0")</f>
        <v>1</v>
      </c>
      <c r="AO187" s="119">
        <f>SUM(AO180:AO186)</f>
        <v>1</v>
      </c>
      <c r="AP187" s="14"/>
      <c r="AQ187" s="14"/>
      <c r="AR187" s="14"/>
      <c r="AS187" s="65"/>
      <c r="AT187" s="63"/>
      <c r="AU187" s="47"/>
      <c r="AV187" s="14"/>
      <c r="AW187" s="62"/>
      <c r="AX187" s="19"/>
      <c r="AY187" s="59"/>
      <c r="AZ187" s="19"/>
      <c r="BA187" s="14"/>
      <c r="BB187" s="86" t="s">
        <v>145</v>
      </c>
      <c r="BC187" s="111">
        <f>COUNTIFS(S30_stakeholder_category,"PO",Response_30b_CaseB,"&lt;&gt;0")</f>
        <v>1</v>
      </c>
      <c r="BD187" s="119">
        <f>SUM(BD180:BD186)</f>
        <v>1</v>
      </c>
      <c r="BE187" s="14"/>
      <c r="BF187" s="14"/>
      <c r="BG187" s="14"/>
      <c r="BH187" s="65"/>
      <c r="BI187" s="63"/>
      <c r="BJ187" s="352"/>
      <c r="BK187" s="19"/>
      <c r="BL187" s="62"/>
      <c r="BM187" s="19"/>
      <c r="BN187" s="59"/>
      <c r="BO187" s="19"/>
      <c r="BP187" s="14"/>
      <c r="BQ187" s="86" t="s">
        <v>145</v>
      </c>
      <c r="BR187" s="111">
        <f>COUNTIFS(S30_stakeholder_category,"PO",Response_30b_CaseC,"&lt;&gt;0")</f>
        <v>1</v>
      </c>
      <c r="BS187" s="119">
        <f>SUM(BS180:BS186)</f>
        <v>1</v>
      </c>
      <c r="BT187" s="14"/>
      <c r="BU187" s="14"/>
      <c r="BV187" s="14"/>
      <c r="BW187" s="65"/>
      <c r="BX187" s="63"/>
      <c r="BY187" s="352"/>
      <c r="BZ187" s="14"/>
      <c r="CA187" s="14"/>
      <c r="CB187" s="21"/>
      <c r="CC187" s="21"/>
      <c r="CD187" s="180"/>
      <c r="CE187" s="181"/>
      <c r="CF187" s="31"/>
      <c r="CG187" s="52"/>
      <c r="CH187" s="52"/>
      <c r="CI187" s="99"/>
      <c r="CJ187" s="14"/>
      <c r="CK187" s="14"/>
      <c r="CL187" s="14"/>
      <c r="CM187" s="14"/>
      <c r="CN187" s="14"/>
      <c r="CO187" s="129"/>
      <c r="CP187" s="14"/>
      <c r="CQ187" s="47"/>
      <c r="CR187" s="14"/>
      <c r="CS187" s="14"/>
      <c r="CT187" s="14"/>
      <c r="CU187" s="14"/>
      <c r="CV187" s="180"/>
      <c r="CW187" s="190"/>
      <c r="CX187" s="191"/>
      <c r="CY187" s="52"/>
      <c r="CZ187" s="52"/>
      <c r="DA187" s="54"/>
      <c r="DB187" s="14"/>
      <c r="DC187" s="14"/>
      <c r="DD187" s="14"/>
      <c r="DE187" s="14"/>
      <c r="DF187" s="14"/>
      <c r="DG187" s="129"/>
      <c r="DH187" s="14"/>
      <c r="DI187" s="47"/>
      <c r="DJ187" s="14"/>
      <c r="DK187" s="62"/>
      <c r="DL187" s="19"/>
      <c r="DM187" s="59"/>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row>
    <row r="188" spans="1:142" s="135" customFormat="1" ht="15" customHeight="1" x14ac:dyDescent="0.25">
      <c r="A188" s="14"/>
      <c r="B188" s="13"/>
      <c r="C188" s="13"/>
      <c r="D188" s="21"/>
      <c r="E188" s="14"/>
      <c r="F188" s="14"/>
      <c r="G188" s="14"/>
      <c r="H188" s="21"/>
      <c r="I188" s="21"/>
      <c r="J188" s="14"/>
      <c r="K188" s="14"/>
      <c r="L188" s="14"/>
      <c r="M188" s="14"/>
      <c r="N188" s="14"/>
      <c r="O188" s="14"/>
      <c r="P188" s="14"/>
      <c r="Q188" s="47"/>
      <c r="R188" s="19"/>
      <c r="S188" s="13"/>
      <c r="T188" s="13"/>
      <c r="U188" s="21"/>
      <c r="V188" s="14"/>
      <c r="W188" s="14"/>
      <c r="X188" s="14"/>
      <c r="Y188" s="14"/>
      <c r="Z188" s="14"/>
      <c r="AA188" s="14"/>
      <c r="AB188" s="14"/>
      <c r="AC188" s="14"/>
      <c r="AD188" s="65"/>
      <c r="AE188" s="63"/>
      <c r="AF188" s="47"/>
      <c r="AG188" s="19"/>
      <c r="AH188" s="13"/>
      <c r="AI188" s="13"/>
      <c r="AJ188" s="21"/>
      <c r="AK188" s="14"/>
      <c r="AL188" s="14"/>
      <c r="AM188" s="14"/>
      <c r="AN188" s="14"/>
      <c r="AO188" s="14"/>
      <c r="AP188" s="14"/>
      <c r="AQ188" s="14"/>
      <c r="AR188" s="14"/>
      <c r="AS188" s="65"/>
      <c r="AT188" s="63"/>
      <c r="AU188" s="47"/>
      <c r="AV188" s="14"/>
      <c r="AW188" s="13"/>
      <c r="AX188" s="13"/>
      <c r="AY188" s="21"/>
      <c r="AZ188" s="14"/>
      <c r="BA188" s="14"/>
      <c r="BB188" s="14"/>
      <c r="BC188" s="14"/>
      <c r="BD188" s="14"/>
      <c r="BE188" s="14"/>
      <c r="BF188" s="14"/>
      <c r="BG188" s="14"/>
      <c r="BH188" s="65"/>
      <c r="BI188" s="63"/>
      <c r="BJ188" s="352"/>
      <c r="BK188" s="19"/>
      <c r="BL188" s="13"/>
      <c r="BM188" s="13"/>
      <c r="BN188" s="21"/>
      <c r="BO188" s="14"/>
      <c r="BP188" s="14"/>
      <c r="BQ188" s="14"/>
      <c r="BR188" s="14"/>
      <c r="BS188" s="14"/>
      <c r="BT188" s="14"/>
      <c r="BU188" s="14"/>
      <c r="BV188" s="14"/>
      <c r="BW188" s="65"/>
      <c r="BX188" s="63"/>
      <c r="BY188" s="352"/>
      <c r="BZ188" s="14"/>
      <c r="CA188" s="14"/>
      <c r="CB188" s="21"/>
      <c r="CC188" s="21"/>
      <c r="CD188" s="180"/>
      <c r="CE188" s="181"/>
      <c r="CF188" s="31"/>
      <c r="CG188" s="31"/>
      <c r="CH188" s="31"/>
      <c r="CI188" s="14"/>
      <c r="CJ188" s="14"/>
      <c r="CK188" s="14"/>
      <c r="CL188" s="14"/>
      <c r="CM188" s="14"/>
      <c r="CN188" s="14"/>
      <c r="CO188" s="129"/>
      <c r="CP188" s="14"/>
      <c r="CQ188" s="47"/>
      <c r="CR188" s="14"/>
      <c r="CS188" s="14"/>
      <c r="CT188" s="14"/>
      <c r="CU188" s="14"/>
      <c r="CV188" s="180"/>
      <c r="CW188" s="190"/>
      <c r="CX188" s="191"/>
      <c r="CY188" s="31"/>
      <c r="CZ188" s="31"/>
      <c r="DA188" s="14"/>
      <c r="DB188" s="14"/>
      <c r="DC188" s="14"/>
      <c r="DD188" s="14"/>
      <c r="DE188" s="14"/>
      <c r="DF188" s="14"/>
      <c r="DG188" s="129"/>
      <c r="DH188" s="14"/>
      <c r="DI188" s="47"/>
      <c r="DJ188" s="14"/>
      <c r="DK188" s="13"/>
      <c r="DL188" s="13"/>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row>
    <row r="189" spans="1:142" s="131" customFormat="1" x14ac:dyDescent="0.25">
      <c r="A189" s="78"/>
      <c r="B189" s="78" t="s">
        <v>154</v>
      </c>
      <c r="C189" s="78" t="s">
        <v>116</v>
      </c>
      <c r="D189" s="79"/>
      <c r="E189" s="78"/>
      <c r="F189" s="78"/>
      <c r="G189" s="78"/>
      <c r="H189" s="79"/>
      <c r="I189" s="79"/>
      <c r="J189" s="78"/>
      <c r="K189" s="78"/>
      <c r="L189" s="78"/>
      <c r="M189" s="78"/>
      <c r="N189" s="78"/>
      <c r="O189" s="78"/>
      <c r="P189" s="78"/>
      <c r="Q189" s="82"/>
      <c r="R189" s="83"/>
      <c r="S189" s="78" t="str">
        <f>$B189</f>
        <v>NGOs</v>
      </c>
      <c r="T189" s="78"/>
      <c r="U189" s="78"/>
      <c r="V189" s="78"/>
      <c r="W189" s="78"/>
      <c r="X189" s="78"/>
      <c r="Y189" s="78"/>
      <c r="Z189" s="78"/>
      <c r="AA189" s="78"/>
      <c r="AB189" s="78"/>
      <c r="AC189" s="78"/>
      <c r="AD189" s="80"/>
      <c r="AE189" s="81"/>
      <c r="AF189" s="82"/>
      <c r="AG189" s="83"/>
      <c r="AH189" s="78" t="str">
        <f>$B189</f>
        <v>NGOs</v>
      </c>
      <c r="AI189" s="78"/>
      <c r="AJ189" s="78"/>
      <c r="AK189" s="78"/>
      <c r="AL189" s="78"/>
      <c r="AM189" s="78"/>
      <c r="AN189" s="78"/>
      <c r="AO189" s="78"/>
      <c r="AP189" s="78"/>
      <c r="AQ189" s="78"/>
      <c r="AR189" s="78"/>
      <c r="AS189" s="80"/>
      <c r="AT189" s="81"/>
      <c r="AU189" s="82"/>
      <c r="AV189" s="78"/>
      <c r="AW189" s="78" t="str">
        <f>$B189</f>
        <v>NGOs</v>
      </c>
      <c r="AX189" s="78"/>
      <c r="AY189" s="78"/>
      <c r="AZ189" s="78"/>
      <c r="BA189" s="78"/>
      <c r="BB189" s="78"/>
      <c r="BC189" s="78"/>
      <c r="BD189" s="78"/>
      <c r="BE189" s="78"/>
      <c r="BF189" s="78"/>
      <c r="BG189" s="78"/>
      <c r="BH189" s="80"/>
      <c r="BI189" s="81"/>
      <c r="BJ189" s="373"/>
      <c r="BK189" s="83"/>
      <c r="BL189" s="78" t="str">
        <f>$B189</f>
        <v>NGOs</v>
      </c>
      <c r="BM189" s="78"/>
      <c r="BN189" s="78"/>
      <c r="BO189" s="78"/>
      <c r="BP189" s="78"/>
      <c r="BQ189" s="78"/>
      <c r="BR189" s="78"/>
      <c r="BS189" s="78"/>
      <c r="BT189" s="78"/>
      <c r="BU189" s="78"/>
      <c r="BV189" s="78"/>
      <c r="BW189" s="80"/>
      <c r="BX189" s="81"/>
      <c r="BY189" s="373"/>
      <c r="BZ189" s="78"/>
      <c r="CA189" s="78" t="str">
        <f>$B189</f>
        <v>NGOs</v>
      </c>
      <c r="CB189" s="79"/>
      <c r="CC189" s="79"/>
      <c r="CD189" s="182"/>
      <c r="CE189" s="182"/>
      <c r="CF189" s="79"/>
      <c r="CG189" s="78"/>
      <c r="CH189" s="78"/>
      <c r="CI189" s="78"/>
      <c r="CJ189" s="78"/>
      <c r="CK189" s="78"/>
      <c r="CL189" s="78"/>
      <c r="CM189" s="78"/>
      <c r="CN189" s="78"/>
      <c r="CO189" s="78"/>
      <c r="CP189" s="78"/>
      <c r="CQ189" s="82"/>
      <c r="CR189" s="78"/>
      <c r="CS189" s="78" t="str">
        <f>$B189</f>
        <v>NGOs</v>
      </c>
      <c r="CT189" s="78"/>
      <c r="CU189" s="78"/>
      <c r="CV189" s="182"/>
      <c r="CW189" s="192"/>
      <c r="CX189" s="192"/>
      <c r="CY189" s="78"/>
      <c r="CZ189" s="78"/>
      <c r="DA189" s="78"/>
      <c r="DB189" s="78"/>
      <c r="DC189" s="78"/>
      <c r="DD189" s="78"/>
      <c r="DE189" s="78"/>
      <c r="DF189" s="78"/>
      <c r="DG189" s="78"/>
      <c r="DH189" s="78"/>
      <c r="DI189" s="82"/>
      <c r="DJ189" s="78"/>
      <c r="DK189" s="78" t="str">
        <f>$B189</f>
        <v>NGOs</v>
      </c>
      <c r="DL189" s="78"/>
      <c r="DM189" s="78"/>
      <c r="DN189" s="78"/>
      <c r="DO189" s="78"/>
      <c r="DP189" s="78"/>
      <c r="DQ189" s="78"/>
      <c r="DR189" s="78"/>
      <c r="DS189" s="78"/>
      <c r="DT189" s="78"/>
      <c r="DU189" s="78"/>
      <c r="DV189" s="78"/>
      <c r="DW189" s="78"/>
      <c r="DX189" s="78"/>
      <c r="DY189" s="78"/>
      <c r="DZ189" s="78"/>
      <c r="EA189" s="78"/>
      <c r="EB189" s="78"/>
      <c r="EC189" s="78"/>
      <c r="ED189" s="78"/>
      <c r="EE189" s="78"/>
      <c r="EF189" s="78"/>
      <c r="EG189" s="78"/>
      <c r="EH189" s="78"/>
      <c r="EI189" s="78"/>
      <c r="EJ189" s="78"/>
      <c r="EK189" s="78"/>
      <c r="EL189" s="78"/>
    </row>
    <row r="190" spans="1:142" x14ac:dyDescent="0.25">
      <c r="A190" s="14"/>
      <c r="B190" s="84" t="s">
        <v>301</v>
      </c>
      <c r="C190" s="84"/>
      <c r="D190" s="85"/>
      <c r="E190" s="84"/>
      <c r="F190" s="14"/>
      <c r="G190" s="14"/>
      <c r="H190" s="21"/>
      <c r="I190" s="21"/>
      <c r="J190" s="14"/>
      <c r="K190" s="14"/>
      <c r="L190" s="14"/>
      <c r="M190" s="14"/>
      <c r="N190" s="14"/>
      <c r="O190" s="14"/>
      <c r="P190" s="14"/>
      <c r="Q190" s="47"/>
      <c r="R190" s="19"/>
      <c r="S190" s="84" t="s">
        <v>322</v>
      </c>
      <c r="T190" s="84"/>
      <c r="U190" s="85"/>
      <c r="V190" s="84"/>
      <c r="W190" s="14"/>
      <c r="X190" s="14"/>
      <c r="Y190" s="14"/>
      <c r="Z190" s="14"/>
      <c r="AA190" s="14"/>
      <c r="AB190" s="14"/>
      <c r="AC190" s="14"/>
      <c r="AD190" s="65"/>
      <c r="AE190" s="63"/>
      <c r="AF190" s="47"/>
      <c r="AG190" s="19"/>
      <c r="AH190" s="84" t="s">
        <v>328</v>
      </c>
      <c r="AI190" s="84"/>
      <c r="AJ190" s="85"/>
      <c r="AK190" s="84"/>
      <c r="AL190" s="84"/>
      <c r="AM190" s="14"/>
      <c r="AN190" s="14"/>
      <c r="AO190" s="14"/>
      <c r="AP190" s="14"/>
      <c r="AQ190" s="14"/>
      <c r="AR190" s="14"/>
      <c r="AS190" s="65"/>
      <c r="AT190" s="63"/>
      <c r="AU190" s="47"/>
      <c r="AV190" s="14"/>
      <c r="AW190" s="84" t="s">
        <v>347</v>
      </c>
      <c r="AX190" s="84"/>
      <c r="AY190" s="85"/>
      <c r="AZ190" s="84"/>
      <c r="BA190" s="84"/>
      <c r="BB190" s="14"/>
      <c r="BC190" s="14"/>
      <c r="BD190" s="14"/>
      <c r="BE190" s="14"/>
      <c r="BF190" s="14"/>
      <c r="BG190" s="14"/>
      <c r="BH190" s="65"/>
      <c r="BI190" s="63"/>
      <c r="BJ190" s="352"/>
      <c r="BK190" s="19"/>
      <c r="BL190" s="84" t="s">
        <v>348</v>
      </c>
      <c r="BM190" s="84"/>
      <c r="BN190" s="85"/>
      <c r="BO190" s="84"/>
      <c r="BP190" s="84"/>
      <c r="BQ190" s="14"/>
      <c r="BR190" s="14"/>
      <c r="BS190" s="14"/>
      <c r="BT190" s="14"/>
      <c r="BU190" s="14"/>
      <c r="BV190" s="14"/>
      <c r="BW190" s="65"/>
      <c r="BX190" s="63"/>
      <c r="BY190" s="352"/>
      <c r="BZ190" s="14"/>
      <c r="CA190" s="148" t="s">
        <v>303</v>
      </c>
      <c r="CB190" s="85"/>
      <c r="CC190" s="85"/>
      <c r="CD190" s="185"/>
      <c r="CE190" s="185"/>
      <c r="CF190" s="147"/>
      <c r="CG190" s="14"/>
      <c r="CH190" s="14"/>
      <c r="CI190" s="14"/>
      <c r="CJ190" s="14"/>
      <c r="CK190" s="14"/>
      <c r="CL190" s="14"/>
      <c r="CM190" s="14"/>
      <c r="CN190" s="14"/>
      <c r="CO190" s="129"/>
      <c r="CP190" s="14"/>
      <c r="CQ190" s="47"/>
      <c r="CR190" s="14"/>
      <c r="CS190" s="84" t="s">
        <v>304</v>
      </c>
      <c r="CT190" s="84"/>
      <c r="CU190" s="85"/>
      <c r="CV190" s="186"/>
      <c r="CW190" s="189"/>
      <c r="CX190" s="189"/>
      <c r="CY190" s="14"/>
      <c r="CZ190" s="14"/>
      <c r="DA190" s="14"/>
      <c r="DB190" s="14"/>
      <c r="DC190" s="14"/>
      <c r="DD190" s="14"/>
      <c r="DE190" s="14"/>
      <c r="DF190" s="14"/>
      <c r="DG190" s="129"/>
      <c r="DH190" s="14"/>
      <c r="DI190" s="47"/>
      <c r="DJ190" s="14"/>
      <c r="DK190" s="84" t="s">
        <v>305</v>
      </c>
      <c r="DL190" s="84"/>
      <c r="DM190" s="85"/>
      <c r="DN190" s="8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row>
    <row r="191" spans="1:142" x14ac:dyDescent="0.25">
      <c r="A191" s="14"/>
      <c r="B191" s="14"/>
      <c r="C191" s="14"/>
      <c r="D191" s="15"/>
      <c r="E191" s="14"/>
      <c r="F191" s="14"/>
      <c r="G191" s="14"/>
      <c r="H191" s="21"/>
      <c r="I191" s="21"/>
      <c r="J191" s="14"/>
      <c r="K191" s="19"/>
      <c r="L191" s="14"/>
      <c r="M191" s="14"/>
      <c r="N191" s="14"/>
      <c r="O191" s="14"/>
      <c r="P191" s="14"/>
      <c r="Q191" s="47"/>
      <c r="R191" s="19"/>
      <c r="S191" s="14"/>
      <c r="T191" s="14"/>
      <c r="U191" s="15"/>
      <c r="V191" s="14"/>
      <c r="W191" s="14"/>
      <c r="X191" s="14"/>
      <c r="Y191" s="14"/>
      <c r="Z191" s="14"/>
      <c r="AA191" s="14"/>
      <c r="AB191" s="14"/>
      <c r="AC191" s="14"/>
      <c r="AD191" s="65"/>
      <c r="AE191" s="63"/>
      <c r="AF191" s="47"/>
      <c r="AG191" s="19"/>
      <c r="AH191" s="14"/>
      <c r="AI191" s="14"/>
      <c r="AJ191" s="15"/>
      <c r="AK191" s="14"/>
      <c r="AL191" s="14"/>
      <c r="AM191" s="14"/>
      <c r="AN191" s="14"/>
      <c r="AO191" s="14"/>
      <c r="AP191" s="14"/>
      <c r="AQ191" s="14"/>
      <c r="AR191" s="14"/>
      <c r="AS191" s="65"/>
      <c r="AT191" s="63"/>
      <c r="AU191" s="47"/>
      <c r="AV191" s="14"/>
      <c r="AW191" s="14"/>
      <c r="AX191" s="14"/>
      <c r="AY191" s="15"/>
      <c r="AZ191" s="14"/>
      <c r="BA191" s="14"/>
      <c r="BB191" s="14"/>
      <c r="BC191" s="14"/>
      <c r="BD191" s="14"/>
      <c r="BE191" s="14"/>
      <c r="BF191" s="14"/>
      <c r="BG191" s="14"/>
      <c r="BH191" s="65"/>
      <c r="BI191" s="63"/>
      <c r="BJ191" s="352"/>
      <c r="BK191" s="19"/>
      <c r="BL191" s="14"/>
      <c r="BM191" s="14"/>
      <c r="BN191" s="15"/>
      <c r="BO191" s="14"/>
      <c r="BP191" s="14"/>
      <c r="BQ191" s="14"/>
      <c r="BR191" s="14"/>
      <c r="BS191" s="14"/>
      <c r="BT191" s="14"/>
      <c r="BU191" s="14"/>
      <c r="BV191" s="14"/>
      <c r="BW191" s="65"/>
      <c r="BX191" s="63"/>
      <c r="BY191" s="352"/>
      <c r="BZ191" s="14"/>
      <c r="CA191" s="23"/>
      <c r="CB191" s="21"/>
      <c r="CC191" s="21"/>
      <c r="CD191" s="180"/>
      <c r="CE191" s="180"/>
      <c r="CF191" s="21"/>
      <c r="CG191" s="14"/>
      <c r="CH191" s="14"/>
      <c r="CI191" s="14"/>
      <c r="CJ191" s="14"/>
      <c r="CK191" s="14"/>
      <c r="CL191" s="14"/>
      <c r="CM191" s="14"/>
      <c r="CN191" s="14"/>
      <c r="CO191" s="129"/>
      <c r="CP191" s="14"/>
      <c r="CQ191" s="47"/>
      <c r="CR191" s="14"/>
      <c r="CS191" s="14"/>
      <c r="CT191" s="14"/>
      <c r="CU191" s="14"/>
      <c r="CV191" s="180"/>
      <c r="CW191" s="189"/>
      <c r="CX191" s="189"/>
      <c r="CY191" s="14"/>
      <c r="CZ191" s="14"/>
      <c r="DA191" s="14"/>
      <c r="DB191" s="14"/>
      <c r="DC191" s="14"/>
      <c r="DD191" s="14"/>
      <c r="DE191" s="14"/>
      <c r="DF191" s="14"/>
      <c r="DG191" s="129"/>
      <c r="DH191" s="14"/>
      <c r="DI191" s="47"/>
      <c r="DJ191" s="14"/>
      <c r="DK191" s="14"/>
      <c r="DL191" s="14"/>
      <c r="DM191" s="15"/>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row>
    <row r="192" spans="1:142" ht="27.6" x14ac:dyDescent="0.25">
      <c r="A192" s="14"/>
      <c r="B192" s="112" t="s">
        <v>23</v>
      </c>
      <c r="C192" s="113" t="s">
        <v>24</v>
      </c>
      <c r="D192" s="113" t="s">
        <v>145</v>
      </c>
      <c r="E192" s="113" t="s">
        <v>300</v>
      </c>
      <c r="F192" s="14"/>
      <c r="G192" s="14"/>
      <c r="H192" s="21"/>
      <c r="I192" s="21"/>
      <c r="J192" s="14"/>
      <c r="K192" s="19"/>
      <c r="L192" s="51"/>
      <c r="M192" s="51"/>
      <c r="N192" s="51"/>
      <c r="O192" s="51"/>
      <c r="P192" s="51"/>
      <c r="Q192" s="47"/>
      <c r="R192" s="19"/>
      <c r="S192" s="112" t="s">
        <v>23</v>
      </c>
      <c r="T192" s="113" t="s">
        <v>24</v>
      </c>
      <c r="U192" s="113" t="s">
        <v>145</v>
      </c>
      <c r="V192" s="113" t="s">
        <v>300</v>
      </c>
      <c r="W192" s="14"/>
      <c r="X192" s="14"/>
      <c r="Y192" s="14"/>
      <c r="Z192" s="14"/>
      <c r="AA192" s="56"/>
      <c r="AB192" s="56"/>
      <c r="AC192" s="56"/>
      <c r="AD192" s="65"/>
      <c r="AE192" s="63"/>
      <c r="AF192" s="47"/>
      <c r="AG192" s="19"/>
      <c r="AH192" s="112" t="s">
        <v>23</v>
      </c>
      <c r="AI192" s="113" t="s">
        <v>24</v>
      </c>
      <c r="AJ192" s="113" t="s">
        <v>145</v>
      </c>
      <c r="AK192" s="113" t="s">
        <v>300</v>
      </c>
      <c r="AL192" s="14"/>
      <c r="AM192" s="14"/>
      <c r="AN192" s="14"/>
      <c r="AO192" s="14"/>
      <c r="AP192" s="56"/>
      <c r="AQ192" s="56"/>
      <c r="AR192" s="56"/>
      <c r="AS192" s="65"/>
      <c r="AT192" s="63"/>
      <c r="AU192" s="47"/>
      <c r="AV192" s="14"/>
      <c r="AW192" s="112" t="s">
        <v>23</v>
      </c>
      <c r="AX192" s="113" t="s">
        <v>24</v>
      </c>
      <c r="AY192" s="113" t="s">
        <v>145</v>
      </c>
      <c r="AZ192" s="113" t="s">
        <v>300</v>
      </c>
      <c r="BA192" s="14"/>
      <c r="BB192" s="14"/>
      <c r="BC192" s="14"/>
      <c r="BD192" s="14"/>
      <c r="BE192" s="56"/>
      <c r="BF192" s="56"/>
      <c r="BG192" s="56"/>
      <c r="BH192" s="65"/>
      <c r="BI192" s="63"/>
      <c r="BJ192" s="352"/>
      <c r="BK192" s="19"/>
      <c r="BL192" s="112" t="s">
        <v>23</v>
      </c>
      <c r="BM192" s="113" t="s">
        <v>24</v>
      </c>
      <c r="BN192" s="113" t="s">
        <v>145</v>
      </c>
      <c r="BO192" s="113" t="s">
        <v>300</v>
      </c>
      <c r="BP192" s="14"/>
      <c r="BQ192" s="14"/>
      <c r="BR192" s="14"/>
      <c r="BS192" s="14"/>
      <c r="BT192" s="56"/>
      <c r="BU192" s="56"/>
      <c r="BV192" s="56"/>
      <c r="BW192" s="65"/>
      <c r="BX192" s="63"/>
      <c r="BY192" s="352"/>
      <c r="BZ192" s="14"/>
      <c r="CA192" s="112" t="s">
        <v>23</v>
      </c>
      <c r="CB192" s="113" t="s">
        <v>145</v>
      </c>
      <c r="CC192" s="21"/>
      <c r="CD192" s="180"/>
      <c r="CE192" s="180"/>
      <c r="CF192" s="21"/>
      <c r="CG192" s="14"/>
      <c r="CH192" s="14"/>
      <c r="CI192" s="14"/>
      <c r="CJ192" s="14"/>
      <c r="CK192" s="14"/>
      <c r="CL192" s="14"/>
      <c r="CM192" s="14"/>
      <c r="CN192" s="14"/>
      <c r="CO192" s="129"/>
      <c r="CP192" s="17"/>
      <c r="CQ192" s="47"/>
      <c r="CR192" s="14"/>
      <c r="CS192" s="112" t="s">
        <v>23</v>
      </c>
      <c r="CT192" s="113" t="s">
        <v>145</v>
      </c>
      <c r="CU192" s="14"/>
      <c r="CV192" s="180"/>
      <c r="CW192" s="189"/>
      <c r="CX192" s="189"/>
      <c r="CY192" s="14"/>
      <c r="CZ192" s="14"/>
      <c r="DA192" s="14"/>
      <c r="DB192" s="14"/>
      <c r="DC192" s="14"/>
      <c r="DD192" s="14"/>
      <c r="DE192" s="14"/>
      <c r="DF192" s="14"/>
      <c r="DG192" s="129"/>
      <c r="DH192" s="17"/>
      <c r="DI192" s="47"/>
      <c r="DJ192" s="17"/>
      <c r="DK192" s="112" t="s">
        <v>23</v>
      </c>
      <c r="DL192" s="113" t="s">
        <v>24</v>
      </c>
      <c r="DM192" s="113" t="s">
        <v>145</v>
      </c>
      <c r="DN192" s="113" t="s">
        <v>300</v>
      </c>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row>
    <row r="193" spans="1:142" x14ac:dyDescent="0.25">
      <c r="A193" s="14"/>
      <c r="B193" s="57" t="s">
        <v>154</v>
      </c>
      <c r="C193" s="121" t="str">
        <f>IF(H212=0,"na",IF(COUNTIF(H207:H211,MAX(H207:H211))&gt;COUNTIF(G207:G211,"&lt;&gt;""")/2,"No clear choice of the most common response",INDEX(G207:G211,MATCH(MAX(H207:H211),H207:H211,0),1)))</f>
        <v>na</v>
      </c>
      <c r="D193" s="58">
        <f>COUNTIFS(S30_stakeholder_category,"NGO",Response_Q173_3,"&lt;&gt;0")</f>
        <v>0</v>
      </c>
      <c r="E193" s="121">
        <f>COUNTIFS(S30_stakeholder_category,"NGO",Response_Q173_3,"I don’t know")</f>
        <v>0</v>
      </c>
      <c r="F193" s="14"/>
      <c r="G193" s="14"/>
      <c r="H193" s="21"/>
      <c r="I193" s="21"/>
      <c r="J193" s="14"/>
      <c r="K193" s="19"/>
      <c r="L193" s="40"/>
      <c r="M193" s="40"/>
      <c r="N193" s="40"/>
      <c r="O193" s="40"/>
      <c r="P193" s="40"/>
      <c r="Q193" s="47"/>
      <c r="R193" s="19"/>
      <c r="S193" s="34" t="s">
        <v>154</v>
      </c>
      <c r="T193" s="37" t="str">
        <f>IF(Y214=0,"na",IF(COUNTIF(Y207:Y213,MAX(Y207:Y213))&gt;COUNTIF(X207:X213,"&lt;&gt;""")/2,"No clear choice of the most common response",INDEX(X207:X213,MATCH(MAX(Y207:Y213),Y207:Y213,0),1)))</f>
        <v>na</v>
      </c>
      <c r="U193" s="33">
        <f>COUNTIFS(S30_stakeholder_category,"NGO",Response_Q176_2,"&lt;&gt;0")</f>
        <v>0</v>
      </c>
      <c r="V193" s="37">
        <f>COUNTIFS(S30_stakeholder_category,"NGO",Response_Q176_2,"I don’t know")</f>
        <v>0</v>
      </c>
      <c r="W193" s="14"/>
      <c r="X193" s="14"/>
      <c r="Y193" s="14"/>
      <c r="Z193" s="14"/>
      <c r="AA193" s="19"/>
      <c r="AB193" s="19"/>
      <c r="AC193" s="19"/>
      <c r="AD193" s="65"/>
      <c r="AE193" s="63"/>
      <c r="AF193" s="47"/>
      <c r="AG193" s="19"/>
      <c r="AH193" s="57" t="s">
        <v>154</v>
      </c>
      <c r="AI193" s="121" t="str">
        <f>IF(AN214=0,"na",IF(COUNTIF(AN207:AN213,MAX(AN207:AN213))&gt;COUNTIF(AM207:AM213,"&lt;&gt;""")/2,"No clear choice of the most common response",INDEX(AM207:AM213,MATCH(MAX(AN207:AN213),AN207:AN213,0),1)))</f>
        <v>na</v>
      </c>
      <c r="AJ193" s="58">
        <f>COUNTIFS(S30_stakeholder_category,"NGO",Response_30b_CaseA,"&lt;&gt;0")</f>
        <v>0</v>
      </c>
      <c r="AK193" s="121">
        <f>COUNTIFS(S30_stakeholder_category,"NGO",Response_30b_CaseA,"I don’t know")</f>
        <v>0</v>
      </c>
      <c r="AL193" s="14"/>
      <c r="AM193" s="14"/>
      <c r="AN193" s="14"/>
      <c r="AO193" s="14"/>
      <c r="AP193" s="19"/>
      <c r="AQ193" s="19"/>
      <c r="AR193" s="19"/>
      <c r="AS193" s="65"/>
      <c r="AT193" s="63"/>
      <c r="AU193" s="47"/>
      <c r="AV193" s="14"/>
      <c r="AW193" s="57" t="s">
        <v>154</v>
      </c>
      <c r="AX193" s="121" t="str">
        <f>IF(BC214=0,"na",IF(COUNTIF(BC207:BC213,MAX(BC207:BC213))&gt;COUNTIF(BB207:BB213,"&lt;&gt;""")/2,"No clear choice of the most common response",INDEX(BB207:BB213,MATCH(MAX(BC207:BC213),BC207:BC213,0),1)))</f>
        <v>na</v>
      </c>
      <c r="AY193" s="58">
        <f>COUNTIFS(S30_stakeholder_category,"NGO",Response_30b_CaseB,"&lt;&gt;0")</f>
        <v>0</v>
      </c>
      <c r="AZ193" s="121">
        <f>COUNTIFS(S30_stakeholder_category,"NGO",Response_30b_CaseB,"I don’t know")</f>
        <v>0</v>
      </c>
      <c r="BA193" s="14"/>
      <c r="BB193" s="14"/>
      <c r="BC193" s="14"/>
      <c r="BD193" s="14"/>
      <c r="BE193" s="19"/>
      <c r="BF193" s="19"/>
      <c r="BG193" s="19"/>
      <c r="BH193" s="65"/>
      <c r="BI193" s="63"/>
      <c r="BJ193" s="352"/>
      <c r="BK193" s="19"/>
      <c r="BL193" s="57" t="s">
        <v>154</v>
      </c>
      <c r="BM193" s="121" t="str">
        <f>IF(BR214=0,"na",IF(COUNTIF(BR207:BR213,MAX(BR207:BR213))&gt;COUNTIF(BQ207:BQ213,"&lt;&gt;""")/2,"No clear choice of the most common response",INDEX(BQ207:BQ213,MATCH(MAX(BR207:BR213),BR207:BR213,0),1)))</f>
        <v>na</v>
      </c>
      <c r="BN193" s="58">
        <f>COUNTIFS(S30_stakeholder_category,"NGO",Response_30b_CaseC,"&lt;&gt;0")</f>
        <v>0</v>
      </c>
      <c r="BO193" s="121">
        <f>COUNTIFS(S30_stakeholder_category,"NGO",Response_30b_CaseC,"I don’t know")</f>
        <v>0</v>
      </c>
      <c r="BP193" s="14"/>
      <c r="BQ193" s="14"/>
      <c r="BR193" s="14"/>
      <c r="BS193" s="14"/>
      <c r="BT193" s="19"/>
      <c r="BU193" s="19"/>
      <c r="BV193" s="19"/>
      <c r="BW193" s="65"/>
      <c r="BX193" s="63"/>
      <c r="BY193" s="352"/>
      <c r="BZ193" s="14"/>
      <c r="CA193" s="34" t="s">
        <v>154</v>
      </c>
      <c r="CB193" s="37">
        <f>MAX(SUM(CC199:CC205),SUM(CD199:CD205),SUM(CE199:CE205))</f>
        <v>4</v>
      </c>
      <c r="CC193" s="21"/>
      <c r="CD193" s="180"/>
      <c r="CE193" s="180"/>
      <c r="CF193" s="21"/>
      <c r="CG193" s="14"/>
      <c r="CH193" s="14"/>
      <c r="CI193" s="14"/>
      <c r="CJ193" s="14"/>
      <c r="CK193" s="14"/>
      <c r="CL193" s="14"/>
      <c r="CM193" s="14"/>
      <c r="CN193" s="14"/>
      <c r="CO193" s="129"/>
      <c r="CP193" s="29"/>
      <c r="CQ193" s="47"/>
      <c r="CR193" s="14"/>
      <c r="CS193" s="34" t="s">
        <v>154</v>
      </c>
      <c r="CT193" s="37">
        <f>MAX(SUM(CU199:CU205),SUM(CV199:CV205),SUM(CW199:CW205))</f>
        <v>0</v>
      </c>
      <c r="CU193" s="14"/>
      <c r="CV193" s="180"/>
      <c r="CW193" s="189"/>
      <c r="CX193" s="189"/>
      <c r="CY193" s="14"/>
      <c r="CZ193" s="14"/>
      <c r="DA193" s="14"/>
      <c r="DB193" s="14"/>
      <c r="DC193" s="14"/>
      <c r="DD193" s="14"/>
      <c r="DE193" s="14"/>
      <c r="DF193" s="14"/>
      <c r="DG193" s="129"/>
      <c r="DH193" s="29"/>
      <c r="DI193" s="47"/>
      <c r="DJ193" s="29"/>
      <c r="DK193" s="34" t="s">
        <v>154</v>
      </c>
      <c r="DL193" s="37" t="str">
        <f>IF(DQ212=0,"na",IF(COUNTIF(DQ207:DQ211,MAX(DQ207:DQ211))&gt;COUNTIF(DP207:DP211,"&lt;&gt;""")/2,"No clear choice of the most common response",INDEX(DP207:DP211,MATCH(MAX(DQ207:DQ211),DQ207:DQ211,0),1)))</f>
        <v>na</v>
      </c>
      <c r="DM193" s="33">
        <f>COUNTIFS(S30_stakeholder_category,"NGO",Response_Q172_1,"&lt;&gt;0",Response_Q173_3,"&lt;&gt;0")</f>
        <v>0</v>
      </c>
      <c r="DN193" s="37">
        <f>DQ211</f>
        <v>0</v>
      </c>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row>
    <row r="194" spans="1:142" x14ac:dyDescent="0.25">
      <c r="A194" s="14"/>
      <c r="B194" s="57"/>
      <c r="C194" s="121" t="str">
        <f ca="1">IF(H212=0,"",IF(COUNTIF(H207:H211,MAX(H207:H211))=1,"",IF(COUNTIF(H207:H211,MAX(H207:H211))&gt;COUNTIF(G207:G211,"&lt;&gt;""")/2,"",INDEX(OFFSET(G207,MATCH(C193,G207:G212,0),0):G211,MATCH(MAX(H207:H211),OFFSET(H207,MATCH(C193,G207:G212,0),0):H211,0),1))))</f>
        <v/>
      </c>
      <c r="D194" s="58"/>
      <c r="E194" s="121"/>
      <c r="F194" s="14"/>
      <c r="G194" s="14"/>
      <c r="H194" s="21"/>
      <c r="I194" s="21"/>
      <c r="J194" s="14"/>
      <c r="K194" s="19"/>
      <c r="L194" s="40"/>
      <c r="M194" s="40"/>
      <c r="N194" s="40"/>
      <c r="O194" s="40"/>
      <c r="P194" s="40"/>
      <c r="Q194" s="47"/>
      <c r="R194" s="19"/>
      <c r="S194" s="34"/>
      <c r="T194" s="37" t="str">
        <f ca="1">IF(Y214=0,"",IF(COUNTIF(Y207:Y213,MAX(Y207:Y213))=1,"",IF(COUNTIF(Y207:Y213,MAX(Y207:Y213))&gt;COUNTIF(X207:X213,"&lt;&gt;""")/2,"",INDEX(OFFSET(X207,MATCH(T193,X207:X213,0),0):X213,MATCH(MAX(Y207:Y213),OFFSET(Y207,MATCH(T193,X207:X213,0),0):Y213,0),1))))</f>
        <v/>
      </c>
      <c r="U194" s="33"/>
      <c r="V194" s="37"/>
      <c r="W194" s="14"/>
      <c r="X194" s="14"/>
      <c r="Y194" s="14"/>
      <c r="Z194" s="14"/>
      <c r="AA194" s="19"/>
      <c r="AB194" s="19"/>
      <c r="AC194" s="19"/>
      <c r="AD194" s="65"/>
      <c r="AE194" s="63"/>
      <c r="AF194" s="47"/>
      <c r="AG194" s="19"/>
      <c r="AH194" s="57"/>
      <c r="AI194" s="121" t="str">
        <f ca="1">IF(AN214=0,"",IF(COUNTIF(AN207:AN213,MAX(AN207:AN213))=1,"",IF(COUNTIF(AN207:AN213,MAX(AN207:AN213))&gt;COUNTIF(AM207:AM213,"&lt;&gt;""")/2,"",INDEX(OFFSET(AM207,MATCH(AI193,AM207:AM213,0),0):AM213,MATCH(MAX(AN207:AN213),OFFSET(AN207,MATCH(AI193,AM207:AM213,0),0):AN213,0),1))))</f>
        <v/>
      </c>
      <c r="AJ194" s="58"/>
      <c r="AK194" s="121"/>
      <c r="AL194" s="14"/>
      <c r="AM194" s="14"/>
      <c r="AN194" s="14"/>
      <c r="AO194" s="14"/>
      <c r="AP194" s="19"/>
      <c r="AQ194" s="19"/>
      <c r="AR194" s="19"/>
      <c r="AS194" s="65"/>
      <c r="AT194" s="63"/>
      <c r="AU194" s="47"/>
      <c r="AV194" s="14"/>
      <c r="AW194" s="57"/>
      <c r="AX194" s="121" t="str">
        <f ca="1">IF(BC214=0,"",IF(COUNTIF(BC207:BC213,MAX(BC207:BC213))=1,"",IF(COUNTIF(BC207:BC213,MAX(BC207:BC213))&gt;COUNTIF(BB207:BB213,"&lt;&gt;""")/2,"",INDEX(OFFSET(BB207,MATCH(AX193,BB207:BB213,0),0):BB213,MATCH(MAX(BC207:BC213),OFFSET(BC207,MATCH(AX193,BB207:BB213,0),0):BC213,0),1))))</f>
        <v/>
      </c>
      <c r="AY194" s="58"/>
      <c r="AZ194" s="121"/>
      <c r="BA194" s="14"/>
      <c r="BB194" s="14"/>
      <c r="BC194" s="14"/>
      <c r="BD194" s="14"/>
      <c r="BE194" s="19"/>
      <c r="BF194" s="19"/>
      <c r="BG194" s="19"/>
      <c r="BH194" s="65"/>
      <c r="BI194" s="63"/>
      <c r="BJ194" s="352"/>
      <c r="BK194" s="19"/>
      <c r="BL194" s="57"/>
      <c r="BM194" s="121" t="str">
        <f ca="1">IF(BR214=0,"",IF(COUNTIF(BR207:BR213,MAX(BR207:BR213))=1,"",IF(COUNTIF(BR207:BR213,MAX(BR207:BR213))&gt;COUNTIF(BQ207:BQ213,"&lt;&gt;""")/2,"",INDEX(OFFSET(BQ207,MATCH(BM193,BQ207:BQ213,0),0):BQ213,MATCH(MAX(BR207:BR213),OFFSET(BR207,MATCH(BM193,BQ207:BQ213,0),0):BR213,0),1))))</f>
        <v/>
      </c>
      <c r="BN194" s="58"/>
      <c r="BO194" s="121"/>
      <c r="BP194" s="14"/>
      <c r="BQ194" s="14"/>
      <c r="BR194" s="14"/>
      <c r="BS194" s="14"/>
      <c r="BT194" s="19"/>
      <c r="BU194" s="19"/>
      <c r="BV194" s="19"/>
      <c r="BW194" s="65"/>
      <c r="BX194" s="63"/>
      <c r="BY194" s="352"/>
      <c r="BZ194" s="14"/>
      <c r="CA194" s="14"/>
      <c r="CB194" s="21"/>
      <c r="CC194" s="21"/>
      <c r="CD194" s="180"/>
      <c r="CE194" s="180"/>
      <c r="CF194" s="21"/>
      <c r="CG194" s="14"/>
      <c r="CH194" s="14"/>
      <c r="CI194" s="14"/>
      <c r="CJ194" s="14"/>
      <c r="CK194" s="14"/>
      <c r="CL194" s="14"/>
      <c r="CM194" s="14"/>
      <c r="CN194" s="14"/>
      <c r="CO194" s="129"/>
      <c r="CP194" s="29"/>
      <c r="CQ194" s="47"/>
      <c r="CR194" s="14"/>
      <c r="CS194" s="14"/>
      <c r="CT194" s="14"/>
      <c r="CU194" s="14"/>
      <c r="CV194" s="180"/>
      <c r="CW194" s="189"/>
      <c r="CX194" s="189"/>
      <c r="CY194" s="14"/>
      <c r="CZ194" s="14"/>
      <c r="DA194" s="14"/>
      <c r="DB194" s="14"/>
      <c r="DC194" s="14"/>
      <c r="DD194" s="14"/>
      <c r="DE194" s="14"/>
      <c r="DF194" s="14"/>
      <c r="DG194" s="129"/>
      <c r="DH194" s="29"/>
      <c r="DI194" s="47"/>
      <c r="DJ194" s="29"/>
      <c r="DK194" s="34"/>
      <c r="DL194" s="37" t="str">
        <f ca="1">IF(DQ212=0,"",IF(COUNTIF(DQ207:DQ211,MAX(DQ207:DQ211))=1,"",IF(COUNTIF(DQ207:DQ211,MAX(DQ207:DQ211))&gt;COUNTIF(DP207:DP211,"&lt;&gt;""")/2,"",INDEX(OFFSET(DP207,MATCH(DL193,DP207:DP212,0),0):DP211,MATCH(MAX(DQ207:DQ211),OFFSET(DQ207,MATCH(DL193,DP207:DP212,0),0):DQ211,0),1))))</f>
        <v/>
      </c>
      <c r="DM194" s="33"/>
      <c r="DN194" s="37"/>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row>
    <row r="195" spans="1:142" x14ac:dyDescent="0.25">
      <c r="A195" s="14"/>
      <c r="B195" s="57"/>
      <c r="C195" s="121" t="str">
        <f ca="1" xml:space="preserve"> IF(H212=0,"", IF(COUNTIF(H207:H211,MAX(H207:H211))&lt;=2,"",IF(COUNTIF(H207:H211,MAX(H207:H211))&gt;COUNTIF(G207:G211,"&lt;&gt;""")/2,"", INDEX(OFFSET(G207,MATCH(C194,G207:G212,0),0):G211,         MATCH(MAX(H207:H211),        OFFSET(H207,MATCH(C194,G207:G212,0),0):H211,0),1))))</f>
        <v/>
      </c>
      <c r="D195" s="58"/>
      <c r="E195" s="121"/>
      <c r="F195" s="14"/>
      <c r="G195" s="14"/>
      <c r="H195" s="21"/>
      <c r="I195" s="21"/>
      <c r="J195" s="14"/>
      <c r="K195" s="19"/>
      <c r="L195" s="40"/>
      <c r="M195" s="40"/>
      <c r="N195" s="40"/>
      <c r="O195" s="40"/>
      <c r="P195" s="40"/>
      <c r="Q195" s="47"/>
      <c r="R195" s="19"/>
      <c r="S195" s="34"/>
      <c r="T195" s="121" t="str">
        <f ca="1" xml:space="preserve"> IF(Y214=0,"",IF(Y214=0,"", IF(COUNTIF(Y207:Y213,MAX(Y207:Y213))&lt;=2,"",IF(COUNTIF(Y207:Y213,MAX(Y207:Y213))&gt;COUNTIF(X207:X213,"&lt;&gt;""")/2,"", INDEX(OFFSET(X207,MATCH(T194,X207:X213,0),0):X213,         MATCH(MAX(Y207:Y213),        OFFSET(Y207,MATCH(T194,X207:X213,0),0):Y213,0),1)))))</f>
        <v/>
      </c>
      <c r="U195" s="33"/>
      <c r="V195" s="37"/>
      <c r="W195" s="14"/>
      <c r="X195" s="14"/>
      <c r="Y195" s="14"/>
      <c r="Z195" s="14"/>
      <c r="AA195" s="19"/>
      <c r="AB195" s="19"/>
      <c r="AC195" s="19"/>
      <c r="AD195" s="65"/>
      <c r="AE195" s="63"/>
      <c r="AF195" s="47"/>
      <c r="AG195" s="19"/>
      <c r="AH195" s="57"/>
      <c r="AI195" s="121" t="str">
        <f ca="1" xml:space="preserve"> IF(AN214=0,"",IF(AN214=0,"", IF(COUNTIF(AN207:AN213,MAX(AN207:AN213))&lt;=2,"",IF(COUNTIF(AN207:AN213,MAX(AN207:AN213))&gt;COUNTIF(AM207:AM213,"&lt;&gt;""")/2,"", INDEX(OFFSET(AM207,MATCH(AI194,AM207:AM213,0),0):AM213,         MATCH(MAX(AN207:AN213),        OFFSET(AN207,MATCH(AI194,AM207:AM213,0),0):AN213,0),1)))))</f>
        <v/>
      </c>
      <c r="AJ195" s="58"/>
      <c r="AK195" s="121"/>
      <c r="AL195" s="14"/>
      <c r="AM195" s="14"/>
      <c r="AN195" s="14"/>
      <c r="AO195" s="14"/>
      <c r="AP195" s="19"/>
      <c r="AQ195" s="19"/>
      <c r="AR195" s="19"/>
      <c r="AS195" s="65"/>
      <c r="AT195" s="63"/>
      <c r="AU195" s="47"/>
      <c r="AV195" s="14"/>
      <c r="AW195" s="57"/>
      <c r="AX195" s="121" t="str">
        <f ca="1" xml:space="preserve"> IF(BC214=0,"",IF(BC214=0,"", IF(COUNTIF(BC207:BC213,MAX(BC207:BC213))&lt;=2,"",IF(COUNTIF(BC207:BC213,MAX(BC207:BC213))&gt;COUNTIF(BB207:BB213,"&lt;&gt;""")/2,"", INDEX(OFFSET(BB207,MATCH(AX194,BB207:BB213,0),0):BB213,         MATCH(MAX(BC207:BC213),        OFFSET(BC207,MATCH(AX194,BB207:BB213,0),0):BC213,0),1)))))</f>
        <v/>
      </c>
      <c r="AY195" s="58"/>
      <c r="AZ195" s="121"/>
      <c r="BA195" s="14"/>
      <c r="BB195" s="14"/>
      <c r="BC195" s="14"/>
      <c r="BD195" s="14"/>
      <c r="BE195" s="19"/>
      <c r="BF195" s="19"/>
      <c r="BG195" s="19"/>
      <c r="BH195" s="65"/>
      <c r="BI195" s="63"/>
      <c r="BJ195" s="352"/>
      <c r="BK195" s="19"/>
      <c r="BL195" s="57"/>
      <c r="BM195" s="121" t="str">
        <f ca="1" xml:space="preserve"> IF(BR214=0,"",IF(BR214=0,"", IF(COUNTIF(BR207:BR213,MAX(BR207:BR213))&lt;=2,"",IF(COUNTIF(BR207:BR213,MAX(BR207:BR213))&gt;COUNTIF(BQ207:BQ213,"&lt;&gt;""")/2,"", INDEX(OFFSET(BQ207,MATCH(BM194,BQ207:BQ213,0),0):BQ213,         MATCH(MAX(BR207:BR213),        OFFSET(BR207,MATCH(BM194,BQ207:BQ213,0),0):BR213,0),1)))))</f>
        <v/>
      </c>
      <c r="BN195" s="58"/>
      <c r="BO195" s="121"/>
      <c r="BP195" s="14"/>
      <c r="BQ195" s="14"/>
      <c r="BR195" s="14"/>
      <c r="BS195" s="14"/>
      <c r="BT195" s="19"/>
      <c r="BU195" s="19"/>
      <c r="BV195" s="19"/>
      <c r="BW195" s="65"/>
      <c r="BX195" s="63"/>
      <c r="BY195" s="352"/>
      <c r="BZ195" s="14"/>
      <c r="CA195" s="14"/>
      <c r="CB195" s="21"/>
      <c r="CC195" s="21"/>
      <c r="CD195" s="180"/>
      <c r="CE195" s="180"/>
      <c r="CF195" s="21"/>
      <c r="CG195" s="14"/>
      <c r="CH195" s="14"/>
      <c r="CI195" s="14"/>
      <c r="CJ195" s="14"/>
      <c r="CK195" s="14"/>
      <c r="CL195" s="14"/>
      <c r="CM195" s="14"/>
      <c r="CN195" s="14"/>
      <c r="CO195" s="129"/>
      <c r="CP195" s="29"/>
      <c r="CQ195" s="47"/>
      <c r="CR195" s="14"/>
      <c r="CS195" s="14"/>
      <c r="CT195" s="14"/>
      <c r="CU195" s="14"/>
      <c r="CV195" s="180"/>
      <c r="CW195" s="189"/>
      <c r="CX195" s="189"/>
      <c r="CY195" s="14"/>
      <c r="CZ195" s="14"/>
      <c r="DA195" s="14"/>
      <c r="DB195" s="14"/>
      <c r="DC195" s="14"/>
      <c r="DD195" s="14"/>
      <c r="DE195" s="14"/>
      <c r="DF195" s="14"/>
      <c r="DG195" s="129"/>
      <c r="DH195" s="29"/>
      <c r="DI195" s="47"/>
      <c r="DJ195" s="29"/>
      <c r="DK195" s="34"/>
      <c r="DL195" s="37" t="str">
        <f ca="1">IF(DQ212=0,"",IF(COUNTIF(DQ207:DQ211,MAX(DQ207:DQ211))&lt;=2,"",IF(COUNTIF(DQ207:DQ211,MAX(DQ207:DQ211))&gt;COUNTIF(DP207:DP211,"&lt;&gt;""")/2,"",INDEX(OFFSET(DP207,MATCH(DL194,DP207:DP212,0),0):DP211,MATCH(MAX(DQ207:DQ211),OFFSET(DQ207,MATCH(DL194,DP207:DP212,0),0):DQ211,0),1))))</f>
        <v/>
      </c>
      <c r="DM195" s="33"/>
      <c r="DN195" s="37"/>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row>
    <row r="196" spans="1:142" x14ac:dyDescent="0.25">
      <c r="A196" s="14"/>
      <c r="B196" s="14"/>
      <c r="C196" s="14"/>
      <c r="D196" s="27"/>
      <c r="E196" s="14"/>
      <c r="F196" s="14"/>
      <c r="G196" s="14"/>
      <c r="H196" s="27"/>
      <c r="I196" s="21"/>
      <c r="J196" s="14"/>
      <c r="K196" s="19"/>
      <c r="L196" s="40"/>
      <c r="M196" s="40"/>
      <c r="N196" s="40"/>
      <c r="O196" s="40"/>
      <c r="P196" s="40"/>
      <c r="Q196" s="47"/>
      <c r="R196" s="19"/>
      <c r="S196" s="19"/>
      <c r="T196" s="62"/>
      <c r="U196" s="27"/>
      <c r="V196" s="14"/>
      <c r="W196" s="14"/>
      <c r="X196" s="14"/>
      <c r="Y196" s="14"/>
      <c r="Z196" s="14"/>
      <c r="AA196" s="19"/>
      <c r="AB196" s="19"/>
      <c r="AC196" s="19"/>
      <c r="AD196" s="65"/>
      <c r="AE196" s="63"/>
      <c r="AF196" s="47"/>
      <c r="AG196" s="19"/>
      <c r="AH196" s="19"/>
      <c r="AI196" s="62"/>
      <c r="AJ196" s="27"/>
      <c r="AK196" s="14"/>
      <c r="AL196" s="14"/>
      <c r="AM196" s="14"/>
      <c r="AN196" s="14"/>
      <c r="AO196" s="14"/>
      <c r="AP196" s="19"/>
      <c r="AQ196" s="19"/>
      <c r="AR196" s="19"/>
      <c r="AS196" s="65"/>
      <c r="AT196" s="63"/>
      <c r="AU196" s="47"/>
      <c r="AV196" s="14"/>
      <c r="AW196" s="19"/>
      <c r="AX196" s="62"/>
      <c r="AY196" s="27"/>
      <c r="AZ196" s="14"/>
      <c r="BA196" s="14"/>
      <c r="BB196" s="14"/>
      <c r="BC196" s="14"/>
      <c r="BD196" s="14"/>
      <c r="BE196" s="19"/>
      <c r="BF196" s="19"/>
      <c r="BG196" s="19"/>
      <c r="BH196" s="65"/>
      <c r="BI196" s="63"/>
      <c r="BJ196" s="352"/>
      <c r="BK196" s="19"/>
      <c r="BL196" s="19"/>
      <c r="BM196" s="62"/>
      <c r="BN196" s="27"/>
      <c r="BO196" s="14"/>
      <c r="BP196" s="14"/>
      <c r="BQ196" s="14"/>
      <c r="BR196" s="14"/>
      <c r="BS196" s="14"/>
      <c r="BT196" s="19"/>
      <c r="BU196" s="19"/>
      <c r="BV196" s="19"/>
      <c r="BW196" s="65"/>
      <c r="BX196" s="63"/>
      <c r="BY196" s="352"/>
      <c r="BZ196" s="14"/>
      <c r="CA196" s="14"/>
      <c r="CB196" s="21"/>
      <c r="CC196" s="21"/>
      <c r="CD196" s="180"/>
      <c r="CE196" s="180"/>
      <c r="CF196" s="21"/>
      <c r="CG196" s="14"/>
      <c r="CH196" s="14"/>
      <c r="CI196" s="14"/>
      <c r="CJ196" s="14"/>
      <c r="CK196" s="14"/>
      <c r="CL196" s="14"/>
      <c r="CM196" s="14"/>
      <c r="CN196" s="14"/>
      <c r="CO196" s="129"/>
      <c r="CP196" s="29"/>
      <c r="CQ196" s="47"/>
      <c r="CR196" s="14"/>
      <c r="CS196" s="14"/>
      <c r="CT196" s="14"/>
      <c r="CU196" s="14"/>
      <c r="CV196" s="180"/>
      <c r="CW196" s="189"/>
      <c r="CX196" s="189"/>
      <c r="CY196" s="14"/>
      <c r="CZ196" s="14"/>
      <c r="DA196" s="14"/>
      <c r="DB196" s="14"/>
      <c r="DC196" s="14"/>
      <c r="DD196" s="14"/>
      <c r="DE196" s="14"/>
      <c r="DF196" s="14"/>
      <c r="DG196" s="129"/>
      <c r="DH196" s="29"/>
      <c r="DI196" s="47"/>
      <c r="DJ196" s="29"/>
      <c r="DK196" s="14"/>
      <c r="DL196" s="14"/>
      <c r="DM196" s="27"/>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row>
    <row r="197" spans="1:142" x14ac:dyDescent="0.25">
      <c r="A197" s="14"/>
      <c r="B197" s="14"/>
      <c r="C197" s="14"/>
      <c r="D197" s="27"/>
      <c r="E197" s="14"/>
      <c r="F197" s="14"/>
      <c r="G197" s="14"/>
      <c r="H197" s="21"/>
      <c r="I197" s="21"/>
      <c r="J197" s="14"/>
      <c r="K197" s="19"/>
      <c r="L197" s="40"/>
      <c r="M197" s="40"/>
      <c r="N197" s="40"/>
      <c r="O197" s="40"/>
      <c r="P197" s="40"/>
      <c r="Q197" s="47"/>
      <c r="R197" s="19"/>
      <c r="S197" s="19"/>
      <c r="T197" s="14"/>
      <c r="U197" s="27"/>
      <c r="V197" s="14"/>
      <c r="W197" s="14"/>
      <c r="X197" s="14"/>
      <c r="Y197" s="14"/>
      <c r="Z197" s="14"/>
      <c r="AA197" s="19"/>
      <c r="AB197" s="19"/>
      <c r="AC197" s="19"/>
      <c r="AD197" s="65"/>
      <c r="AE197" s="63"/>
      <c r="AF197" s="47"/>
      <c r="AG197" s="19"/>
      <c r="AH197" s="19"/>
      <c r="AI197" s="14"/>
      <c r="AJ197" s="27"/>
      <c r="AK197" s="14"/>
      <c r="AL197" s="14"/>
      <c r="AM197" s="14"/>
      <c r="AN197" s="14"/>
      <c r="AO197" s="14"/>
      <c r="AP197" s="19"/>
      <c r="AQ197" s="19"/>
      <c r="AR197" s="19"/>
      <c r="AS197" s="65"/>
      <c r="AT197" s="63"/>
      <c r="AU197" s="47"/>
      <c r="AV197" s="14"/>
      <c r="AW197" s="19"/>
      <c r="AX197" s="14"/>
      <c r="AY197" s="27"/>
      <c r="AZ197" s="14"/>
      <c r="BA197" s="14"/>
      <c r="BB197" s="14"/>
      <c r="BC197" s="14"/>
      <c r="BD197" s="14"/>
      <c r="BE197" s="19"/>
      <c r="BF197" s="19"/>
      <c r="BG197" s="19"/>
      <c r="BH197" s="65"/>
      <c r="BI197" s="63"/>
      <c r="BJ197" s="352"/>
      <c r="BK197" s="19"/>
      <c r="BL197" s="19"/>
      <c r="BM197" s="14"/>
      <c r="BN197" s="27"/>
      <c r="BO197" s="14"/>
      <c r="BP197" s="14"/>
      <c r="BQ197" s="14"/>
      <c r="BR197" s="14"/>
      <c r="BS197" s="14"/>
      <c r="BT197" s="19"/>
      <c r="BU197" s="19"/>
      <c r="BV197" s="19"/>
      <c r="BW197" s="65"/>
      <c r="BX197" s="63"/>
      <c r="BY197" s="352"/>
      <c r="BZ197" s="14"/>
      <c r="CA197" s="14"/>
      <c r="CB197" s="21"/>
      <c r="CC197" s="21"/>
      <c r="CD197" s="180"/>
      <c r="CE197" s="180"/>
      <c r="CF197" s="21"/>
      <c r="CG197" s="14"/>
      <c r="CH197" s="14"/>
      <c r="CI197" s="14"/>
      <c r="CJ197" s="14"/>
      <c r="CK197" s="14"/>
      <c r="CL197" s="14"/>
      <c r="CM197" s="14"/>
      <c r="CN197" s="14"/>
      <c r="CO197" s="129"/>
      <c r="CP197" s="29"/>
      <c r="CQ197" s="47"/>
      <c r="CR197" s="14"/>
      <c r="CS197" s="14"/>
      <c r="CT197" s="14"/>
      <c r="CU197" s="14"/>
      <c r="CV197" s="180"/>
      <c r="CW197" s="189"/>
      <c r="CX197" s="189"/>
      <c r="CY197" s="14"/>
      <c r="CZ197" s="14"/>
      <c r="DA197" s="14"/>
      <c r="DB197" s="14"/>
      <c r="DC197" s="14"/>
      <c r="DD197" s="14"/>
      <c r="DE197" s="14"/>
      <c r="DF197" s="14"/>
      <c r="DG197" s="129"/>
      <c r="DH197" s="29"/>
      <c r="DI197" s="47"/>
      <c r="DJ197" s="29"/>
      <c r="DK197" s="14"/>
      <c r="DL197" s="14"/>
      <c r="DM197" s="27"/>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row>
    <row r="198" spans="1:142" ht="27.6" x14ac:dyDescent="0.25">
      <c r="A198" s="14"/>
      <c r="B198" s="14"/>
      <c r="C198" s="14"/>
      <c r="D198" s="27"/>
      <c r="E198" s="14"/>
      <c r="F198" s="14"/>
      <c r="G198" s="14"/>
      <c r="H198" s="21"/>
      <c r="I198" s="21"/>
      <c r="J198" s="14"/>
      <c r="K198" s="19"/>
      <c r="L198" s="40"/>
      <c r="M198" s="40"/>
      <c r="N198" s="40"/>
      <c r="O198" s="40"/>
      <c r="P198" s="40"/>
      <c r="Q198" s="47"/>
      <c r="R198" s="19"/>
      <c r="S198" s="19"/>
      <c r="T198" s="14"/>
      <c r="U198" s="27"/>
      <c r="V198" s="14"/>
      <c r="W198" s="14"/>
      <c r="X198" s="14"/>
      <c r="Y198" s="14"/>
      <c r="Z198" s="14"/>
      <c r="AA198" s="19"/>
      <c r="AB198" s="19"/>
      <c r="AC198" s="19"/>
      <c r="AD198" s="65"/>
      <c r="AE198" s="63"/>
      <c r="AF198" s="47"/>
      <c r="AG198" s="19"/>
      <c r="AH198" s="19"/>
      <c r="AI198" s="14"/>
      <c r="AJ198" s="27"/>
      <c r="AK198" s="14"/>
      <c r="AL198" s="14"/>
      <c r="AM198" s="14"/>
      <c r="AN198" s="14"/>
      <c r="AO198" s="14"/>
      <c r="AP198" s="19"/>
      <c r="AQ198" s="19"/>
      <c r="AR198" s="19"/>
      <c r="AS198" s="65"/>
      <c r="AT198" s="63"/>
      <c r="AU198" s="47"/>
      <c r="AV198" s="14"/>
      <c r="AW198" s="19"/>
      <c r="AX198" s="14"/>
      <c r="AY198" s="27"/>
      <c r="AZ198" s="14"/>
      <c r="BA198" s="14"/>
      <c r="BB198" s="14"/>
      <c r="BC198" s="14"/>
      <c r="BD198" s="14"/>
      <c r="BE198" s="19"/>
      <c r="BF198" s="19"/>
      <c r="BG198" s="19"/>
      <c r="BH198" s="65"/>
      <c r="BI198" s="63"/>
      <c r="BJ198" s="352"/>
      <c r="BK198" s="19"/>
      <c r="BL198" s="19"/>
      <c r="BM198" s="14"/>
      <c r="BN198" s="27"/>
      <c r="BO198" s="14"/>
      <c r="BP198" s="14"/>
      <c r="BQ198" s="14"/>
      <c r="BR198" s="14"/>
      <c r="BS198" s="14"/>
      <c r="BT198" s="19"/>
      <c r="BU198" s="19"/>
      <c r="BV198" s="19"/>
      <c r="BW198" s="65"/>
      <c r="BX198" s="63"/>
      <c r="BY198" s="352"/>
      <c r="BZ198" s="14"/>
      <c r="CA198" s="109" t="s">
        <v>14</v>
      </c>
      <c r="CB198" s="110" t="s">
        <v>164</v>
      </c>
      <c r="CC198" s="110" t="s">
        <v>149</v>
      </c>
      <c r="CD198" s="184" t="s">
        <v>150</v>
      </c>
      <c r="CE198" s="184" t="s">
        <v>151</v>
      </c>
      <c r="CF198" s="110" t="s">
        <v>152</v>
      </c>
      <c r="CG198" s="14"/>
      <c r="CH198" s="109"/>
      <c r="CI198" s="110" t="s">
        <v>5</v>
      </c>
      <c r="CJ198" s="110" t="s">
        <v>4</v>
      </c>
      <c r="CK198" s="110" t="s">
        <v>33</v>
      </c>
      <c r="CL198" s="110" t="s">
        <v>29</v>
      </c>
      <c r="CM198" s="110" t="s">
        <v>3</v>
      </c>
      <c r="CN198" s="110" t="s">
        <v>54</v>
      </c>
      <c r="CO198" s="328" t="s">
        <v>160</v>
      </c>
      <c r="CP198" s="29"/>
      <c r="CQ198" s="47"/>
      <c r="CR198" s="14"/>
      <c r="CS198" s="109" t="s">
        <v>14</v>
      </c>
      <c r="CT198" s="110" t="s">
        <v>164</v>
      </c>
      <c r="CU198" s="110" t="s">
        <v>149</v>
      </c>
      <c r="CV198" s="184" t="s">
        <v>150</v>
      </c>
      <c r="CW198" s="184" t="s">
        <v>151</v>
      </c>
      <c r="CX198" s="194" t="s">
        <v>152</v>
      </c>
      <c r="CY198" s="14"/>
      <c r="CZ198" s="109" t="s">
        <v>14</v>
      </c>
      <c r="DA198" s="110" t="s">
        <v>5</v>
      </c>
      <c r="DB198" s="110" t="s">
        <v>4</v>
      </c>
      <c r="DC198" s="110" t="s">
        <v>33</v>
      </c>
      <c r="DD198" s="110" t="s">
        <v>29</v>
      </c>
      <c r="DE198" s="110" t="s">
        <v>3</v>
      </c>
      <c r="DF198" s="110" t="s">
        <v>54</v>
      </c>
      <c r="DG198" s="328" t="s">
        <v>160</v>
      </c>
      <c r="DH198" s="29"/>
      <c r="DI198" s="47"/>
      <c r="DJ198" s="29"/>
      <c r="DK198" s="14"/>
      <c r="DL198" s="14"/>
      <c r="DM198" s="27"/>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row>
    <row r="199" spans="1:142" x14ac:dyDescent="0.25">
      <c r="A199" s="14"/>
      <c r="B199" s="14"/>
      <c r="C199" s="14"/>
      <c r="D199" s="21"/>
      <c r="E199" s="14"/>
      <c r="F199" s="14"/>
      <c r="G199" s="14"/>
      <c r="H199" s="21"/>
      <c r="I199" s="21"/>
      <c r="J199" s="14"/>
      <c r="K199" s="19"/>
      <c r="L199" s="14"/>
      <c r="M199" s="14"/>
      <c r="N199" s="14"/>
      <c r="O199" s="14"/>
      <c r="P199" s="14"/>
      <c r="Q199" s="47"/>
      <c r="R199" s="19"/>
      <c r="S199" s="14"/>
      <c r="T199" s="14"/>
      <c r="U199" s="21"/>
      <c r="V199" s="14"/>
      <c r="W199" s="14"/>
      <c r="X199" s="14"/>
      <c r="Y199" s="14"/>
      <c r="Z199" s="14"/>
      <c r="AA199" s="19"/>
      <c r="AB199" s="19"/>
      <c r="AC199" s="19"/>
      <c r="AD199" s="65"/>
      <c r="AE199" s="63"/>
      <c r="AF199" s="47"/>
      <c r="AG199" s="19"/>
      <c r="AH199" s="14"/>
      <c r="AI199" s="14"/>
      <c r="AJ199" s="21"/>
      <c r="AK199" s="14"/>
      <c r="AL199" s="14"/>
      <c r="AM199" s="14"/>
      <c r="AN199" s="14"/>
      <c r="AO199" s="14"/>
      <c r="AP199" s="19"/>
      <c r="AQ199" s="19"/>
      <c r="AR199" s="19"/>
      <c r="AS199" s="65"/>
      <c r="AT199" s="63"/>
      <c r="AU199" s="47"/>
      <c r="AV199" s="14"/>
      <c r="AW199" s="14"/>
      <c r="AX199" s="14"/>
      <c r="AY199" s="21"/>
      <c r="AZ199" s="14"/>
      <c r="BA199" s="14"/>
      <c r="BB199" s="14"/>
      <c r="BC199" s="14"/>
      <c r="BD199" s="14"/>
      <c r="BE199" s="19"/>
      <c r="BF199" s="19"/>
      <c r="BG199" s="19"/>
      <c r="BH199" s="65"/>
      <c r="BI199" s="63"/>
      <c r="BJ199" s="352"/>
      <c r="BK199" s="19"/>
      <c r="BL199" s="14"/>
      <c r="BM199" s="14"/>
      <c r="BN199" s="21"/>
      <c r="BO199" s="14"/>
      <c r="BP199" s="14"/>
      <c r="BQ199" s="14"/>
      <c r="BR199" s="14"/>
      <c r="BS199" s="14"/>
      <c r="BT199" s="19"/>
      <c r="BU199" s="19"/>
      <c r="BV199" s="19"/>
      <c r="BW199" s="65"/>
      <c r="BX199" s="63"/>
      <c r="BY199" s="352"/>
      <c r="BZ199" s="14"/>
      <c r="CA199" s="140" t="s">
        <v>701</v>
      </c>
      <c r="CB199" s="27">
        <f>COUNTIFS(S30_stakeholder_category,"NGO",Response_Q177_1,"&lt;&gt;0",Response_Q173_3,"&lt;&gt;0")</f>
        <v>0</v>
      </c>
      <c r="CC199" s="37">
        <f>COUNTIFS(S30_stakeholder_category,"NGO",Response_Q177_1,1,Response_Q173_3,"&lt;&gt;""0")</f>
        <v>4</v>
      </c>
      <c r="CD199" s="37">
        <f>COUNTIFS(S30_stakeholder_category,"NGO",Response_Q177_1,2,Response_Q173_3,"&lt;&gt;""0")</f>
        <v>0</v>
      </c>
      <c r="CE199" s="37">
        <f>COUNTIFS(S30_stakeholder_category,"NGO",Response_Q177_1,3,Response_Q173_3,"&lt;&gt;""0")</f>
        <v>0</v>
      </c>
      <c r="CF199" s="97">
        <f>IF(CB193=0,0,SUMPRODUCT(CC199:CE199,Rank_score)/$CB193)</f>
        <v>3</v>
      </c>
      <c r="CG199" s="14"/>
      <c r="CH199" s="140" t="s">
        <v>701</v>
      </c>
      <c r="CI199" s="27">
        <f t="shared" ref="CI199:CN199" si="139">COUNTIFS(S30_stakeholder_category,"NGO",Response_Q177_1,"&lt;&gt;0",Response_Q177_2,CI$63,Response_Q173_3,"&lt;&gt;0")</f>
        <v>0</v>
      </c>
      <c r="CJ199" s="27">
        <f t="shared" si="139"/>
        <v>0</v>
      </c>
      <c r="CK199" s="27">
        <f t="shared" si="139"/>
        <v>0</v>
      </c>
      <c r="CL199" s="27">
        <f t="shared" si="139"/>
        <v>0</v>
      </c>
      <c r="CM199" s="27">
        <f t="shared" si="139"/>
        <v>0</v>
      </c>
      <c r="CN199" s="27">
        <f t="shared" si="139"/>
        <v>0</v>
      </c>
      <c r="CO199" s="141" t="str">
        <f t="shared" ref="CO199:CO205" si="140">IF(ISBLANK(CH199),"",IF(CF199=0,not_ranked,IF(SUM(CI199:CN199)=0,not_estimated,IFERROR(SUMPRODUCT(CI199:CN199,Likekihood_score)/SUM(CI199:CN199),0))))</f>
        <v>Ranked, but likelihood not estimated</v>
      </c>
      <c r="CP199" s="29"/>
      <c r="CQ199" s="47"/>
      <c r="CR199" s="14"/>
      <c r="CS199" s="140" t="s">
        <v>373</v>
      </c>
      <c r="CT199" s="27">
        <f>COUNTIFS(S30_stakeholder_category,"NGO",Response_Q178_1,"&lt;&gt;0",Response_Q173_3,"&lt;&gt;0")</f>
        <v>0</v>
      </c>
      <c r="CU199" s="37">
        <f>COUNTIFS(S30_stakeholder_category,"NGO",Response_Q178_1,1,Response_Q173_3,"&lt;&gt;0")</f>
        <v>0</v>
      </c>
      <c r="CV199" s="37">
        <f>COUNTIFS(S30_stakeholder_category,"NGO",Response_Q178_1,2,Response_Q173_3,"&lt;&gt;0")</f>
        <v>0</v>
      </c>
      <c r="CW199" s="37">
        <f>COUNTIFS(S30_stakeholder_category,"NGO",Response_Q178_1,3,Response_Q173_3,"&lt;&gt;0")</f>
        <v>0</v>
      </c>
      <c r="CX199" s="37">
        <f>IF(CT193=0,0,SUMPRODUCT(CU199:CW199,Rank_score)/CT$58)</f>
        <v>0</v>
      </c>
      <c r="CY199" s="14"/>
      <c r="CZ199" s="140" t="s">
        <v>373</v>
      </c>
      <c r="DA199" s="27">
        <f t="shared" ref="DA199:DF199" si="141">COUNTIFS(S30_stakeholder_category,"NGO",Response_Q178_1,"&lt;&gt;0",Response_Q178_2,DA$63,Response_Q173_3,"&lt;&gt;0")</f>
        <v>0</v>
      </c>
      <c r="DB199" s="27">
        <f t="shared" si="141"/>
        <v>0</v>
      </c>
      <c r="DC199" s="27">
        <f t="shared" si="141"/>
        <v>0</v>
      </c>
      <c r="DD199" s="27">
        <f t="shared" si="141"/>
        <v>0</v>
      </c>
      <c r="DE199" s="27">
        <f t="shared" si="141"/>
        <v>0</v>
      </c>
      <c r="DF199" s="27">
        <f t="shared" si="141"/>
        <v>0</v>
      </c>
      <c r="DG199" s="141" t="str">
        <f t="shared" ref="DG199:DG206" si="142">IF(ISBLANK(CZ199),"",IF(CX199=0,not_ranked,IF(SUM(DA199:DF199)=0,not_estimated,IFERROR(SUMPRODUCT(DA199:DF199,Likekihood_score)/SUM(DA199:DF199),0))))</f>
        <v>Factor not ranked</v>
      </c>
      <c r="DH199" s="29"/>
      <c r="DI199" s="47"/>
      <c r="DJ199" s="29"/>
      <c r="DK199" s="14"/>
      <c r="DL199" s="14"/>
      <c r="DM199" s="14"/>
      <c r="DN199" s="14"/>
      <c r="DO199" s="14"/>
      <c r="DP199" s="14"/>
      <c r="DQ199" s="14"/>
      <c r="DR199" s="13"/>
      <c r="DS199" s="13"/>
      <c r="DT199" s="14"/>
      <c r="DU199" s="14"/>
      <c r="DV199" s="14"/>
      <c r="DW199" s="14"/>
      <c r="DX199" s="14"/>
      <c r="DY199" s="14"/>
      <c r="DZ199" s="14"/>
      <c r="EA199" s="14"/>
      <c r="EB199" s="14"/>
      <c r="EC199" s="14"/>
      <c r="ED199" s="14"/>
      <c r="EE199" s="14"/>
      <c r="EF199" s="14"/>
      <c r="EG199" s="14"/>
      <c r="EH199" s="14"/>
      <c r="EI199" s="14"/>
      <c r="EJ199" s="14"/>
      <c r="EK199" s="14"/>
      <c r="EL199" s="14"/>
    </row>
    <row r="200" spans="1:142" ht="14.4" x14ac:dyDescent="0.25">
      <c r="A200" s="14"/>
      <c r="B200" s="60"/>
      <c r="C200" s="19"/>
      <c r="D200" s="59"/>
      <c r="E200" s="14"/>
      <c r="F200" s="14"/>
      <c r="G200" s="14"/>
      <c r="H200" s="21"/>
      <c r="I200" s="21"/>
      <c r="J200" s="14"/>
      <c r="K200" s="14"/>
      <c r="L200" s="14"/>
      <c r="M200" s="14"/>
      <c r="N200" s="14"/>
      <c r="O200" s="14"/>
      <c r="P200" s="14"/>
      <c r="Q200" s="47"/>
      <c r="R200" s="19"/>
      <c r="S200" s="60"/>
      <c r="T200" s="19"/>
      <c r="U200" s="59"/>
      <c r="V200" s="14"/>
      <c r="W200" s="14"/>
      <c r="X200" s="14"/>
      <c r="Y200" s="14"/>
      <c r="Z200" s="14"/>
      <c r="AA200" s="19"/>
      <c r="AB200" s="19"/>
      <c r="AC200" s="19"/>
      <c r="AD200" s="65"/>
      <c r="AE200" s="63"/>
      <c r="AF200" s="47"/>
      <c r="AG200" s="19"/>
      <c r="AH200" s="60"/>
      <c r="AI200" s="19"/>
      <c r="AJ200" s="59"/>
      <c r="AK200" s="14"/>
      <c r="AL200" s="14"/>
      <c r="AM200" s="14"/>
      <c r="AN200" s="14"/>
      <c r="AO200" s="14"/>
      <c r="AP200" s="19"/>
      <c r="AQ200" s="19"/>
      <c r="AR200" s="19"/>
      <c r="AS200" s="65"/>
      <c r="AT200" s="63"/>
      <c r="AU200" s="47"/>
      <c r="AV200" s="14"/>
      <c r="AW200" s="60"/>
      <c r="AX200" s="19"/>
      <c r="AY200" s="59"/>
      <c r="AZ200" s="14"/>
      <c r="BA200" s="14"/>
      <c r="BB200" s="14"/>
      <c r="BC200" s="14"/>
      <c r="BD200" s="14"/>
      <c r="BE200" s="19"/>
      <c r="BF200" s="19"/>
      <c r="BG200" s="19"/>
      <c r="BH200" s="65"/>
      <c r="BI200" s="63"/>
      <c r="BJ200" s="352"/>
      <c r="BK200" s="19"/>
      <c r="BL200" s="60"/>
      <c r="BM200" s="19"/>
      <c r="BN200" s="59"/>
      <c r="BO200" s="14"/>
      <c r="BP200" s="14"/>
      <c r="BQ200" s="14"/>
      <c r="BR200" s="14"/>
      <c r="BS200" s="14"/>
      <c r="BT200" s="19"/>
      <c r="BU200" s="19"/>
      <c r="BV200" s="19"/>
      <c r="BW200" s="65"/>
      <c r="BX200" s="63"/>
      <c r="BY200" s="352"/>
      <c r="BZ200" s="14"/>
      <c r="CA200" s="140" t="s">
        <v>344</v>
      </c>
      <c r="CB200" s="27">
        <f>COUNTIFS(S30_stakeholder_category,"NGO",Response_Q177_3,"&lt;&gt;0",Response_Q173_3,"&lt;&gt;0")</f>
        <v>0</v>
      </c>
      <c r="CC200" s="37">
        <f>COUNTIFS(S30_stakeholder_category,"NGO",Response_Q177_3,1,Response_Q173_3,"&lt;&gt;0")</f>
        <v>0</v>
      </c>
      <c r="CD200" s="37">
        <f>COUNTIFS(S30_stakeholder_category,"NGO",Response_Q177_3,2,Response_Q173_3,"&lt;&gt;0")</f>
        <v>0</v>
      </c>
      <c r="CE200" s="37">
        <f>COUNTIFS(S30_stakeholder_category,"NGO",Response_Q177_3,3,Response_Q173_3,"&lt;&gt;0")</f>
        <v>0</v>
      </c>
      <c r="CF200" s="97">
        <f>IF(CB193=0,0,SUMPRODUCT(CC200:CE200,Rank_score)/$CB193)</f>
        <v>0</v>
      </c>
      <c r="CG200" s="14"/>
      <c r="CH200" s="140" t="s">
        <v>344</v>
      </c>
      <c r="CI200" s="27">
        <f t="shared" ref="CI200:CN200" si="143">COUNTIFS(S30_stakeholder_category,"NGO",Response_Q177_3,"&lt;&gt;0",Response_Q177_4,CI$63,Response_Q173_3,"&lt;&gt;0")</f>
        <v>0</v>
      </c>
      <c r="CJ200" s="27">
        <f t="shared" si="143"/>
        <v>0</v>
      </c>
      <c r="CK200" s="27">
        <f t="shared" si="143"/>
        <v>0</v>
      </c>
      <c r="CL200" s="27">
        <f t="shared" si="143"/>
        <v>0</v>
      </c>
      <c r="CM200" s="27">
        <f t="shared" si="143"/>
        <v>0</v>
      </c>
      <c r="CN200" s="27">
        <f t="shared" si="143"/>
        <v>0</v>
      </c>
      <c r="CO200" s="141" t="str">
        <f t="shared" si="140"/>
        <v>Factor not ranked</v>
      </c>
      <c r="CP200" s="14"/>
      <c r="CQ200" s="47"/>
      <c r="CR200" s="14"/>
      <c r="CS200" s="140" t="s">
        <v>338</v>
      </c>
      <c r="CT200" s="27">
        <f>COUNTIFS(S30_stakeholder_category,"NGO",Response_Q178_3,"&lt;&gt;0",Response_Q173_3,"&lt;&gt;0")</f>
        <v>0</v>
      </c>
      <c r="CU200" s="37">
        <f>COUNTIFS(S30_stakeholder_category,"NGO",Response_Q178_3,1,Response_Q173_3,"&lt;&gt;0")</f>
        <v>0</v>
      </c>
      <c r="CV200" s="37">
        <f>COUNTIFS(S30_stakeholder_category,"NGO",Response_Q178_3,2,Response_Q173_3,"&lt;&gt;0")</f>
        <v>0</v>
      </c>
      <c r="CW200" s="37">
        <f>COUNTIFS(S30_stakeholder_category,"NGO",Response_Q178_3,3,Response_Q173_3,"&lt;&gt;0")</f>
        <v>0</v>
      </c>
      <c r="CX200" s="37">
        <f>IF(CT193=0,0,SUMPRODUCT(CU200:CW200,Rank_score)/CT$58)</f>
        <v>0</v>
      </c>
      <c r="CY200" s="14"/>
      <c r="CZ200" s="140" t="s">
        <v>338</v>
      </c>
      <c r="DA200" s="27">
        <f t="shared" ref="DA200:DF200" si="144">COUNTIFS(S30_stakeholder_category,"NGO",Response_Q178_3,"&lt;&gt;0",Response_Q178_4,DA$63,Response_Q173_3,"&lt;&gt;0")</f>
        <v>0</v>
      </c>
      <c r="DB200" s="27">
        <f t="shared" si="144"/>
        <v>0</v>
      </c>
      <c r="DC200" s="27">
        <f t="shared" si="144"/>
        <v>0</v>
      </c>
      <c r="DD200" s="27">
        <f t="shared" si="144"/>
        <v>0</v>
      </c>
      <c r="DE200" s="27">
        <f t="shared" si="144"/>
        <v>0</v>
      </c>
      <c r="DF200" s="27">
        <f t="shared" si="144"/>
        <v>0</v>
      </c>
      <c r="DG200" s="141" t="str">
        <f t="shared" si="142"/>
        <v>Factor not ranked</v>
      </c>
      <c r="DH200" s="14"/>
      <c r="DI200" s="47"/>
      <c r="DJ200" s="14"/>
      <c r="DK200" s="19"/>
      <c r="DL200" s="19"/>
      <c r="DM200" s="59"/>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row>
    <row r="201" spans="1:142" ht="14.4" x14ac:dyDescent="0.25">
      <c r="A201" s="14"/>
      <c r="B201" s="62"/>
      <c r="C201" s="19"/>
      <c r="D201" s="59"/>
      <c r="E201" s="14"/>
      <c r="F201" s="14"/>
      <c r="G201" s="14"/>
      <c r="H201" s="21"/>
      <c r="I201" s="21"/>
      <c r="J201" s="14"/>
      <c r="K201" s="14"/>
      <c r="L201" s="14"/>
      <c r="M201" s="14"/>
      <c r="N201" s="14"/>
      <c r="O201" s="14"/>
      <c r="P201" s="14"/>
      <c r="Q201" s="47"/>
      <c r="R201" s="19"/>
      <c r="S201" s="61"/>
      <c r="T201" s="19"/>
      <c r="U201" s="59"/>
      <c r="V201" s="14"/>
      <c r="W201" s="14"/>
      <c r="X201" s="14"/>
      <c r="Y201" s="14"/>
      <c r="Z201" s="13"/>
      <c r="AA201" s="30"/>
      <c r="AB201" s="30"/>
      <c r="AC201" s="30"/>
      <c r="AD201" s="65"/>
      <c r="AE201" s="63"/>
      <c r="AF201" s="47"/>
      <c r="AG201" s="19"/>
      <c r="AH201" s="61"/>
      <c r="AI201" s="19"/>
      <c r="AJ201" s="59"/>
      <c r="AK201" s="14"/>
      <c r="AL201" s="14"/>
      <c r="AM201" s="14"/>
      <c r="AN201" s="14"/>
      <c r="AO201" s="13"/>
      <c r="AP201" s="30"/>
      <c r="AQ201" s="30"/>
      <c r="AR201" s="30"/>
      <c r="AS201" s="65"/>
      <c r="AT201" s="63"/>
      <c r="AU201" s="47"/>
      <c r="AV201" s="14"/>
      <c r="AW201" s="61"/>
      <c r="AX201" s="19"/>
      <c r="AY201" s="59"/>
      <c r="AZ201" s="14"/>
      <c r="BA201" s="14"/>
      <c r="BB201" s="14"/>
      <c r="BC201" s="14"/>
      <c r="BD201" s="13"/>
      <c r="BE201" s="30"/>
      <c r="BF201" s="30"/>
      <c r="BG201" s="30"/>
      <c r="BH201" s="65"/>
      <c r="BI201" s="63"/>
      <c r="BJ201" s="352"/>
      <c r="BK201" s="19"/>
      <c r="BL201" s="61"/>
      <c r="BM201" s="19"/>
      <c r="BN201" s="59"/>
      <c r="BO201" s="14"/>
      <c r="BP201" s="14"/>
      <c r="BQ201" s="14"/>
      <c r="BR201" s="14"/>
      <c r="BS201" s="13"/>
      <c r="BT201" s="30"/>
      <c r="BU201" s="30"/>
      <c r="BV201" s="30"/>
      <c r="BW201" s="65"/>
      <c r="BX201" s="63"/>
      <c r="BY201" s="352"/>
      <c r="BZ201" s="14"/>
      <c r="CA201" s="140" t="s">
        <v>146</v>
      </c>
      <c r="CB201" s="27">
        <f>COUNTIFS(S30_stakeholder_category,"NGO",Response_Q177_5,"&lt;&gt;0",Response_Q173_3,"&lt;&gt;0")</f>
        <v>0</v>
      </c>
      <c r="CC201" s="37">
        <f>COUNTIFS(S30_stakeholder_category,"NGO",Response_Q177_5,1,Response_Q173_3,"&lt;&gt;0")</f>
        <v>0</v>
      </c>
      <c r="CD201" s="37">
        <f>COUNTIFS(S30_stakeholder_category,"NGO",Response_Q177_5,2,Response_Q173_3,"&lt;&gt;0")</f>
        <v>0</v>
      </c>
      <c r="CE201" s="37">
        <f>COUNTIFS(S30_stakeholder_category,"NGO",Response_Q177_5,3,Response_Q173_3,"&lt;&gt;0")</f>
        <v>0</v>
      </c>
      <c r="CF201" s="97">
        <f>IF(CB193=0,0,SUMPRODUCT(CC201:CE201,Rank_score)/$CB193)</f>
        <v>0</v>
      </c>
      <c r="CG201" s="14"/>
      <c r="CH201" s="140" t="s">
        <v>146</v>
      </c>
      <c r="CI201" s="27">
        <f t="shared" ref="CI201:CN201" si="145">COUNTIFS(S30_stakeholder_category,"NGO",Response_Q177_5,"&lt;&gt;0",Response_Q177_6,CI$63,Response_Q173_3,"&lt;&gt;0")</f>
        <v>0</v>
      </c>
      <c r="CJ201" s="27">
        <f t="shared" si="145"/>
        <v>0</v>
      </c>
      <c r="CK201" s="27">
        <f t="shared" si="145"/>
        <v>0</v>
      </c>
      <c r="CL201" s="27">
        <f t="shared" si="145"/>
        <v>0</v>
      </c>
      <c r="CM201" s="27">
        <f t="shared" si="145"/>
        <v>0</v>
      </c>
      <c r="CN201" s="27">
        <f t="shared" si="145"/>
        <v>0</v>
      </c>
      <c r="CO201" s="141" t="str">
        <f t="shared" si="140"/>
        <v>Factor not ranked</v>
      </c>
      <c r="CP201" s="14"/>
      <c r="CQ201" s="47"/>
      <c r="CR201" s="14"/>
      <c r="CS201" s="106" t="s">
        <v>339</v>
      </c>
      <c r="CT201" s="27">
        <f>COUNTIFS(S30_stakeholder_category,"NGO",Response_Q178_5,"&lt;&gt;0",Response_Q173_3,"&lt;&gt;0")</f>
        <v>0</v>
      </c>
      <c r="CU201" s="37">
        <f>COUNTIFS(S30_stakeholder_category,"NGO",Response_Q178_5,1,Response_Q173_3,"&lt;&gt;0")</f>
        <v>0</v>
      </c>
      <c r="CV201" s="37">
        <f>COUNTIFS(S30_stakeholder_category,"NGO",Response_Q178_5,2,Response_Q173_3,"&lt;&gt;0")</f>
        <v>0</v>
      </c>
      <c r="CW201" s="37">
        <f>COUNTIFS(S30_stakeholder_category,"NGO",Response_Q178_5,3,Response_Q173_3,"&lt;&gt;0")</f>
        <v>0</v>
      </c>
      <c r="CX201" s="37">
        <f>IF(CT193=0,0,SUMPRODUCT(CU201:CW201,Rank_score)/CT$58)</f>
        <v>0</v>
      </c>
      <c r="CY201" s="14"/>
      <c r="CZ201" s="106" t="s">
        <v>339</v>
      </c>
      <c r="DA201" s="27">
        <f t="shared" ref="DA201:DF201" si="146">COUNTIFS(S30_stakeholder_category,"NGO",Response_Q178_5,"&lt;&gt;0",Response_Q178_6,DA$63,Response_Q173_3,"&lt;&gt;0")</f>
        <v>0</v>
      </c>
      <c r="DB201" s="27">
        <f t="shared" si="146"/>
        <v>0</v>
      </c>
      <c r="DC201" s="27">
        <f t="shared" si="146"/>
        <v>0</v>
      </c>
      <c r="DD201" s="27">
        <f t="shared" si="146"/>
        <v>0</v>
      </c>
      <c r="DE201" s="27">
        <f t="shared" si="146"/>
        <v>0</v>
      </c>
      <c r="DF201" s="27">
        <f t="shared" si="146"/>
        <v>0</v>
      </c>
      <c r="DG201" s="141" t="str">
        <f t="shared" si="142"/>
        <v>Factor not ranked</v>
      </c>
      <c r="DH201" s="14"/>
      <c r="DI201" s="47"/>
      <c r="DJ201" s="14"/>
      <c r="DK201" s="19"/>
      <c r="DL201" s="19"/>
      <c r="DM201" s="59"/>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row>
    <row r="202" spans="1:142" x14ac:dyDescent="0.25">
      <c r="A202" s="14"/>
      <c r="B202" s="62"/>
      <c r="C202" s="19"/>
      <c r="D202" s="59"/>
      <c r="E202" s="14"/>
      <c r="F202" s="14"/>
      <c r="G202" s="14"/>
      <c r="H202" s="21"/>
      <c r="I202" s="21"/>
      <c r="J202" s="14"/>
      <c r="K202" s="14"/>
      <c r="L202" s="14"/>
      <c r="M202" s="14"/>
      <c r="N202" s="14"/>
      <c r="O202" s="14"/>
      <c r="P202" s="14"/>
      <c r="Q202" s="47"/>
      <c r="R202" s="19"/>
      <c r="S202" s="62"/>
      <c r="T202" s="19"/>
      <c r="U202" s="59"/>
      <c r="V202" s="14"/>
      <c r="W202" s="14"/>
      <c r="X202" s="14"/>
      <c r="Y202" s="14"/>
      <c r="Z202" s="14"/>
      <c r="AA202" s="14"/>
      <c r="AB202" s="14"/>
      <c r="AC202" s="14"/>
      <c r="AD202" s="65"/>
      <c r="AE202" s="63"/>
      <c r="AF202" s="47"/>
      <c r="AG202" s="19"/>
      <c r="AH202" s="62"/>
      <c r="AI202" s="19"/>
      <c r="AJ202" s="59"/>
      <c r="AK202" s="14"/>
      <c r="AL202" s="14"/>
      <c r="AM202" s="14"/>
      <c r="AN202" s="14"/>
      <c r="AO202" s="14"/>
      <c r="AP202" s="14"/>
      <c r="AQ202" s="14"/>
      <c r="AR202" s="14"/>
      <c r="AS202" s="65"/>
      <c r="AT202" s="63"/>
      <c r="AU202" s="47"/>
      <c r="AV202" s="14"/>
      <c r="AW202" s="62"/>
      <c r="AX202" s="19"/>
      <c r="AY202" s="59"/>
      <c r="AZ202" s="14"/>
      <c r="BA202" s="14"/>
      <c r="BB202" s="14"/>
      <c r="BC202" s="14"/>
      <c r="BD202" s="14"/>
      <c r="BE202" s="14"/>
      <c r="BF202" s="14"/>
      <c r="BG202" s="14"/>
      <c r="BH202" s="65"/>
      <c r="BI202" s="63"/>
      <c r="BJ202" s="352"/>
      <c r="BK202" s="19"/>
      <c r="BL202" s="62"/>
      <c r="BM202" s="19"/>
      <c r="BN202" s="59"/>
      <c r="BO202" s="14"/>
      <c r="BP202" s="14"/>
      <c r="BQ202" s="14"/>
      <c r="BR202" s="14"/>
      <c r="BS202" s="14"/>
      <c r="BT202" s="14"/>
      <c r="BU202" s="14"/>
      <c r="BV202" s="14"/>
      <c r="BW202" s="65"/>
      <c r="BX202" s="63"/>
      <c r="BY202" s="352"/>
      <c r="BZ202" s="14"/>
      <c r="CA202" s="140" t="s">
        <v>147</v>
      </c>
      <c r="CB202" s="27">
        <f>COUNTIFS(S30_stakeholder_category,"NGO",Response_Q177_7,"&lt;&gt;0",Response_Q173_3,"&lt;&gt;0")</f>
        <v>0</v>
      </c>
      <c r="CC202" s="37">
        <f>COUNTIFS(S30_stakeholder_category,"NGO",Response_Q177_7,1,Response_Q173_3,"&lt;&gt;0")</f>
        <v>0</v>
      </c>
      <c r="CD202" s="37">
        <f>COUNTIFS(S30_stakeholder_category,"NGO",Response_Q177_7,2,Response_Q173_3,"&lt;&gt;0")</f>
        <v>0</v>
      </c>
      <c r="CE202" s="37">
        <f>COUNTIFS(S30_stakeholder_category,"NGO",Response_Q177_7,3,Response_Q173_3,"&lt;&gt;0")</f>
        <v>0</v>
      </c>
      <c r="CF202" s="97">
        <f>IF(CB193=0,0,SUMPRODUCT(CC202:CE202,Rank_score)/$CB193)</f>
        <v>0</v>
      </c>
      <c r="CG202" s="14"/>
      <c r="CH202" s="140" t="s">
        <v>147</v>
      </c>
      <c r="CI202" s="27">
        <f t="shared" ref="CI202:CN202" si="147">COUNTIFS(S30_stakeholder_category,"NGO",Response_Q177_7,"&lt;&gt;0",Response_Q177_8,CI$63,Response_Q173_3,"&lt;&gt;0")</f>
        <v>0</v>
      </c>
      <c r="CJ202" s="27">
        <f t="shared" si="147"/>
        <v>0</v>
      </c>
      <c r="CK202" s="27">
        <f t="shared" si="147"/>
        <v>0</v>
      </c>
      <c r="CL202" s="27">
        <f t="shared" si="147"/>
        <v>0</v>
      </c>
      <c r="CM202" s="27">
        <f t="shared" si="147"/>
        <v>0</v>
      </c>
      <c r="CN202" s="27">
        <f t="shared" si="147"/>
        <v>0</v>
      </c>
      <c r="CO202" s="141" t="str">
        <f t="shared" si="140"/>
        <v>Factor not ranked</v>
      </c>
      <c r="CP202" s="14"/>
      <c r="CQ202" s="47"/>
      <c r="CR202" s="14"/>
      <c r="CS202" s="106" t="s">
        <v>345</v>
      </c>
      <c r="CT202" s="27">
        <f>COUNTIFS(S30_stakeholder_category,"NGO",Response_Q178_7,"&lt;&gt;0",Response_Q173_3,"&lt;&gt;0")</f>
        <v>0</v>
      </c>
      <c r="CU202" s="37">
        <f>COUNTIFS(S30_stakeholder_category,"NGO",Response_Q178_7,1,Response_Q173_3,"&lt;&gt;0")</f>
        <v>0</v>
      </c>
      <c r="CV202" s="37">
        <f>COUNTIFS(S30_stakeholder_category,"NGO",Response_Q178_7,2,Response_Q173_3,"&lt;&gt;0")</f>
        <v>0</v>
      </c>
      <c r="CW202" s="37">
        <f>COUNTIFS(S30_stakeholder_category,"NGO",Response_Q178_7,3,Response_Q173_3,"&lt;&gt;0")</f>
        <v>0</v>
      </c>
      <c r="CX202" s="37">
        <f>IF(CT193=0,0,SUMPRODUCT(CU202:CW202,Rank_score)/CT$58)</f>
        <v>0</v>
      </c>
      <c r="CY202" s="14"/>
      <c r="CZ202" s="106" t="s">
        <v>345</v>
      </c>
      <c r="DA202" s="27">
        <f t="shared" ref="DA202:DF202" si="148">COUNTIFS(S30_stakeholder_category,"NGO",Response_Q178_7,"&lt;&gt;0",Response_Q178_8,DA$63,Response_Q173_3,"&lt;&gt;0")</f>
        <v>0</v>
      </c>
      <c r="DB202" s="27">
        <f t="shared" si="148"/>
        <v>0</v>
      </c>
      <c r="DC202" s="27">
        <f t="shared" si="148"/>
        <v>0</v>
      </c>
      <c r="DD202" s="27">
        <f t="shared" si="148"/>
        <v>0</v>
      </c>
      <c r="DE202" s="27">
        <f t="shared" si="148"/>
        <v>0</v>
      </c>
      <c r="DF202" s="27">
        <f t="shared" si="148"/>
        <v>0</v>
      </c>
      <c r="DG202" s="141" t="str">
        <f t="shared" si="142"/>
        <v>Factor not ranked</v>
      </c>
      <c r="DH202" s="14"/>
      <c r="DI202" s="47"/>
      <c r="DJ202" s="14"/>
      <c r="DK202" s="56"/>
      <c r="DL202" s="29"/>
      <c r="DM202" s="59"/>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row>
    <row r="203" spans="1:142" x14ac:dyDescent="0.25">
      <c r="A203" s="14"/>
      <c r="B203" s="62"/>
      <c r="C203" s="19"/>
      <c r="D203" s="59"/>
      <c r="E203" s="14"/>
      <c r="F203" s="14"/>
      <c r="G203" s="14"/>
      <c r="H203" s="21"/>
      <c r="I203" s="21"/>
      <c r="J203" s="14"/>
      <c r="K203" s="14"/>
      <c r="L203" s="14"/>
      <c r="M203" s="14"/>
      <c r="N203" s="14"/>
      <c r="O203" s="14"/>
      <c r="P203" s="14"/>
      <c r="Q203" s="47"/>
      <c r="R203" s="19"/>
      <c r="S203" s="62"/>
      <c r="T203" s="19"/>
      <c r="U203" s="59"/>
      <c r="V203" s="14"/>
      <c r="W203" s="14"/>
      <c r="X203" s="14"/>
      <c r="Y203" s="14"/>
      <c r="Z203" s="14"/>
      <c r="AA203" s="14"/>
      <c r="AB203" s="14"/>
      <c r="AC203" s="14"/>
      <c r="AD203" s="65"/>
      <c r="AE203" s="63"/>
      <c r="AF203" s="47"/>
      <c r="AG203" s="19"/>
      <c r="AH203" s="62"/>
      <c r="AI203" s="19"/>
      <c r="AJ203" s="59"/>
      <c r="AK203" s="14"/>
      <c r="AL203" s="14"/>
      <c r="AM203" s="14"/>
      <c r="AN203" s="14"/>
      <c r="AO203" s="14"/>
      <c r="AP203" s="14"/>
      <c r="AQ203" s="14"/>
      <c r="AR203" s="14"/>
      <c r="AS203" s="65"/>
      <c r="AT203" s="63"/>
      <c r="AU203" s="47"/>
      <c r="AV203" s="14"/>
      <c r="AW203" s="62"/>
      <c r="AX203" s="19"/>
      <c r="AY203" s="59"/>
      <c r="AZ203" s="14"/>
      <c r="BA203" s="14"/>
      <c r="BB203" s="14"/>
      <c r="BC203" s="14"/>
      <c r="BD203" s="14"/>
      <c r="BE203" s="14"/>
      <c r="BF203" s="14"/>
      <c r="BG203" s="14"/>
      <c r="BH203" s="65"/>
      <c r="BI203" s="63"/>
      <c r="BJ203" s="352"/>
      <c r="BK203" s="19"/>
      <c r="BL203" s="62"/>
      <c r="BM203" s="19"/>
      <c r="BN203" s="59"/>
      <c r="BO203" s="14"/>
      <c r="BP203" s="14"/>
      <c r="BQ203" s="14"/>
      <c r="BR203" s="14"/>
      <c r="BS203" s="14"/>
      <c r="BT203" s="14"/>
      <c r="BU203" s="14"/>
      <c r="BV203" s="14"/>
      <c r="BW203" s="65"/>
      <c r="BX203" s="63"/>
      <c r="BY203" s="352"/>
      <c r="BZ203" s="14"/>
      <c r="CA203" s="140" t="s">
        <v>341</v>
      </c>
      <c r="CB203" s="27">
        <f>COUNTIFS(S30_stakeholder_category,"NGO",Response_Q177_9,"&lt;&gt;0",Response_Q173_3,"&lt;&gt;0")</f>
        <v>0</v>
      </c>
      <c r="CC203" s="37">
        <f>COUNTIFS(S30_stakeholder_category,"NGO",Response_Q177_9,1,Response_Q173_3,"&lt;&gt;0")</f>
        <v>0</v>
      </c>
      <c r="CD203" s="37">
        <f>COUNTIFS(S30_stakeholder_category,"NGO",Response_Q177_9,2,Response_Q173_3,"&lt;&gt;0")</f>
        <v>0</v>
      </c>
      <c r="CE203" s="37">
        <f>COUNTIFS(S30_stakeholder_category,"NGO",Response_Q177_9,3,Response_Q173_3,"&lt;&gt;0")</f>
        <v>0</v>
      </c>
      <c r="CF203" s="97">
        <f>IF(CB193=0,0,SUMPRODUCT(CC203:CE203,Rank_score)/$CB193)</f>
        <v>0</v>
      </c>
      <c r="CG203" s="14"/>
      <c r="CH203" s="140" t="s">
        <v>341</v>
      </c>
      <c r="CI203" s="27">
        <f t="shared" ref="CI203:CN203" si="149">COUNTIFS(S30_stakeholder_category,"NGO",Response_Q177_9,"&lt;&gt;0",Response_Q177_10,CI$63,Response_Q173_3,"&lt;&gt;0")</f>
        <v>0</v>
      </c>
      <c r="CJ203" s="27">
        <f t="shared" si="149"/>
        <v>0</v>
      </c>
      <c r="CK203" s="27">
        <f t="shared" si="149"/>
        <v>0</v>
      </c>
      <c r="CL203" s="27">
        <f t="shared" si="149"/>
        <v>0</v>
      </c>
      <c r="CM203" s="27">
        <f t="shared" si="149"/>
        <v>0</v>
      </c>
      <c r="CN203" s="27">
        <f t="shared" si="149"/>
        <v>0</v>
      </c>
      <c r="CO203" s="141" t="str">
        <f t="shared" si="140"/>
        <v>Factor not ranked</v>
      </c>
      <c r="CP203" s="14"/>
      <c r="CQ203" s="47"/>
      <c r="CR203" s="14"/>
      <c r="CS203" s="106" t="s">
        <v>561</v>
      </c>
      <c r="CT203" s="27">
        <f>COUNTIFS(S30_stakeholder_category,"NGO",Response_Q178_9,"&lt;&gt;0",Response_Q173_3,"&lt;&gt;0")</f>
        <v>0</v>
      </c>
      <c r="CU203" s="37">
        <f>COUNTIFS(S30_stakeholder_category,"NGO",Response_Q178_9,1,Response_Q173_3,"&lt;&gt;0")</f>
        <v>0</v>
      </c>
      <c r="CV203" s="37">
        <f>COUNTIFS(S30_stakeholder_category,"NGO",Response_Q178_9,2,Response_Q173_3,"&lt;&gt;0")</f>
        <v>0</v>
      </c>
      <c r="CW203" s="37">
        <f>COUNTIFS(S30_stakeholder_category,"NGO",Response_Q178_9,3,Response_Q173_3,"&lt;&gt;0")</f>
        <v>0</v>
      </c>
      <c r="CX203" s="37">
        <f>IF(CT193=0,0,SUMPRODUCT(CU203:CW203,Rank_score)/CT$58)</f>
        <v>0</v>
      </c>
      <c r="CY203" s="14"/>
      <c r="CZ203" s="106" t="s">
        <v>561</v>
      </c>
      <c r="DA203" s="27">
        <f t="shared" ref="DA203:DF203" si="150">COUNTIFS(S30_stakeholder_category,"NGO",Response_Q178_9,"&lt;&gt;0",Response_Q178_10,DA$63,Response_Q173_3,"&lt;&gt;0")</f>
        <v>0</v>
      </c>
      <c r="DB203" s="27">
        <f t="shared" si="150"/>
        <v>0</v>
      </c>
      <c r="DC203" s="27">
        <f t="shared" si="150"/>
        <v>0</v>
      </c>
      <c r="DD203" s="27">
        <f t="shared" si="150"/>
        <v>0</v>
      </c>
      <c r="DE203" s="27">
        <f t="shared" si="150"/>
        <v>0</v>
      </c>
      <c r="DF203" s="27">
        <f t="shared" si="150"/>
        <v>0</v>
      </c>
      <c r="DG203" s="141" t="str">
        <f t="shared" si="142"/>
        <v>Factor not ranked</v>
      </c>
      <c r="DH203" s="14"/>
      <c r="DI203" s="47"/>
      <c r="DJ203" s="14"/>
      <c r="DK203" s="56"/>
      <c r="DL203" s="19"/>
      <c r="DM203" s="59"/>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row>
    <row r="204" spans="1:142" ht="15" x14ac:dyDescent="0.25">
      <c r="A204" s="14"/>
      <c r="B204" s="62"/>
      <c r="C204" s="19"/>
      <c r="D204" s="59"/>
      <c r="E204" s="14"/>
      <c r="F204" s="14"/>
      <c r="G204" s="14"/>
      <c r="H204" s="21"/>
      <c r="I204" s="21"/>
      <c r="J204" s="14"/>
      <c r="K204" s="14"/>
      <c r="L204" s="14"/>
      <c r="M204" s="14"/>
      <c r="N204" s="14"/>
      <c r="O204" s="14"/>
      <c r="P204" s="14"/>
      <c r="Q204" s="47"/>
      <c r="R204" s="19"/>
      <c r="S204" s="62"/>
      <c r="T204" s="19"/>
      <c r="U204" s="59"/>
      <c r="V204" s="14"/>
      <c r="W204" s="14"/>
      <c r="X204" s="14"/>
      <c r="Y204" s="14"/>
      <c r="Z204" s="14"/>
      <c r="AA204" s="14"/>
      <c r="AB204" s="95"/>
      <c r="AC204" s="14"/>
      <c r="AD204" s="65"/>
      <c r="AE204" s="63"/>
      <c r="AF204" s="47"/>
      <c r="AG204" s="19"/>
      <c r="AH204" s="62"/>
      <c r="AI204" s="19"/>
      <c r="AJ204" s="59"/>
      <c r="AK204" s="14"/>
      <c r="AL204" s="14"/>
      <c r="AM204" s="14"/>
      <c r="AN204" s="14"/>
      <c r="AO204" s="14"/>
      <c r="AP204" s="14"/>
      <c r="AQ204" s="95"/>
      <c r="AR204" s="14"/>
      <c r="AS204" s="65"/>
      <c r="AT204" s="63"/>
      <c r="AU204" s="47"/>
      <c r="AV204" s="14"/>
      <c r="AW204" s="62"/>
      <c r="AX204" s="19"/>
      <c r="AY204" s="59"/>
      <c r="AZ204" s="14"/>
      <c r="BA204" s="14"/>
      <c r="BB204" s="14"/>
      <c r="BC204" s="14"/>
      <c r="BD204" s="14"/>
      <c r="BE204" s="14"/>
      <c r="BF204" s="95"/>
      <c r="BG204" s="14"/>
      <c r="BH204" s="65"/>
      <c r="BI204" s="63"/>
      <c r="BJ204" s="352"/>
      <c r="BK204" s="19"/>
      <c r="BL204" s="62"/>
      <c r="BM204" s="19"/>
      <c r="BN204" s="59"/>
      <c r="BO204" s="14"/>
      <c r="BP204" s="14"/>
      <c r="BQ204" s="14"/>
      <c r="BR204" s="14"/>
      <c r="BS204" s="14"/>
      <c r="BT204" s="14"/>
      <c r="BU204" s="95"/>
      <c r="BV204" s="14"/>
      <c r="BW204" s="65"/>
      <c r="BX204" s="63"/>
      <c r="BY204" s="352"/>
      <c r="BZ204" s="14"/>
      <c r="CA204" s="106" t="s">
        <v>148</v>
      </c>
      <c r="CB204" s="27">
        <f>COUNTIFS(S30_stakeholder_category,"NGO",Response_Q177_11,"&lt;&gt;0",Response_Q173_3,"&lt;&gt;0")</f>
        <v>0</v>
      </c>
      <c r="CC204" s="37">
        <f>COUNTIFS(S30_stakeholder_category,"NGO",Response_Q177_11,1,Response_Q173_3,"&lt;&gt;0")</f>
        <v>0</v>
      </c>
      <c r="CD204" s="37">
        <f>COUNTIFS(S30_stakeholder_category,"NGO",Response_Q177_11,2,Response_Q173_3,"&lt;&gt;0")</f>
        <v>0</v>
      </c>
      <c r="CE204" s="37">
        <f>COUNTIFS(S30_stakeholder_category,"NGO",Response_Q177_11,3,Response_Q173_3,"&lt;&gt;0")</f>
        <v>0</v>
      </c>
      <c r="CF204" s="97">
        <f>IF(CB193=0,0,SUMPRODUCT(CC204:CE204,Rank_score)/$CB193)</f>
        <v>0</v>
      </c>
      <c r="CG204" s="43"/>
      <c r="CH204" s="106" t="s">
        <v>148</v>
      </c>
      <c r="CI204" s="27">
        <f t="shared" ref="CI204:CN204" si="151">COUNTIFS(S30_stakeholder_category,"NGO",Response_Q177_11,"&lt;&gt;0",Response_Q177_12,CI$63,Response_Q173_3,"&lt;&gt;0")</f>
        <v>0</v>
      </c>
      <c r="CJ204" s="27">
        <f t="shared" si="151"/>
        <v>0</v>
      </c>
      <c r="CK204" s="27">
        <f t="shared" si="151"/>
        <v>0</v>
      </c>
      <c r="CL204" s="27">
        <f t="shared" si="151"/>
        <v>0</v>
      </c>
      <c r="CM204" s="27">
        <f t="shared" si="151"/>
        <v>0</v>
      </c>
      <c r="CN204" s="27">
        <f t="shared" si="151"/>
        <v>0</v>
      </c>
      <c r="CO204" s="141" t="str">
        <f t="shared" si="140"/>
        <v>Factor not ranked</v>
      </c>
      <c r="CP204" s="14"/>
      <c r="CQ204" s="47"/>
      <c r="CR204" s="14"/>
      <c r="CS204" s="106" t="s">
        <v>49</v>
      </c>
      <c r="CT204" s="27">
        <f>COUNTIFS(S30_stakeholder_category,"NGO",Response_Q178_11,"&lt;&gt;0",Response_Q173_3,"&lt;&gt;0")</f>
        <v>0</v>
      </c>
      <c r="CU204" s="37">
        <f>COUNTIFS(S30_stakeholder_category,"NGO",Response_Q178_11,1,Response_Q173_3,"&lt;&gt;0")</f>
        <v>0</v>
      </c>
      <c r="CV204" s="37">
        <f>COUNTIFS(S30_stakeholder_category,"NGO",Response_Q178_11,2,Response_Q173_3,"&lt;&gt;0")</f>
        <v>0</v>
      </c>
      <c r="CW204" s="37">
        <f>COUNTIFS(S30_stakeholder_category,"NGO",Response_Q178_11,3,Response_Q173_3,"&lt;&gt;0")</f>
        <v>0</v>
      </c>
      <c r="CX204" s="37">
        <f>IF(CT193=0,0,SUMPRODUCT(CU204:CW204,Rank_score)/CT$58)</f>
        <v>0</v>
      </c>
      <c r="CY204" s="43"/>
      <c r="CZ204" s="106" t="s">
        <v>49</v>
      </c>
      <c r="DA204" s="27">
        <f t="shared" ref="DA204:DF204" si="152">COUNTIFS(S30_stakeholder_category,"NGO",Response_Q178_11,"&lt;&gt;0",Response_Q178_12,DA$63,Response_Q173_3,"&lt;&gt;0")</f>
        <v>0</v>
      </c>
      <c r="DB204" s="27">
        <f t="shared" si="152"/>
        <v>0</v>
      </c>
      <c r="DC204" s="27">
        <f t="shared" si="152"/>
        <v>0</v>
      </c>
      <c r="DD204" s="27">
        <f t="shared" si="152"/>
        <v>0</v>
      </c>
      <c r="DE204" s="27">
        <f t="shared" si="152"/>
        <v>0</v>
      </c>
      <c r="DF204" s="27">
        <f t="shared" si="152"/>
        <v>0</v>
      </c>
      <c r="DG204" s="141" t="str">
        <f t="shared" si="142"/>
        <v>Factor not ranked</v>
      </c>
      <c r="DH204" s="14"/>
      <c r="DI204" s="47"/>
      <c r="DJ204" s="14"/>
      <c r="DK204" s="14"/>
      <c r="DL204" s="19"/>
      <c r="DM204" s="59"/>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row>
    <row r="205" spans="1:142" x14ac:dyDescent="0.25">
      <c r="A205" s="14"/>
      <c r="B205" s="62"/>
      <c r="C205" s="19"/>
      <c r="D205" s="59"/>
      <c r="E205" s="14"/>
      <c r="F205" s="14"/>
      <c r="G205" s="14"/>
      <c r="H205" s="21"/>
      <c r="I205" s="21"/>
      <c r="J205" s="14"/>
      <c r="K205" s="14"/>
      <c r="L205" s="14"/>
      <c r="M205" s="14"/>
      <c r="N205" s="14"/>
      <c r="O205" s="14"/>
      <c r="P205" s="14"/>
      <c r="Q205" s="47"/>
      <c r="R205" s="19"/>
      <c r="S205" s="19"/>
      <c r="T205" s="19"/>
      <c r="U205" s="59"/>
      <c r="V205" s="14"/>
      <c r="W205" s="14"/>
      <c r="X205" s="14"/>
      <c r="Y205" s="14"/>
      <c r="Z205" s="14"/>
      <c r="AA205" s="14"/>
      <c r="AB205" s="14"/>
      <c r="AC205" s="14"/>
      <c r="AD205" s="65"/>
      <c r="AE205" s="63"/>
      <c r="AF205" s="47"/>
      <c r="AG205" s="19"/>
      <c r="AH205" s="19"/>
      <c r="AI205" s="19"/>
      <c r="AJ205" s="59"/>
      <c r="AK205" s="14"/>
      <c r="AL205" s="14"/>
      <c r="AM205" s="14"/>
      <c r="AN205" s="14"/>
      <c r="AO205" s="14"/>
      <c r="AP205" s="14"/>
      <c r="AQ205" s="14"/>
      <c r="AR205" s="14"/>
      <c r="AS205" s="65"/>
      <c r="AT205" s="63"/>
      <c r="AU205" s="47"/>
      <c r="AV205" s="14"/>
      <c r="AW205" s="19"/>
      <c r="AX205" s="19"/>
      <c r="AY205" s="59"/>
      <c r="AZ205" s="14"/>
      <c r="BA205" s="14"/>
      <c r="BB205" s="14"/>
      <c r="BC205" s="14"/>
      <c r="BD205" s="14"/>
      <c r="BE205" s="14"/>
      <c r="BF205" s="14"/>
      <c r="BG205" s="14"/>
      <c r="BH205" s="65"/>
      <c r="BI205" s="63"/>
      <c r="BJ205" s="352"/>
      <c r="BK205" s="19"/>
      <c r="BL205" s="19"/>
      <c r="BM205" s="19"/>
      <c r="BN205" s="59"/>
      <c r="BO205" s="14"/>
      <c r="BP205" s="14"/>
      <c r="BQ205" s="14"/>
      <c r="BR205" s="14"/>
      <c r="BS205" s="14"/>
      <c r="BT205" s="14"/>
      <c r="BU205" s="14"/>
      <c r="BV205" s="14"/>
      <c r="BW205" s="65"/>
      <c r="BX205" s="63"/>
      <c r="BY205" s="352"/>
      <c r="BZ205" s="14"/>
      <c r="CA205" s="107" t="s">
        <v>49</v>
      </c>
      <c r="CB205" s="27">
        <f>COUNTIFS(S30_stakeholder_category,"NGO",Response_Q177_13,"&lt;&gt;0",Response_Q173_3,"&lt;&gt;0")</f>
        <v>0</v>
      </c>
      <c r="CC205" s="37">
        <f>COUNTIFS(S30_stakeholder_category,"NGO",Response_Q177_13,1,Response_Q173_3,"&lt;&gt;0")</f>
        <v>0</v>
      </c>
      <c r="CD205" s="37">
        <f>COUNTIFS(S30_stakeholder_category,"NGO",Response_Q177_13,2,Response_Q173_3,"&lt;&gt;0")</f>
        <v>0</v>
      </c>
      <c r="CE205" s="37">
        <f>COUNTIFS(S30_stakeholder_category,"NGO",Response_Q177_13,3,Response_Q173_3,"&lt;&gt;0")</f>
        <v>0</v>
      </c>
      <c r="CF205" s="97">
        <f>IF(CB193=0,0,SUMPRODUCT(CC205:CE205,Rank_score)/$CB193)</f>
        <v>0</v>
      </c>
      <c r="CG205" s="29"/>
      <c r="CH205" s="107" t="s">
        <v>49</v>
      </c>
      <c r="CI205" s="27">
        <f t="shared" ref="CI205:CN205" si="153">COUNTIFS(S30_stakeholder_category,"NGO",Response_Q177_13,"&lt;&gt;0",Response_Q177_14,CI$63,Response_Q173_3,"&lt;&gt;0")</f>
        <v>0</v>
      </c>
      <c r="CJ205" s="27">
        <f t="shared" si="153"/>
        <v>0</v>
      </c>
      <c r="CK205" s="27">
        <f t="shared" si="153"/>
        <v>0</v>
      </c>
      <c r="CL205" s="27">
        <f t="shared" si="153"/>
        <v>0</v>
      </c>
      <c r="CM205" s="27">
        <f t="shared" si="153"/>
        <v>0</v>
      </c>
      <c r="CN205" s="27">
        <f t="shared" si="153"/>
        <v>0</v>
      </c>
      <c r="CO205" s="141" t="str">
        <f t="shared" si="140"/>
        <v>Factor not ranked</v>
      </c>
      <c r="CP205" s="14"/>
      <c r="CQ205" s="47"/>
      <c r="CR205" s="14"/>
      <c r="CS205" s="107"/>
      <c r="CT205" s="27"/>
      <c r="CU205" s="37"/>
      <c r="CV205" s="37"/>
      <c r="CW205" s="37"/>
      <c r="CX205" s="37"/>
      <c r="CY205" s="29"/>
      <c r="CZ205" s="106"/>
      <c r="DA205" s="27"/>
      <c r="DB205" s="27"/>
      <c r="DC205" s="27"/>
      <c r="DD205" s="27"/>
      <c r="DE205" s="27"/>
      <c r="DF205" s="27"/>
      <c r="DG205" s="141" t="str">
        <f t="shared" si="142"/>
        <v/>
      </c>
      <c r="DH205" s="14"/>
      <c r="DI205" s="47"/>
      <c r="DJ205" s="14"/>
      <c r="DK205" s="14"/>
      <c r="DL205" s="19"/>
      <c r="DM205" s="59"/>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row>
    <row r="206" spans="1:142" x14ac:dyDescent="0.25">
      <c r="A206" s="14"/>
      <c r="B206" s="19"/>
      <c r="C206" s="19"/>
      <c r="D206" s="59"/>
      <c r="E206" s="14"/>
      <c r="F206" s="14"/>
      <c r="G206" s="109" t="s">
        <v>14</v>
      </c>
      <c r="H206" s="110" t="s">
        <v>6</v>
      </c>
      <c r="I206" s="110" t="s">
        <v>7</v>
      </c>
      <c r="J206" s="14"/>
      <c r="K206" s="14"/>
      <c r="L206" s="14"/>
      <c r="M206" s="14"/>
      <c r="N206" s="14"/>
      <c r="O206" s="14"/>
      <c r="P206" s="14"/>
      <c r="Q206" s="47"/>
      <c r="R206" s="19"/>
      <c r="S206" s="19"/>
      <c r="T206" s="19"/>
      <c r="U206" s="59"/>
      <c r="V206" s="14"/>
      <c r="W206" s="14"/>
      <c r="X206" s="109" t="s">
        <v>14</v>
      </c>
      <c r="Y206" s="110" t="s">
        <v>6</v>
      </c>
      <c r="Z206" s="110" t="s">
        <v>7</v>
      </c>
      <c r="AA206" s="14"/>
      <c r="AB206" s="14"/>
      <c r="AC206" s="14"/>
      <c r="AD206" s="65"/>
      <c r="AE206" s="63"/>
      <c r="AF206" s="47"/>
      <c r="AG206" s="19"/>
      <c r="AH206" s="19"/>
      <c r="AI206" s="19"/>
      <c r="AJ206" s="59"/>
      <c r="AK206" s="14"/>
      <c r="AL206" s="14"/>
      <c r="AM206" s="109" t="s">
        <v>14</v>
      </c>
      <c r="AN206" s="110" t="s">
        <v>6</v>
      </c>
      <c r="AO206" s="110" t="s">
        <v>7</v>
      </c>
      <c r="AP206" s="14"/>
      <c r="AQ206" s="14"/>
      <c r="AR206" s="14"/>
      <c r="AS206" s="65"/>
      <c r="AT206" s="63"/>
      <c r="AU206" s="47"/>
      <c r="AV206" s="14"/>
      <c r="AW206" s="19"/>
      <c r="AX206" s="19"/>
      <c r="AY206" s="59"/>
      <c r="AZ206" s="14"/>
      <c r="BA206" s="14"/>
      <c r="BB206" s="109" t="s">
        <v>14</v>
      </c>
      <c r="BC206" s="110" t="s">
        <v>6</v>
      </c>
      <c r="BD206" s="110" t="s">
        <v>7</v>
      </c>
      <c r="BE206" s="14"/>
      <c r="BF206" s="14"/>
      <c r="BG206" s="14"/>
      <c r="BH206" s="65"/>
      <c r="BI206" s="63"/>
      <c r="BJ206" s="352"/>
      <c r="BK206" s="19"/>
      <c r="BL206" s="19"/>
      <c r="BM206" s="19"/>
      <c r="BN206" s="59"/>
      <c r="BO206" s="14"/>
      <c r="BP206" s="14"/>
      <c r="BQ206" s="109" t="s">
        <v>14</v>
      </c>
      <c r="BR206" s="110" t="s">
        <v>6</v>
      </c>
      <c r="BS206" s="110" t="s">
        <v>7</v>
      </c>
      <c r="BT206" s="14"/>
      <c r="BU206" s="14"/>
      <c r="BV206" s="14"/>
      <c r="BW206" s="65"/>
      <c r="BX206" s="63"/>
      <c r="BY206" s="352"/>
      <c r="BZ206" s="14"/>
      <c r="CA206" s="86"/>
      <c r="CB206" s="111"/>
      <c r="CC206" s="111"/>
      <c r="CD206" s="179"/>
      <c r="CE206" s="179"/>
      <c r="CF206" s="108"/>
      <c r="CG206" s="29"/>
      <c r="CH206" s="109"/>
      <c r="CI206" s="109"/>
      <c r="CJ206" s="109"/>
      <c r="CK206" s="109"/>
      <c r="CL206" s="109"/>
      <c r="CM206" s="109"/>
      <c r="CN206" s="109"/>
      <c r="CO206" s="329"/>
      <c r="CP206" s="14"/>
      <c r="CQ206" s="47"/>
      <c r="CR206" s="14"/>
      <c r="CS206" s="107"/>
      <c r="CT206" s="27"/>
      <c r="CU206" s="37"/>
      <c r="CV206" s="37"/>
      <c r="CW206" s="37"/>
      <c r="CX206" s="37"/>
      <c r="CY206" s="29"/>
      <c r="CZ206" s="106"/>
      <c r="DA206" s="27"/>
      <c r="DB206" s="27"/>
      <c r="DC206" s="27"/>
      <c r="DD206" s="27"/>
      <c r="DE206" s="27"/>
      <c r="DF206" s="27"/>
      <c r="DG206" s="141" t="str">
        <f t="shared" si="142"/>
        <v/>
      </c>
      <c r="DH206" s="14"/>
      <c r="DI206" s="47"/>
      <c r="DJ206" s="14"/>
      <c r="DK206" s="14"/>
      <c r="DL206" s="19"/>
      <c r="DM206" s="59"/>
      <c r="DN206" s="14"/>
      <c r="DO206" s="14"/>
      <c r="DP206" s="109" t="s">
        <v>14</v>
      </c>
      <c r="DQ206" s="110" t="s">
        <v>6</v>
      </c>
      <c r="DR206" s="110" t="s">
        <v>7</v>
      </c>
      <c r="DS206" s="14"/>
      <c r="DT206" s="14"/>
      <c r="DU206" s="14"/>
      <c r="DV206" s="14"/>
      <c r="DW206" s="14"/>
      <c r="DX206" s="14"/>
      <c r="DY206" s="14"/>
      <c r="DZ206" s="14"/>
      <c r="EA206" s="14"/>
      <c r="EB206" s="14"/>
      <c r="EC206" s="14"/>
      <c r="ED206" s="14"/>
      <c r="EE206" s="14"/>
      <c r="EF206" s="14"/>
      <c r="EG206" s="14"/>
      <c r="EH206" s="14"/>
      <c r="EI206" s="14"/>
      <c r="EJ206" s="14"/>
      <c r="EK206" s="14"/>
      <c r="EL206" s="14"/>
    </row>
    <row r="207" spans="1:142" x14ac:dyDescent="0.25">
      <c r="A207" s="14"/>
      <c r="B207" s="19"/>
      <c r="C207" s="19"/>
      <c r="D207" s="59"/>
      <c r="E207" s="14"/>
      <c r="F207" s="14"/>
      <c r="G207" s="107" t="s">
        <v>34</v>
      </c>
      <c r="H207" s="27">
        <f>COUNTIFS(S30_stakeholder_category,"NGO",Response_Q173_3,G207)</f>
        <v>0</v>
      </c>
      <c r="I207" s="41" t="str">
        <f>IFERROR(H207/H$212,"")</f>
        <v/>
      </c>
      <c r="J207" s="14"/>
      <c r="K207" s="14"/>
      <c r="L207" s="14"/>
      <c r="M207" s="14"/>
      <c r="N207" s="14"/>
      <c r="O207" s="14"/>
      <c r="P207" s="14"/>
      <c r="Q207" s="47"/>
      <c r="R207" s="19"/>
      <c r="S207" s="56"/>
      <c r="T207" s="29"/>
      <c r="U207" s="59"/>
      <c r="V207" s="14"/>
      <c r="W207" s="14"/>
      <c r="X207" s="107" t="s">
        <v>5</v>
      </c>
      <c r="Y207" s="27">
        <f t="shared" ref="Y207:Y213" si="154">COUNTIFS(S30_stakeholder_category,"NGO",Response_Q176_2,X207)</f>
        <v>0</v>
      </c>
      <c r="Z207" s="41">
        <f t="shared" ref="Z207:Z214" si="155">IFERROR(Y207/Y$214,0)</f>
        <v>0</v>
      </c>
      <c r="AA207" s="14"/>
      <c r="AB207" s="14"/>
      <c r="AC207" s="14"/>
      <c r="AD207" s="65"/>
      <c r="AE207" s="63"/>
      <c r="AF207" s="47"/>
      <c r="AG207" s="19"/>
      <c r="AH207" s="56"/>
      <c r="AI207" s="29"/>
      <c r="AJ207" s="59"/>
      <c r="AK207" s="14"/>
      <c r="AL207" s="14"/>
      <c r="AM207" s="107" t="s">
        <v>5</v>
      </c>
      <c r="AN207" s="27">
        <f t="shared" ref="AN207:AN213" si="156">COUNTIFS(S30_stakeholder_category,"NGO",Response_30b_CaseA,AM207)</f>
        <v>0</v>
      </c>
      <c r="AO207" s="41">
        <f>IFERROR(AN207/AN$214,0)</f>
        <v>0</v>
      </c>
      <c r="AP207" s="14"/>
      <c r="AQ207" s="14"/>
      <c r="AR207" s="14"/>
      <c r="AS207" s="65"/>
      <c r="AT207" s="63"/>
      <c r="AU207" s="47"/>
      <c r="AV207" s="14"/>
      <c r="AW207" s="56"/>
      <c r="AX207" s="29"/>
      <c r="AY207" s="59"/>
      <c r="AZ207" s="14"/>
      <c r="BA207" s="14"/>
      <c r="BB207" s="107" t="s">
        <v>5</v>
      </c>
      <c r="BC207" s="27">
        <f t="shared" ref="BC207:BC213" si="157">COUNTIFS(S30_stakeholder_category,"NGO",Response_30b_CaseB,BB207)</f>
        <v>0</v>
      </c>
      <c r="BD207" s="41">
        <f>IFERROR(BC207/BC$214,0)</f>
        <v>0</v>
      </c>
      <c r="BE207" s="14"/>
      <c r="BF207" s="14"/>
      <c r="BG207" s="14"/>
      <c r="BH207" s="65"/>
      <c r="BI207" s="63"/>
      <c r="BJ207" s="352"/>
      <c r="BK207" s="19"/>
      <c r="BL207" s="56"/>
      <c r="BM207" s="29"/>
      <c r="BN207" s="59"/>
      <c r="BO207" s="14"/>
      <c r="BP207" s="14"/>
      <c r="BQ207" s="107" t="s">
        <v>5</v>
      </c>
      <c r="BR207" s="27">
        <f t="shared" ref="BR207:BR213" si="158">COUNTIFS(S30_stakeholder_category,"NGO",Response_30b_CaseC,BQ207)</f>
        <v>0</v>
      </c>
      <c r="BS207" s="41">
        <f>IFERROR(BR207/BR$214,0)</f>
        <v>0</v>
      </c>
      <c r="BT207" s="14"/>
      <c r="BU207" s="14"/>
      <c r="BV207" s="14"/>
      <c r="BW207" s="65"/>
      <c r="BX207" s="63"/>
      <c r="BY207" s="352"/>
      <c r="BZ207" s="14"/>
      <c r="CA207" s="14"/>
      <c r="CB207" s="21"/>
      <c r="CC207" s="21"/>
      <c r="CD207" s="180"/>
      <c r="CE207" s="181"/>
      <c r="CF207" s="31"/>
      <c r="CG207" s="52"/>
      <c r="CH207" s="52"/>
      <c r="CI207" s="99"/>
      <c r="CJ207" s="14"/>
      <c r="CK207" s="14"/>
      <c r="CL207" s="14"/>
      <c r="CM207" s="14"/>
      <c r="CN207" s="14"/>
      <c r="CO207" s="129"/>
      <c r="CP207" s="14"/>
      <c r="CQ207" s="47"/>
      <c r="CR207" s="14"/>
      <c r="CS207" s="86"/>
      <c r="CT207" s="111"/>
      <c r="CU207" s="86"/>
      <c r="CV207" s="179"/>
      <c r="CW207" s="188"/>
      <c r="CX207" s="179"/>
      <c r="CY207" s="29"/>
      <c r="CZ207" s="109"/>
      <c r="DA207" s="109"/>
      <c r="DB207" s="109"/>
      <c r="DC207" s="109"/>
      <c r="DD207" s="109"/>
      <c r="DE207" s="109"/>
      <c r="DF207" s="109"/>
      <c r="DG207" s="329"/>
      <c r="DH207" s="14"/>
      <c r="DI207" s="47"/>
      <c r="DJ207" s="14"/>
      <c r="DK207" s="62"/>
      <c r="DL207" s="19"/>
      <c r="DM207" s="59"/>
      <c r="DN207" s="14"/>
      <c r="DO207" s="14"/>
      <c r="DP207" s="107" t="s">
        <v>34</v>
      </c>
      <c r="DQ207" s="27">
        <f>COUNTIFS(S30_stakeholder_category,"NGO",Response_Q172_1,DP207,Response_Q173_3,"&lt;&gt;0")</f>
        <v>0</v>
      </c>
      <c r="DR207" s="41" t="str">
        <f>IF(DQ212=0,"",DQ207/DQ212)</f>
        <v/>
      </c>
      <c r="DS207" s="14"/>
      <c r="DT207" s="14"/>
      <c r="DU207" s="14"/>
      <c r="DV207" s="14"/>
      <c r="DW207" s="14"/>
      <c r="DX207" s="14"/>
      <c r="DY207" s="14"/>
      <c r="DZ207" s="14"/>
      <c r="EA207" s="14"/>
      <c r="EB207" s="14"/>
      <c r="EC207" s="14"/>
      <c r="ED207" s="14"/>
      <c r="EE207" s="14"/>
      <c r="EF207" s="14"/>
      <c r="EG207" s="14"/>
      <c r="EH207" s="14"/>
      <c r="EI207" s="14"/>
      <c r="EJ207" s="14"/>
      <c r="EK207" s="14"/>
      <c r="EL207" s="14"/>
    </row>
    <row r="208" spans="1:142" x14ac:dyDescent="0.25">
      <c r="A208" s="14"/>
      <c r="B208" s="56"/>
      <c r="C208" s="29"/>
      <c r="D208" s="59"/>
      <c r="E208" s="14"/>
      <c r="F208" s="14"/>
      <c r="G208" s="107" t="s">
        <v>35</v>
      </c>
      <c r="H208" s="27">
        <f>COUNTIFS(S30_stakeholder_category,"NGO",Response_Q173_3,G208)</f>
        <v>0</v>
      </c>
      <c r="I208" s="41" t="str">
        <f t="shared" ref="I208:I212" si="159">IFERROR(H208/H$212,"")</f>
        <v/>
      </c>
      <c r="J208" s="14"/>
      <c r="K208" s="14"/>
      <c r="L208" s="14"/>
      <c r="M208" s="14"/>
      <c r="N208" s="14"/>
      <c r="O208" s="14"/>
      <c r="P208" s="14"/>
      <c r="Q208" s="47"/>
      <c r="R208" s="19"/>
      <c r="S208" s="56"/>
      <c r="T208" s="19"/>
      <c r="U208" s="59"/>
      <c r="V208" s="14"/>
      <c r="W208" s="14"/>
      <c r="X208" s="107" t="s">
        <v>4</v>
      </c>
      <c r="Y208" s="27">
        <f t="shared" si="154"/>
        <v>0</v>
      </c>
      <c r="Z208" s="41">
        <f t="shared" si="155"/>
        <v>0</v>
      </c>
      <c r="AA208" s="14"/>
      <c r="AB208" s="14"/>
      <c r="AC208" s="14"/>
      <c r="AD208" s="65"/>
      <c r="AE208" s="63"/>
      <c r="AF208" s="47"/>
      <c r="AG208" s="19"/>
      <c r="AH208" s="56"/>
      <c r="AI208" s="19"/>
      <c r="AJ208" s="59"/>
      <c r="AK208" s="14"/>
      <c r="AL208" s="14"/>
      <c r="AM208" s="107" t="s">
        <v>4</v>
      </c>
      <c r="AN208" s="27">
        <f t="shared" si="156"/>
        <v>0</v>
      </c>
      <c r="AO208" s="41">
        <f t="shared" ref="AO208:AO214" si="160">IFERROR(AN208/AN$214,0)</f>
        <v>0</v>
      </c>
      <c r="AP208" s="14"/>
      <c r="AQ208" s="14"/>
      <c r="AR208" s="14"/>
      <c r="AS208" s="65"/>
      <c r="AT208" s="63"/>
      <c r="AU208" s="47"/>
      <c r="AV208" s="14"/>
      <c r="AW208" s="56"/>
      <c r="AX208" s="19"/>
      <c r="AY208" s="59"/>
      <c r="AZ208" s="14"/>
      <c r="BA208" s="14"/>
      <c r="BB208" s="107" t="s">
        <v>4</v>
      </c>
      <c r="BC208" s="27">
        <f t="shared" si="157"/>
        <v>0</v>
      </c>
      <c r="BD208" s="41">
        <f t="shared" ref="BD208:BD214" si="161">IFERROR(BC208/BC$214,0)</f>
        <v>0</v>
      </c>
      <c r="BE208" s="14"/>
      <c r="BF208" s="14"/>
      <c r="BG208" s="14"/>
      <c r="BH208" s="65"/>
      <c r="BI208" s="63"/>
      <c r="BJ208" s="352"/>
      <c r="BK208" s="19"/>
      <c r="BL208" s="56"/>
      <c r="BM208" s="19"/>
      <c r="BN208" s="59"/>
      <c r="BO208" s="14"/>
      <c r="BP208" s="14"/>
      <c r="BQ208" s="107" t="s">
        <v>4</v>
      </c>
      <c r="BR208" s="27">
        <f t="shared" si="158"/>
        <v>0</v>
      </c>
      <c r="BS208" s="41">
        <f t="shared" ref="BS208:BS214" si="162">IFERROR(BR208/BR$214,0)</f>
        <v>0</v>
      </c>
      <c r="BT208" s="14"/>
      <c r="BU208" s="14"/>
      <c r="BV208" s="14"/>
      <c r="BW208" s="65"/>
      <c r="BX208" s="63"/>
      <c r="BY208" s="352"/>
      <c r="BZ208" s="14"/>
      <c r="CA208" s="14"/>
      <c r="CB208" s="21"/>
      <c r="CC208" s="21"/>
      <c r="CD208" s="180"/>
      <c r="CE208" s="181"/>
      <c r="CF208" s="31"/>
      <c r="CG208" s="52"/>
      <c r="CH208" s="52"/>
      <c r="CI208" s="99"/>
      <c r="CJ208" s="14"/>
      <c r="CK208" s="14"/>
      <c r="CL208" s="14"/>
      <c r="CM208" s="14"/>
      <c r="CN208" s="14"/>
      <c r="CO208" s="129"/>
      <c r="CP208" s="14"/>
      <c r="CQ208" s="47"/>
      <c r="CR208" s="14"/>
      <c r="CS208" s="14"/>
      <c r="CT208" s="14"/>
      <c r="CU208" s="14"/>
      <c r="CV208" s="180"/>
      <c r="CW208" s="190"/>
      <c r="CX208" s="191"/>
      <c r="CY208" s="52"/>
      <c r="CZ208" s="52"/>
      <c r="DA208" s="54"/>
      <c r="DB208" s="14"/>
      <c r="DC208" s="14"/>
      <c r="DD208" s="14"/>
      <c r="DE208" s="14"/>
      <c r="DF208" s="14"/>
      <c r="DG208" s="129"/>
      <c r="DH208" s="14"/>
      <c r="DI208" s="47"/>
      <c r="DJ208" s="14"/>
      <c r="DK208" s="62"/>
      <c r="DL208" s="19"/>
      <c r="DM208" s="59"/>
      <c r="DN208" s="14"/>
      <c r="DO208" s="14"/>
      <c r="DP208" s="107" t="s">
        <v>35</v>
      </c>
      <c r="DQ208" s="27">
        <f>COUNTIFS(S30_stakeholder_category,"NGO",Response_Q172_1,DP208,Response_Q173_3,"&lt;&gt;0")</f>
        <v>0</v>
      </c>
      <c r="DR208" s="41" t="str">
        <f>IF(DQ212=0,"",DQ208/DQ212)</f>
        <v/>
      </c>
      <c r="DS208" s="14"/>
      <c r="DT208" s="14"/>
      <c r="DU208" s="14"/>
      <c r="DV208" s="14"/>
      <c r="DW208" s="14"/>
      <c r="DX208" s="14"/>
      <c r="DY208" s="14"/>
      <c r="DZ208" s="14"/>
      <c r="EA208" s="14"/>
      <c r="EB208" s="14"/>
      <c r="EC208" s="14"/>
      <c r="ED208" s="14"/>
      <c r="EE208" s="14"/>
      <c r="EF208" s="14"/>
      <c r="EG208" s="14"/>
      <c r="EH208" s="14"/>
      <c r="EI208" s="14"/>
      <c r="EJ208" s="14"/>
      <c r="EK208" s="14"/>
      <c r="EL208" s="14"/>
    </row>
    <row r="209" spans="1:142" x14ac:dyDescent="0.25">
      <c r="A209" s="14"/>
      <c r="B209" s="56"/>
      <c r="C209" s="19"/>
      <c r="D209" s="59"/>
      <c r="E209" s="14"/>
      <c r="F209" s="14"/>
      <c r="G209" s="107" t="s">
        <v>36</v>
      </c>
      <c r="H209" s="27">
        <f>COUNTIFS(S30_stakeholder_category,"NGO",Response_Q173_3,G209)</f>
        <v>0</v>
      </c>
      <c r="I209" s="41" t="str">
        <f t="shared" si="159"/>
        <v/>
      </c>
      <c r="J209" s="14"/>
      <c r="K209" s="14"/>
      <c r="L209" s="14"/>
      <c r="M209" s="14"/>
      <c r="N209" s="14"/>
      <c r="O209" s="14"/>
      <c r="P209" s="14"/>
      <c r="Q209" s="47"/>
      <c r="R209" s="19"/>
      <c r="S209" s="19"/>
      <c r="T209" s="19"/>
      <c r="U209" s="59"/>
      <c r="V209" s="14"/>
      <c r="W209" s="14"/>
      <c r="X209" s="107" t="s">
        <v>33</v>
      </c>
      <c r="Y209" s="27">
        <f t="shared" si="154"/>
        <v>0</v>
      </c>
      <c r="Z209" s="41">
        <f t="shared" si="155"/>
        <v>0</v>
      </c>
      <c r="AA209" s="14"/>
      <c r="AB209" s="14"/>
      <c r="AC209" s="14"/>
      <c r="AD209" s="65"/>
      <c r="AE209" s="63"/>
      <c r="AF209" s="47"/>
      <c r="AG209" s="19"/>
      <c r="AH209" s="19"/>
      <c r="AI209" s="19"/>
      <c r="AJ209" s="59"/>
      <c r="AK209" s="14"/>
      <c r="AL209" s="14"/>
      <c r="AM209" s="107" t="s">
        <v>33</v>
      </c>
      <c r="AN209" s="27">
        <f t="shared" si="156"/>
        <v>0</v>
      </c>
      <c r="AO209" s="41">
        <f t="shared" si="160"/>
        <v>0</v>
      </c>
      <c r="AP209" s="14"/>
      <c r="AQ209" s="14"/>
      <c r="AR209" s="14"/>
      <c r="AS209" s="65"/>
      <c r="AT209" s="63"/>
      <c r="AU209" s="47"/>
      <c r="AV209" s="14"/>
      <c r="AW209" s="19"/>
      <c r="AX209" s="19"/>
      <c r="AY209" s="59"/>
      <c r="AZ209" s="14"/>
      <c r="BA209" s="14"/>
      <c r="BB209" s="107" t="s">
        <v>33</v>
      </c>
      <c r="BC209" s="27">
        <f t="shared" si="157"/>
        <v>0</v>
      </c>
      <c r="BD209" s="41">
        <f t="shared" si="161"/>
        <v>0</v>
      </c>
      <c r="BE209" s="14"/>
      <c r="BF209" s="14"/>
      <c r="BG209" s="14"/>
      <c r="BH209" s="65"/>
      <c r="BI209" s="63"/>
      <c r="BJ209" s="352"/>
      <c r="BK209" s="19"/>
      <c r="BL209" s="19"/>
      <c r="BM209" s="19"/>
      <c r="BN209" s="59"/>
      <c r="BO209" s="14"/>
      <c r="BP209" s="14"/>
      <c r="BQ209" s="107" t="s">
        <v>33</v>
      </c>
      <c r="BR209" s="27">
        <f t="shared" si="158"/>
        <v>0</v>
      </c>
      <c r="BS209" s="41">
        <f t="shared" si="162"/>
        <v>0</v>
      </c>
      <c r="BT209" s="14"/>
      <c r="BU209" s="14"/>
      <c r="BV209" s="14"/>
      <c r="BW209" s="65"/>
      <c r="BX209" s="63"/>
      <c r="BY209" s="352"/>
      <c r="BZ209" s="14"/>
      <c r="CA209" s="14"/>
      <c r="CB209" s="21"/>
      <c r="CC209" s="21"/>
      <c r="CD209" s="180"/>
      <c r="CE209" s="181"/>
      <c r="CF209" s="31"/>
      <c r="CG209" s="52"/>
      <c r="CH209" s="52"/>
      <c r="CI209" s="99"/>
      <c r="CJ209" s="14"/>
      <c r="CK209" s="14"/>
      <c r="CL209" s="14"/>
      <c r="CM209" s="14"/>
      <c r="CN209" s="14"/>
      <c r="CO209" s="129"/>
      <c r="CP209" s="14"/>
      <c r="CQ209" s="47"/>
      <c r="CR209" s="14"/>
      <c r="CS209" s="14"/>
      <c r="CT209" s="14"/>
      <c r="CU209" s="14"/>
      <c r="CV209" s="180"/>
      <c r="CW209" s="190"/>
      <c r="CX209" s="191"/>
      <c r="CY209" s="52"/>
      <c r="CZ209" s="52"/>
      <c r="DA209" s="54"/>
      <c r="DB209" s="14"/>
      <c r="DC209" s="14"/>
      <c r="DD209" s="14"/>
      <c r="DE209" s="14"/>
      <c r="DF209" s="14"/>
      <c r="DG209" s="129"/>
      <c r="DH209" s="14"/>
      <c r="DI209" s="47"/>
      <c r="DJ209" s="14"/>
      <c r="DK209" s="62"/>
      <c r="DL209" s="19"/>
      <c r="DM209" s="59"/>
      <c r="DN209" s="14"/>
      <c r="DO209" s="14"/>
      <c r="DP209" s="107" t="s">
        <v>36</v>
      </c>
      <c r="DQ209" s="27">
        <f>COUNTIFS(S30_stakeholder_category,"NGO",Response_Q172_1,DP209,Response_Q173_3,"&lt;&gt;0")</f>
        <v>0</v>
      </c>
      <c r="DR209" s="41" t="str">
        <f>IF(DQ212=0,"",DQ209/DQ212)</f>
        <v/>
      </c>
      <c r="DS209" s="14"/>
      <c r="DT209" s="14"/>
      <c r="DU209" s="14"/>
      <c r="DV209" s="14"/>
      <c r="DW209" s="14"/>
      <c r="DX209" s="14"/>
      <c r="DY209" s="14"/>
      <c r="DZ209" s="14"/>
      <c r="EA209" s="14"/>
      <c r="EB209" s="14"/>
      <c r="EC209" s="14"/>
      <c r="ED209" s="14"/>
      <c r="EE209" s="14"/>
      <c r="EF209" s="14"/>
      <c r="EG209" s="14"/>
      <c r="EH209" s="14"/>
      <c r="EI209" s="14"/>
      <c r="EJ209" s="14"/>
      <c r="EK209" s="14"/>
      <c r="EL209" s="14"/>
    </row>
    <row r="210" spans="1:142" x14ac:dyDescent="0.25">
      <c r="A210" s="14"/>
      <c r="B210" s="14"/>
      <c r="C210" s="19"/>
      <c r="D210" s="59"/>
      <c r="E210" s="14"/>
      <c r="F210" s="14"/>
      <c r="G210" s="107" t="s">
        <v>38</v>
      </c>
      <c r="H210" s="27">
        <f>COUNTIFS(S30_stakeholder_category,"NGO",Response_Q173_3,G210)</f>
        <v>0</v>
      </c>
      <c r="I210" s="41" t="str">
        <f t="shared" si="159"/>
        <v/>
      </c>
      <c r="J210" s="14"/>
      <c r="K210" s="14"/>
      <c r="L210" s="14"/>
      <c r="M210" s="14"/>
      <c r="N210" s="14"/>
      <c r="O210" s="14"/>
      <c r="P210" s="14"/>
      <c r="Q210" s="47"/>
      <c r="R210" s="19"/>
      <c r="S210" s="14"/>
      <c r="T210" s="19"/>
      <c r="U210" s="59"/>
      <c r="V210" s="14"/>
      <c r="W210" s="14"/>
      <c r="X210" s="107" t="s">
        <v>29</v>
      </c>
      <c r="Y210" s="27">
        <f t="shared" si="154"/>
        <v>0</v>
      </c>
      <c r="Z210" s="41">
        <f t="shared" si="155"/>
        <v>0</v>
      </c>
      <c r="AA210" s="14"/>
      <c r="AB210" s="14"/>
      <c r="AC210" s="14"/>
      <c r="AD210" s="65"/>
      <c r="AE210" s="63"/>
      <c r="AF210" s="47"/>
      <c r="AG210" s="19"/>
      <c r="AH210" s="14"/>
      <c r="AI210" s="19"/>
      <c r="AJ210" s="59"/>
      <c r="AK210" s="14"/>
      <c r="AL210" s="14"/>
      <c r="AM210" s="107" t="s">
        <v>29</v>
      </c>
      <c r="AN210" s="27">
        <f t="shared" si="156"/>
        <v>0</v>
      </c>
      <c r="AO210" s="41">
        <f t="shared" si="160"/>
        <v>0</v>
      </c>
      <c r="AP210" s="14"/>
      <c r="AQ210" s="14"/>
      <c r="AR210" s="14"/>
      <c r="AS210" s="65"/>
      <c r="AT210" s="63"/>
      <c r="AU210" s="47"/>
      <c r="AV210" s="14"/>
      <c r="AW210" s="14"/>
      <c r="AX210" s="19"/>
      <c r="AY210" s="59"/>
      <c r="AZ210" s="14"/>
      <c r="BA210" s="14"/>
      <c r="BB210" s="107" t="s">
        <v>29</v>
      </c>
      <c r="BC210" s="27">
        <f t="shared" si="157"/>
        <v>0</v>
      </c>
      <c r="BD210" s="41">
        <f t="shared" si="161"/>
        <v>0</v>
      </c>
      <c r="BE210" s="14"/>
      <c r="BF210" s="14"/>
      <c r="BG210" s="14"/>
      <c r="BH210" s="65"/>
      <c r="BI210" s="63"/>
      <c r="BJ210" s="352"/>
      <c r="BK210" s="19"/>
      <c r="BL210" s="14"/>
      <c r="BM210" s="19"/>
      <c r="BN210" s="59"/>
      <c r="BO210" s="14"/>
      <c r="BP210" s="14"/>
      <c r="BQ210" s="107" t="s">
        <v>29</v>
      </c>
      <c r="BR210" s="27">
        <f t="shared" si="158"/>
        <v>0</v>
      </c>
      <c r="BS210" s="41">
        <f t="shared" si="162"/>
        <v>0</v>
      </c>
      <c r="BT210" s="14"/>
      <c r="BU210" s="14"/>
      <c r="BV210" s="14"/>
      <c r="BW210" s="65"/>
      <c r="BX210" s="63"/>
      <c r="BY210" s="352"/>
      <c r="BZ210" s="14"/>
      <c r="CA210" s="14"/>
      <c r="CB210" s="21"/>
      <c r="CC210" s="21"/>
      <c r="CD210" s="180"/>
      <c r="CE210" s="181"/>
      <c r="CF210" s="31"/>
      <c r="CG210" s="52"/>
      <c r="CH210" s="52"/>
      <c r="CI210" s="99"/>
      <c r="CJ210" s="14"/>
      <c r="CK210" s="14"/>
      <c r="CL210" s="14"/>
      <c r="CM210" s="14"/>
      <c r="CN210" s="14"/>
      <c r="CO210" s="129"/>
      <c r="CP210" s="14"/>
      <c r="CQ210" s="47"/>
      <c r="CR210" s="14"/>
      <c r="CS210" s="14"/>
      <c r="CT210" s="14"/>
      <c r="CU210" s="14"/>
      <c r="CV210" s="180"/>
      <c r="CW210" s="190"/>
      <c r="CX210" s="191"/>
      <c r="CY210" s="52"/>
      <c r="CZ210" s="52"/>
      <c r="DA210" s="54"/>
      <c r="DB210" s="14"/>
      <c r="DC210" s="14"/>
      <c r="DD210" s="14"/>
      <c r="DE210" s="14"/>
      <c r="DF210" s="14"/>
      <c r="DG210" s="129"/>
      <c r="DH210" s="14"/>
      <c r="DI210" s="47"/>
      <c r="DJ210" s="14"/>
      <c r="DK210" s="62"/>
      <c r="DL210" s="19"/>
      <c r="DM210" s="59"/>
      <c r="DN210" s="14"/>
      <c r="DO210" s="14"/>
      <c r="DP210" s="107" t="s">
        <v>38</v>
      </c>
      <c r="DQ210" s="27">
        <f>COUNTIFS(S30_stakeholder_category,"NGO",Response_Q172_1,DP210,Response_Q173_3,"&lt;&gt;0")</f>
        <v>0</v>
      </c>
      <c r="DR210" s="41" t="str">
        <f>IF(DQ212=0,"",DQ210/DQ212)</f>
        <v/>
      </c>
      <c r="DS210" s="14"/>
      <c r="DT210" s="14"/>
      <c r="DU210" s="14"/>
      <c r="DV210" s="14"/>
      <c r="DW210" s="14"/>
      <c r="DX210" s="14"/>
      <c r="DY210" s="14"/>
      <c r="DZ210" s="14"/>
      <c r="EA210" s="14"/>
      <c r="EB210" s="14"/>
      <c r="EC210" s="14"/>
      <c r="ED210" s="14"/>
      <c r="EE210" s="14"/>
      <c r="EF210" s="14"/>
      <c r="EG210" s="14"/>
      <c r="EH210" s="14"/>
      <c r="EI210" s="14"/>
      <c r="EJ210" s="14"/>
      <c r="EK210" s="14"/>
      <c r="EL210" s="14"/>
    </row>
    <row r="211" spans="1:142" x14ac:dyDescent="0.25">
      <c r="A211" s="14"/>
      <c r="B211" s="14"/>
      <c r="C211" s="19"/>
      <c r="D211" s="59"/>
      <c r="E211" s="14"/>
      <c r="F211" s="14"/>
      <c r="G211" s="107" t="s">
        <v>39</v>
      </c>
      <c r="H211" s="27">
        <f>COUNTIFS(S30_stakeholder_category,"NGO",Response_Q173_3,G211)</f>
        <v>0</v>
      </c>
      <c r="I211" s="41" t="str">
        <f t="shared" si="159"/>
        <v/>
      </c>
      <c r="J211" s="14"/>
      <c r="K211" s="14"/>
      <c r="L211" s="14"/>
      <c r="M211" s="14"/>
      <c r="N211" s="14"/>
      <c r="O211" s="14"/>
      <c r="P211" s="14"/>
      <c r="Q211" s="47"/>
      <c r="R211" s="19"/>
      <c r="S211" s="14"/>
      <c r="T211" s="19"/>
      <c r="U211" s="59"/>
      <c r="V211" s="14"/>
      <c r="W211" s="14"/>
      <c r="X211" s="107" t="s">
        <v>3</v>
      </c>
      <c r="Y211" s="27">
        <f t="shared" si="154"/>
        <v>0</v>
      </c>
      <c r="Z211" s="41">
        <f t="shared" si="155"/>
        <v>0</v>
      </c>
      <c r="AA211" s="14"/>
      <c r="AB211" s="14"/>
      <c r="AC211" s="14"/>
      <c r="AD211" s="65"/>
      <c r="AE211" s="63"/>
      <c r="AF211" s="47"/>
      <c r="AG211" s="19"/>
      <c r="AH211" s="14"/>
      <c r="AI211" s="19"/>
      <c r="AJ211" s="59"/>
      <c r="AK211" s="14"/>
      <c r="AL211" s="14"/>
      <c r="AM211" s="107" t="s">
        <v>3</v>
      </c>
      <c r="AN211" s="27">
        <f t="shared" si="156"/>
        <v>0</v>
      </c>
      <c r="AO211" s="41">
        <f t="shared" si="160"/>
        <v>0</v>
      </c>
      <c r="AP211" s="14"/>
      <c r="AQ211" s="14"/>
      <c r="AR211" s="14"/>
      <c r="AS211" s="65"/>
      <c r="AT211" s="63"/>
      <c r="AU211" s="47"/>
      <c r="AV211" s="14"/>
      <c r="AW211" s="14"/>
      <c r="AX211" s="19"/>
      <c r="AY211" s="59"/>
      <c r="AZ211" s="14"/>
      <c r="BA211" s="14"/>
      <c r="BB211" s="107" t="s">
        <v>3</v>
      </c>
      <c r="BC211" s="27">
        <f t="shared" si="157"/>
        <v>0</v>
      </c>
      <c r="BD211" s="41">
        <f t="shared" si="161"/>
        <v>0</v>
      </c>
      <c r="BE211" s="14"/>
      <c r="BF211" s="14"/>
      <c r="BG211" s="14"/>
      <c r="BH211" s="65"/>
      <c r="BI211" s="63"/>
      <c r="BJ211" s="352"/>
      <c r="BK211" s="19"/>
      <c r="BL211" s="14"/>
      <c r="BM211" s="19"/>
      <c r="BN211" s="59"/>
      <c r="BO211" s="14"/>
      <c r="BP211" s="14"/>
      <c r="BQ211" s="107" t="s">
        <v>3</v>
      </c>
      <c r="BR211" s="27">
        <f t="shared" si="158"/>
        <v>0</v>
      </c>
      <c r="BS211" s="41">
        <f t="shared" si="162"/>
        <v>0</v>
      </c>
      <c r="BT211" s="14"/>
      <c r="BU211" s="14"/>
      <c r="BV211" s="14"/>
      <c r="BW211" s="65"/>
      <c r="BX211" s="63"/>
      <c r="BY211" s="352"/>
      <c r="BZ211" s="14"/>
      <c r="CA211" s="14"/>
      <c r="CB211" s="21"/>
      <c r="CC211" s="21"/>
      <c r="CD211" s="180"/>
      <c r="CE211" s="181"/>
      <c r="CF211" s="31"/>
      <c r="CG211" s="52"/>
      <c r="CH211" s="52"/>
      <c r="CI211" s="99"/>
      <c r="CJ211" s="14"/>
      <c r="CK211" s="14"/>
      <c r="CL211" s="14"/>
      <c r="CM211" s="14"/>
      <c r="CN211" s="14"/>
      <c r="CO211" s="129"/>
      <c r="CP211" s="14"/>
      <c r="CQ211" s="47"/>
      <c r="CR211" s="14"/>
      <c r="CS211" s="14"/>
      <c r="CT211" s="14"/>
      <c r="CU211" s="14"/>
      <c r="CV211" s="180"/>
      <c r="CW211" s="190"/>
      <c r="CX211" s="191"/>
      <c r="CY211" s="52"/>
      <c r="CZ211" s="52"/>
      <c r="DA211" s="54"/>
      <c r="DB211" s="14"/>
      <c r="DC211" s="14"/>
      <c r="DD211" s="14"/>
      <c r="DE211" s="14"/>
      <c r="DF211" s="14"/>
      <c r="DG211" s="129"/>
      <c r="DH211" s="14"/>
      <c r="DI211" s="47"/>
      <c r="DJ211" s="14"/>
      <c r="DK211" s="62"/>
      <c r="DL211" s="19"/>
      <c r="DM211" s="59"/>
      <c r="DN211" s="14"/>
      <c r="DO211" s="14"/>
      <c r="DP211" s="107" t="s">
        <v>39</v>
      </c>
      <c r="DQ211" s="27">
        <f>COUNTIFS(S30_stakeholder_category,"NGO",Response_Q172_1,DP211,Response_Q173_3,"&lt;&gt;0")</f>
        <v>0</v>
      </c>
      <c r="DR211" s="41" t="str">
        <f>IF(DQ212=0,"",DQ211/DQ212)</f>
        <v/>
      </c>
      <c r="DS211" s="14"/>
      <c r="DT211" s="14"/>
      <c r="DU211" s="14"/>
      <c r="DV211" s="14"/>
      <c r="DW211" s="14"/>
      <c r="DX211" s="14"/>
      <c r="DY211" s="14"/>
      <c r="DZ211" s="14"/>
      <c r="EA211" s="14"/>
      <c r="EB211" s="14"/>
      <c r="EC211" s="14"/>
      <c r="ED211" s="14"/>
      <c r="EE211" s="14"/>
      <c r="EF211" s="14"/>
      <c r="EG211" s="14"/>
      <c r="EH211" s="14"/>
      <c r="EI211" s="14"/>
      <c r="EJ211" s="14"/>
      <c r="EK211" s="14"/>
      <c r="EL211" s="14"/>
    </row>
    <row r="212" spans="1:142" x14ac:dyDescent="0.25">
      <c r="A212" s="14"/>
      <c r="B212" s="14"/>
      <c r="C212" s="19"/>
      <c r="D212" s="59"/>
      <c r="E212" s="14"/>
      <c r="F212" s="14"/>
      <c r="G212" s="86" t="s">
        <v>145</v>
      </c>
      <c r="H212" s="111">
        <f>COUNTIFS(S30_stakeholder_category,"NGO",Response_Q173_3,"&lt;&gt;0")</f>
        <v>0</v>
      </c>
      <c r="I212" s="119" t="str">
        <f t="shared" si="159"/>
        <v/>
      </c>
      <c r="J212" s="14"/>
      <c r="K212" s="14"/>
      <c r="L212" s="14"/>
      <c r="M212" s="14"/>
      <c r="N212" s="14"/>
      <c r="O212" s="14"/>
      <c r="P212" s="14"/>
      <c r="Q212" s="47"/>
      <c r="R212" s="19"/>
      <c r="S212" s="14"/>
      <c r="T212" s="19"/>
      <c r="U212" s="59"/>
      <c r="V212" s="14"/>
      <c r="W212" s="14"/>
      <c r="X212" s="107" t="s">
        <v>54</v>
      </c>
      <c r="Y212" s="27">
        <f t="shared" si="154"/>
        <v>0</v>
      </c>
      <c r="Z212" s="41">
        <f t="shared" si="155"/>
        <v>0</v>
      </c>
      <c r="AA212" s="14"/>
      <c r="AB212" s="14"/>
      <c r="AC212" s="14"/>
      <c r="AD212" s="65"/>
      <c r="AE212" s="63"/>
      <c r="AF212" s="47"/>
      <c r="AG212" s="19"/>
      <c r="AH212" s="14"/>
      <c r="AI212" s="19"/>
      <c r="AJ212" s="59"/>
      <c r="AK212" s="14"/>
      <c r="AL212" s="14"/>
      <c r="AM212" s="107" t="s">
        <v>54</v>
      </c>
      <c r="AN212" s="27">
        <f t="shared" si="156"/>
        <v>0</v>
      </c>
      <c r="AO212" s="41">
        <f t="shared" si="160"/>
        <v>0</v>
      </c>
      <c r="AP212" s="14"/>
      <c r="AQ212" s="14"/>
      <c r="AR212" s="14"/>
      <c r="AS212" s="65"/>
      <c r="AT212" s="63"/>
      <c r="AU212" s="47"/>
      <c r="AV212" s="14"/>
      <c r="AW212" s="14"/>
      <c r="AX212" s="19"/>
      <c r="AY212" s="59"/>
      <c r="AZ212" s="14"/>
      <c r="BA212" s="14"/>
      <c r="BB212" s="107" t="s">
        <v>54</v>
      </c>
      <c r="BC212" s="27">
        <f t="shared" si="157"/>
        <v>0</v>
      </c>
      <c r="BD212" s="41">
        <f t="shared" si="161"/>
        <v>0</v>
      </c>
      <c r="BE212" s="14"/>
      <c r="BF212" s="14"/>
      <c r="BG212" s="14"/>
      <c r="BH212" s="65"/>
      <c r="BI212" s="63"/>
      <c r="BJ212" s="352"/>
      <c r="BK212" s="19"/>
      <c r="BL212" s="14"/>
      <c r="BM212" s="19"/>
      <c r="BN212" s="59"/>
      <c r="BO212" s="14"/>
      <c r="BP212" s="14"/>
      <c r="BQ212" s="107" t="s">
        <v>54</v>
      </c>
      <c r="BR212" s="27">
        <f t="shared" si="158"/>
        <v>0</v>
      </c>
      <c r="BS212" s="41">
        <f t="shared" si="162"/>
        <v>0</v>
      </c>
      <c r="BT212" s="14"/>
      <c r="BU212" s="14"/>
      <c r="BV212" s="14"/>
      <c r="BW212" s="65"/>
      <c r="BX212" s="63"/>
      <c r="BY212" s="352"/>
      <c r="BZ212" s="14"/>
      <c r="CA212" s="14"/>
      <c r="CB212" s="21"/>
      <c r="CC212" s="21"/>
      <c r="CD212" s="180"/>
      <c r="CE212" s="181"/>
      <c r="CF212" s="31"/>
      <c r="CG212" s="52"/>
      <c r="CH212" s="52"/>
      <c r="CI212" s="99"/>
      <c r="CJ212" s="14"/>
      <c r="CK212" s="14"/>
      <c r="CL212" s="14"/>
      <c r="CM212" s="14"/>
      <c r="CN212" s="14"/>
      <c r="CO212" s="129"/>
      <c r="CP212" s="14"/>
      <c r="CQ212" s="47"/>
      <c r="CR212" s="14"/>
      <c r="CS212" s="14"/>
      <c r="CT212" s="14"/>
      <c r="CU212" s="14"/>
      <c r="CV212" s="180"/>
      <c r="CW212" s="190"/>
      <c r="CX212" s="191"/>
      <c r="CY212" s="52"/>
      <c r="CZ212" s="52"/>
      <c r="DA212" s="54"/>
      <c r="DB212" s="14"/>
      <c r="DC212" s="14"/>
      <c r="DD212" s="14"/>
      <c r="DE212" s="14"/>
      <c r="DF212" s="14"/>
      <c r="DG212" s="129"/>
      <c r="DH212" s="14"/>
      <c r="DI212" s="47"/>
      <c r="DJ212" s="14"/>
      <c r="DK212" s="62"/>
      <c r="DL212" s="19"/>
      <c r="DM212" s="59"/>
      <c r="DN212" s="14"/>
      <c r="DO212" s="14"/>
      <c r="DP212" s="86" t="s">
        <v>145</v>
      </c>
      <c r="DQ212" s="111">
        <f>COUNTIFS(S30_stakeholder_category,"NGO",Response_Q172_1,"&lt;&gt;0",Response_Q173_3,"&lt;&gt;0")</f>
        <v>0</v>
      </c>
      <c r="DR212" s="119" t="str">
        <f>IF(DQ212=0,"",DQ212/DQ212)</f>
        <v/>
      </c>
      <c r="DS212" s="14"/>
      <c r="DT212" s="14"/>
      <c r="DU212" s="14"/>
      <c r="DV212" s="14"/>
      <c r="DW212" s="14"/>
      <c r="DX212" s="14"/>
      <c r="DY212" s="14"/>
      <c r="DZ212" s="14"/>
      <c r="EA212" s="14"/>
      <c r="EB212" s="14"/>
      <c r="EC212" s="14"/>
      <c r="ED212" s="14"/>
      <c r="EE212" s="14"/>
      <c r="EF212" s="14"/>
      <c r="EG212" s="14"/>
      <c r="EH212" s="14"/>
      <c r="EI212" s="14"/>
      <c r="EJ212" s="14"/>
      <c r="EK212" s="14"/>
      <c r="EL212" s="14"/>
    </row>
    <row r="213" spans="1:142" x14ac:dyDescent="0.25">
      <c r="A213" s="14"/>
      <c r="B213" s="62"/>
      <c r="C213" s="19"/>
      <c r="D213" s="59"/>
      <c r="E213" s="14"/>
      <c r="F213" s="14"/>
      <c r="G213" s="14"/>
      <c r="H213" s="21"/>
      <c r="I213" s="21"/>
      <c r="J213" s="14"/>
      <c r="K213" s="14"/>
      <c r="L213" s="14"/>
      <c r="M213" s="14"/>
      <c r="N213" s="14"/>
      <c r="O213" s="14"/>
      <c r="P213" s="14"/>
      <c r="Q213" s="47"/>
      <c r="R213" s="19"/>
      <c r="S213" s="62"/>
      <c r="T213" s="19"/>
      <c r="U213" s="59"/>
      <c r="V213" s="14"/>
      <c r="W213" s="14"/>
      <c r="X213" s="107" t="s">
        <v>39</v>
      </c>
      <c r="Y213" s="27">
        <f t="shared" si="154"/>
        <v>0</v>
      </c>
      <c r="Z213" s="41">
        <f t="shared" si="155"/>
        <v>0</v>
      </c>
      <c r="AA213" s="14"/>
      <c r="AB213" s="14"/>
      <c r="AC213" s="14"/>
      <c r="AD213" s="65"/>
      <c r="AE213" s="63"/>
      <c r="AF213" s="47"/>
      <c r="AG213" s="19"/>
      <c r="AH213" s="62"/>
      <c r="AI213" s="19"/>
      <c r="AJ213" s="59"/>
      <c r="AK213" s="14"/>
      <c r="AL213" s="14"/>
      <c r="AM213" s="107" t="s">
        <v>39</v>
      </c>
      <c r="AN213" s="27">
        <f t="shared" si="156"/>
        <v>0</v>
      </c>
      <c r="AO213" s="41">
        <f t="shared" si="160"/>
        <v>0</v>
      </c>
      <c r="AP213" s="14"/>
      <c r="AQ213" s="14"/>
      <c r="AR213" s="14"/>
      <c r="AS213" s="65"/>
      <c r="AT213" s="63"/>
      <c r="AU213" s="47"/>
      <c r="AV213" s="14"/>
      <c r="AW213" s="62"/>
      <c r="AX213" s="19"/>
      <c r="AY213" s="59"/>
      <c r="AZ213" s="14"/>
      <c r="BA213" s="14"/>
      <c r="BB213" s="107" t="s">
        <v>39</v>
      </c>
      <c r="BC213" s="27">
        <f t="shared" si="157"/>
        <v>0</v>
      </c>
      <c r="BD213" s="41">
        <f t="shared" si="161"/>
        <v>0</v>
      </c>
      <c r="BE213" s="14"/>
      <c r="BF213" s="14"/>
      <c r="BG213" s="14"/>
      <c r="BH213" s="65"/>
      <c r="BI213" s="63"/>
      <c r="BJ213" s="352"/>
      <c r="BK213" s="19"/>
      <c r="BL213" s="62"/>
      <c r="BM213" s="19"/>
      <c r="BN213" s="59"/>
      <c r="BO213" s="14"/>
      <c r="BP213" s="14"/>
      <c r="BQ213" s="107" t="s">
        <v>39</v>
      </c>
      <c r="BR213" s="27">
        <f t="shared" si="158"/>
        <v>0</v>
      </c>
      <c r="BS213" s="41">
        <f t="shared" si="162"/>
        <v>0</v>
      </c>
      <c r="BT213" s="14"/>
      <c r="BU213" s="14"/>
      <c r="BV213" s="14"/>
      <c r="BW213" s="65"/>
      <c r="BX213" s="63"/>
      <c r="BY213" s="352"/>
      <c r="BZ213" s="14"/>
      <c r="CA213" s="14"/>
      <c r="CB213" s="21"/>
      <c r="CC213" s="21"/>
      <c r="CD213" s="180"/>
      <c r="CE213" s="181"/>
      <c r="CF213" s="31"/>
      <c r="CG213" s="52"/>
      <c r="CH213" s="52"/>
      <c r="CI213" s="99"/>
      <c r="CJ213" s="14"/>
      <c r="CK213" s="14"/>
      <c r="CL213" s="14"/>
      <c r="CM213" s="14"/>
      <c r="CN213" s="14"/>
      <c r="CO213" s="129"/>
      <c r="CP213" s="14"/>
      <c r="CQ213" s="47"/>
      <c r="CR213" s="14"/>
      <c r="CS213" s="14"/>
      <c r="CT213" s="14"/>
      <c r="CU213" s="14"/>
      <c r="CV213" s="180"/>
      <c r="CW213" s="190"/>
      <c r="CX213" s="191"/>
      <c r="CY213" s="52"/>
      <c r="CZ213" s="52"/>
      <c r="DA213" s="54"/>
      <c r="DB213" s="14"/>
      <c r="DC213" s="14"/>
      <c r="DD213" s="14"/>
      <c r="DE213" s="14"/>
      <c r="DF213" s="14"/>
      <c r="DG213" s="129"/>
      <c r="DH213" s="14"/>
      <c r="DI213" s="47"/>
      <c r="DJ213" s="14"/>
      <c r="DK213" s="62"/>
      <c r="DL213" s="19"/>
      <c r="DM213" s="59"/>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row>
    <row r="214" spans="1:142" x14ac:dyDescent="0.25">
      <c r="A214" s="14"/>
      <c r="B214" s="62"/>
      <c r="C214" s="19"/>
      <c r="D214" s="59"/>
      <c r="E214" s="14"/>
      <c r="F214" s="14"/>
      <c r="G214" s="14"/>
      <c r="H214" s="21"/>
      <c r="I214" s="21"/>
      <c r="J214" s="14"/>
      <c r="K214" s="14"/>
      <c r="L214" s="14"/>
      <c r="M214" s="14"/>
      <c r="N214" s="14"/>
      <c r="O214" s="14"/>
      <c r="P214" s="14"/>
      <c r="Q214" s="47"/>
      <c r="R214" s="19"/>
      <c r="S214" s="62"/>
      <c r="T214" s="19"/>
      <c r="U214" s="59"/>
      <c r="V214" s="14"/>
      <c r="W214" s="14"/>
      <c r="X214" s="86" t="s">
        <v>145</v>
      </c>
      <c r="Y214" s="111">
        <f>COUNTIFS(S30_stakeholder_category,"NGO",Response_Q176_2,"&lt;&gt;0")</f>
        <v>0</v>
      </c>
      <c r="Z214" s="119">
        <f t="shared" si="155"/>
        <v>0</v>
      </c>
      <c r="AA214" s="14"/>
      <c r="AB214" s="14"/>
      <c r="AC214" s="14"/>
      <c r="AD214" s="65"/>
      <c r="AE214" s="63"/>
      <c r="AF214" s="47"/>
      <c r="AG214" s="19"/>
      <c r="AH214" s="62"/>
      <c r="AI214" s="19"/>
      <c r="AJ214" s="59"/>
      <c r="AK214" s="14"/>
      <c r="AL214" s="14"/>
      <c r="AM214" s="86" t="s">
        <v>145</v>
      </c>
      <c r="AN214" s="111">
        <f>COUNTIFS(S30_stakeholder_category,"NGO",Response_30b_CaseA,"&lt;&gt;0")</f>
        <v>0</v>
      </c>
      <c r="AO214" s="119">
        <f t="shared" si="160"/>
        <v>0</v>
      </c>
      <c r="AP214" s="14"/>
      <c r="AQ214" s="14"/>
      <c r="AR214" s="14"/>
      <c r="AS214" s="65"/>
      <c r="AT214" s="63"/>
      <c r="AU214" s="47"/>
      <c r="AV214" s="14"/>
      <c r="AW214" s="62"/>
      <c r="AX214" s="19"/>
      <c r="AY214" s="59"/>
      <c r="AZ214" s="14"/>
      <c r="BA214" s="14"/>
      <c r="BB214" s="86" t="s">
        <v>145</v>
      </c>
      <c r="BC214" s="111">
        <f>COUNTIFS(S30_stakeholder_category,"NGO",Response_30b_CaseB,"&lt;&gt;0")</f>
        <v>0</v>
      </c>
      <c r="BD214" s="119">
        <f t="shared" si="161"/>
        <v>0</v>
      </c>
      <c r="BE214" s="14"/>
      <c r="BF214" s="14"/>
      <c r="BG214" s="14"/>
      <c r="BH214" s="65"/>
      <c r="BI214" s="63"/>
      <c r="BJ214" s="352"/>
      <c r="BK214" s="19"/>
      <c r="BL214" s="62"/>
      <c r="BM214" s="19"/>
      <c r="BN214" s="59"/>
      <c r="BO214" s="14"/>
      <c r="BP214" s="14"/>
      <c r="BQ214" s="86" t="s">
        <v>145</v>
      </c>
      <c r="BR214" s="111">
        <f>COUNTIFS(S30_stakeholder_category,"NGO",Response_30b_CaseC,"&lt;&gt;0")</f>
        <v>0</v>
      </c>
      <c r="BS214" s="119">
        <f t="shared" si="162"/>
        <v>0</v>
      </c>
      <c r="BT214" s="14"/>
      <c r="BU214" s="14"/>
      <c r="BV214" s="14"/>
      <c r="BW214" s="65"/>
      <c r="BX214" s="63"/>
      <c r="BY214" s="352"/>
      <c r="BZ214" s="14"/>
      <c r="CA214" s="14"/>
      <c r="CB214" s="21"/>
      <c r="CC214" s="21"/>
      <c r="CD214" s="180"/>
      <c r="CE214" s="181"/>
      <c r="CF214" s="31"/>
      <c r="CG214" s="52"/>
      <c r="CH214" s="52"/>
      <c r="CI214" s="99"/>
      <c r="CJ214" s="14"/>
      <c r="CK214" s="14"/>
      <c r="CL214" s="14"/>
      <c r="CM214" s="14"/>
      <c r="CN214" s="14"/>
      <c r="CO214" s="129"/>
      <c r="CP214" s="14"/>
      <c r="CQ214" s="47"/>
      <c r="CR214" s="14"/>
      <c r="CS214" s="14"/>
      <c r="CT214" s="14"/>
      <c r="CU214" s="14"/>
      <c r="CV214" s="180"/>
      <c r="CW214" s="190"/>
      <c r="CX214" s="191"/>
      <c r="CY214" s="52"/>
      <c r="CZ214" s="52"/>
      <c r="DA214" s="54"/>
      <c r="DB214" s="14"/>
      <c r="DC214" s="14"/>
      <c r="DD214" s="14"/>
      <c r="DE214" s="14"/>
      <c r="DF214" s="14"/>
      <c r="DG214" s="129"/>
      <c r="DH214" s="14"/>
      <c r="DI214" s="47"/>
      <c r="DJ214" s="14"/>
      <c r="DK214" s="62"/>
      <c r="DL214" s="19"/>
      <c r="DM214" s="59"/>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row>
    <row r="215" spans="1:142" s="135" customFormat="1" ht="15" customHeight="1" x14ac:dyDescent="0.25">
      <c r="A215" s="14"/>
      <c r="B215" s="13"/>
      <c r="C215" s="13"/>
      <c r="D215" s="21"/>
      <c r="E215" s="14"/>
      <c r="F215" s="14"/>
      <c r="G215" s="14"/>
      <c r="H215" s="21"/>
      <c r="I215" s="21"/>
      <c r="J215" s="14"/>
      <c r="K215" s="14"/>
      <c r="L215" s="14"/>
      <c r="M215" s="14"/>
      <c r="N215" s="14"/>
      <c r="O215" s="14"/>
      <c r="P215" s="14"/>
      <c r="Q215" s="47"/>
      <c r="R215" s="19"/>
      <c r="S215" s="13"/>
      <c r="T215" s="13"/>
      <c r="U215" s="14"/>
      <c r="V215" s="14"/>
      <c r="W215" s="14"/>
      <c r="X215" s="14"/>
      <c r="Y215" s="14"/>
      <c r="Z215" s="14"/>
      <c r="AA215" s="14"/>
      <c r="AB215" s="14"/>
      <c r="AC215" s="14"/>
      <c r="AD215" s="65"/>
      <c r="AE215" s="63"/>
      <c r="AF215" s="47"/>
      <c r="AG215" s="19"/>
      <c r="AH215" s="13"/>
      <c r="AI215" s="13"/>
      <c r="AJ215" s="14"/>
      <c r="AK215" s="14"/>
      <c r="AL215" s="14"/>
      <c r="AM215" s="14"/>
      <c r="AN215" s="14"/>
      <c r="AO215" s="14"/>
      <c r="AP215" s="14"/>
      <c r="AQ215" s="14"/>
      <c r="AR215" s="14"/>
      <c r="AS215" s="65"/>
      <c r="AT215" s="63"/>
      <c r="AU215" s="47"/>
      <c r="AV215" s="14"/>
      <c r="AW215" s="13"/>
      <c r="AX215" s="13"/>
      <c r="AY215" s="14"/>
      <c r="AZ215" s="14"/>
      <c r="BA215" s="14"/>
      <c r="BB215" s="14"/>
      <c r="BC215" s="14"/>
      <c r="BD215" s="14"/>
      <c r="BE215" s="14"/>
      <c r="BF215" s="14"/>
      <c r="BG215" s="14"/>
      <c r="BH215" s="65"/>
      <c r="BI215" s="63"/>
      <c r="BJ215" s="352"/>
      <c r="BK215" s="19"/>
      <c r="BL215" s="13"/>
      <c r="BM215" s="13"/>
      <c r="BN215" s="14"/>
      <c r="BO215" s="14"/>
      <c r="BP215" s="14"/>
      <c r="BQ215" s="14"/>
      <c r="BR215" s="14"/>
      <c r="BS215" s="14"/>
      <c r="BT215" s="14"/>
      <c r="BU215" s="14"/>
      <c r="BV215" s="14"/>
      <c r="BW215" s="65"/>
      <c r="BX215" s="63"/>
      <c r="BY215" s="352"/>
      <c r="BZ215" s="14"/>
      <c r="CA215" s="14"/>
      <c r="CB215" s="21"/>
      <c r="CC215" s="21"/>
      <c r="CD215" s="180"/>
      <c r="CE215" s="181"/>
      <c r="CF215" s="31"/>
      <c r="CG215" s="31"/>
      <c r="CH215" s="31"/>
      <c r="CI215" s="14"/>
      <c r="CJ215" s="14"/>
      <c r="CK215" s="14"/>
      <c r="CL215" s="14"/>
      <c r="CM215" s="14"/>
      <c r="CN215" s="14"/>
      <c r="CO215" s="129"/>
      <c r="CP215" s="14"/>
      <c r="CQ215" s="47"/>
      <c r="CR215" s="14"/>
      <c r="CS215" s="14"/>
      <c r="CT215" s="14"/>
      <c r="CU215" s="14"/>
      <c r="CV215" s="180"/>
      <c r="CW215" s="190"/>
      <c r="CX215" s="191"/>
      <c r="CY215" s="31"/>
      <c r="CZ215" s="31"/>
      <c r="DA215" s="14"/>
      <c r="DB215" s="14"/>
      <c r="DC215" s="14"/>
      <c r="DD215" s="14"/>
      <c r="DE215" s="14"/>
      <c r="DF215" s="14"/>
      <c r="DG215" s="129"/>
      <c r="DH215" s="14"/>
      <c r="DI215" s="47"/>
      <c r="DJ215" s="14"/>
      <c r="DK215" s="13"/>
      <c r="DL215" s="13"/>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row>
    <row r="216" spans="1:142" s="131" customFormat="1" x14ac:dyDescent="0.25">
      <c r="A216" s="78"/>
      <c r="B216" s="78" t="s">
        <v>302</v>
      </c>
      <c r="C216" s="78"/>
      <c r="D216" s="79"/>
      <c r="E216" s="78"/>
      <c r="F216" s="78"/>
      <c r="G216" s="78"/>
      <c r="H216" s="79"/>
      <c r="I216" s="79"/>
      <c r="J216" s="78"/>
      <c r="K216" s="78"/>
      <c r="L216" s="78"/>
      <c r="M216" s="78"/>
      <c r="N216" s="78"/>
      <c r="O216" s="78"/>
      <c r="P216" s="78"/>
      <c r="Q216" s="82"/>
      <c r="R216" s="83"/>
      <c r="S216" s="78" t="str">
        <f>$B216</f>
        <v>Combined total responses</v>
      </c>
      <c r="T216" s="78"/>
      <c r="U216" s="78"/>
      <c r="V216" s="78"/>
      <c r="W216" s="78"/>
      <c r="X216" s="78"/>
      <c r="Y216" s="78"/>
      <c r="Z216" s="78"/>
      <c r="AA216" s="78"/>
      <c r="AB216" s="78"/>
      <c r="AC216" s="78"/>
      <c r="AD216" s="80"/>
      <c r="AE216" s="81"/>
      <c r="AF216" s="82"/>
      <c r="AG216" s="83"/>
      <c r="AH216" s="78" t="str">
        <f>$B216</f>
        <v>Combined total responses</v>
      </c>
      <c r="AI216" s="78"/>
      <c r="AJ216" s="78"/>
      <c r="AK216" s="78"/>
      <c r="AL216" s="78"/>
      <c r="AM216" s="78"/>
      <c r="AN216" s="78"/>
      <c r="AO216" s="78"/>
      <c r="AP216" s="78"/>
      <c r="AQ216" s="78"/>
      <c r="AR216" s="78"/>
      <c r="AS216" s="80"/>
      <c r="AT216" s="81"/>
      <c r="AU216" s="82"/>
      <c r="AV216" s="78"/>
      <c r="AW216" s="78" t="str">
        <f>$B216</f>
        <v>Combined total responses</v>
      </c>
      <c r="AX216" s="78"/>
      <c r="AY216" s="78"/>
      <c r="AZ216" s="78"/>
      <c r="BA216" s="78"/>
      <c r="BB216" s="78"/>
      <c r="BC216" s="78"/>
      <c r="BD216" s="78"/>
      <c r="BE216" s="78"/>
      <c r="BF216" s="78"/>
      <c r="BG216" s="78"/>
      <c r="BH216" s="80"/>
      <c r="BI216" s="81"/>
      <c r="BJ216" s="373"/>
      <c r="BK216" s="83"/>
      <c r="BL216" s="78" t="str">
        <f>$B216</f>
        <v>Combined total responses</v>
      </c>
      <c r="BM216" s="78"/>
      <c r="BN216" s="78"/>
      <c r="BO216" s="78"/>
      <c r="BP216" s="78"/>
      <c r="BQ216" s="78"/>
      <c r="BR216" s="78"/>
      <c r="BS216" s="78"/>
      <c r="BT216" s="78"/>
      <c r="BU216" s="78"/>
      <c r="BV216" s="78"/>
      <c r="BW216" s="80"/>
      <c r="BX216" s="81"/>
      <c r="BY216" s="373"/>
      <c r="BZ216" s="78"/>
      <c r="CA216" s="78" t="str">
        <f>$B216</f>
        <v>Combined total responses</v>
      </c>
      <c r="CB216" s="79"/>
      <c r="CC216" s="79"/>
      <c r="CD216" s="182"/>
      <c r="CE216" s="182"/>
      <c r="CF216" s="79"/>
      <c r="CG216" s="78"/>
      <c r="CH216" s="78"/>
      <c r="CI216" s="78"/>
      <c r="CJ216" s="78"/>
      <c r="CK216" s="78"/>
      <c r="CL216" s="78"/>
      <c r="CM216" s="78"/>
      <c r="CN216" s="78"/>
      <c r="CO216" s="78"/>
      <c r="CP216" s="78"/>
      <c r="CQ216" s="82"/>
      <c r="CR216" s="78"/>
      <c r="CS216" s="78" t="str">
        <f>$B216</f>
        <v>Combined total responses</v>
      </c>
      <c r="CT216" s="78"/>
      <c r="CU216" s="78"/>
      <c r="CV216" s="182"/>
      <c r="CW216" s="192"/>
      <c r="CX216" s="192"/>
      <c r="CY216" s="78"/>
      <c r="CZ216" s="78"/>
      <c r="DA216" s="78"/>
      <c r="DB216" s="78"/>
      <c r="DC216" s="78"/>
      <c r="DD216" s="78"/>
      <c r="DE216" s="78"/>
      <c r="DF216" s="78"/>
      <c r="DG216" s="78"/>
      <c r="DH216" s="78"/>
      <c r="DI216" s="82"/>
      <c r="DJ216" s="78"/>
      <c r="DK216" s="78" t="str">
        <f>$B216</f>
        <v>Combined total responses</v>
      </c>
      <c r="DL216" s="78"/>
      <c r="DM216" s="78"/>
      <c r="DN216" s="78"/>
      <c r="DO216" s="78"/>
      <c r="DP216" s="78"/>
      <c r="DQ216" s="78"/>
      <c r="DR216" s="78"/>
      <c r="DS216" s="78"/>
      <c r="DT216" s="78"/>
      <c r="DU216" s="78"/>
      <c r="DV216" s="78"/>
      <c r="DW216" s="78"/>
      <c r="DX216" s="78"/>
      <c r="DY216" s="78"/>
      <c r="DZ216" s="78"/>
      <c r="EA216" s="78"/>
      <c r="EB216" s="78"/>
      <c r="EC216" s="78"/>
      <c r="ED216" s="78"/>
      <c r="EE216" s="78"/>
      <c r="EF216" s="78"/>
      <c r="EG216" s="78"/>
      <c r="EH216" s="78"/>
      <c r="EI216" s="78"/>
      <c r="EJ216" s="78"/>
      <c r="EK216" s="78"/>
      <c r="EL216" s="78"/>
    </row>
    <row r="217" spans="1:142" x14ac:dyDescent="0.25">
      <c r="A217" s="14"/>
      <c r="B217" s="84" t="s">
        <v>301</v>
      </c>
      <c r="C217" s="84"/>
      <c r="D217" s="85"/>
      <c r="E217" s="84"/>
      <c r="F217" s="14"/>
      <c r="G217" s="14"/>
      <c r="H217" s="21"/>
      <c r="I217" s="21"/>
      <c r="J217" s="14"/>
      <c r="K217" s="14"/>
      <c r="L217" s="14"/>
      <c r="M217" s="14"/>
      <c r="N217" s="14"/>
      <c r="O217" s="14"/>
      <c r="P217" s="14"/>
      <c r="Q217" s="47"/>
      <c r="R217" s="19"/>
      <c r="S217" s="84" t="s">
        <v>322</v>
      </c>
      <c r="T217" s="84"/>
      <c r="U217" s="85"/>
      <c r="V217" s="84"/>
      <c r="W217" s="14"/>
      <c r="X217" s="14"/>
      <c r="Y217" s="14"/>
      <c r="Z217" s="14"/>
      <c r="AA217" s="14"/>
      <c r="AB217" s="14"/>
      <c r="AC217" s="14"/>
      <c r="AD217" s="65"/>
      <c r="AE217" s="63"/>
      <c r="AF217" s="47"/>
      <c r="AG217" s="19"/>
      <c r="AH217" s="84" t="s">
        <v>328</v>
      </c>
      <c r="AI217" s="84"/>
      <c r="AJ217" s="85"/>
      <c r="AK217" s="84"/>
      <c r="AL217" s="84"/>
      <c r="AM217" s="14"/>
      <c r="AN217" s="14"/>
      <c r="AO217" s="14"/>
      <c r="AP217" s="14"/>
      <c r="AQ217" s="14"/>
      <c r="AR217" s="14"/>
      <c r="AS217" s="65"/>
      <c r="AT217" s="63"/>
      <c r="AU217" s="47"/>
      <c r="AV217" s="14"/>
      <c r="AW217" s="84" t="s">
        <v>347</v>
      </c>
      <c r="AX217" s="84"/>
      <c r="AY217" s="85"/>
      <c r="AZ217" s="84"/>
      <c r="BA217" s="84"/>
      <c r="BB217" s="14"/>
      <c r="BC217" s="14"/>
      <c r="BD217" s="14"/>
      <c r="BE217" s="14"/>
      <c r="BF217" s="14"/>
      <c r="BG217" s="14"/>
      <c r="BH217" s="65"/>
      <c r="BI217" s="63"/>
      <c r="BJ217" s="352"/>
      <c r="BK217" s="19"/>
      <c r="BL217" s="84" t="s">
        <v>348</v>
      </c>
      <c r="BM217" s="84"/>
      <c r="BN217" s="85"/>
      <c r="BO217" s="84"/>
      <c r="BP217" s="84"/>
      <c r="BQ217" s="14"/>
      <c r="BR217" s="14"/>
      <c r="BS217" s="14"/>
      <c r="BT217" s="14"/>
      <c r="BU217" s="14"/>
      <c r="BV217" s="14"/>
      <c r="BW217" s="65"/>
      <c r="BX217" s="63"/>
      <c r="BY217" s="352"/>
      <c r="BZ217" s="14"/>
      <c r="CA217" s="148" t="s">
        <v>303</v>
      </c>
      <c r="CB217" s="85"/>
      <c r="CC217" s="85"/>
      <c r="CD217" s="186"/>
      <c r="CE217" s="185"/>
      <c r="CF217" s="147"/>
      <c r="CG217" s="14"/>
      <c r="CH217" s="14"/>
      <c r="CI217" s="14"/>
      <c r="CJ217" s="14"/>
      <c r="CK217" s="14"/>
      <c r="CL217" s="14"/>
      <c r="CM217" s="14"/>
      <c r="CN217" s="14"/>
      <c r="CO217" s="129"/>
      <c r="CP217" s="14"/>
      <c r="CQ217" s="47"/>
      <c r="CR217" s="14"/>
      <c r="CS217" s="84" t="s">
        <v>304</v>
      </c>
      <c r="CT217" s="84"/>
      <c r="CU217" s="85"/>
      <c r="CV217" s="186"/>
      <c r="CW217" s="189"/>
      <c r="CX217" s="189"/>
      <c r="CY217" s="14"/>
      <c r="CZ217" s="14"/>
      <c r="DA217" s="14"/>
      <c r="DB217" s="14"/>
      <c r="DC217" s="14"/>
      <c r="DD217" s="14"/>
      <c r="DE217" s="14"/>
      <c r="DF217" s="14"/>
      <c r="DG217" s="129"/>
      <c r="DH217" s="14"/>
      <c r="DI217" s="47"/>
      <c r="DJ217" s="14"/>
      <c r="DK217" s="84" t="s">
        <v>305</v>
      </c>
      <c r="DL217" s="84"/>
      <c r="DM217" s="85"/>
      <c r="DN217" s="8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row>
    <row r="218" spans="1:142" x14ac:dyDescent="0.25">
      <c r="A218" s="14"/>
      <c r="B218" s="14"/>
      <c r="C218" s="14"/>
      <c r="D218" s="27"/>
      <c r="E218" s="19"/>
      <c r="F218" s="19"/>
      <c r="G218" s="14"/>
      <c r="H218" s="21"/>
      <c r="I218" s="21"/>
      <c r="J218" s="14"/>
      <c r="K218" s="14"/>
      <c r="L218" s="14"/>
      <c r="M218" s="14"/>
      <c r="N218" s="14"/>
      <c r="O218" s="14"/>
      <c r="P218" s="14"/>
      <c r="Q218" s="47"/>
      <c r="R218" s="19"/>
      <c r="S218" s="14"/>
      <c r="T218" s="14"/>
      <c r="U218" s="14"/>
      <c r="V218" s="14"/>
      <c r="W218" s="14"/>
      <c r="X218" s="14"/>
      <c r="Y218" s="14"/>
      <c r="Z218" s="14"/>
      <c r="AA218" s="14"/>
      <c r="AB218" s="14"/>
      <c r="AC218" s="14"/>
      <c r="AD218" s="65"/>
      <c r="AE218" s="63"/>
      <c r="AF218" s="47"/>
      <c r="AG218" s="19"/>
      <c r="AH218" s="14"/>
      <c r="AI218" s="14"/>
      <c r="AJ218" s="14"/>
      <c r="AK218" s="14"/>
      <c r="AL218" s="14"/>
      <c r="AM218" s="14"/>
      <c r="AN218" s="14"/>
      <c r="AO218" s="14"/>
      <c r="AP218" s="14"/>
      <c r="AQ218" s="14"/>
      <c r="AR218" s="14"/>
      <c r="AS218" s="65"/>
      <c r="AT218" s="63"/>
      <c r="AU218" s="47"/>
      <c r="AV218" s="14"/>
      <c r="AW218" s="14"/>
      <c r="AX218" s="14"/>
      <c r="AY218" s="14"/>
      <c r="AZ218" s="14"/>
      <c r="BA218" s="14"/>
      <c r="BB218" s="14"/>
      <c r="BC218" s="14"/>
      <c r="BD218" s="14"/>
      <c r="BE218" s="14"/>
      <c r="BF218" s="14"/>
      <c r="BG218" s="14"/>
      <c r="BH218" s="65"/>
      <c r="BI218" s="63"/>
      <c r="BJ218" s="352"/>
      <c r="BK218" s="19"/>
      <c r="BL218" s="14"/>
      <c r="BM218" s="14"/>
      <c r="BN218" s="14"/>
      <c r="BO218" s="14"/>
      <c r="BP218" s="14"/>
      <c r="BQ218" s="14"/>
      <c r="BR218" s="14"/>
      <c r="BS218" s="14"/>
      <c r="BT218" s="14"/>
      <c r="BU218" s="14"/>
      <c r="BV218" s="14"/>
      <c r="BW218" s="65"/>
      <c r="BX218" s="63"/>
      <c r="BY218" s="352"/>
      <c r="BZ218" s="14"/>
      <c r="CA218" s="14"/>
      <c r="CB218" s="21"/>
      <c r="CC218" s="21"/>
      <c r="CD218" s="180"/>
      <c r="CE218" s="180"/>
      <c r="CF218" s="21"/>
      <c r="CG218" s="14"/>
      <c r="CH218" s="14"/>
      <c r="CI218" s="14"/>
      <c r="CJ218" s="14"/>
      <c r="CK218" s="14"/>
      <c r="CL218" s="14"/>
      <c r="CM218" s="14"/>
      <c r="CN218" s="14"/>
      <c r="CO218" s="129"/>
      <c r="CP218" s="14"/>
      <c r="CQ218" s="47"/>
      <c r="CR218" s="14"/>
      <c r="CS218" s="14"/>
      <c r="CT218" s="14"/>
      <c r="CU218" s="14"/>
      <c r="CV218" s="180"/>
      <c r="CW218" s="189"/>
      <c r="CX218" s="189"/>
      <c r="CY218" s="14"/>
      <c r="CZ218" s="14"/>
      <c r="DA218" s="14"/>
      <c r="DB218" s="14"/>
      <c r="DC218" s="14"/>
      <c r="DD218" s="14"/>
      <c r="DE218" s="14"/>
      <c r="DF218" s="14"/>
      <c r="DG218" s="129"/>
      <c r="DH218" s="14"/>
      <c r="DI218" s="47"/>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row>
    <row r="219" spans="1:142" ht="28.5" customHeight="1" x14ac:dyDescent="0.25">
      <c r="A219" s="14"/>
      <c r="B219" s="112" t="s">
        <v>23</v>
      </c>
      <c r="C219" s="113" t="s">
        <v>24</v>
      </c>
      <c r="D219" s="113" t="s">
        <v>145</v>
      </c>
      <c r="E219" s="113" t="s">
        <v>300</v>
      </c>
      <c r="F219" s="19"/>
      <c r="G219" s="14"/>
      <c r="H219" s="21"/>
      <c r="I219" s="21"/>
      <c r="J219" s="14"/>
      <c r="K219" s="19"/>
      <c r="L219" s="51"/>
      <c r="M219" s="51"/>
      <c r="N219" s="51"/>
      <c r="O219" s="51"/>
      <c r="P219" s="51"/>
      <c r="Q219" s="47"/>
      <c r="R219" s="19"/>
      <c r="S219" s="112" t="s">
        <v>23</v>
      </c>
      <c r="T219" s="113" t="s">
        <v>24</v>
      </c>
      <c r="U219" s="113" t="s">
        <v>145</v>
      </c>
      <c r="V219" s="113" t="s">
        <v>300</v>
      </c>
      <c r="W219" s="14"/>
      <c r="X219" s="14"/>
      <c r="Y219" s="14"/>
      <c r="Z219" s="14"/>
      <c r="AA219" s="56"/>
      <c r="AB219" s="56"/>
      <c r="AC219" s="56"/>
      <c r="AD219" s="65"/>
      <c r="AE219" s="63"/>
      <c r="AF219" s="47"/>
      <c r="AG219" s="19"/>
      <c r="AH219" s="112" t="s">
        <v>23</v>
      </c>
      <c r="AI219" s="113" t="s">
        <v>24</v>
      </c>
      <c r="AJ219" s="113" t="s">
        <v>145</v>
      </c>
      <c r="AK219" s="113" t="s">
        <v>300</v>
      </c>
      <c r="AL219" s="14"/>
      <c r="AM219" s="14"/>
      <c r="AN219" s="14"/>
      <c r="AO219" s="14"/>
      <c r="AP219" s="56"/>
      <c r="AQ219" s="56"/>
      <c r="AR219" s="56"/>
      <c r="AS219" s="65"/>
      <c r="AT219" s="63"/>
      <c r="AU219" s="47"/>
      <c r="AV219" s="14"/>
      <c r="AW219" s="112" t="s">
        <v>23</v>
      </c>
      <c r="AX219" s="113" t="s">
        <v>24</v>
      </c>
      <c r="AY219" s="113" t="s">
        <v>145</v>
      </c>
      <c r="AZ219" s="113" t="s">
        <v>300</v>
      </c>
      <c r="BA219" s="14"/>
      <c r="BB219" s="14"/>
      <c r="BC219" s="14"/>
      <c r="BD219" s="14"/>
      <c r="BE219" s="56"/>
      <c r="BF219" s="56"/>
      <c r="BG219" s="56"/>
      <c r="BH219" s="65"/>
      <c r="BI219" s="63"/>
      <c r="BJ219" s="352"/>
      <c r="BK219" s="19"/>
      <c r="BL219" s="112" t="s">
        <v>23</v>
      </c>
      <c r="BM219" s="113" t="s">
        <v>24</v>
      </c>
      <c r="BN219" s="113" t="s">
        <v>145</v>
      </c>
      <c r="BO219" s="113" t="s">
        <v>300</v>
      </c>
      <c r="BP219" s="14"/>
      <c r="BQ219" s="14"/>
      <c r="BR219" s="14"/>
      <c r="BS219" s="14"/>
      <c r="BT219" s="56"/>
      <c r="BU219" s="56"/>
      <c r="BV219" s="56"/>
      <c r="BW219" s="65"/>
      <c r="BX219" s="63"/>
      <c r="BY219" s="352"/>
      <c r="BZ219" s="14"/>
      <c r="CA219" s="112" t="s">
        <v>23</v>
      </c>
      <c r="CB219" s="113" t="s">
        <v>145</v>
      </c>
      <c r="CC219" s="21"/>
      <c r="CD219" s="180"/>
      <c r="CE219" s="180"/>
      <c r="CF219" s="21"/>
      <c r="CG219" s="17"/>
      <c r="CH219" s="17"/>
      <c r="CI219" s="17"/>
      <c r="CJ219" s="17"/>
      <c r="CK219" s="17"/>
      <c r="CL219" s="17"/>
      <c r="CM219" s="17"/>
      <c r="CN219" s="17"/>
      <c r="CO219" s="20"/>
      <c r="CP219" s="17"/>
      <c r="CQ219" s="47"/>
      <c r="CR219" s="14"/>
      <c r="CS219" s="112" t="s">
        <v>23</v>
      </c>
      <c r="CT219" s="113" t="s">
        <v>145</v>
      </c>
      <c r="CU219" s="14"/>
      <c r="CV219" s="180"/>
      <c r="CW219" s="189"/>
      <c r="CX219" s="189"/>
      <c r="CY219" s="17"/>
      <c r="CZ219" s="17"/>
      <c r="DA219" s="17"/>
      <c r="DB219" s="17"/>
      <c r="DC219" s="17"/>
      <c r="DD219" s="17"/>
      <c r="DE219" s="17"/>
      <c r="DF219" s="17"/>
      <c r="DG219" s="20"/>
      <c r="DH219" s="17"/>
      <c r="DI219" s="47"/>
      <c r="DJ219" s="17"/>
      <c r="DK219" s="112" t="s">
        <v>23</v>
      </c>
      <c r="DL219" s="113" t="s">
        <v>24</v>
      </c>
      <c r="DM219" s="113" t="s">
        <v>145</v>
      </c>
      <c r="DN219" s="113" t="s">
        <v>300</v>
      </c>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row>
    <row r="220" spans="1:142" x14ac:dyDescent="0.25">
      <c r="A220" s="14"/>
      <c r="B220" s="57" t="s">
        <v>306</v>
      </c>
      <c r="C220" s="121" t="str">
        <f>INDEX(G233:G238,MATCH(MAX(H233:H238),H233:H238,0),1)</f>
        <v>I don’t know</v>
      </c>
      <c r="D220" s="58">
        <f>H239</f>
        <v>9</v>
      </c>
      <c r="E220" s="121">
        <f>H238</f>
        <v>4</v>
      </c>
      <c r="F220" s="19"/>
      <c r="G220" s="14"/>
      <c r="H220" s="21"/>
      <c r="I220" s="21"/>
      <c r="J220" s="14"/>
      <c r="K220" s="19"/>
      <c r="L220" s="40"/>
      <c r="M220" s="40"/>
      <c r="N220" s="40"/>
      <c r="O220" s="40"/>
      <c r="P220" s="40"/>
      <c r="Q220" s="47"/>
      <c r="R220" s="19"/>
      <c r="S220" s="34" t="s">
        <v>306</v>
      </c>
      <c r="T220" s="37" t="str">
        <f>IF(Y241=0,"na",IF(COUNTIF(Y234:Y240,MAX(Y234:Y240))&gt;COUNTIF(X234:X240,"&lt;&gt;""")/2,"No clear choice of the most common response",INDEX(X234:X240,MATCH(MAX(Y234:Y240),Y234:Y240,0),1)))</f>
        <v>Very unlikely</v>
      </c>
      <c r="U220" s="33">
        <f>Y241</f>
        <v>10</v>
      </c>
      <c r="V220" s="37">
        <f>Y240</f>
        <v>3</v>
      </c>
      <c r="W220" s="14"/>
      <c r="X220" s="14"/>
      <c r="Y220" s="14"/>
      <c r="Z220" s="14"/>
      <c r="AA220" s="19"/>
      <c r="AB220" s="19"/>
      <c r="AC220" s="19"/>
      <c r="AD220" s="65"/>
      <c r="AE220" s="63"/>
      <c r="AF220" s="47"/>
      <c r="AG220" s="19"/>
      <c r="AH220" s="57" t="s">
        <v>306</v>
      </c>
      <c r="AI220" s="121" t="str">
        <f>IF(AN241=0,"na",IF(COUNTIF(AN234:AN240,MAX(AN234:AN240))&gt;COUNTIF(AM234:AM240,"&lt;&gt;""")/2,"No clear choice of the most common response",INDEX(AM234:AM240,MATCH(MAX(AN234:AN240),AN234:AN240,0),1)))</f>
        <v>Very unlikely</v>
      </c>
      <c r="AJ220" s="58">
        <f>AN241</f>
        <v>6</v>
      </c>
      <c r="AK220" s="121">
        <f>AN240</f>
        <v>0</v>
      </c>
      <c r="AL220" s="14"/>
      <c r="AM220" s="14"/>
      <c r="AN220" s="14"/>
      <c r="AO220" s="14"/>
      <c r="AP220" s="19"/>
      <c r="AQ220" s="19"/>
      <c r="AR220" s="19"/>
      <c r="AS220" s="65"/>
      <c r="AT220" s="63"/>
      <c r="AU220" s="47"/>
      <c r="AV220" s="14"/>
      <c r="AW220" s="57" t="s">
        <v>306</v>
      </c>
      <c r="AX220" s="121" t="str">
        <f>IF(BC241=0,"na",IF(COUNTIF(BC234:BC240,MAX(BC234:BC240))&gt;COUNTIF(BB234:BB240,"&lt;&gt;""")/2,"No clear choice of the most common response",INDEX(BB234:BB240,MATCH(MAX(BC234:BC240),BC234:BC240,0),1)))</f>
        <v>Very unlikely</v>
      </c>
      <c r="AY220" s="58">
        <f>BC241</f>
        <v>6</v>
      </c>
      <c r="AZ220" s="121">
        <f>BC240</f>
        <v>0</v>
      </c>
      <c r="BA220" s="14"/>
      <c r="BB220" s="14"/>
      <c r="BC220" s="14"/>
      <c r="BD220" s="14"/>
      <c r="BE220" s="19"/>
      <c r="BF220" s="19"/>
      <c r="BG220" s="19"/>
      <c r="BH220" s="65"/>
      <c r="BI220" s="63"/>
      <c r="BJ220" s="352"/>
      <c r="BK220" s="19"/>
      <c r="BL220" s="57" t="s">
        <v>306</v>
      </c>
      <c r="BM220" s="121" t="str">
        <f>IF(BR241=0,"na",IF(COUNTIF(BR234:BR240,MAX(BR234:BR240))&gt;COUNTIF(BQ234:BQ240,"&lt;&gt;""")/2,"No clear choice of the most common response",INDEX(BQ234:BQ240,MATCH(MAX(BR234:BR240),BR234:BR240,0),1)))</f>
        <v>Very unlikely</v>
      </c>
      <c r="BN220" s="58">
        <f>BR241</f>
        <v>6</v>
      </c>
      <c r="BO220" s="121">
        <f>BR240</f>
        <v>0</v>
      </c>
      <c r="BP220" s="14"/>
      <c r="BQ220" s="14"/>
      <c r="BR220" s="14"/>
      <c r="BS220" s="14"/>
      <c r="BT220" s="19"/>
      <c r="BU220" s="19"/>
      <c r="BV220" s="19"/>
      <c r="BW220" s="65"/>
      <c r="BX220" s="63"/>
      <c r="BY220" s="352"/>
      <c r="BZ220" s="14"/>
      <c r="CA220" s="34" t="s">
        <v>155</v>
      </c>
      <c r="CB220" s="37">
        <f>CB193+CB166+CB139+CB112+CB85+CB58</f>
        <v>14</v>
      </c>
      <c r="CC220" s="21"/>
      <c r="CD220" s="180"/>
      <c r="CE220" s="180"/>
      <c r="CF220" s="21"/>
      <c r="CG220" s="29"/>
      <c r="CH220" s="29"/>
      <c r="CI220" s="29"/>
      <c r="CJ220" s="29"/>
      <c r="CK220" s="29"/>
      <c r="CL220" s="29"/>
      <c r="CM220" s="29"/>
      <c r="CN220" s="29"/>
      <c r="CO220" s="38"/>
      <c r="CP220" s="29"/>
      <c r="CQ220" s="47"/>
      <c r="CR220" s="14"/>
      <c r="CS220" s="34" t="s">
        <v>155</v>
      </c>
      <c r="CT220" s="37">
        <f>CT193+CT166+CT139+CT112+CT85+CT58</f>
        <v>6</v>
      </c>
      <c r="CU220" s="14"/>
      <c r="CV220" s="180"/>
      <c r="CW220" s="189"/>
      <c r="CX220" s="189"/>
      <c r="CY220" s="29"/>
      <c r="CZ220" s="29"/>
      <c r="DA220" s="29"/>
      <c r="DB220" s="29"/>
      <c r="DC220" s="29"/>
      <c r="DD220" s="29"/>
      <c r="DE220" s="29"/>
      <c r="DF220" s="29"/>
      <c r="DG220" s="38"/>
      <c r="DH220" s="29"/>
      <c r="DI220" s="47"/>
      <c r="DJ220" s="29"/>
      <c r="DK220" s="34" t="s">
        <v>306</v>
      </c>
      <c r="DL220" s="37" t="str">
        <f>INDEX(DP233:DP238,MATCH(MAX(DQ233:DQ238),DQ233:DQ238,0),1)</f>
        <v>Most of the time</v>
      </c>
      <c r="DM220" s="33">
        <f>DQ239</f>
        <v>9</v>
      </c>
      <c r="DN220" s="37">
        <f>DQ238</f>
        <v>0</v>
      </c>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row>
    <row r="221" spans="1:142" x14ac:dyDescent="0.25">
      <c r="A221" s="14"/>
      <c r="B221" s="57"/>
      <c r="C221" s="121" t="str">
        <f ca="1">IF(COUNTIF(H233:H238,MAX(H233:H238))=1,"",    INDEX(OFFSET(G233,MATCH(C220,G233:G238,0),0):G238,         MATCH(MAX(H233:H238),OFFSET(H233,MATCH(C220,G233:G238,0),0):H238,0),1)      )</f>
        <v/>
      </c>
      <c r="D221" s="58"/>
      <c r="E221" s="121"/>
      <c r="F221" s="19"/>
      <c r="G221" s="14"/>
      <c r="H221" s="21"/>
      <c r="I221" s="21"/>
      <c r="J221" s="14"/>
      <c r="K221" s="19"/>
      <c r="L221" s="40"/>
      <c r="M221" s="40"/>
      <c r="N221" s="40"/>
      <c r="O221" s="40"/>
      <c r="P221" s="40"/>
      <c r="Q221" s="47"/>
      <c r="R221" s="19"/>
      <c r="S221" s="34"/>
      <c r="T221" s="37" t="str">
        <f ca="1">IF(Y241=0,"",IF(COUNTIF(Y234:Y240,MAX(Y234:Y240))=1,"",IF(COUNTIF(Y234:Y240,MAX(Y234:Y240))&gt;COUNTIF(X234:X240,"&lt;&gt;""")/2,"",INDEX(OFFSET(X234,MATCH(T220,X234:X240,0),0):X240,MATCH(MAX(Y234:Y240),OFFSET(Y234,MATCH(T220,X234:X240,0),0):Y240,0),1))))</f>
        <v>I don’t know</v>
      </c>
      <c r="U221" s="33"/>
      <c r="V221" s="37"/>
      <c r="W221" s="14"/>
      <c r="X221" s="14"/>
      <c r="Y221" s="14"/>
      <c r="Z221" s="14"/>
      <c r="AA221" s="19"/>
      <c r="AB221" s="19"/>
      <c r="AC221" s="19"/>
      <c r="AD221" s="65"/>
      <c r="AE221" s="63"/>
      <c r="AF221" s="47"/>
      <c r="AG221" s="19"/>
      <c r="AH221" s="57"/>
      <c r="AI221" s="121" t="str">
        <f ca="1">IF(AN241=0,"",IF(COUNTIF(AN234:AN240,MAX(AN234:AN240))=1,"",IF(COUNTIF(AN234:AN240,MAX(AN234:AN240))&gt;COUNTIF(AM234:AM240,"&lt;&gt;""")/2,"",INDEX(OFFSET(AM234,MATCH(AI220,AM234:AM240,0),0):AM240,MATCH(MAX(AN234:AN240),OFFSET(AN234,MATCH(AI220,AM234:AM240,0),0):AN240,0),1))))</f>
        <v/>
      </c>
      <c r="AJ221" s="58"/>
      <c r="AK221" s="121"/>
      <c r="AL221" s="14"/>
      <c r="AM221" s="14"/>
      <c r="AN221" s="14"/>
      <c r="AO221" s="14"/>
      <c r="AP221" s="19"/>
      <c r="AQ221" s="19"/>
      <c r="AR221" s="19"/>
      <c r="AS221" s="65"/>
      <c r="AT221" s="63"/>
      <c r="AU221" s="47"/>
      <c r="AV221" s="14"/>
      <c r="AW221" s="57"/>
      <c r="AX221" s="121" t="str">
        <f ca="1">IF(BC241=0,"",IF(COUNTIF(BC234:BC240,MAX(BC234:BC240))=1,"",IF(COUNTIF(BC234:BC240,MAX(BC234:BC240))&gt;COUNTIF(BB234:BB240,"&lt;&gt;""")/2,"",INDEX(OFFSET(BB234,MATCH(AX220,BB234:BB240,0),0):BB240,MATCH(MAX(BC234:BC240),OFFSET(BC234,MATCH(AX220,BB234:BB240,0),0):BC240,0),1))))</f>
        <v/>
      </c>
      <c r="AY221" s="58"/>
      <c r="AZ221" s="121"/>
      <c r="BA221" s="14"/>
      <c r="BB221" s="14"/>
      <c r="BC221" s="14"/>
      <c r="BD221" s="14"/>
      <c r="BE221" s="19"/>
      <c r="BF221" s="19"/>
      <c r="BG221" s="19"/>
      <c r="BH221" s="65"/>
      <c r="BI221" s="63"/>
      <c r="BJ221" s="352"/>
      <c r="BK221" s="19"/>
      <c r="BL221" s="57"/>
      <c r="BM221" s="121" t="str">
        <f ca="1">IF(BR241=0,"",IF(COUNTIF(BR234:BR240,MAX(BR234:BR240))=1,"",IF(COUNTIF(BR234:BR240,MAX(BR234:BR240))&gt;COUNTIF(BQ234:BQ240,"&lt;&gt;""")/2,"",INDEX(OFFSET(BQ234,MATCH(BM220,BQ234:BQ240,0),0):BQ240,MATCH(MAX(BR234:BR240),OFFSET(BR234,MATCH(BM220,BQ234:BQ240,0),0):BR240,0),1))))</f>
        <v/>
      </c>
      <c r="BN221" s="58"/>
      <c r="BO221" s="121"/>
      <c r="BP221" s="14"/>
      <c r="BQ221" s="14"/>
      <c r="BR221" s="14"/>
      <c r="BS221" s="14"/>
      <c r="BT221" s="19"/>
      <c r="BU221" s="19"/>
      <c r="BV221" s="19"/>
      <c r="BW221" s="65"/>
      <c r="BX221" s="63"/>
      <c r="BY221" s="352"/>
      <c r="BZ221" s="14"/>
      <c r="CA221" s="14"/>
      <c r="CB221" s="21"/>
      <c r="CC221" s="21"/>
      <c r="CD221" s="180"/>
      <c r="CE221" s="180"/>
      <c r="CF221" s="21"/>
      <c r="CG221" s="29"/>
      <c r="CH221" s="29"/>
      <c r="CI221" s="29"/>
      <c r="CJ221" s="29"/>
      <c r="CK221" s="29"/>
      <c r="CL221" s="29"/>
      <c r="CM221" s="29"/>
      <c r="CN221" s="29"/>
      <c r="CO221" s="38"/>
      <c r="CP221" s="29"/>
      <c r="CQ221" s="47"/>
      <c r="CR221" s="14"/>
      <c r="CS221" s="14"/>
      <c r="CT221" s="14"/>
      <c r="CU221" s="14"/>
      <c r="CV221" s="180"/>
      <c r="CW221" s="189"/>
      <c r="CX221" s="189"/>
      <c r="CY221" s="29"/>
      <c r="CZ221" s="29"/>
      <c r="DA221" s="29"/>
      <c r="DB221" s="29"/>
      <c r="DC221" s="29"/>
      <c r="DD221" s="29"/>
      <c r="DE221" s="29"/>
      <c r="DF221" s="29"/>
      <c r="DG221" s="38"/>
      <c r="DH221" s="29"/>
      <c r="DI221" s="47"/>
      <c r="DJ221" s="29"/>
      <c r="DK221" s="34"/>
      <c r="DL221" s="37" t="str">
        <f ca="1">IF(DQ239=0,"",IF(COUNTIF(DQ234:DQ238,MAX(DQ234:DQ238))=1,"",IF(COUNTIF(DQ234:DQ238,MAX(DQ234:DQ238))&gt;COUNTIF(DP234:DP238,"&lt;&gt;""")/2,"",INDEX(OFFSET(DP234,MATCH(DL220,DP234:DP239,0),0):DP238,MATCH(MAX(DQ234:DQ238),OFFSET(DQ234,MATCH(DL220,DP234:DP239,0),0):DQ238,0),1))))</f>
        <v>Yes, always</v>
      </c>
      <c r="DM221" s="33"/>
      <c r="DN221" s="37"/>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row>
    <row r="222" spans="1:142" x14ac:dyDescent="0.25">
      <c r="A222" s="14"/>
      <c r="B222" s="57"/>
      <c r="C222" s="121" t="str">
        <f ca="1">IF(COUNTIF(H233:H238,MAX(H233:H238))&lt;=2,"",    INDEX(OFFSET(G233,MATCH(C221,G233:G238,0),0):G238,         MATCH(MAX(H233:H238),        OFFSET(H233,MATCH(C221,G233:G238,0),0):H238,0),1)      )</f>
        <v/>
      </c>
      <c r="D222" s="58"/>
      <c r="E222" s="121"/>
      <c r="F222" s="19"/>
      <c r="G222" s="14"/>
      <c r="H222" s="21"/>
      <c r="I222" s="21"/>
      <c r="J222" s="14"/>
      <c r="K222" s="19"/>
      <c r="L222" s="40"/>
      <c r="M222" s="40"/>
      <c r="N222" s="40"/>
      <c r="O222" s="40"/>
      <c r="P222" s="40"/>
      <c r="Q222" s="47"/>
      <c r="R222" s="19"/>
      <c r="S222" s="34"/>
      <c r="T222" s="121" t="str">
        <f ca="1" xml:space="preserve"> IF(Y241=0,"",IF(Y241=0,"", IF(COUNTIF(Y234:Y240,MAX(Y234:Y240))&lt;=2,"",IF(COUNTIF(Y234:Y240,MAX(Y234:Y240))&gt;COUNTIF(X234:X240,"&lt;&gt;""")/2,"", INDEX(OFFSET(X234,MATCH(T221,X234:X240,0),0):X240,         MATCH(MAX(Y234:Y240),        OFFSET(Y234,MATCH(T221,X234:X240,0),0):Y240,0),1)))))</f>
        <v/>
      </c>
      <c r="U222" s="33"/>
      <c r="V222" s="37"/>
      <c r="W222" s="14"/>
      <c r="X222" s="14"/>
      <c r="Y222" s="14"/>
      <c r="Z222" s="14"/>
      <c r="AA222" s="19"/>
      <c r="AB222" s="19"/>
      <c r="AC222" s="19"/>
      <c r="AD222" s="65"/>
      <c r="AE222" s="63"/>
      <c r="AF222" s="47"/>
      <c r="AG222" s="19"/>
      <c r="AH222" s="57"/>
      <c r="AI222" s="121" t="str">
        <f ca="1" xml:space="preserve"> IF(AN241=0,"",IF(AN241=0,"", IF(COUNTIF(AN234:AN240,MAX(AN234:AN240))&lt;=2,"",IF(COUNTIF(AN234:AN240,MAX(AN234:AN240))&gt;COUNTIF(AM234:AM240,"&lt;&gt;""")/2,"", INDEX(OFFSET(AM234,MATCH(AI221,AM234:AM240,0),0):AM240,         MATCH(MAX(AN234:AN240),        OFFSET(AN234,MATCH(AI221,AM234:AM240,0),0):AN240,0),1)))))</f>
        <v/>
      </c>
      <c r="AJ222" s="58"/>
      <c r="AK222" s="121"/>
      <c r="AL222" s="14"/>
      <c r="AM222" s="14"/>
      <c r="AN222" s="14"/>
      <c r="AO222" s="14"/>
      <c r="AP222" s="19"/>
      <c r="AQ222" s="19"/>
      <c r="AR222" s="19"/>
      <c r="AS222" s="65"/>
      <c r="AT222" s="63"/>
      <c r="AU222" s="47"/>
      <c r="AV222" s="14"/>
      <c r="AW222" s="57"/>
      <c r="AX222" s="121" t="str">
        <f ca="1" xml:space="preserve"> IF(BC241=0,"",IF(BC241=0,"", IF(COUNTIF(BC234:BC240,MAX(BC234:BC240))&lt;=2,"",IF(COUNTIF(BC234:BC240,MAX(BC234:BC240))&gt;COUNTIF(BB234:BB240,"&lt;&gt;""")/2,"", INDEX(OFFSET(BB234,MATCH(AX221,BB234:BB240,0),0):BB240,         MATCH(MAX(BC234:BC240),        OFFSET(BC234,MATCH(AX221,BB234:BB240,0),0):BC240,0),1)))))</f>
        <v/>
      </c>
      <c r="AY222" s="58"/>
      <c r="AZ222" s="121"/>
      <c r="BA222" s="14"/>
      <c r="BB222" s="14"/>
      <c r="BC222" s="14"/>
      <c r="BD222" s="14"/>
      <c r="BE222" s="19"/>
      <c r="BF222" s="19"/>
      <c r="BG222" s="19"/>
      <c r="BH222" s="65"/>
      <c r="BI222" s="63"/>
      <c r="BJ222" s="352"/>
      <c r="BK222" s="19"/>
      <c r="BL222" s="57"/>
      <c r="BM222" s="121" t="str">
        <f ca="1" xml:space="preserve"> IF(BR241=0,"",IF(BR241=0,"", IF(COUNTIF(BR234:BR240,MAX(BR234:BR240))&lt;=2,"",IF(COUNTIF(BR234:BR240,MAX(BR234:BR240))&gt;COUNTIF(BQ234:BQ240,"&lt;&gt;""")/2,"", INDEX(OFFSET(BQ234,MATCH(BM221,BQ234:BQ240,0),0):BQ240,         MATCH(MAX(BR234:BR240),        OFFSET(BR234,MATCH(BM221,BQ234:BQ240,0),0):BR240,0),1)))))</f>
        <v/>
      </c>
      <c r="BN222" s="58"/>
      <c r="BO222" s="121"/>
      <c r="BP222" s="14"/>
      <c r="BQ222" s="14"/>
      <c r="BR222" s="14"/>
      <c r="BS222" s="14"/>
      <c r="BT222" s="19"/>
      <c r="BU222" s="19"/>
      <c r="BV222" s="19"/>
      <c r="BW222" s="65"/>
      <c r="BX222" s="63"/>
      <c r="BY222" s="352"/>
      <c r="BZ222" s="14"/>
      <c r="CA222" s="14"/>
      <c r="CB222" s="21"/>
      <c r="CC222" s="21"/>
      <c r="CD222" s="180"/>
      <c r="CE222" s="180"/>
      <c r="CF222" s="21"/>
      <c r="CG222" s="29"/>
      <c r="CH222" s="29"/>
      <c r="CI222" s="29"/>
      <c r="CJ222" s="29"/>
      <c r="CK222" s="29"/>
      <c r="CL222" s="29"/>
      <c r="CM222" s="29"/>
      <c r="CN222" s="29"/>
      <c r="CO222" s="38"/>
      <c r="CP222" s="29"/>
      <c r="CQ222" s="47"/>
      <c r="CR222" s="14"/>
      <c r="CS222" s="14"/>
      <c r="CT222" s="14"/>
      <c r="CU222" s="14"/>
      <c r="CV222" s="180"/>
      <c r="CW222" s="189"/>
      <c r="CX222" s="189"/>
      <c r="CY222" s="29"/>
      <c r="CZ222" s="29"/>
      <c r="DA222" s="29"/>
      <c r="DB222" s="29"/>
      <c r="DC222" s="29"/>
      <c r="DD222" s="29"/>
      <c r="DE222" s="29"/>
      <c r="DF222" s="29"/>
      <c r="DG222" s="38"/>
      <c r="DH222" s="29"/>
      <c r="DI222" s="47"/>
      <c r="DJ222" s="29"/>
      <c r="DK222" s="34"/>
      <c r="DL222" s="37" t="str">
        <f ca="1">IF(DQ239=0,"",IF(COUNTIF(DQ234:DQ238,MAX(DQ234:DQ238))&lt;=2,"",IF(COUNTIF(DQ234:DQ238,MAX(DQ234:DQ238))&gt;COUNTIF(DP234:DP238,"&lt;&gt;""")/2,"",INDEX(OFFSET(DP234,MATCH(DL221,DP234:DP239,0),0):DP238,MATCH(MAX(DQ234:DQ238),OFFSET(DQ234,MATCH(DL221,DP234:DP239,0),0):DQ238,0),1))))</f>
        <v/>
      </c>
      <c r="DM222" s="33"/>
      <c r="DN222" s="37"/>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row>
    <row r="223" spans="1:142" x14ac:dyDescent="0.25">
      <c r="A223" s="14"/>
      <c r="B223" s="14"/>
      <c r="C223" s="14"/>
      <c r="D223" s="27"/>
      <c r="E223" s="19"/>
      <c r="F223" s="19"/>
      <c r="G223" s="14"/>
      <c r="H223" s="21"/>
      <c r="I223" s="21"/>
      <c r="J223" s="14"/>
      <c r="K223" s="19"/>
      <c r="L223" s="40"/>
      <c r="M223" s="40"/>
      <c r="N223" s="40"/>
      <c r="O223" s="40"/>
      <c r="P223" s="40"/>
      <c r="Q223" s="47"/>
      <c r="R223" s="19"/>
      <c r="S223" s="14"/>
      <c r="T223" s="14"/>
      <c r="U223" s="14"/>
      <c r="V223" s="14"/>
      <c r="W223" s="14"/>
      <c r="X223" s="14"/>
      <c r="Y223" s="14"/>
      <c r="Z223" s="14"/>
      <c r="AA223" s="19"/>
      <c r="AB223" s="19"/>
      <c r="AC223" s="19"/>
      <c r="AD223" s="65"/>
      <c r="AE223" s="63"/>
      <c r="AF223" s="47"/>
      <c r="AG223" s="19"/>
      <c r="AH223" s="14"/>
      <c r="AI223" s="14"/>
      <c r="AJ223" s="14"/>
      <c r="AK223" s="14"/>
      <c r="AL223" s="14"/>
      <c r="AM223" s="14"/>
      <c r="AN223" s="14"/>
      <c r="AO223" s="14"/>
      <c r="AP223" s="19"/>
      <c r="AQ223" s="19"/>
      <c r="AR223" s="19"/>
      <c r="AS223" s="65"/>
      <c r="AT223" s="63"/>
      <c r="AU223" s="47"/>
      <c r="AV223" s="14"/>
      <c r="AW223" s="14"/>
      <c r="AX223" s="14"/>
      <c r="AY223" s="14"/>
      <c r="AZ223" s="14"/>
      <c r="BA223" s="14"/>
      <c r="BB223" s="14"/>
      <c r="BC223" s="14"/>
      <c r="BD223" s="14"/>
      <c r="BE223" s="19"/>
      <c r="BF223" s="19"/>
      <c r="BG223" s="19"/>
      <c r="BH223" s="65"/>
      <c r="BI223" s="63"/>
      <c r="BJ223" s="352"/>
      <c r="BK223" s="19"/>
      <c r="BL223" s="14"/>
      <c r="BM223" s="14"/>
      <c r="BN223" s="14"/>
      <c r="BO223" s="14"/>
      <c r="BP223" s="14"/>
      <c r="BQ223" s="14"/>
      <c r="BR223" s="14"/>
      <c r="BS223" s="14"/>
      <c r="BT223" s="19"/>
      <c r="BU223" s="19"/>
      <c r="BV223" s="19"/>
      <c r="BW223" s="65"/>
      <c r="BX223" s="63"/>
      <c r="BY223" s="352"/>
      <c r="BZ223" s="14"/>
      <c r="CA223" s="14"/>
      <c r="CB223" s="21"/>
      <c r="CC223" s="21"/>
      <c r="CD223" s="180"/>
      <c r="CE223" s="180"/>
      <c r="CF223" s="21"/>
      <c r="CG223" s="29"/>
      <c r="CH223" s="29"/>
      <c r="CI223" s="29"/>
      <c r="CJ223" s="29"/>
      <c r="CK223" s="29"/>
      <c r="CL223" s="29"/>
      <c r="CM223" s="29"/>
      <c r="CN223" s="29"/>
      <c r="CO223" s="38"/>
      <c r="CP223" s="29"/>
      <c r="CQ223" s="47"/>
      <c r="CR223" s="14"/>
      <c r="CS223" s="14"/>
      <c r="CT223" s="14"/>
      <c r="CU223" s="14"/>
      <c r="CV223" s="180"/>
      <c r="CW223" s="189"/>
      <c r="CX223" s="189"/>
      <c r="CY223" s="29"/>
      <c r="CZ223" s="29"/>
      <c r="DA223" s="29"/>
      <c r="DB223" s="29"/>
      <c r="DC223" s="29"/>
      <c r="DD223" s="29"/>
      <c r="DE223" s="29"/>
      <c r="DF223" s="29"/>
      <c r="DG223" s="38"/>
      <c r="DH223" s="29"/>
      <c r="DI223" s="47"/>
      <c r="DJ223" s="29"/>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row>
    <row r="224" spans="1:142" x14ac:dyDescent="0.25">
      <c r="A224" s="14"/>
      <c r="B224" s="14"/>
      <c r="C224" s="14"/>
      <c r="D224" s="27"/>
      <c r="E224" s="19"/>
      <c r="F224" s="19"/>
      <c r="G224" s="14"/>
      <c r="H224" s="21"/>
      <c r="I224" s="21"/>
      <c r="J224" s="14"/>
      <c r="K224" s="19"/>
      <c r="L224" s="40"/>
      <c r="M224" s="40"/>
      <c r="N224" s="40"/>
      <c r="O224" s="40"/>
      <c r="P224" s="40"/>
      <c r="Q224" s="47"/>
      <c r="R224" s="19"/>
      <c r="S224" s="14"/>
      <c r="T224" s="14"/>
      <c r="U224" s="14"/>
      <c r="V224" s="14"/>
      <c r="W224" s="14"/>
      <c r="X224" s="14"/>
      <c r="Y224" s="14"/>
      <c r="Z224" s="14"/>
      <c r="AA224" s="19"/>
      <c r="AB224" s="19"/>
      <c r="AC224" s="19"/>
      <c r="AD224" s="65"/>
      <c r="AE224" s="63"/>
      <c r="AF224" s="47"/>
      <c r="AG224" s="19"/>
      <c r="AH224" s="14"/>
      <c r="AI224" s="14"/>
      <c r="AJ224" s="14"/>
      <c r="AK224" s="14"/>
      <c r="AL224" s="14"/>
      <c r="AM224" s="14"/>
      <c r="AN224" s="14"/>
      <c r="AO224" s="14"/>
      <c r="AP224" s="19"/>
      <c r="AQ224" s="19"/>
      <c r="AR224" s="19"/>
      <c r="AS224" s="65"/>
      <c r="AT224" s="63"/>
      <c r="AU224" s="47"/>
      <c r="AV224" s="14"/>
      <c r="AW224" s="14"/>
      <c r="AX224" s="14"/>
      <c r="AY224" s="14"/>
      <c r="AZ224" s="14"/>
      <c r="BA224" s="14"/>
      <c r="BB224" s="14"/>
      <c r="BC224" s="14"/>
      <c r="BD224" s="14"/>
      <c r="BE224" s="19"/>
      <c r="BF224" s="19"/>
      <c r="BG224" s="19"/>
      <c r="BH224" s="65"/>
      <c r="BI224" s="63"/>
      <c r="BJ224" s="352"/>
      <c r="BK224" s="19"/>
      <c r="BL224" s="14"/>
      <c r="BM224" s="14"/>
      <c r="BN224" s="14"/>
      <c r="BO224" s="14"/>
      <c r="BP224" s="14"/>
      <c r="BQ224" s="14"/>
      <c r="BR224" s="14"/>
      <c r="BS224" s="14"/>
      <c r="BT224" s="19"/>
      <c r="BU224" s="19"/>
      <c r="BV224" s="19"/>
      <c r="BW224" s="65"/>
      <c r="BX224" s="63"/>
      <c r="BY224" s="352"/>
      <c r="BZ224" s="14"/>
      <c r="CA224" s="14"/>
      <c r="CB224" s="21"/>
      <c r="CC224" s="21"/>
      <c r="CD224" s="180"/>
      <c r="CE224" s="180"/>
      <c r="CF224" s="21"/>
      <c r="CG224" s="29"/>
      <c r="CH224" s="29"/>
      <c r="CI224" s="29"/>
      <c r="CJ224" s="29"/>
      <c r="CK224" s="29"/>
      <c r="CL224" s="29"/>
      <c r="CM224" s="29"/>
      <c r="CN224" s="29"/>
      <c r="CO224" s="38"/>
      <c r="CP224" s="29"/>
      <c r="CQ224" s="47"/>
      <c r="CR224" s="14"/>
      <c r="CS224" s="14"/>
      <c r="CT224" s="14"/>
      <c r="CU224" s="14"/>
      <c r="CV224" s="180"/>
      <c r="CW224" s="189"/>
      <c r="CX224" s="189"/>
      <c r="CY224" s="29"/>
      <c r="CZ224" s="29"/>
      <c r="DA224" s="29"/>
      <c r="DB224" s="29"/>
      <c r="DC224" s="29"/>
      <c r="DD224" s="29"/>
      <c r="DE224" s="29"/>
      <c r="DF224" s="29"/>
      <c r="DG224" s="38"/>
      <c r="DH224" s="29"/>
      <c r="DI224" s="47"/>
      <c r="DJ224" s="29"/>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row>
    <row r="225" spans="1:142" ht="27.6" x14ac:dyDescent="0.25">
      <c r="A225" s="14"/>
      <c r="B225" s="19"/>
      <c r="C225" s="19"/>
      <c r="D225" s="27"/>
      <c r="E225" s="19"/>
      <c r="F225" s="19"/>
      <c r="G225" s="14"/>
      <c r="H225" s="21"/>
      <c r="I225" s="21"/>
      <c r="J225" s="14"/>
      <c r="K225" s="19"/>
      <c r="L225" s="40"/>
      <c r="M225" s="40"/>
      <c r="N225" s="40"/>
      <c r="O225" s="40"/>
      <c r="P225" s="40"/>
      <c r="Q225" s="47"/>
      <c r="R225" s="19"/>
      <c r="S225" s="14"/>
      <c r="T225" s="14"/>
      <c r="U225" s="14"/>
      <c r="V225" s="14"/>
      <c r="W225" s="14"/>
      <c r="X225" s="14"/>
      <c r="Y225" s="14"/>
      <c r="Z225" s="14"/>
      <c r="AA225" s="19"/>
      <c r="AB225" s="19"/>
      <c r="AC225" s="19"/>
      <c r="AD225" s="65"/>
      <c r="AE225" s="63"/>
      <c r="AF225" s="47"/>
      <c r="AG225" s="19"/>
      <c r="AH225" s="14"/>
      <c r="AI225" s="14"/>
      <c r="AJ225" s="14"/>
      <c r="AK225" s="14"/>
      <c r="AL225" s="14"/>
      <c r="AM225" s="14"/>
      <c r="AN225" s="14"/>
      <c r="AO225" s="14"/>
      <c r="AP225" s="19"/>
      <c r="AQ225" s="19"/>
      <c r="AR225" s="19"/>
      <c r="AS225" s="65"/>
      <c r="AT225" s="63"/>
      <c r="AU225" s="47"/>
      <c r="AV225" s="14"/>
      <c r="AW225" s="14"/>
      <c r="AX225" s="14"/>
      <c r="AY225" s="14"/>
      <c r="AZ225" s="14"/>
      <c r="BA225" s="14"/>
      <c r="BB225" s="14"/>
      <c r="BC225" s="14"/>
      <c r="BD225" s="14"/>
      <c r="BE225" s="19"/>
      <c r="BF225" s="19"/>
      <c r="BG225" s="19"/>
      <c r="BH225" s="65"/>
      <c r="BI225" s="63"/>
      <c r="BJ225" s="352"/>
      <c r="BK225" s="19"/>
      <c r="BL225" s="14"/>
      <c r="BM225" s="14"/>
      <c r="BN225" s="14"/>
      <c r="BO225" s="14"/>
      <c r="BP225" s="14"/>
      <c r="BQ225" s="14"/>
      <c r="BR225" s="14"/>
      <c r="BS225" s="14"/>
      <c r="BT225" s="19"/>
      <c r="BU225" s="19"/>
      <c r="BV225" s="19"/>
      <c r="BW225" s="65"/>
      <c r="BX225" s="63"/>
      <c r="BY225" s="352"/>
      <c r="BZ225" s="14"/>
      <c r="CA225" s="109" t="s">
        <v>14</v>
      </c>
      <c r="CB225" s="110" t="s">
        <v>164</v>
      </c>
      <c r="CC225" s="110" t="s">
        <v>149</v>
      </c>
      <c r="CD225" s="184" t="s">
        <v>150</v>
      </c>
      <c r="CE225" s="184" t="s">
        <v>151</v>
      </c>
      <c r="CF225" s="110" t="s">
        <v>152</v>
      </c>
      <c r="CG225" s="29"/>
      <c r="CH225" s="29"/>
      <c r="CI225" s="29"/>
      <c r="CJ225" s="29"/>
      <c r="CK225" s="29"/>
      <c r="CL225" s="29"/>
      <c r="CM225" s="29"/>
      <c r="CN225" s="29"/>
      <c r="CO225" s="38"/>
      <c r="CP225" s="29"/>
      <c r="CQ225" s="47"/>
      <c r="CR225" s="14"/>
      <c r="CS225" s="109" t="s">
        <v>14</v>
      </c>
      <c r="CT225" s="110" t="s">
        <v>164</v>
      </c>
      <c r="CU225" s="110" t="s">
        <v>149</v>
      </c>
      <c r="CV225" s="184" t="s">
        <v>150</v>
      </c>
      <c r="CW225" s="184" t="s">
        <v>151</v>
      </c>
      <c r="CX225" s="194" t="s">
        <v>152</v>
      </c>
      <c r="CY225" s="17"/>
      <c r="CZ225" s="29"/>
      <c r="DA225" s="29"/>
      <c r="DB225" s="29"/>
      <c r="DC225" s="29"/>
      <c r="DD225" s="29"/>
      <c r="DE225" s="29"/>
      <c r="DF225" s="29"/>
      <c r="DG225" s="38"/>
      <c r="DH225" s="29"/>
      <c r="DI225" s="47"/>
      <c r="DJ225" s="29"/>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row>
    <row r="226" spans="1:142" x14ac:dyDescent="0.25">
      <c r="A226" s="14"/>
      <c r="B226" s="56"/>
      <c r="C226" s="19"/>
      <c r="D226" s="21"/>
      <c r="E226" s="14"/>
      <c r="F226" s="14"/>
      <c r="G226" s="14"/>
      <c r="H226" s="21"/>
      <c r="I226" s="21"/>
      <c r="J226" s="14"/>
      <c r="K226" s="19"/>
      <c r="L226" s="14"/>
      <c r="M226" s="14"/>
      <c r="N226" s="14"/>
      <c r="O226" s="14"/>
      <c r="P226" s="14"/>
      <c r="Q226" s="47"/>
      <c r="R226" s="19"/>
      <c r="S226" s="14"/>
      <c r="T226" s="14"/>
      <c r="U226" s="14"/>
      <c r="V226" s="14"/>
      <c r="W226" s="14"/>
      <c r="X226" s="14"/>
      <c r="Y226" s="14"/>
      <c r="Z226" s="14"/>
      <c r="AA226" s="19"/>
      <c r="AB226" s="19"/>
      <c r="AC226" s="19"/>
      <c r="AD226" s="65"/>
      <c r="AE226" s="63"/>
      <c r="AF226" s="47"/>
      <c r="AG226" s="19"/>
      <c r="AH226" s="14"/>
      <c r="AI226" s="14"/>
      <c r="AJ226" s="14"/>
      <c r="AK226" s="14"/>
      <c r="AL226" s="14"/>
      <c r="AM226" s="14"/>
      <c r="AN226" s="14"/>
      <c r="AO226" s="14"/>
      <c r="AP226" s="19"/>
      <c r="AQ226" s="19"/>
      <c r="AR226" s="19"/>
      <c r="AS226" s="65"/>
      <c r="AT226" s="63"/>
      <c r="AU226" s="47"/>
      <c r="AV226" s="14"/>
      <c r="AW226" s="14"/>
      <c r="AX226" s="14"/>
      <c r="AY226" s="14"/>
      <c r="AZ226" s="14"/>
      <c r="BA226" s="14"/>
      <c r="BB226" s="14"/>
      <c r="BC226" s="14"/>
      <c r="BD226" s="14"/>
      <c r="BE226" s="19"/>
      <c r="BF226" s="19"/>
      <c r="BG226" s="19"/>
      <c r="BH226" s="65"/>
      <c r="BI226" s="63"/>
      <c r="BJ226" s="352"/>
      <c r="BK226" s="19"/>
      <c r="BL226" s="14"/>
      <c r="BM226" s="14"/>
      <c r="BN226" s="14"/>
      <c r="BO226" s="14"/>
      <c r="BP226" s="14"/>
      <c r="BQ226" s="14"/>
      <c r="BR226" s="14"/>
      <c r="BS226" s="14"/>
      <c r="BT226" s="19"/>
      <c r="BU226" s="19"/>
      <c r="BV226" s="19"/>
      <c r="BW226" s="65"/>
      <c r="BX226" s="63"/>
      <c r="BY226" s="352"/>
      <c r="BZ226" s="14"/>
      <c r="CA226" s="140" t="s">
        <v>701</v>
      </c>
      <c r="CB226" s="27">
        <f>CB64+CB91+CB118+CB145+CB172+CB199</f>
        <v>7</v>
      </c>
      <c r="CC226" s="37">
        <f t="shared" ref="CC226:CE232" si="163">SUM(CC199,CC172,CC145,CC118,CC91,CC64)</f>
        <v>12</v>
      </c>
      <c r="CD226" s="37">
        <f t="shared" si="163"/>
        <v>2</v>
      </c>
      <c r="CE226" s="37">
        <f t="shared" si="163"/>
        <v>1</v>
      </c>
      <c r="CF226" s="97">
        <f>IF(CB220=0,0,SUMPRODUCT(CC226:CE226,Rank_score)/$CB220)</f>
        <v>2.9285714285714284</v>
      </c>
      <c r="CG226" s="29"/>
      <c r="CH226" s="29"/>
      <c r="CI226" s="29"/>
      <c r="CJ226" s="29"/>
      <c r="CK226" s="29"/>
      <c r="CL226" s="29"/>
      <c r="CM226" s="29"/>
      <c r="CN226" s="29"/>
      <c r="CO226" s="38"/>
      <c r="CP226" s="29"/>
      <c r="CQ226" s="47"/>
      <c r="CR226" s="14"/>
      <c r="CS226" s="140" t="s">
        <v>373</v>
      </c>
      <c r="CT226" s="27">
        <f t="shared" ref="CT226:CT231" si="164">CT199+CT172+CT145+CT118+CT91+CT64</f>
        <v>6</v>
      </c>
      <c r="CU226" s="37">
        <f t="shared" ref="CU226:CW231" si="165">SUM(CU199,CU172,CU145,CU118,CU91,CU64)</f>
        <v>5</v>
      </c>
      <c r="CV226" s="37">
        <f t="shared" si="165"/>
        <v>1</v>
      </c>
      <c r="CW226" s="37">
        <f t="shared" si="165"/>
        <v>0</v>
      </c>
      <c r="CX226" s="37">
        <f>(CU226*3+CV226*2+CW226*1)/(SUM(CU226:CW232)/3)</f>
        <v>3.4</v>
      </c>
      <c r="CY226" s="14"/>
      <c r="CZ226" s="29"/>
      <c r="DA226" s="29"/>
      <c r="DB226" s="29"/>
      <c r="DC226" s="29"/>
      <c r="DD226" s="29"/>
      <c r="DE226" s="29"/>
      <c r="DF226" s="29"/>
      <c r="DG226" s="38"/>
      <c r="DH226" s="29"/>
      <c r="DI226" s="47"/>
      <c r="DJ226" s="29"/>
      <c r="DK226" s="19"/>
      <c r="DL226" s="19"/>
      <c r="DM226" s="14"/>
      <c r="DN226" s="14"/>
      <c r="DO226" s="14"/>
      <c r="DP226" s="14"/>
      <c r="DQ226" s="14"/>
      <c r="DR226" s="19"/>
      <c r="DS226" s="19"/>
      <c r="DT226" s="14"/>
      <c r="DU226" s="14"/>
      <c r="DV226" s="14"/>
      <c r="DW226" s="14"/>
      <c r="DX226" s="14"/>
      <c r="DY226" s="14"/>
      <c r="DZ226" s="14"/>
      <c r="EA226" s="14"/>
      <c r="EB226" s="14"/>
      <c r="EC226" s="14"/>
      <c r="ED226" s="14"/>
      <c r="EE226" s="14"/>
      <c r="EF226" s="14"/>
      <c r="EG226" s="14"/>
      <c r="EH226" s="14"/>
      <c r="EI226" s="14"/>
      <c r="EJ226" s="14"/>
      <c r="EK226" s="14"/>
      <c r="EL226" s="14"/>
    </row>
    <row r="227" spans="1:142" x14ac:dyDescent="0.25">
      <c r="A227" s="14"/>
      <c r="B227" s="56"/>
      <c r="C227" s="19"/>
      <c r="D227" s="21"/>
      <c r="E227" s="14"/>
      <c r="F227" s="14"/>
      <c r="G227" s="14"/>
      <c r="H227" s="21"/>
      <c r="I227" s="21"/>
      <c r="J227" s="14"/>
      <c r="K227" s="14"/>
      <c r="L227" s="14"/>
      <c r="M227" s="14"/>
      <c r="N227" s="14"/>
      <c r="O227" s="14"/>
      <c r="P227" s="14"/>
      <c r="Q227" s="47"/>
      <c r="R227" s="19"/>
      <c r="S227" s="14"/>
      <c r="T227" s="14"/>
      <c r="U227" s="14"/>
      <c r="V227" s="14"/>
      <c r="W227" s="14"/>
      <c r="X227" s="14"/>
      <c r="Y227" s="14"/>
      <c r="Z227" s="14"/>
      <c r="AA227" s="19"/>
      <c r="AB227" s="19"/>
      <c r="AC227" s="19"/>
      <c r="AD227" s="65"/>
      <c r="AE227" s="63"/>
      <c r="AF227" s="47"/>
      <c r="AG227" s="19"/>
      <c r="AH227" s="14"/>
      <c r="AI227" s="14"/>
      <c r="AJ227" s="14"/>
      <c r="AK227" s="14"/>
      <c r="AL227" s="14"/>
      <c r="AM227" s="14"/>
      <c r="AN227" s="14"/>
      <c r="AO227" s="14"/>
      <c r="AP227" s="19"/>
      <c r="AQ227" s="19"/>
      <c r="AR227" s="19"/>
      <c r="AS227" s="65"/>
      <c r="AT227" s="63"/>
      <c r="AU227" s="47"/>
      <c r="AV227" s="14"/>
      <c r="AW227" s="14"/>
      <c r="AX227" s="14"/>
      <c r="AY227" s="14"/>
      <c r="AZ227" s="14"/>
      <c r="BA227" s="14"/>
      <c r="BB227" s="14"/>
      <c r="BC227" s="14"/>
      <c r="BD227" s="14"/>
      <c r="BE227" s="19"/>
      <c r="BF227" s="19"/>
      <c r="BG227" s="19"/>
      <c r="BH227" s="65"/>
      <c r="BI227" s="63"/>
      <c r="BJ227" s="352"/>
      <c r="BK227" s="19"/>
      <c r="BL227" s="14"/>
      <c r="BM227" s="14"/>
      <c r="BN227" s="14"/>
      <c r="BO227" s="14"/>
      <c r="BP227" s="14"/>
      <c r="BQ227" s="14"/>
      <c r="BR227" s="14"/>
      <c r="BS227" s="14"/>
      <c r="BT227" s="19"/>
      <c r="BU227" s="19"/>
      <c r="BV227" s="19"/>
      <c r="BW227" s="65"/>
      <c r="BX227" s="63"/>
      <c r="BY227" s="352"/>
      <c r="BZ227" s="14"/>
      <c r="CA227" s="140" t="s">
        <v>344</v>
      </c>
      <c r="CB227" s="27">
        <f t="shared" ref="CB227:CB232" si="166">CB65+CB92+CB119+CB146+CB173+CB200</f>
        <v>4</v>
      </c>
      <c r="CC227" s="37">
        <f t="shared" si="163"/>
        <v>0</v>
      </c>
      <c r="CD227" s="37">
        <f t="shared" si="163"/>
        <v>3</v>
      </c>
      <c r="CE227" s="37">
        <f t="shared" si="163"/>
        <v>1</v>
      </c>
      <c r="CF227" s="97">
        <f>IF(CB220=0,0,SUMPRODUCT(CC227:CE227,Rank_score)/$CB220)</f>
        <v>0.5</v>
      </c>
      <c r="CG227" s="14"/>
      <c r="CH227" s="14"/>
      <c r="CI227" s="14"/>
      <c r="CJ227" s="14"/>
      <c r="CK227" s="14"/>
      <c r="CL227" s="14"/>
      <c r="CM227" s="14"/>
      <c r="CN227" s="14"/>
      <c r="CO227" s="129"/>
      <c r="CP227" s="14"/>
      <c r="CQ227" s="47"/>
      <c r="CR227" s="14"/>
      <c r="CS227" s="140" t="s">
        <v>338</v>
      </c>
      <c r="CT227" s="27">
        <f t="shared" si="164"/>
        <v>4</v>
      </c>
      <c r="CU227" s="37">
        <f t="shared" si="165"/>
        <v>1</v>
      </c>
      <c r="CV227" s="37">
        <f t="shared" si="165"/>
        <v>2</v>
      </c>
      <c r="CW227" s="37">
        <f t="shared" si="165"/>
        <v>1</v>
      </c>
      <c r="CX227" s="37">
        <f>(CU227*3+CV227*2+CW227*1)/(SUM(CU227:CW233)/3)</f>
        <v>2.6666666666666665</v>
      </c>
      <c r="CY227" s="14"/>
      <c r="CZ227" s="29"/>
      <c r="DA227" s="14"/>
      <c r="DB227" s="14"/>
      <c r="DC227" s="14"/>
      <c r="DD227" s="14"/>
      <c r="DE227" s="14"/>
      <c r="DF227" s="14"/>
      <c r="DG227" s="129"/>
      <c r="DH227" s="14"/>
      <c r="DI227" s="47"/>
      <c r="DJ227" s="14"/>
      <c r="DK227" s="19"/>
      <c r="DL227" s="19"/>
      <c r="DM227" s="14"/>
      <c r="DN227" s="14"/>
      <c r="DO227" s="14"/>
      <c r="DP227" s="14"/>
      <c r="DQ227" s="14"/>
      <c r="DR227" s="19"/>
      <c r="DS227" s="19"/>
      <c r="DT227" s="14"/>
      <c r="DU227" s="14"/>
      <c r="DV227" s="14"/>
      <c r="DW227" s="14"/>
      <c r="DX227" s="14"/>
      <c r="DY227" s="14"/>
      <c r="DZ227" s="14"/>
      <c r="EA227" s="14"/>
      <c r="EB227" s="14"/>
      <c r="EC227" s="14"/>
      <c r="ED227" s="14"/>
      <c r="EE227" s="14"/>
      <c r="EF227" s="14"/>
      <c r="EG227" s="14"/>
      <c r="EH227" s="14"/>
      <c r="EI227" s="14"/>
      <c r="EJ227" s="14"/>
      <c r="EK227" s="14"/>
      <c r="EL227" s="14"/>
    </row>
    <row r="228" spans="1:142" x14ac:dyDescent="0.25">
      <c r="A228" s="14"/>
      <c r="B228" s="19"/>
      <c r="C228" s="19"/>
      <c r="D228" s="21"/>
      <c r="E228" s="14"/>
      <c r="F228" s="14"/>
      <c r="G228" s="14"/>
      <c r="H228" s="21"/>
      <c r="I228" s="21"/>
      <c r="J228" s="14"/>
      <c r="K228" s="14"/>
      <c r="L228" s="14"/>
      <c r="M228" s="14"/>
      <c r="N228" s="14"/>
      <c r="O228" s="14"/>
      <c r="P228" s="14"/>
      <c r="Q228" s="47"/>
      <c r="R228" s="19"/>
      <c r="S228" s="14"/>
      <c r="T228" s="14"/>
      <c r="U228" s="14"/>
      <c r="V228" s="14"/>
      <c r="W228" s="14"/>
      <c r="X228" s="14"/>
      <c r="Y228" s="14"/>
      <c r="Z228" s="14"/>
      <c r="AA228" s="19"/>
      <c r="AB228" s="19"/>
      <c r="AC228" s="19"/>
      <c r="AD228" s="65"/>
      <c r="AE228" s="63"/>
      <c r="AF228" s="47"/>
      <c r="AG228" s="19"/>
      <c r="AH228" s="14"/>
      <c r="AI228" s="14"/>
      <c r="AJ228" s="14"/>
      <c r="AK228" s="14"/>
      <c r="AL228" s="14"/>
      <c r="AM228" s="14"/>
      <c r="AN228" s="14"/>
      <c r="AO228" s="14"/>
      <c r="AP228" s="19"/>
      <c r="AQ228" s="19"/>
      <c r="AR228" s="19"/>
      <c r="AS228" s="65"/>
      <c r="AT228" s="63"/>
      <c r="AU228" s="47"/>
      <c r="AV228" s="14"/>
      <c r="AW228" s="14"/>
      <c r="AX228" s="14"/>
      <c r="AY228" s="14"/>
      <c r="AZ228" s="14"/>
      <c r="BA228" s="14"/>
      <c r="BB228" s="14"/>
      <c r="BC228" s="14"/>
      <c r="BD228" s="14"/>
      <c r="BE228" s="19"/>
      <c r="BF228" s="19"/>
      <c r="BG228" s="19"/>
      <c r="BH228" s="65"/>
      <c r="BI228" s="63"/>
      <c r="BJ228" s="352"/>
      <c r="BK228" s="19"/>
      <c r="BL228" s="14"/>
      <c r="BM228" s="14"/>
      <c r="BN228" s="14"/>
      <c r="BO228" s="14"/>
      <c r="BP228" s="14"/>
      <c r="BQ228" s="14"/>
      <c r="BR228" s="14"/>
      <c r="BS228" s="14"/>
      <c r="BT228" s="19"/>
      <c r="BU228" s="19"/>
      <c r="BV228" s="19"/>
      <c r="BW228" s="65"/>
      <c r="BX228" s="63"/>
      <c r="BY228" s="352"/>
      <c r="BZ228" s="14"/>
      <c r="CA228" s="140" t="s">
        <v>146</v>
      </c>
      <c r="CB228" s="27">
        <f t="shared" si="166"/>
        <v>3</v>
      </c>
      <c r="CC228" s="37">
        <f t="shared" si="163"/>
        <v>1</v>
      </c>
      <c r="CD228" s="37">
        <f t="shared" si="163"/>
        <v>1</v>
      </c>
      <c r="CE228" s="37">
        <f t="shared" si="163"/>
        <v>1</v>
      </c>
      <c r="CF228" s="97">
        <f>IF(CB220=0,0,SUMPRODUCT(CC228:CE228,Rank_score)/$CB220)</f>
        <v>0.42857142857142855</v>
      </c>
      <c r="CG228" s="39"/>
      <c r="CH228" s="39"/>
      <c r="CI228" s="14"/>
      <c r="CJ228" s="14"/>
      <c r="CK228" s="14"/>
      <c r="CL228" s="14"/>
      <c r="CM228" s="14"/>
      <c r="CN228" s="14"/>
      <c r="CO228" s="129"/>
      <c r="CP228" s="14"/>
      <c r="CQ228" s="47"/>
      <c r="CR228" s="14"/>
      <c r="CS228" s="106" t="s">
        <v>339</v>
      </c>
      <c r="CT228" s="27">
        <f t="shared" si="164"/>
        <v>1</v>
      </c>
      <c r="CU228" s="37">
        <f t="shared" si="165"/>
        <v>0</v>
      </c>
      <c r="CV228" s="37">
        <f t="shared" si="165"/>
        <v>0</v>
      </c>
      <c r="CW228" s="37">
        <f t="shared" si="165"/>
        <v>1</v>
      </c>
      <c r="CX228" s="37">
        <f>(CU228*3+CV228*2+CW228*1)/(SUM(CU227:CW233)/3)</f>
        <v>0.33333333333333331</v>
      </c>
      <c r="CY228" s="14"/>
      <c r="CZ228" s="14"/>
      <c r="DA228" s="14"/>
      <c r="DB228" s="14"/>
      <c r="DC228" s="14"/>
      <c r="DD228" s="14"/>
      <c r="DE228" s="14"/>
      <c r="DF228" s="14"/>
      <c r="DG228" s="129"/>
      <c r="DH228" s="14"/>
      <c r="DI228" s="47"/>
      <c r="DJ228" s="14"/>
      <c r="DK228" s="56"/>
      <c r="DL228" s="29"/>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row>
    <row r="229" spans="1:142" x14ac:dyDescent="0.25">
      <c r="A229" s="14"/>
      <c r="B229" s="14"/>
      <c r="C229" s="19"/>
      <c r="D229" s="21"/>
      <c r="E229" s="14"/>
      <c r="F229" s="14"/>
      <c r="G229" s="14"/>
      <c r="H229" s="21"/>
      <c r="I229" s="21"/>
      <c r="J229" s="14"/>
      <c r="K229" s="14"/>
      <c r="L229" s="14"/>
      <c r="M229" s="14"/>
      <c r="N229" s="14"/>
      <c r="O229" s="14"/>
      <c r="P229" s="14"/>
      <c r="Q229" s="47"/>
      <c r="R229" s="19"/>
      <c r="S229" s="14"/>
      <c r="T229" s="14"/>
      <c r="U229" s="14"/>
      <c r="V229" s="14"/>
      <c r="W229" s="14"/>
      <c r="X229" s="14"/>
      <c r="Y229" s="14"/>
      <c r="Z229" s="14"/>
      <c r="AA229" s="14"/>
      <c r="AB229" s="14"/>
      <c r="AC229" s="14"/>
      <c r="AD229" s="65"/>
      <c r="AE229" s="63"/>
      <c r="AF229" s="47"/>
      <c r="AG229" s="19"/>
      <c r="AH229" s="14"/>
      <c r="AI229" s="14"/>
      <c r="AJ229" s="14"/>
      <c r="AK229" s="14"/>
      <c r="AL229" s="14"/>
      <c r="AM229" s="14"/>
      <c r="AN229" s="14"/>
      <c r="AO229" s="14"/>
      <c r="AP229" s="14"/>
      <c r="AQ229" s="14"/>
      <c r="AR229" s="14"/>
      <c r="AS229" s="65"/>
      <c r="AT229" s="63"/>
      <c r="AU229" s="47"/>
      <c r="AV229" s="14"/>
      <c r="AW229" s="14"/>
      <c r="AX229" s="14"/>
      <c r="AY229" s="14"/>
      <c r="AZ229" s="14"/>
      <c r="BA229" s="14"/>
      <c r="BB229" s="14"/>
      <c r="BC229" s="14"/>
      <c r="BD229" s="14"/>
      <c r="BE229" s="14"/>
      <c r="BF229" s="14"/>
      <c r="BG229" s="14"/>
      <c r="BH229" s="65"/>
      <c r="BI229" s="63"/>
      <c r="BJ229" s="352"/>
      <c r="BK229" s="19"/>
      <c r="BL229" s="14"/>
      <c r="BM229" s="14"/>
      <c r="BN229" s="14"/>
      <c r="BO229" s="14"/>
      <c r="BP229" s="14"/>
      <c r="BQ229" s="14"/>
      <c r="BR229" s="14"/>
      <c r="BS229" s="14"/>
      <c r="BT229" s="14"/>
      <c r="BU229" s="14"/>
      <c r="BV229" s="14"/>
      <c r="BW229" s="65"/>
      <c r="BX229" s="63"/>
      <c r="BY229" s="352"/>
      <c r="BZ229" s="14"/>
      <c r="CA229" s="140" t="s">
        <v>147</v>
      </c>
      <c r="CB229" s="27">
        <f t="shared" si="166"/>
        <v>4</v>
      </c>
      <c r="CC229" s="37">
        <f t="shared" si="163"/>
        <v>0</v>
      </c>
      <c r="CD229" s="37">
        <f t="shared" si="163"/>
        <v>3</v>
      </c>
      <c r="CE229" s="37">
        <f t="shared" si="163"/>
        <v>1</v>
      </c>
      <c r="CF229" s="97">
        <f>IF(CB220=0,0,SUMPRODUCT(CC229:CE229,Rank_score)/$CB220)</f>
        <v>0.5</v>
      </c>
      <c r="CG229" s="29"/>
      <c r="CH229" s="29"/>
      <c r="CI229" s="14"/>
      <c r="CJ229" s="14"/>
      <c r="CK229" s="14"/>
      <c r="CL229" s="14"/>
      <c r="CM229" s="14"/>
      <c r="CN229" s="14"/>
      <c r="CO229" s="129"/>
      <c r="CP229" s="14"/>
      <c r="CQ229" s="47"/>
      <c r="CR229" s="14"/>
      <c r="CS229" s="106" t="s">
        <v>345</v>
      </c>
      <c r="CT229" s="27">
        <f t="shared" si="164"/>
        <v>3</v>
      </c>
      <c r="CU229" s="37">
        <f t="shared" si="165"/>
        <v>0</v>
      </c>
      <c r="CV229" s="37">
        <f t="shared" si="165"/>
        <v>2</v>
      </c>
      <c r="CW229" s="37">
        <f t="shared" si="165"/>
        <v>1</v>
      </c>
      <c r="CX229" s="37">
        <f>(CU229*3+CV229*2+CW229*1)/(SUM(CU227:CW233)/3)</f>
        <v>1.6666666666666667</v>
      </c>
      <c r="CY229" s="14"/>
      <c r="CZ229" s="14"/>
      <c r="DA229" s="14"/>
      <c r="DB229" s="14"/>
      <c r="DC229" s="14"/>
      <c r="DD229" s="14"/>
      <c r="DE229" s="14"/>
      <c r="DF229" s="14"/>
      <c r="DG229" s="129"/>
      <c r="DH229" s="14"/>
      <c r="DI229" s="47"/>
      <c r="DJ229" s="14"/>
      <c r="DK229" s="56"/>
      <c r="DL229" s="19"/>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row>
    <row r="230" spans="1:142" x14ac:dyDescent="0.25">
      <c r="A230" s="14"/>
      <c r="B230" s="14"/>
      <c r="C230" s="19"/>
      <c r="D230" s="21"/>
      <c r="E230" s="14"/>
      <c r="F230" s="14"/>
      <c r="G230" s="14"/>
      <c r="H230" s="21"/>
      <c r="I230" s="21"/>
      <c r="J230" s="19"/>
      <c r="K230" s="19"/>
      <c r="L230" s="19"/>
      <c r="M230" s="19"/>
      <c r="N230" s="19"/>
      <c r="O230" s="19"/>
      <c r="P230" s="19"/>
      <c r="Q230" s="47"/>
      <c r="R230" s="19"/>
      <c r="S230" s="14"/>
      <c r="T230" s="14"/>
      <c r="U230" s="14"/>
      <c r="V230" s="14"/>
      <c r="W230" s="14"/>
      <c r="X230" s="14"/>
      <c r="Y230" s="14"/>
      <c r="Z230" s="14"/>
      <c r="AA230" s="14"/>
      <c r="AB230" s="14"/>
      <c r="AC230" s="14"/>
      <c r="AD230" s="65"/>
      <c r="AE230" s="63"/>
      <c r="AF230" s="47"/>
      <c r="AG230" s="19"/>
      <c r="AH230" s="14"/>
      <c r="AI230" s="14"/>
      <c r="AJ230" s="14"/>
      <c r="AK230" s="14"/>
      <c r="AL230" s="14"/>
      <c r="AM230" s="14"/>
      <c r="AN230" s="14"/>
      <c r="AO230" s="14"/>
      <c r="AP230" s="14"/>
      <c r="AQ230" s="14"/>
      <c r="AR230" s="14"/>
      <c r="AS230" s="65"/>
      <c r="AT230" s="63"/>
      <c r="AU230" s="47"/>
      <c r="AV230" s="14"/>
      <c r="AW230" s="14"/>
      <c r="AX230" s="14"/>
      <c r="AY230" s="14"/>
      <c r="AZ230" s="14"/>
      <c r="BA230" s="14"/>
      <c r="BB230" s="14"/>
      <c r="BC230" s="14"/>
      <c r="BD230" s="14"/>
      <c r="BE230" s="14"/>
      <c r="BF230" s="14"/>
      <c r="BG230" s="14"/>
      <c r="BH230" s="65"/>
      <c r="BI230" s="63"/>
      <c r="BJ230" s="352"/>
      <c r="BK230" s="19"/>
      <c r="BL230" s="14"/>
      <c r="BM230" s="14"/>
      <c r="BN230" s="14"/>
      <c r="BO230" s="14"/>
      <c r="BP230" s="14"/>
      <c r="BQ230" s="14"/>
      <c r="BR230" s="14"/>
      <c r="BS230" s="14"/>
      <c r="BT230" s="14"/>
      <c r="BU230" s="14"/>
      <c r="BV230" s="14"/>
      <c r="BW230" s="65"/>
      <c r="BX230" s="63"/>
      <c r="BY230" s="352"/>
      <c r="BZ230" s="14"/>
      <c r="CA230" s="140" t="s">
        <v>341</v>
      </c>
      <c r="CB230" s="27">
        <f t="shared" si="166"/>
        <v>1</v>
      </c>
      <c r="CC230" s="37">
        <f t="shared" si="163"/>
        <v>0</v>
      </c>
      <c r="CD230" s="37">
        <f t="shared" si="163"/>
        <v>0</v>
      </c>
      <c r="CE230" s="37">
        <f t="shared" si="163"/>
        <v>1</v>
      </c>
      <c r="CF230" s="97">
        <f>IF(CB220=0,0,SUMPRODUCT(CC230:CE230,Rank_score)/$CB220)</f>
        <v>7.1428571428571425E-2</v>
      </c>
      <c r="CG230" s="29"/>
      <c r="CH230" s="29"/>
      <c r="CI230" s="14"/>
      <c r="CJ230" s="14"/>
      <c r="CK230" s="14"/>
      <c r="CL230" s="14"/>
      <c r="CM230" s="14"/>
      <c r="CN230" s="14"/>
      <c r="CO230" s="129"/>
      <c r="CP230" s="14"/>
      <c r="CQ230" s="47"/>
      <c r="CR230" s="14"/>
      <c r="CS230" s="106" t="s">
        <v>561</v>
      </c>
      <c r="CT230" s="27">
        <f t="shared" si="164"/>
        <v>1</v>
      </c>
      <c r="CU230" s="37">
        <f t="shared" si="165"/>
        <v>0</v>
      </c>
      <c r="CV230" s="37">
        <f t="shared" si="165"/>
        <v>1</v>
      </c>
      <c r="CW230" s="37">
        <f t="shared" si="165"/>
        <v>0</v>
      </c>
      <c r="CX230" s="37">
        <f>(CU230*3+CV230*2+CW230*1)/(SUM(CU227:CW233)/3)</f>
        <v>0.66666666666666663</v>
      </c>
      <c r="CY230" s="14"/>
      <c r="CZ230" s="52"/>
      <c r="DA230" s="14"/>
      <c r="DB230" s="14"/>
      <c r="DC230" s="14"/>
      <c r="DD230" s="14"/>
      <c r="DE230" s="14"/>
      <c r="DF230" s="14"/>
      <c r="DG230" s="129"/>
      <c r="DH230" s="14"/>
      <c r="DI230" s="47"/>
      <c r="DJ230" s="14"/>
      <c r="DK230" s="14"/>
      <c r="DL230" s="19"/>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row>
    <row r="231" spans="1:142" x14ac:dyDescent="0.25">
      <c r="A231" s="14"/>
      <c r="B231" s="14"/>
      <c r="C231" s="19"/>
      <c r="D231" s="21"/>
      <c r="E231" s="14"/>
      <c r="F231" s="14"/>
      <c r="G231" s="19"/>
      <c r="H231" s="27"/>
      <c r="I231" s="41"/>
      <c r="J231" s="19"/>
      <c r="K231" s="19"/>
      <c r="L231" s="19"/>
      <c r="M231" s="19"/>
      <c r="N231" s="19"/>
      <c r="O231" s="19"/>
      <c r="P231" s="19"/>
      <c r="Q231" s="47"/>
      <c r="R231" s="19"/>
      <c r="S231" s="14"/>
      <c r="T231" s="14"/>
      <c r="U231" s="14"/>
      <c r="V231" s="14"/>
      <c r="W231" s="14"/>
      <c r="X231" s="14"/>
      <c r="Y231" s="14"/>
      <c r="Z231" s="14"/>
      <c r="AA231" s="14"/>
      <c r="AB231" s="14"/>
      <c r="AC231" s="14"/>
      <c r="AD231" s="65"/>
      <c r="AE231" s="63"/>
      <c r="AF231" s="47"/>
      <c r="AG231" s="19"/>
      <c r="AH231" s="14"/>
      <c r="AI231" s="14"/>
      <c r="AJ231" s="14"/>
      <c r="AK231" s="14"/>
      <c r="AL231" s="14"/>
      <c r="AM231" s="14"/>
      <c r="AN231" s="14"/>
      <c r="AO231" s="14"/>
      <c r="AP231" s="14"/>
      <c r="AQ231" s="14"/>
      <c r="AR231" s="14"/>
      <c r="AS231" s="65"/>
      <c r="AT231" s="63"/>
      <c r="AU231" s="47"/>
      <c r="AV231" s="14"/>
      <c r="AW231" s="14"/>
      <c r="AX231" s="14"/>
      <c r="AY231" s="14"/>
      <c r="AZ231" s="14"/>
      <c r="BA231" s="14"/>
      <c r="BB231" s="14"/>
      <c r="BC231" s="14"/>
      <c r="BD231" s="14"/>
      <c r="BE231" s="14"/>
      <c r="BF231" s="14"/>
      <c r="BG231" s="14"/>
      <c r="BH231" s="65"/>
      <c r="BI231" s="63"/>
      <c r="BJ231" s="352"/>
      <c r="BK231" s="19"/>
      <c r="BL231" s="14"/>
      <c r="BM231" s="14"/>
      <c r="BN231" s="14"/>
      <c r="BO231" s="14"/>
      <c r="BP231" s="14"/>
      <c r="BQ231" s="14"/>
      <c r="BR231" s="14"/>
      <c r="BS231" s="14"/>
      <c r="BT231" s="14"/>
      <c r="BU231" s="14"/>
      <c r="BV231" s="14"/>
      <c r="BW231" s="65"/>
      <c r="BX231" s="63"/>
      <c r="BY231" s="352"/>
      <c r="BZ231" s="14"/>
      <c r="CA231" s="106" t="s">
        <v>148</v>
      </c>
      <c r="CB231" s="27">
        <f t="shared" si="166"/>
        <v>1</v>
      </c>
      <c r="CC231" s="37">
        <f t="shared" si="163"/>
        <v>0</v>
      </c>
      <c r="CD231" s="37">
        <f t="shared" si="163"/>
        <v>0</v>
      </c>
      <c r="CE231" s="37">
        <f t="shared" si="163"/>
        <v>1</v>
      </c>
      <c r="CF231" s="97">
        <f>IF(CB220=0,0,SUMPRODUCT(CC231:CE231,Rank_score)/$CB220)</f>
        <v>7.1428571428571425E-2</v>
      </c>
      <c r="CG231" s="29"/>
      <c r="CH231" s="29"/>
      <c r="CI231" s="14"/>
      <c r="CJ231" s="14"/>
      <c r="CK231" s="14"/>
      <c r="CL231" s="14"/>
      <c r="CM231" s="14"/>
      <c r="CN231" s="14"/>
      <c r="CO231" s="129"/>
      <c r="CP231" s="14"/>
      <c r="CQ231" s="47"/>
      <c r="CR231" s="14"/>
      <c r="CS231" s="106" t="s">
        <v>49</v>
      </c>
      <c r="CT231" s="27">
        <f t="shared" si="164"/>
        <v>0</v>
      </c>
      <c r="CU231" s="37">
        <f t="shared" si="165"/>
        <v>0</v>
      </c>
      <c r="CV231" s="37">
        <f t="shared" si="165"/>
        <v>0</v>
      </c>
      <c r="CW231" s="37">
        <f t="shared" si="165"/>
        <v>0</v>
      </c>
      <c r="CX231" s="37">
        <f>(CU231*3+CV231*2+CW231*1)/(SUM(CU227:CW233)/3)</f>
        <v>0</v>
      </c>
      <c r="CY231" s="14"/>
      <c r="CZ231" s="52"/>
      <c r="DA231" s="14"/>
      <c r="DB231" s="14"/>
      <c r="DC231" s="14"/>
      <c r="DD231" s="14"/>
      <c r="DE231" s="14"/>
      <c r="DF231" s="14"/>
      <c r="DG231" s="129"/>
      <c r="DH231" s="14"/>
      <c r="DI231" s="47"/>
      <c r="DJ231" s="14"/>
      <c r="DK231" s="14"/>
      <c r="DL231" s="19"/>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row>
    <row r="232" spans="1:142" x14ac:dyDescent="0.25">
      <c r="A232" s="14"/>
      <c r="B232" s="14"/>
      <c r="C232" s="19"/>
      <c r="D232" s="21"/>
      <c r="E232" s="14"/>
      <c r="F232" s="14"/>
      <c r="G232" s="19"/>
      <c r="H232" s="27"/>
      <c r="I232" s="41"/>
      <c r="J232" s="19"/>
      <c r="K232" s="19"/>
      <c r="L232" s="19"/>
      <c r="M232" s="19"/>
      <c r="N232" s="19"/>
      <c r="O232" s="19"/>
      <c r="P232" s="19"/>
      <c r="Q232" s="47"/>
      <c r="R232" s="19"/>
      <c r="S232" s="14"/>
      <c r="T232" s="14"/>
      <c r="U232" s="14"/>
      <c r="V232" s="14"/>
      <c r="W232" s="14"/>
      <c r="X232" s="14"/>
      <c r="Y232" s="14"/>
      <c r="Z232" s="14"/>
      <c r="AA232" s="14"/>
      <c r="AB232" s="14"/>
      <c r="AC232" s="14"/>
      <c r="AD232" s="65"/>
      <c r="AE232" s="63"/>
      <c r="AF232" s="47"/>
      <c r="AG232" s="19"/>
      <c r="AH232" s="14"/>
      <c r="AI232" s="14"/>
      <c r="AJ232" s="14"/>
      <c r="AK232" s="14"/>
      <c r="AL232" s="14"/>
      <c r="AM232" s="14"/>
      <c r="AN232" s="14"/>
      <c r="AO232" s="14"/>
      <c r="AP232" s="14"/>
      <c r="AQ232" s="14"/>
      <c r="AR232" s="14"/>
      <c r="AS232" s="65"/>
      <c r="AT232" s="63"/>
      <c r="AU232" s="47"/>
      <c r="AV232" s="14"/>
      <c r="AW232" s="14"/>
      <c r="AX232" s="14"/>
      <c r="AY232" s="14"/>
      <c r="AZ232" s="14"/>
      <c r="BA232" s="14"/>
      <c r="BB232" s="14"/>
      <c r="BC232" s="14"/>
      <c r="BD232" s="14"/>
      <c r="BE232" s="14"/>
      <c r="BF232" s="14"/>
      <c r="BG232" s="14"/>
      <c r="BH232" s="65"/>
      <c r="BI232" s="63"/>
      <c r="BJ232" s="352"/>
      <c r="BK232" s="19"/>
      <c r="BL232" s="14"/>
      <c r="BM232" s="14"/>
      <c r="BN232" s="14"/>
      <c r="BO232" s="14"/>
      <c r="BP232" s="14"/>
      <c r="BQ232" s="14"/>
      <c r="BR232" s="14"/>
      <c r="BS232" s="14"/>
      <c r="BT232" s="14"/>
      <c r="BU232" s="14"/>
      <c r="BV232" s="14"/>
      <c r="BW232" s="65"/>
      <c r="BX232" s="63"/>
      <c r="BY232" s="352"/>
      <c r="BZ232" s="14"/>
      <c r="CA232" s="107" t="s">
        <v>49</v>
      </c>
      <c r="CB232" s="27">
        <f t="shared" si="166"/>
        <v>0</v>
      </c>
      <c r="CC232" s="37">
        <f t="shared" si="163"/>
        <v>0</v>
      </c>
      <c r="CD232" s="37">
        <f t="shared" si="163"/>
        <v>0</v>
      </c>
      <c r="CE232" s="37">
        <f t="shared" si="163"/>
        <v>0</v>
      </c>
      <c r="CF232" s="97">
        <f>IF(CB220=0,0,SUMPRODUCT(CC232:CE232,Rank_score)/$CB220)</f>
        <v>0</v>
      </c>
      <c r="CG232" s="29"/>
      <c r="CH232" s="29"/>
      <c r="CI232" s="14"/>
      <c r="CJ232" s="14"/>
      <c r="CK232" s="14"/>
      <c r="CL232" s="14"/>
      <c r="CM232" s="14"/>
      <c r="CN232" s="14"/>
      <c r="CO232" s="129"/>
      <c r="CP232" s="14"/>
      <c r="CQ232" s="47"/>
      <c r="CR232" s="14"/>
      <c r="CS232" s="107"/>
      <c r="CT232" s="27"/>
      <c r="CU232" s="37"/>
      <c r="CV232" s="37"/>
      <c r="CW232" s="37"/>
      <c r="CX232" s="37"/>
      <c r="CY232" s="14"/>
      <c r="CZ232" s="52"/>
      <c r="DA232" s="14"/>
      <c r="DB232" s="14"/>
      <c r="DC232" s="14"/>
      <c r="DD232" s="14"/>
      <c r="DE232" s="14"/>
      <c r="DF232" s="14"/>
      <c r="DG232" s="129"/>
      <c r="DH232" s="14"/>
      <c r="DI232" s="47"/>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row>
    <row r="233" spans="1:142" x14ac:dyDescent="0.25">
      <c r="A233" s="14"/>
      <c r="B233" s="14"/>
      <c r="C233" s="19"/>
      <c r="D233" s="21"/>
      <c r="E233" s="14"/>
      <c r="F233" s="14"/>
      <c r="G233" s="109" t="s">
        <v>14</v>
      </c>
      <c r="H233" s="110" t="s">
        <v>6</v>
      </c>
      <c r="I233" s="110" t="s">
        <v>7</v>
      </c>
      <c r="J233" s="19"/>
      <c r="K233" s="19"/>
      <c r="L233" s="19"/>
      <c r="M233" s="19"/>
      <c r="N233" s="19"/>
      <c r="O233" s="19"/>
      <c r="P233" s="19"/>
      <c r="Q233" s="47"/>
      <c r="R233" s="19"/>
      <c r="S233" s="14"/>
      <c r="T233" s="14"/>
      <c r="U233" s="14"/>
      <c r="V233" s="14"/>
      <c r="W233" s="14"/>
      <c r="X233" s="109" t="s">
        <v>14</v>
      </c>
      <c r="Y233" s="110" t="s">
        <v>6</v>
      </c>
      <c r="Z233" s="110" t="s">
        <v>7</v>
      </c>
      <c r="AA233" s="14"/>
      <c r="AB233" s="14"/>
      <c r="AC233" s="14"/>
      <c r="AD233" s="65"/>
      <c r="AE233" s="63"/>
      <c r="AF233" s="47"/>
      <c r="AG233" s="19"/>
      <c r="AH233" s="14"/>
      <c r="AI233" s="14"/>
      <c r="AJ233" s="14"/>
      <c r="AK233" s="14"/>
      <c r="AL233" s="14"/>
      <c r="AM233" s="109" t="s">
        <v>14</v>
      </c>
      <c r="AN233" s="110" t="s">
        <v>6</v>
      </c>
      <c r="AO233" s="110" t="s">
        <v>7</v>
      </c>
      <c r="AP233" s="14"/>
      <c r="AQ233" s="14"/>
      <c r="AR233" s="14"/>
      <c r="AS233" s="65"/>
      <c r="AT233" s="63"/>
      <c r="AU233" s="47"/>
      <c r="AV233" s="14"/>
      <c r="AW233" s="14"/>
      <c r="AX233" s="14"/>
      <c r="AY233" s="14"/>
      <c r="AZ233" s="14"/>
      <c r="BA233" s="14"/>
      <c r="BB233" s="109" t="s">
        <v>14</v>
      </c>
      <c r="BC233" s="110" t="s">
        <v>6</v>
      </c>
      <c r="BD233" s="110" t="s">
        <v>7</v>
      </c>
      <c r="BE233" s="14"/>
      <c r="BF233" s="14"/>
      <c r="BG233" s="14"/>
      <c r="BH233" s="65"/>
      <c r="BI233" s="63"/>
      <c r="BJ233" s="352"/>
      <c r="BK233" s="19"/>
      <c r="BL233" s="14"/>
      <c r="BM233" s="14"/>
      <c r="BN233" s="14"/>
      <c r="BO233" s="14"/>
      <c r="BP233" s="14"/>
      <c r="BQ233" s="109" t="s">
        <v>14</v>
      </c>
      <c r="BR233" s="110" t="s">
        <v>6</v>
      </c>
      <c r="BS233" s="110" t="s">
        <v>7</v>
      </c>
      <c r="BT233" s="14"/>
      <c r="BU233" s="14"/>
      <c r="BV233" s="14"/>
      <c r="BW233" s="65"/>
      <c r="BX233" s="63"/>
      <c r="BY233" s="352"/>
      <c r="BZ233" s="14"/>
      <c r="CA233" s="86"/>
      <c r="CB233" s="111"/>
      <c r="CC233" s="111"/>
      <c r="CD233" s="179"/>
      <c r="CE233" s="179"/>
      <c r="CF233" s="108"/>
      <c r="CG233" s="29"/>
      <c r="CH233" s="29"/>
      <c r="CI233" s="14"/>
      <c r="CJ233" s="14"/>
      <c r="CK233" s="14"/>
      <c r="CL233" s="14"/>
      <c r="CM233" s="14"/>
      <c r="CN233" s="14"/>
      <c r="CO233" s="129"/>
      <c r="CP233" s="14"/>
      <c r="CQ233" s="47"/>
      <c r="CR233" s="14"/>
      <c r="CS233" s="107"/>
      <c r="CT233" s="27"/>
      <c r="CU233" s="37"/>
      <c r="CV233" s="37"/>
      <c r="CW233" s="37"/>
      <c r="CX233" s="37"/>
      <c r="CY233" s="14"/>
      <c r="CZ233" s="52"/>
      <c r="DA233" s="14"/>
      <c r="DB233" s="14"/>
      <c r="DC233" s="14"/>
      <c r="DD233" s="14"/>
      <c r="DE233" s="14"/>
      <c r="DF233" s="14"/>
      <c r="DG233" s="129"/>
      <c r="DH233" s="14"/>
      <c r="DI233" s="47"/>
      <c r="DJ233" s="14"/>
      <c r="DK233" s="14"/>
      <c r="DL233" s="14"/>
      <c r="DM233" s="14"/>
      <c r="DN233" s="14"/>
      <c r="DO233" s="14"/>
      <c r="DP233" s="109" t="s">
        <v>14</v>
      </c>
      <c r="DQ233" s="110" t="s">
        <v>6</v>
      </c>
      <c r="DR233" s="110" t="s">
        <v>7</v>
      </c>
      <c r="DS233" s="14"/>
      <c r="DT233" s="14"/>
      <c r="DU233" s="14"/>
      <c r="DV233" s="14"/>
      <c r="DW233" s="14"/>
      <c r="DX233" s="14"/>
      <c r="DY233" s="14"/>
      <c r="DZ233" s="14"/>
      <c r="EA233" s="14"/>
      <c r="EB233" s="14"/>
      <c r="EC233" s="14"/>
      <c r="ED233" s="14"/>
      <c r="EE233" s="14"/>
      <c r="EF233" s="14"/>
      <c r="EG233" s="14"/>
      <c r="EH233" s="14"/>
      <c r="EI233" s="14"/>
      <c r="EJ233" s="14"/>
      <c r="EK233" s="14"/>
      <c r="EL233" s="14"/>
    </row>
    <row r="234" spans="1:142" x14ac:dyDescent="0.25">
      <c r="A234" s="14"/>
      <c r="B234" s="14"/>
      <c r="C234" s="19"/>
      <c r="D234" s="21"/>
      <c r="E234" s="14"/>
      <c r="F234" s="14"/>
      <c r="G234" s="107" t="s">
        <v>34</v>
      </c>
      <c r="H234" s="27">
        <f>SUM(H207,H180,H153,H126,H99,H72)</f>
        <v>3</v>
      </c>
      <c r="I234" s="41">
        <f>IFERROR(H234/H$239,"")</f>
        <v>0.33333333333333331</v>
      </c>
      <c r="J234" s="19"/>
      <c r="K234" s="19"/>
      <c r="L234" s="19"/>
      <c r="M234" s="19"/>
      <c r="N234" s="19"/>
      <c r="O234" s="19"/>
      <c r="P234" s="19"/>
      <c r="Q234" s="47"/>
      <c r="R234" s="19"/>
      <c r="S234" s="14"/>
      <c r="T234" s="14"/>
      <c r="U234" s="14"/>
      <c r="V234" s="14"/>
      <c r="W234" s="14"/>
      <c r="X234" s="107" t="s">
        <v>5</v>
      </c>
      <c r="Y234" s="27">
        <f t="shared" ref="Y234:Y241" si="167">SUM(Y207,Y180,Y153,Y126,Y99,Y72)</f>
        <v>3</v>
      </c>
      <c r="Z234" s="41">
        <f t="shared" ref="Z234:Z241" si="168">IFERROR(Y234/Y$241,0)</f>
        <v>0.3</v>
      </c>
      <c r="AA234" s="14"/>
      <c r="AB234" s="14"/>
      <c r="AC234" s="14"/>
      <c r="AD234" s="65"/>
      <c r="AE234" s="63"/>
      <c r="AF234" s="47"/>
      <c r="AG234" s="19"/>
      <c r="AH234" s="14"/>
      <c r="AI234" s="14"/>
      <c r="AJ234" s="14"/>
      <c r="AK234" s="14"/>
      <c r="AL234" s="14"/>
      <c r="AM234" s="107" t="s">
        <v>5</v>
      </c>
      <c r="AN234" s="27">
        <f t="shared" ref="AN234:AN241" si="169">SUM(AN207,AN180,AN153,AN126,AN99,AN72)</f>
        <v>5</v>
      </c>
      <c r="AO234" s="41">
        <f>IFERROR(AN234/AN$241,0)</f>
        <v>0.83333333333333337</v>
      </c>
      <c r="AP234" s="14"/>
      <c r="AQ234" s="14"/>
      <c r="AR234" s="14"/>
      <c r="AS234" s="65"/>
      <c r="AT234" s="63"/>
      <c r="AU234" s="47"/>
      <c r="AV234" s="14"/>
      <c r="AW234" s="14"/>
      <c r="AX234" s="14"/>
      <c r="AY234" s="14"/>
      <c r="AZ234" s="14"/>
      <c r="BA234" s="14"/>
      <c r="BB234" s="107" t="s">
        <v>5</v>
      </c>
      <c r="BC234" s="27">
        <f t="shared" ref="BC234:BC241" si="170">SUM(BC207,BC180,BC153,BC126,BC99,BC72)</f>
        <v>4</v>
      </c>
      <c r="BD234" s="41">
        <f>IFERROR(BC234/BC$241,0)</f>
        <v>0.66666666666666663</v>
      </c>
      <c r="BE234" s="14"/>
      <c r="BF234" s="14"/>
      <c r="BG234" s="14"/>
      <c r="BH234" s="65"/>
      <c r="BI234" s="63"/>
      <c r="BJ234" s="352"/>
      <c r="BK234" s="19"/>
      <c r="BL234" s="14"/>
      <c r="BM234" s="14"/>
      <c r="BN234" s="14"/>
      <c r="BO234" s="14"/>
      <c r="BP234" s="14"/>
      <c r="BQ234" s="107" t="s">
        <v>5</v>
      </c>
      <c r="BR234" s="27">
        <f t="shared" ref="BR234:BR241" si="171">SUM(BR207,BR180,BR153,BR126,BR99,BR72)</f>
        <v>3</v>
      </c>
      <c r="BS234" s="41">
        <f>IFERROR(BR234/BR$241,0)</f>
        <v>0.5</v>
      </c>
      <c r="BT234" s="14"/>
      <c r="BU234" s="14"/>
      <c r="BV234" s="14"/>
      <c r="BW234" s="65"/>
      <c r="BX234" s="63"/>
      <c r="BY234" s="352"/>
      <c r="BZ234" s="14"/>
      <c r="CA234" s="14"/>
      <c r="CB234" s="21"/>
      <c r="CC234" s="21"/>
      <c r="CD234" s="180"/>
      <c r="CE234" s="181"/>
      <c r="CF234" s="97"/>
      <c r="CG234" s="29"/>
      <c r="CH234" s="29"/>
      <c r="CI234" s="14"/>
      <c r="CJ234" s="14"/>
      <c r="CK234" s="14"/>
      <c r="CL234" s="14"/>
      <c r="CM234" s="14"/>
      <c r="CN234" s="14"/>
      <c r="CO234" s="129"/>
      <c r="CP234" s="14"/>
      <c r="CQ234" s="47"/>
      <c r="CR234" s="14"/>
      <c r="CS234" s="86"/>
      <c r="CT234" s="111"/>
      <c r="CU234" s="86"/>
      <c r="CV234" s="179"/>
      <c r="CW234" s="188"/>
      <c r="CX234" s="179"/>
      <c r="CY234" s="52"/>
      <c r="CZ234" s="52"/>
      <c r="DA234" s="14"/>
      <c r="DB234" s="14"/>
      <c r="DC234" s="14"/>
      <c r="DD234" s="14"/>
      <c r="DE234" s="14"/>
      <c r="DF234" s="14"/>
      <c r="DG234" s="129"/>
      <c r="DH234" s="14"/>
      <c r="DI234" s="47"/>
      <c r="DJ234" s="14"/>
      <c r="DK234" s="14"/>
      <c r="DL234" s="14"/>
      <c r="DM234" s="14"/>
      <c r="DN234" s="14"/>
      <c r="DO234" s="14"/>
      <c r="DP234" s="107" t="s">
        <v>34</v>
      </c>
      <c r="DQ234" s="27">
        <f t="shared" ref="DQ234:DQ239" si="172">SUM(DQ207,DQ180,DQ153,DQ126,DQ99,DQ72)</f>
        <v>1</v>
      </c>
      <c r="DR234" s="41">
        <f t="shared" ref="DR234:DR239" si="173">IF($DQ$239=0,"",DQ234/$DQ$239)</f>
        <v>0.1111111111111111</v>
      </c>
      <c r="DS234" s="14"/>
      <c r="DT234" s="14"/>
      <c r="DU234" s="14"/>
      <c r="DV234" s="14"/>
      <c r="DW234" s="14"/>
      <c r="DX234" s="14"/>
      <c r="DY234" s="14"/>
      <c r="DZ234" s="14"/>
      <c r="EA234" s="14"/>
      <c r="EB234" s="14"/>
      <c r="EC234" s="14"/>
      <c r="ED234" s="14"/>
      <c r="EE234" s="14"/>
      <c r="EF234" s="14"/>
      <c r="EG234" s="14"/>
      <c r="EH234" s="14"/>
      <c r="EI234" s="14"/>
      <c r="EJ234" s="14"/>
      <c r="EK234" s="14"/>
      <c r="EL234" s="14"/>
    </row>
    <row r="235" spans="1:142" x14ac:dyDescent="0.25">
      <c r="A235" s="14"/>
      <c r="B235" s="14"/>
      <c r="C235" s="19"/>
      <c r="D235" s="21"/>
      <c r="E235" s="14"/>
      <c r="F235" s="14"/>
      <c r="G235" s="107" t="s">
        <v>35</v>
      </c>
      <c r="H235" s="27">
        <f>SUM(H208,H181,H154,H127,H100,H73)</f>
        <v>1</v>
      </c>
      <c r="I235" s="41">
        <f t="shared" ref="I235:I239" si="174">IFERROR(H235/H$239,"")</f>
        <v>0.1111111111111111</v>
      </c>
      <c r="J235" s="19"/>
      <c r="K235" s="19"/>
      <c r="L235" s="19"/>
      <c r="M235" s="19"/>
      <c r="N235" s="19"/>
      <c r="O235" s="19"/>
      <c r="P235" s="19"/>
      <c r="Q235" s="47"/>
      <c r="R235" s="19"/>
      <c r="S235" s="14"/>
      <c r="T235" s="14"/>
      <c r="U235" s="14"/>
      <c r="V235" s="14"/>
      <c r="W235" s="14"/>
      <c r="X235" s="107" t="s">
        <v>4</v>
      </c>
      <c r="Y235" s="27">
        <f t="shared" si="167"/>
        <v>2</v>
      </c>
      <c r="Z235" s="41">
        <f t="shared" si="168"/>
        <v>0.2</v>
      </c>
      <c r="AA235" s="14"/>
      <c r="AB235" s="14"/>
      <c r="AC235" s="14"/>
      <c r="AD235" s="65"/>
      <c r="AE235" s="63"/>
      <c r="AF235" s="47"/>
      <c r="AG235" s="19"/>
      <c r="AH235" s="14"/>
      <c r="AI235" s="14"/>
      <c r="AJ235" s="14"/>
      <c r="AK235" s="14"/>
      <c r="AL235" s="14"/>
      <c r="AM235" s="107" t="s">
        <v>4</v>
      </c>
      <c r="AN235" s="27">
        <f t="shared" si="169"/>
        <v>1</v>
      </c>
      <c r="AO235" s="41">
        <f t="shared" ref="AO235:AO241" si="175">IFERROR(AN235/AN$241,0)</f>
        <v>0.16666666666666666</v>
      </c>
      <c r="AP235" s="14"/>
      <c r="AQ235" s="14"/>
      <c r="AR235" s="14"/>
      <c r="AS235" s="65"/>
      <c r="AT235" s="63"/>
      <c r="AU235" s="47"/>
      <c r="AV235" s="14"/>
      <c r="AW235" s="14"/>
      <c r="AX235" s="14"/>
      <c r="AY235" s="14"/>
      <c r="AZ235" s="14"/>
      <c r="BA235" s="14"/>
      <c r="BB235" s="107" t="s">
        <v>4</v>
      </c>
      <c r="BC235" s="27">
        <f t="shared" si="170"/>
        <v>2</v>
      </c>
      <c r="BD235" s="41">
        <f t="shared" ref="BD235:BD241" si="176">IFERROR(BC235/BC$241,0)</f>
        <v>0.33333333333333331</v>
      </c>
      <c r="BE235" s="14"/>
      <c r="BF235" s="14"/>
      <c r="BG235" s="14"/>
      <c r="BH235" s="65"/>
      <c r="BI235" s="63"/>
      <c r="BJ235" s="352"/>
      <c r="BK235" s="19"/>
      <c r="BL235" s="14"/>
      <c r="BM235" s="14"/>
      <c r="BN235" s="14"/>
      <c r="BO235" s="14"/>
      <c r="BP235" s="14"/>
      <c r="BQ235" s="107" t="s">
        <v>4</v>
      </c>
      <c r="BR235" s="27">
        <f t="shared" si="171"/>
        <v>1</v>
      </c>
      <c r="BS235" s="41">
        <f t="shared" ref="BS235:BS241" si="177">IFERROR(BR235/BR$241,0)</f>
        <v>0.16666666666666666</v>
      </c>
      <c r="BT235" s="14"/>
      <c r="BU235" s="14"/>
      <c r="BV235" s="14"/>
      <c r="BW235" s="65"/>
      <c r="BX235" s="63"/>
      <c r="BY235" s="352"/>
      <c r="BZ235" s="14"/>
      <c r="CA235" s="14"/>
      <c r="CB235" s="21"/>
      <c r="CC235" s="21"/>
      <c r="CD235" s="180"/>
      <c r="CE235" s="181"/>
      <c r="CF235" s="97"/>
      <c r="CG235" s="29"/>
      <c r="CH235" s="29"/>
      <c r="CI235" s="14"/>
      <c r="CJ235" s="14"/>
      <c r="CK235" s="14"/>
      <c r="CL235" s="14"/>
      <c r="CM235" s="14"/>
      <c r="CN235" s="14"/>
      <c r="CO235" s="129"/>
      <c r="CP235" s="14"/>
      <c r="CQ235" s="47"/>
      <c r="CR235" s="14"/>
      <c r="CS235" s="14"/>
      <c r="CT235" s="14"/>
      <c r="CU235" s="14"/>
      <c r="CV235" s="180"/>
      <c r="CW235" s="190"/>
      <c r="CX235" s="191"/>
      <c r="CY235" s="52"/>
      <c r="CZ235" s="52"/>
      <c r="DA235" s="14"/>
      <c r="DB235" s="14"/>
      <c r="DC235" s="14"/>
      <c r="DD235" s="14"/>
      <c r="DE235" s="14"/>
      <c r="DF235" s="14"/>
      <c r="DG235" s="129"/>
      <c r="DH235" s="14"/>
      <c r="DI235" s="47"/>
      <c r="DJ235" s="14"/>
      <c r="DK235" s="14"/>
      <c r="DL235" s="14"/>
      <c r="DM235" s="14"/>
      <c r="DN235" s="14"/>
      <c r="DO235" s="14"/>
      <c r="DP235" s="107" t="s">
        <v>35</v>
      </c>
      <c r="DQ235" s="27">
        <f t="shared" si="172"/>
        <v>2</v>
      </c>
      <c r="DR235" s="41">
        <f t="shared" si="173"/>
        <v>0.22222222222222221</v>
      </c>
      <c r="DS235" s="14"/>
      <c r="DT235" s="14"/>
      <c r="DU235" s="14"/>
      <c r="DV235" s="14"/>
      <c r="DW235" s="14"/>
      <c r="DX235" s="14"/>
      <c r="DY235" s="14"/>
      <c r="DZ235" s="14"/>
      <c r="EA235" s="14"/>
      <c r="EB235" s="14"/>
      <c r="EC235" s="14"/>
      <c r="ED235" s="14"/>
      <c r="EE235" s="14"/>
      <c r="EF235" s="14"/>
      <c r="EG235" s="14"/>
      <c r="EH235" s="14"/>
      <c r="EI235" s="14"/>
      <c r="EJ235" s="14"/>
      <c r="EK235" s="14"/>
      <c r="EL235" s="14"/>
    </row>
    <row r="236" spans="1:142" x14ac:dyDescent="0.25">
      <c r="A236" s="14"/>
      <c r="B236" s="14"/>
      <c r="C236" s="19"/>
      <c r="D236" s="21"/>
      <c r="E236" s="14"/>
      <c r="F236" s="14"/>
      <c r="G236" s="107" t="s">
        <v>36</v>
      </c>
      <c r="H236" s="27">
        <f>SUM(H209,H182,H155,H128,H101,H74)</f>
        <v>1</v>
      </c>
      <c r="I236" s="41">
        <f t="shared" si="174"/>
        <v>0.1111111111111111</v>
      </c>
      <c r="J236" s="19"/>
      <c r="K236" s="19"/>
      <c r="L236" s="19"/>
      <c r="M236" s="19"/>
      <c r="N236" s="19"/>
      <c r="O236" s="19"/>
      <c r="P236" s="19"/>
      <c r="Q236" s="47"/>
      <c r="R236" s="19"/>
      <c r="S236" s="14"/>
      <c r="T236" s="14"/>
      <c r="U236" s="14"/>
      <c r="V236" s="14"/>
      <c r="W236" s="14"/>
      <c r="X236" s="107" t="s">
        <v>33</v>
      </c>
      <c r="Y236" s="27">
        <f t="shared" si="167"/>
        <v>1</v>
      </c>
      <c r="Z236" s="41">
        <f t="shared" si="168"/>
        <v>0.1</v>
      </c>
      <c r="AA236" s="14"/>
      <c r="AB236" s="14"/>
      <c r="AC236" s="14"/>
      <c r="AD236" s="65"/>
      <c r="AE236" s="63"/>
      <c r="AF236" s="47"/>
      <c r="AG236" s="19"/>
      <c r="AH236" s="14"/>
      <c r="AI236" s="14"/>
      <c r="AJ236" s="14"/>
      <c r="AK236" s="14"/>
      <c r="AL236" s="14"/>
      <c r="AM236" s="107" t="s">
        <v>33</v>
      </c>
      <c r="AN236" s="27">
        <f t="shared" si="169"/>
        <v>0</v>
      </c>
      <c r="AO236" s="41">
        <f t="shared" si="175"/>
        <v>0</v>
      </c>
      <c r="AP236" s="14"/>
      <c r="AQ236" s="14"/>
      <c r="AR236" s="14"/>
      <c r="AS236" s="65"/>
      <c r="AT236" s="63"/>
      <c r="AU236" s="47"/>
      <c r="AV236" s="14"/>
      <c r="AW236" s="14"/>
      <c r="AX236" s="14"/>
      <c r="AY236" s="14"/>
      <c r="AZ236" s="14"/>
      <c r="BA236" s="14"/>
      <c r="BB236" s="107" t="s">
        <v>33</v>
      </c>
      <c r="BC236" s="27">
        <f t="shared" si="170"/>
        <v>0</v>
      </c>
      <c r="BD236" s="41">
        <f t="shared" si="176"/>
        <v>0</v>
      </c>
      <c r="BE236" s="14"/>
      <c r="BF236" s="14"/>
      <c r="BG236" s="14"/>
      <c r="BH236" s="65"/>
      <c r="BI236" s="63"/>
      <c r="BJ236" s="352"/>
      <c r="BK236" s="19"/>
      <c r="BL236" s="14"/>
      <c r="BM236" s="14"/>
      <c r="BN236" s="14"/>
      <c r="BO236" s="14"/>
      <c r="BP236" s="14"/>
      <c r="BQ236" s="107" t="s">
        <v>33</v>
      </c>
      <c r="BR236" s="27">
        <f t="shared" si="171"/>
        <v>1</v>
      </c>
      <c r="BS236" s="41">
        <f t="shared" si="177"/>
        <v>0.16666666666666666</v>
      </c>
      <c r="BT236" s="14"/>
      <c r="BU236" s="14"/>
      <c r="BV236" s="14"/>
      <c r="BW236" s="65"/>
      <c r="BX236" s="63"/>
      <c r="BY236" s="352"/>
      <c r="BZ236" s="14"/>
      <c r="CA236" s="14"/>
      <c r="CB236" s="21"/>
      <c r="CC236" s="21"/>
      <c r="CD236" s="180"/>
      <c r="CE236" s="181"/>
      <c r="CF236" s="97"/>
      <c r="CG236" s="29"/>
      <c r="CH236" s="29"/>
      <c r="CI236" s="14"/>
      <c r="CJ236" s="14"/>
      <c r="CK236" s="14"/>
      <c r="CL236" s="14"/>
      <c r="CM236" s="14"/>
      <c r="CN236" s="14"/>
      <c r="CO236" s="129"/>
      <c r="CP236" s="14"/>
      <c r="CQ236" s="47"/>
      <c r="CR236" s="14"/>
      <c r="CS236" s="14"/>
      <c r="CT236" s="14"/>
      <c r="CU236" s="14"/>
      <c r="CV236" s="180"/>
      <c r="CW236" s="190"/>
      <c r="CX236" s="191"/>
      <c r="CY236" s="52"/>
      <c r="CZ236" s="52"/>
      <c r="DA236" s="14"/>
      <c r="DB236" s="14"/>
      <c r="DC236" s="14"/>
      <c r="DD236" s="14"/>
      <c r="DE236" s="14"/>
      <c r="DF236" s="14"/>
      <c r="DG236" s="129"/>
      <c r="DH236" s="14"/>
      <c r="DI236" s="47"/>
      <c r="DJ236" s="14"/>
      <c r="DK236" s="14"/>
      <c r="DL236" s="14"/>
      <c r="DM236" s="14"/>
      <c r="DN236" s="14"/>
      <c r="DO236" s="14"/>
      <c r="DP236" s="107" t="s">
        <v>36</v>
      </c>
      <c r="DQ236" s="27">
        <f t="shared" si="172"/>
        <v>3</v>
      </c>
      <c r="DR236" s="41">
        <f t="shared" si="173"/>
        <v>0.33333333333333331</v>
      </c>
      <c r="DS236" s="14"/>
      <c r="DT236" s="14"/>
      <c r="DU236" s="14"/>
      <c r="DV236" s="14"/>
      <c r="DW236" s="14"/>
      <c r="DX236" s="14"/>
      <c r="DY236" s="14"/>
      <c r="DZ236" s="14"/>
      <c r="EA236" s="14"/>
      <c r="EB236" s="14"/>
      <c r="EC236" s="14"/>
      <c r="ED236" s="14"/>
      <c r="EE236" s="14"/>
      <c r="EF236" s="14"/>
      <c r="EG236" s="14"/>
      <c r="EH236" s="14"/>
      <c r="EI236" s="14"/>
      <c r="EJ236" s="14"/>
      <c r="EK236" s="14"/>
      <c r="EL236" s="14"/>
    </row>
    <row r="237" spans="1:142" x14ac:dyDescent="0.25">
      <c r="A237" s="14"/>
      <c r="B237" s="14"/>
      <c r="C237" s="19"/>
      <c r="D237" s="21"/>
      <c r="E237" s="14"/>
      <c r="F237" s="14"/>
      <c r="G237" s="107" t="s">
        <v>38</v>
      </c>
      <c r="H237" s="27">
        <f>SUM(H210,H183,H156,H129,H102,H75)</f>
        <v>0</v>
      </c>
      <c r="I237" s="41">
        <f t="shared" si="174"/>
        <v>0</v>
      </c>
      <c r="J237" s="19"/>
      <c r="K237" s="19"/>
      <c r="L237" s="19"/>
      <c r="M237" s="19"/>
      <c r="N237" s="19"/>
      <c r="O237" s="19"/>
      <c r="P237" s="19"/>
      <c r="Q237" s="47"/>
      <c r="R237" s="19"/>
      <c r="S237" s="14"/>
      <c r="T237" s="14"/>
      <c r="U237" s="14"/>
      <c r="V237" s="14"/>
      <c r="W237" s="14"/>
      <c r="X237" s="107" t="s">
        <v>29</v>
      </c>
      <c r="Y237" s="27">
        <f t="shared" si="167"/>
        <v>0</v>
      </c>
      <c r="Z237" s="41">
        <f t="shared" si="168"/>
        <v>0</v>
      </c>
      <c r="AA237" s="14"/>
      <c r="AB237" s="14"/>
      <c r="AC237" s="14"/>
      <c r="AD237" s="65"/>
      <c r="AE237" s="63"/>
      <c r="AF237" s="47"/>
      <c r="AG237" s="19"/>
      <c r="AH237" s="14"/>
      <c r="AI237" s="14"/>
      <c r="AJ237" s="14"/>
      <c r="AK237" s="14"/>
      <c r="AL237" s="14"/>
      <c r="AM237" s="107" t="s">
        <v>29</v>
      </c>
      <c r="AN237" s="27">
        <f t="shared" si="169"/>
        <v>0</v>
      </c>
      <c r="AO237" s="41">
        <f t="shared" si="175"/>
        <v>0</v>
      </c>
      <c r="AP237" s="14"/>
      <c r="AQ237" s="14"/>
      <c r="AR237" s="14"/>
      <c r="AS237" s="65"/>
      <c r="AT237" s="63"/>
      <c r="AU237" s="47"/>
      <c r="AV237" s="14"/>
      <c r="AW237" s="14"/>
      <c r="AX237" s="14"/>
      <c r="AY237" s="14"/>
      <c r="AZ237" s="14"/>
      <c r="BA237" s="14"/>
      <c r="BB237" s="107" t="s">
        <v>29</v>
      </c>
      <c r="BC237" s="27">
        <f t="shared" si="170"/>
        <v>0</v>
      </c>
      <c r="BD237" s="41">
        <f t="shared" si="176"/>
        <v>0</v>
      </c>
      <c r="BE237" s="14"/>
      <c r="BF237" s="14"/>
      <c r="BG237" s="14"/>
      <c r="BH237" s="65"/>
      <c r="BI237" s="63"/>
      <c r="BJ237" s="352"/>
      <c r="BK237" s="19"/>
      <c r="BL237" s="14"/>
      <c r="BM237" s="14"/>
      <c r="BN237" s="14"/>
      <c r="BO237" s="14"/>
      <c r="BP237" s="14"/>
      <c r="BQ237" s="107" t="s">
        <v>29</v>
      </c>
      <c r="BR237" s="27">
        <f t="shared" si="171"/>
        <v>0</v>
      </c>
      <c r="BS237" s="41">
        <f t="shared" si="177"/>
        <v>0</v>
      </c>
      <c r="BT237" s="14"/>
      <c r="BU237" s="14"/>
      <c r="BV237" s="14"/>
      <c r="BW237" s="65"/>
      <c r="BX237" s="63"/>
      <c r="BY237" s="352"/>
      <c r="BZ237" s="14"/>
      <c r="CA237" s="14"/>
      <c r="CB237" s="21"/>
      <c r="CC237" s="21"/>
      <c r="CD237" s="180"/>
      <c r="CE237" s="181"/>
      <c r="CF237" s="97"/>
      <c r="CG237" s="29"/>
      <c r="CH237" s="29"/>
      <c r="CI237" s="14"/>
      <c r="CJ237" s="14"/>
      <c r="CK237" s="14"/>
      <c r="CL237" s="14"/>
      <c r="CM237" s="14"/>
      <c r="CN237" s="14"/>
      <c r="CO237" s="129"/>
      <c r="CP237" s="14"/>
      <c r="CQ237" s="47"/>
      <c r="CR237" s="14"/>
      <c r="CS237" s="14"/>
      <c r="CT237" s="14"/>
      <c r="CU237" s="14"/>
      <c r="CV237" s="180"/>
      <c r="CW237" s="190"/>
      <c r="CX237" s="191"/>
      <c r="CY237" s="52"/>
      <c r="CZ237" s="52"/>
      <c r="DA237" s="14"/>
      <c r="DB237" s="14"/>
      <c r="DC237" s="14"/>
      <c r="DD237" s="14"/>
      <c r="DE237" s="14"/>
      <c r="DF237" s="14"/>
      <c r="DG237" s="129"/>
      <c r="DH237" s="14"/>
      <c r="DI237" s="47"/>
      <c r="DJ237" s="14"/>
      <c r="DK237" s="14"/>
      <c r="DL237" s="14"/>
      <c r="DM237" s="14"/>
      <c r="DN237" s="14"/>
      <c r="DO237" s="14"/>
      <c r="DP237" s="107" t="s">
        <v>38</v>
      </c>
      <c r="DQ237" s="27">
        <f t="shared" si="172"/>
        <v>3</v>
      </c>
      <c r="DR237" s="41">
        <f t="shared" si="173"/>
        <v>0.33333333333333331</v>
      </c>
      <c r="DS237" s="14"/>
      <c r="DT237" s="14"/>
      <c r="DU237" s="14"/>
      <c r="DV237" s="14"/>
      <c r="DW237" s="14"/>
      <c r="DX237" s="14"/>
      <c r="DY237" s="14"/>
      <c r="DZ237" s="14"/>
      <c r="EA237" s="14"/>
      <c r="EB237" s="14"/>
      <c r="EC237" s="14"/>
      <c r="ED237" s="14"/>
      <c r="EE237" s="14"/>
      <c r="EF237" s="14"/>
      <c r="EG237" s="14"/>
      <c r="EH237" s="14"/>
      <c r="EI237" s="14"/>
      <c r="EJ237" s="14"/>
      <c r="EK237" s="14"/>
      <c r="EL237" s="14"/>
    </row>
    <row r="238" spans="1:142" x14ac:dyDescent="0.25">
      <c r="A238" s="14"/>
      <c r="B238" s="14"/>
      <c r="C238" s="19"/>
      <c r="D238" s="21"/>
      <c r="E238" s="14"/>
      <c r="F238" s="14"/>
      <c r="G238" s="107" t="s">
        <v>39</v>
      </c>
      <c r="H238" s="27">
        <f>SUM(H211,H184,H157,H130,H103,H76)</f>
        <v>4</v>
      </c>
      <c r="I238" s="41">
        <f t="shared" si="174"/>
        <v>0.44444444444444442</v>
      </c>
      <c r="J238" s="19"/>
      <c r="K238" s="19"/>
      <c r="L238" s="19"/>
      <c r="M238" s="19"/>
      <c r="N238" s="19"/>
      <c r="O238" s="19"/>
      <c r="P238" s="19"/>
      <c r="Q238" s="47"/>
      <c r="R238" s="19"/>
      <c r="S238" s="14"/>
      <c r="T238" s="14"/>
      <c r="U238" s="14"/>
      <c r="V238" s="14"/>
      <c r="W238" s="14"/>
      <c r="X238" s="107" t="s">
        <v>3</v>
      </c>
      <c r="Y238" s="27">
        <f t="shared" si="167"/>
        <v>1</v>
      </c>
      <c r="Z238" s="41">
        <f t="shared" si="168"/>
        <v>0.1</v>
      </c>
      <c r="AA238" s="14"/>
      <c r="AB238" s="14"/>
      <c r="AC238" s="14"/>
      <c r="AD238" s="65"/>
      <c r="AE238" s="63"/>
      <c r="AF238" s="47"/>
      <c r="AG238" s="19"/>
      <c r="AH238" s="14"/>
      <c r="AI238" s="14"/>
      <c r="AJ238" s="14"/>
      <c r="AK238" s="14"/>
      <c r="AL238" s="14"/>
      <c r="AM238" s="107" t="s">
        <v>3</v>
      </c>
      <c r="AN238" s="27">
        <f t="shared" si="169"/>
        <v>0</v>
      </c>
      <c r="AO238" s="41">
        <f t="shared" si="175"/>
        <v>0</v>
      </c>
      <c r="AP238" s="14"/>
      <c r="AQ238" s="14"/>
      <c r="AR238" s="14"/>
      <c r="AS238" s="65"/>
      <c r="AT238" s="63"/>
      <c r="AU238" s="47"/>
      <c r="AV238" s="14"/>
      <c r="AW238" s="14"/>
      <c r="AX238" s="14"/>
      <c r="AY238" s="14"/>
      <c r="AZ238" s="14"/>
      <c r="BA238" s="14"/>
      <c r="BB238" s="107" t="s">
        <v>3</v>
      </c>
      <c r="BC238" s="27">
        <f t="shared" si="170"/>
        <v>0</v>
      </c>
      <c r="BD238" s="41">
        <f t="shared" si="176"/>
        <v>0</v>
      </c>
      <c r="BE238" s="14"/>
      <c r="BF238" s="14"/>
      <c r="BG238" s="14"/>
      <c r="BH238" s="65"/>
      <c r="BI238" s="63"/>
      <c r="BJ238" s="352"/>
      <c r="BK238" s="19"/>
      <c r="BL238" s="14"/>
      <c r="BM238" s="14"/>
      <c r="BN238" s="14"/>
      <c r="BO238" s="14"/>
      <c r="BP238" s="14"/>
      <c r="BQ238" s="107" t="s">
        <v>3</v>
      </c>
      <c r="BR238" s="27">
        <f t="shared" si="171"/>
        <v>1</v>
      </c>
      <c r="BS238" s="41">
        <f t="shared" si="177"/>
        <v>0.16666666666666666</v>
      </c>
      <c r="BT238" s="14"/>
      <c r="BU238" s="14"/>
      <c r="BV238" s="14"/>
      <c r="BW238" s="65"/>
      <c r="BX238" s="63"/>
      <c r="BY238" s="352"/>
      <c r="BZ238" s="14"/>
      <c r="CA238" s="14"/>
      <c r="CB238" s="21"/>
      <c r="CC238" s="21"/>
      <c r="CD238" s="180"/>
      <c r="CE238" s="181"/>
      <c r="CF238" s="97"/>
      <c r="CG238" s="29"/>
      <c r="CH238" s="29"/>
      <c r="CI238" s="14"/>
      <c r="CJ238" s="14"/>
      <c r="CK238" s="14"/>
      <c r="CL238" s="14"/>
      <c r="CM238" s="14"/>
      <c r="CN238" s="14"/>
      <c r="CO238" s="129"/>
      <c r="CP238" s="14"/>
      <c r="CQ238" s="47"/>
      <c r="CR238" s="14"/>
      <c r="CS238" s="14"/>
      <c r="CT238" s="14"/>
      <c r="CU238" s="14"/>
      <c r="CV238" s="180"/>
      <c r="CW238" s="190"/>
      <c r="CX238" s="191"/>
      <c r="CY238" s="52"/>
      <c r="CZ238" s="52"/>
      <c r="DA238" s="14"/>
      <c r="DB238" s="14"/>
      <c r="DC238" s="14"/>
      <c r="DD238" s="14"/>
      <c r="DE238" s="14"/>
      <c r="DF238" s="14"/>
      <c r="DG238" s="129"/>
      <c r="DH238" s="14"/>
      <c r="DI238" s="47"/>
      <c r="DJ238" s="14"/>
      <c r="DK238" s="14"/>
      <c r="DL238" s="14"/>
      <c r="DM238" s="14"/>
      <c r="DN238" s="14"/>
      <c r="DO238" s="14"/>
      <c r="DP238" s="107" t="s">
        <v>39</v>
      </c>
      <c r="DQ238" s="27">
        <f t="shared" si="172"/>
        <v>0</v>
      </c>
      <c r="DR238" s="41">
        <f t="shared" si="173"/>
        <v>0</v>
      </c>
      <c r="DS238" s="14"/>
      <c r="DT238" s="14"/>
      <c r="DU238" s="14"/>
      <c r="DV238" s="14"/>
      <c r="DW238" s="14"/>
      <c r="DX238" s="14"/>
      <c r="DY238" s="14"/>
      <c r="DZ238" s="14"/>
      <c r="EA238" s="14"/>
      <c r="EB238" s="14"/>
      <c r="EC238" s="14"/>
      <c r="ED238" s="14"/>
      <c r="EE238" s="14"/>
      <c r="EF238" s="14"/>
      <c r="EG238" s="14"/>
      <c r="EH238" s="14"/>
      <c r="EI238" s="14"/>
      <c r="EJ238" s="14"/>
      <c r="EK238" s="14"/>
      <c r="EL238" s="14"/>
    </row>
    <row r="239" spans="1:142" x14ac:dyDescent="0.25">
      <c r="A239" s="14"/>
      <c r="B239" s="14"/>
      <c r="C239" s="19"/>
      <c r="D239" s="21"/>
      <c r="E239" s="14"/>
      <c r="F239" s="14"/>
      <c r="G239" s="86" t="s">
        <v>145</v>
      </c>
      <c r="H239" s="111">
        <f>SUM(H234:H238)</f>
        <v>9</v>
      </c>
      <c r="I239" s="119">
        <f t="shared" si="174"/>
        <v>1</v>
      </c>
      <c r="J239" s="19"/>
      <c r="K239" s="19"/>
      <c r="L239" s="19"/>
      <c r="M239" s="19"/>
      <c r="N239" s="19"/>
      <c r="O239" s="19"/>
      <c r="P239" s="19"/>
      <c r="Q239" s="47"/>
      <c r="R239" s="19"/>
      <c r="S239" s="14"/>
      <c r="T239" s="14"/>
      <c r="U239" s="14"/>
      <c r="V239" s="14"/>
      <c r="W239" s="14"/>
      <c r="X239" s="107" t="s">
        <v>54</v>
      </c>
      <c r="Y239" s="27">
        <f t="shared" si="167"/>
        <v>0</v>
      </c>
      <c r="Z239" s="41">
        <f t="shared" si="168"/>
        <v>0</v>
      </c>
      <c r="AA239" s="14"/>
      <c r="AB239" s="14"/>
      <c r="AC239" s="14"/>
      <c r="AD239" s="65"/>
      <c r="AE239" s="63"/>
      <c r="AF239" s="47"/>
      <c r="AG239" s="19"/>
      <c r="AH239" s="14"/>
      <c r="AI239" s="14"/>
      <c r="AJ239" s="14"/>
      <c r="AK239" s="14"/>
      <c r="AL239" s="14"/>
      <c r="AM239" s="107" t="s">
        <v>54</v>
      </c>
      <c r="AN239" s="27">
        <f t="shared" si="169"/>
        <v>0</v>
      </c>
      <c r="AO239" s="41">
        <f t="shared" si="175"/>
        <v>0</v>
      </c>
      <c r="AP239" s="14"/>
      <c r="AQ239" s="14"/>
      <c r="AR239" s="14"/>
      <c r="AS239" s="65"/>
      <c r="AT239" s="63"/>
      <c r="AU239" s="47"/>
      <c r="AV239" s="14"/>
      <c r="AW239" s="14"/>
      <c r="AX239" s="14"/>
      <c r="AY239" s="14"/>
      <c r="AZ239" s="14"/>
      <c r="BA239" s="14"/>
      <c r="BB239" s="107" t="s">
        <v>54</v>
      </c>
      <c r="BC239" s="27">
        <f t="shared" si="170"/>
        <v>0</v>
      </c>
      <c r="BD239" s="41">
        <f t="shared" si="176"/>
        <v>0</v>
      </c>
      <c r="BE239" s="14"/>
      <c r="BF239" s="14"/>
      <c r="BG239" s="14"/>
      <c r="BH239" s="65"/>
      <c r="BI239" s="63"/>
      <c r="BJ239" s="352"/>
      <c r="BK239" s="19"/>
      <c r="BL239" s="14"/>
      <c r="BM239" s="14"/>
      <c r="BN239" s="14"/>
      <c r="BO239" s="14"/>
      <c r="BP239" s="14"/>
      <c r="BQ239" s="107" t="s">
        <v>54</v>
      </c>
      <c r="BR239" s="27">
        <f t="shared" si="171"/>
        <v>0</v>
      </c>
      <c r="BS239" s="41">
        <f t="shared" si="177"/>
        <v>0</v>
      </c>
      <c r="BT239" s="14"/>
      <c r="BU239" s="14"/>
      <c r="BV239" s="14"/>
      <c r="BW239" s="65"/>
      <c r="BX239" s="63"/>
      <c r="BY239" s="352"/>
      <c r="BZ239" s="14"/>
      <c r="CA239" s="14"/>
      <c r="CB239" s="21"/>
      <c r="CC239" s="21"/>
      <c r="CD239" s="180"/>
      <c r="CE239" s="181"/>
      <c r="CF239" s="97"/>
      <c r="CG239" s="29"/>
      <c r="CH239" s="29"/>
      <c r="CI239" s="14"/>
      <c r="CJ239" s="14"/>
      <c r="CK239" s="14"/>
      <c r="CL239" s="14"/>
      <c r="CM239" s="14"/>
      <c r="CN239" s="14"/>
      <c r="CO239" s="129"/>
      <c r="CP239" s="14"/>
      <c r="CQ239" s="47"/>
      <c r="CR239" s="14"/>
      <c r="CS239" s="14"/>
      <c r="CT239" s="14"/>
      <c r="CU239" s="14"/>
      <c r="CV239" s="180"/>
      <c r="CW239" s="190"/>
      <c r="CX239" s="191"/>
      <c r="CY239" s="52"/>
      <c r="CZ239" s="52"/>
      <c r="DA239" s="14"/>
      <c r="DB239" s="14"/>
      <c r="DC239" s="14"/>
      <c r="DD239" s="14"/>
      <c r="DE239" s="14"/>
      <c r="DF239" s="14"/>
      <c r="DG239" s="129"/>
      <c r="DH239" s="14"/>
      <c r="DI239" s="47"/>
      <c r="DJ239" s="14"/>
      <c r="DK239" s="14"/>
      <c r="DL239" s="14"/>
      <c r="DM239" s="14"/>
      <c r="DN239" s="14"/>
      <c r="DO239" s="14"/>
      <c r="DP239" s="86" t="s">
        <v>145</v>
      </c>
      <c r="DQ239" s="111">
        <f t="shared" si="172"/>
        <v>9</v>
      </c>
      <c r="DR239" s="119">
        <f t="shared" si="173"/>
        <v>1</v>
      </c>
      <c r="DS239" s="14"/>
      <c r="DT239" s="14"/>
      <c r="DU239" s="14"/>
      <c r="DV239" s="14"/>
      <c r="DW239" s="14"/>
      <c r="DX239" s="14"/>
      <c r="DY239" s="14"/>
      <c r="DZ239" s="14"/>
      <c r="EA239" s="14"/>
      <c r="EB239" s="14"/>
      <c r="EC239" s="14"/>
      <c r="ED239" s="14"/>
      <c r="EE239" s="14"/>
      <c r="EF239" s="14"/>
      <c r="EG239" s="14"/>
      <c r="EH239" s="14"/>
      <c r="EI239" s="14"/>
      <c r="EJ239" s="14"/>
      <c r="EK239" s="14"/>
      <c r="EL239" s="14"/>
    </row>
    <row r="240" spans="1:142" ht="13.5" customHeight="1" x14ac:dyDescent="0.25">
      <c r="A240" s="14"/>
      <c r="B240" s="14"/>
      <c r="C240" s="14"/>
      <c r="D240" s="21"/>
      <c r="E240" s="14"/>
      <c r="F240" s="14"/>
      <c r="G240" s="14"/>
      <c r="H240" s="21"/>
      <c r="I240" s="21"/>
      <c r="J240" s="14"/>
      <c r="K240" s="14"/>
      <c r="L240" s="14"/>
      <c r="M240" s="14"/>
      <c r="N240" s="14"/>
      <c r="O240" s="14"/>
      <c r="P240" s="14"/>
      <c r="Q240" s="47"/>
      <c r="R240" s="19"/>
      <c r="S240" s="14"/>
      <c r="T240" s="14"/>
      <c r="U240" s="14"/>
      <c r="V240" s="14"/>
      <c r="W240" s="14"/>
      <c r="X240" s="107" t="s">
        <v>39</v>
      </c>
      <c r="Y240" s="27">
        <f t="shared" si="167"/>
        <v>3</v>
      </c>
      <c r="Z240" s="41">
        <f t="shared" si="168"/>
        <v>0.3</v>
      </c>
      <c r="AA240" s="14"/>
      <c r="AB240" s="14"/>
      <c r="AC240" s="14"/>
      <c r="AD240" s="65"/>
      <c r="AE240" s="63"/>
      <c r="AF240" s="47"/>
      <c r="AG240" s="19"/>
      <c r="AH240" s="14"/>
      <c r="AI240" s="14"/>
      <c r="AJ240" s="14"/>
      <c r="AK240" s="14"/>
      <c r="AL240" s="14"/>
      <c r="AM240" s="107" t="s">
        <v>39</v>
      </c>
      <c r="AN240" s="27">
        <f t="shared" si="169"/>
        <v>0</v>
      </c>
      <c r="AO240" s="41">
        <f t="shared" si="175"/>
        <v>0</v>
      </c>
      <c r="AP240" s="14"/>
      <c r="AQ240" s="14"/>
      <c r="AR240" s="14"/>
      <c r="AS240" s="65"/>
      <c r="AT240" s="63"/>
      <c r="AU240" s="47"/>
      <c r="AV240" s="14"/>
      <c r="AW240" s="14"/>
      <c r="AX240" s="14"/>
      <c r="AY240" s="14"/>
      <c r="AZ240" s="14"/>
      <c r="BA240" s="14"/>
      <c r="BB240" s="107" t="s">
        <v>39</v>
      </c>
      <c r="BC240" s="27">
        <f t="shared" si="170"/>
        <v>0</v>
      </c>
      <c r="BD240" s="41">
        <f t="shared" si="176"/>
        <v>0</v>
      </c>
      <c r="BE240" s="14"/>
      <c r="BF240" s="14"/>
      <c r="BG240" s="14"/>
      <c r="BH240" s="65"/>
      <c r="BI240" s="63"/>
      <c r="BJ240" s="352"/>
      <c r="BK240" s="19"/>
      <c r="BL240" s="14"/>
      <c r="BM240" s="14"/>
      <c r="BN240" s="14"/>
      <c r="BO240" s="14"/>
      <c r="BP240" s="14"/>
      <c r="BQ240" s="107" t="s">
        <v>39</v>
      </c>
      <c r="BR240" s="27">
        <f t="shared" si="171"/>
        <v>0</v>
      </c>
      <c r="BS240" s="41">
        <f t="shared" si="177"/>
        <v>0</v>
      </c>
      <c r="BT240" s="14"/>
      <c r="BU240" s="14"/>
      <c r="BV240" s="14"/>
      <c r="BW240" s="65"/>
      <c r="BX240" s="63"/>
      <c r="BY240" s="352"/>
      <c r="BZ240" s="14"/>
      <c r="CA240" s="14"/>
      <c r="CB240" s="21"/>
      <c r="CC240" s="21"/>
      <c r="CD240" s="180"/>
      <c r="CE240" s="181"/>
      <c r="CF240" s="97"/>
      <c r="CG240" s="29"/>
      <c r="CH240" s="29"/>
      <c r="CI240" s="14"/>
      <c r="CJ240" s="14"/>
      <c r="CK240" s="14"/>
      <c r="CL240" s="14"/>
      <c r="CM240" s="14"/>
      <c r="CN240" s="14"/>
      <c r="CO240" s="129"/>
      <c r="CP240" s="14"/>
      <c r="CQ240" s="47"/>
      <c r="CR240" s="14"/>
      <c r="CS240" s="14"/>
      <c r="CT240" s="14"/>
      <c r="CU240" s="14"/>
      <c r="CV240" s="180"/>
      <c r="CW240" s="190"/>
      <c r="CX240" s="191"/>
      <c r="CY240" s="52"/>
      <c r="CZ240" s="52"/>
      <c r="DA240" s="14"/>
      <c r="DB240" s="14"/>
      <c r="DC240" s="14"/>
      <c r="DD240" s="14"/>
      <c r="DE240" s="14"/>
      <c r="DF240" s="14"/>
      <c r="DG240" s="129"/>
      <c r="DH240" s="14"/>
      <c r="DI240" s="47"/>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row>
    <row r="241" spans="1:142" x14ac:dyDescent="0.25">
      <c r="A241" s="14"/>
      <c r="B241" s="14"/>
      <c r="C241" s="14"/>
      <c r="D241" s="21"/>
      <c r="E241" s="14"/>
      <c r="F241" s="14"/>
      <c r="G241" s="14"/>
      <c r="H241" s="21"/>
      <c r="I241" s="21"/>
      <c r="J241" s="14"/>
      <c r="K241" s="14"/>
      <c r="L241" s="14"/>
      <c r="M241" s="14"/>
      <c r="N241" s="14"/>
      <c r="O241" s="14"/>
      <c r="P241" s="14"/>
      <c r="Q241" s="47"/>
      <c r="R241" s="19"/>
      <c r="S241" s="14"/>
      <c r="T241" s="14"/>
      <c r="U241" s="14"/>
      <c r="V241" s="14"/>
      <c r="W241" s="14"/>
      <c r="X241" s="86" t="s">
        <v>145</v>
      </c>
      <c r="Y241" s="111">
        <f t="shared" si="167"/>
        <v>10</v>
      </c>
      <c r="Z241" s="119">
        <f t="shared" si="168"/>
        <v>1</v>
      </c>
      <c r="AA241" s="14"/>
      <c r="AB241" s="14"/>
      <c r="AC241" s="14"/>
      <c r="AD241" s="65"/>
      <c r="AE241" s="63"/>
      <c r="AF241" s="47"/>
      <c r="AG241" s="19"/>
      <c r="AH241" s="14"/>
      <c r="AI241" s="14"/>
      <c r="AJ241" s="14"/>
      <c r="AK241" s="14"/>
      <c r="AL241" s="14"/>
      <c r="AM241" s="86" t="s">
        <v>145</v>
      </c>
      <c r="AN241" s="111">
        <f t="shared" si="169"/>
        <v>6</v>
      </c>
      <c r="AO241" s="119">
        <f t="shared" si="175"/>
        <v>1</v>
      </c>
      <c r="AP241" s="14"/>
      <c r="AQ241" s="14"/>
      <c r="AR241" s="14"/>
      <c r="AS241" s="65"/>
      <c r="AT241" s="63"/>
      <c r="AU241" s="47"/>
      <c r="AV241" s="14"/>
      <c r="AW241" s="14"/>
      <c r="AX241" s="14"/>
      <c r="AY241" s="14"/>
      <c r="AZ241" s="14"/>
      <c r="BA241" s="14"/>
      <c r="BB241" s="86" t="s">
        <v>145</v>
      </c>
      <c r="BC241" s="111">
        <f t="shared" si="170"/>
        <v>6</v>
      </c>
      <c r="BD241" s="119">
        <f t="shared" si="176"/>
        <v>1</v>
      </c>
      <c r="BE241" s="14"/>
      <c r="BF241" s="14"/>
      <c r="BG241" s="14"/>
      <c r="BH241" s="65"/>
      <c r="BI241" s="63"/>
      <c r="BJ241" s="352"/>
      <c r="BK241" s="19"/>
      <c r="BL241" s="14"/>
      <c r="BM241" s="14"/>
      <c r="BN241" s="14"/>
      <c r="BO241" s="14"/>
      <c r="BP241" s="14"/>
      <c r="BQ241" s="86" t="s">
        <v>145</v>
      </c>
      <c r="BR241" s="111">
        <f t="shared" si="171"/>
        <v>6</v>
      </c>
      <c r="BS241" s="119">
        <f t="shared" si="177"/>
        <v>1</v>
      </c>
      <c r="BT241" s="14"/>
      <c r="BU241" s="14"/>
      <c r="BV241" s="14"/>
      <c r="BW241" s="65"/>
      <c r="BX241" s="63"/>
      <c r="BY241" s="352"/>
      <c r="BZ241" s="14"/>
      <c r="CA241" s="14"/>
      <c r="CB241" s="21"/>
      <c r="CC241" s="21"/>
      <c r="CD241" s="180"/>
      <c r="CE241" s="181"/>
      <c r="CF241" s="97"/>
      <c r="CG241" s="29"/>
      <c r="CH241" s="29"/>
      <c r="CI241" s="14"/>
      <c r="CJ241" s="14"/>
      <c r="CK241" s="14"/>
      <c r="CL241" s="14"/>
      <c r="CM241" s="14"/>
      <c r="CN241" s="14"/>
      <c r="CO241" s="129"/>
      <c r="CP241" s="14"/>
      <c r="CQ241" s="47"/>
      <c r="CR241" s="14"/>
      <c r="CS241" s="14"/>
      <c r="CT241" s="14"/>
      <c r="CU241" s="14"/>
      <c r="CV241" s="180"/>
      <c r="CW241" s="190"/>
      <c r="CX241" s="191"/>
      <c r="CY241" s="52"/>
      <c r="CZ241" s="52"/>
      <c r="DA241" s="14"/>
      <c r="DB241" s="14"/>
      <c r="DC241" s="14"/>
      <c r="DD241" s="14"/>
      <c r="DE241" s="14"/>
      <c r="DF241" s="14"/>
      <c r="DG241" s="129"/>
      <c r="DH241" s="14"/>
      <c r="DI241" s="47"/>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row>
    <row r="242" spans="1:142" x14ac:dyDescent="0.25">
      <c r="A242" s="14"/>
      <c r="B242" s="14"/>
      <c r="C242" s="14"/>
      <c r="D242" s="21"/>
      <c r="E242" s="14"/>
      <c r="F242" s="14"/>
      <c r="G242" s="14"/>
      <c r="H242" s="21"/>
      <c r="I242" s="21"/>
      <c r="J242" s="14"/>
      <c r="K242" s="14"/>
      <c r="L242" s="14"/>
      <c r="M242" s="14"/>
      <c r="N242" s="14"/>
      <c r="O242" s="14"/>
      <c r="P242" s="14"/>
      <c r="Q242" s="47"/>
      <c r="R242" s="19"/>
      <c r="S242" s="14"/>
      <c r="T242" s="14"/>
      <c r="U242" s="14"/>
      <c r="V242" s="14"/>
      <c r="W242" s="14"/>
      <c r="X242" s="14"/>
      <c r="Y242" s="14"/>
      <c r="Z242" s="14"/>
      <c r="AA242" s="14"/>
      <c r="AB242" s="14"/>
      <c r="AC242" s="14"/>
      <c r="AD242" s="65"/>
      <c r="AE242" s="63"/>
      <c r="AF242" s="47"/>
      <c r="AG242" s="19"/>
      <c r="AH242" s="14"/>
      <c r="AI242" s="14"/>
      <c r="AJ242" s="14"/>
      <c r="AK242" s="14"/>
      <c r="AL242" s="14"/>
      <c r="AM242" s="14"/>
      <c r="AN242" s="14"/>
      <c r="AO242" s="14"/>
      <c r="AP242" s="14"/>
      <c r="AQ242" s="14"/>
      <c r="AR242" s="14"/>
      <c r="AS242" s="65"/>
      <c r="AT242" s="63"/>
      <c r="AU242" s="47"/>
      <c r="AV242" s="14"/>
      <c r="AW242" s="14"/>
      <c r="AX242" s="14"/>
      <c r="AY242" s="14"/>
      <c r="AZ242" s="14"/>
      <c r="BA242" s="14"/>
      <c r="BB242" s="14"/>
      <c r="BC242" s="14"/>
      <c r="BD242" s="14"/>
      <c r="BE242" s="14"/>
      <c r="BF242" s="14"/>
      <c r="BG242" s="14"/>
      <c r="BH242" s="65"/>
      <c r="BI242" s="63"/>
      <c r="BJ242" s="352"/>
      <c r="BK242" s="19"/>
      <c r="BL242" s="14"/>
      <c r="BM242" s="14"/>
      <c r="BN242" s="14"/>
      <c r="BO242" s="14"/>
      <c r="BP242" s="14"/>
      <c r="BQ242" s="14"/>
      <c r="BR242" s="14"/>
      <c r="BS242" s="14"/>
      <c r="BT242" s="14"/>
      <c r="BU242" s="14"/>
      <c r="BV242" s="14"/>
      <c r="BW242" s="65"/>
      <c r="BX242" s="63"/>
      <c r="BY242" s="352"/>
      <c r="BZ242" s="14"/>
      <c r="CA242" s="14"/>
      <c r="CB242" s="21"/>
      <c r="CC242" s="21"/>
      <c r="CD242" s="180"/>
      <c r="CE242" s="181"/>
      <c r="CF242" s="97"/>
      <c r="CG242" s="29"/>
      <c r="CH242" s="29"/>
      <c r="CI242" s="14"/>
      <c r="CJ242" s="14"/>
      <c r="CK242" s="14"/>
      <c r="CL242" s="14"/>
      <c r="CM242" s="14"/>
      <c r="CN242" s="14"/>
      <c r="CO242" s="129"/>
      <c r="CP242" s="14"/>
      <c r="CQ242" s="47"/>
      <c r="CR242" s="14"/>
      <c r="CS242" s="14"/>
      <c r="CT242" s="14"/>
      <c r="CU242" s="14"/>
      <c r="CV242" s="180"/>
      <c r="CW242" s="190"/>
      <c r="CX242" s="191"/>
      <c r="CY242" s="31"/>
      <c r="CZ242" s="31"/>
      <c r="DA242" s="14"/>
      <c r="DB242" s="14"/>
      <c r="DC242" s="14"/>
      <c r="DD242" s="14"/>
      <c r="DE242" s="14"/>
      <c r="DF242" s="14"/>
      <c r="DG242" s="129"/>
      <c r="DH242" s="14"/>
      <c r="DI242" s="47"/>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row>
    <row r="243" spans="1:142" x14ac:dyDescent="0.25">
      <c r="A243" s="14"/>
      <c r="B243" s="14"/>
      <c r="C243" s="14"/>
      <c r="D243" s="21"/>
      <c r="E243" s="14"/>
      <c r="F243" s="14"/>
      <c r="G243" s="14"/>
      <c r="H243" s="21"/>
      <c r="I243" s="21"/>
      <c r="J243" s="14"/>
      <c r="K243" s="14"/>
      <c r="L243" s="14"/>
      <c r="M243" s="14"/>
      <c r="N243" s="14"/>
      <c r="O243" s="14"/>
      <c r="P243" s="14"/>
      <c r="Q243" s="47"/>
      <c r="R243" s="19"/>
      <c r="S243" s="14"/>
      <c r="T243" s="14"/>
      <c r="U243" s="14"/>
      <c r="V243" s="14"/>
      <c r="W243" s="14"/>
      <c r="X243" s="14"/>
      <c r="Y243" s="14"/>
      <c r="Z243" s="14"/>
      <c r="AA243" s="14"/>
      <c r="AB243" s="14"/>
      <c r="AC243" s="14"/>
      <c r="AD243" s="65"/>
      <c r="AE243" s="63"/>
      <c r="AF243" s="47"/>
      <c r="AG243" s="19"/>
      <c r="AH243" s="14"/>
      <c r="AI243" s="14"/>
      <c r="AJ243" s="14"/>
      <c r="AK243" s="14"/>
      <c r="AL243" s="14"/>
      <c r="AM243" s="14"/>
      <c r="AN243" s="14"/>
      <c r="AO243" s="14"/>
      <c r="AP243" s="14"/>
      <c r="AQ243" s="14"/>
      <c r="AR243" s="14"/>
      <c r="AS243" s="65"/>
      <c r="AT243" s="63"/>
      <c r="AU243" s="47"/>
      <c r="AV243" s="14"/>
      <c r="AW243" s="14"/>
      <c r="AX243" s="14"/>
      <c r="AY243" s="14"/>
      <c r="AZ243" s="14"/>
      <c r="BA243" s="14"/>
      <c r="BB243" s="14"/>
      <c r="BC243" s="14"/>
      <c r="BD243" s="14"/>
      <c r="BE243" s="14"/>
      <c r="BF243" s="14"/>
      <c r="BG243" s="14"/>
      <c r="BH243" s="65"/>
      <c r="BI243" s="63"/>
      <c r="BJ243" s="352"/>
      <c r="BK243" s="19"/>
      <c r="BL243" s="14"/>
      <c r="BM243" s="14"/>
      <c r="BN243" s="14"/>
      <c r="BO243" s="14"/>
      <c r="BP243" s="14"/>
      <c r="BQ243" s="14"/>
      <c r="BR243" s="14"/>
      <c r="BS243" s="14"/>
      <c r="BT243" s="14"/>
      <c r="BU243" s="14"/>
      <c r="BV243" s="14"/>
      <c r="BW243" s="65"/>
      <c r="BX243" s="63"/>
      <c r="BY243" s="352"/>
      <c r="BZ243" s="14"/>
      <c r="CA243" s="14"/>
      <c r="CB243" s="21"/>
      <c r="CC243" s="21"/>
      <c r="CD243" s="180"/>
      <c r="CE243" s="180"/>
      <c r="CF243" s="21"/>
      <c r="CG243" s="14"/>
      <c r="CH243" s="14"/>
      <c r="CI243" s="14"/>
      <c r="CJ243" s="14"/>
      <c r="CK243" s="14"/>
      <c r="CL243" s="14"/>
      <c r="CM243" s="14"/>
      <c r="CN243" s="14"/>
      <c r="CO243" s="129"/>
      <c r="CP243" s="14"/>
      <c r="CQ243" s="47"/>
      <c r="CR243" s="14"/>
      <c r="CS243" s="14"/>
      <c r="CT243" s="14"/>
      <c r="CU243" s="14"/>
      <c r="CV243" s="180"/>
      <c r="CW243" s="189"/>
      <c r="CX243" s="189"/>
      <c r="CY243" s="14"/>
      <c r="CZ243" s="14"/>
      <c r="DA243" s="14"/>
      <c r="DB243" s="14"/>
      <c r="DC243" s="14"/>
      <c r="DD243" s="14"/>
      <c r="DE243" s="14"/>
      <c r="DF243" s="14"/>
      <c r="DG243" s="129"/>
      <c r="DH243" s="14"/>
      <c r="DI243" s="47"/>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row>
    <row r="244" spans="1:142" x14ac:dyDescent="0.25">
      <c r="A244" s="14"/>
      <c r="B244" s="14"/>
      <c r="C244" s="14"/>
      <c r="D244" s="21"/>
      <c r="E244" s="14"/>
      <c r="F244" s="14"/>
      <c r="G244" s="14"/>
      <c r="H244" s="21"/>
      <c r="I244" s="21"/>
      <c r="J244" s="14"/>
      <c r="K244" s="14"/>
      <c r="L244" s="14"/>
      <c r="M244" s="14"/>
      <c r="N244" s="14"/>
      <c r="O244" s="14"/>
      <c r="P244" s="14"/>
      <c r="Q244" s="47"/>
      <c r="R244" s="19"/>
      <c r="S244" s="14"/>
      <c r="T244" s="14"/>
      <c r="U244" s="14"/>
      <c r="V244" s="14"/>
      <c r="W244" s="14"/>
      <c r="X244" s="14"/>
      <c r="Y244" s="14"/>
      <c r="Z244" s="14"/>
      <c r="AA244" s="14"/>
      <c r="AB244" s="14"/>
      <c r="AC244" s="14"/>
      <c r="AD244" s="65"/>
      <c r="AE244" s="63"/>
      <c r="AF244" s="47"/>
      <c r="AG244" s="19"/>
      <c r="AH244" s="14"/>
      <c r="AI244" s="14"/>
      <c r="AJ244" s="14"/>
      <c r="AK244" s="14"/>
      <c r="AL244" s="14"/>
      <c r="AM244" s="14"/>
      <c r="AN244" s="14"/>
      <c r="AO244" s="14"/>
      <c r="AP244" s="14"/>
      <c r="AQ244" s="14"/>
      <c r="AR244" s="14"/>
      <c r="AS244" s="65"/>
      <c r="AT244" s="63"/>
      <c r="AU244" s="47"/>
      <c r="AV244" s="14"/>
      <c r="AW244" s="14"/>
      <c r="AX244" s="14"/>
      <c r="AY244" s="14"/>
      <c r="AZ244" s="14"/>
      <c r="BA244" s="14"/>
      <c r="BB244" s="14"/>
      <c r="BC244" s="14"/>
      <c r="BD244" s="14"/>
      <c r="BE244" s="14"/>
      <c r="BF244" s="14"/>
      <c r="BG244" s="14"/>
      <c r="BH244" s="65"/>
      <c r="BI244" s="63"/>
      <c r="BJ244" s="352"/>
      <c r="BK244" s="19"/>
      <c r="BL244" s="14"/>
      <c r="BM244" s="14"/>
      <c r="BN244" s="14"/>
      <c r="BO244" s="14"/>
      <c r="BP244" s="14"/>
      <c r="BQ244" s="14"/>
      <c r="BR244" s="14"/>
      <c r="BS244" s="14"/>
      <c r="BT244" s="14"/>
      <c r="BU244" s="14"/>
      <c r="BV244" s="14"/>
      <c r="BW244" s="65"/>
      <c r="BX244" s="63"/>
      <c r="BY244" s="352"/>
      <c r="BZ244" s="14"/>
      <c r="CA244" s="14"/>
      <c r="CB244" s="21"/>
      <c r="CC244" s="21"/>
      <c r="CD244" s="180"/>
      <c r="CE244" s="180"/>
      <c r="CF244" s="21"/>
      <c r="CG244" s="14"/>
      <c r="CH244" s="14"/>
      <c r="CI244" s="14"/>
      <c r="CJ244" s="14"/>
      <c r="CK244" s="14"/>
      <c r="CL244" s="14"/>
      <c r="CM244" s="14"/>
      <c r="CN244" s="14"/>
      <c r="CO244" s="129"/>
      <c r="CP244" s="14"/>
      <c r="CQ244" s="47"/>
      <c r="CR244" s="14"/>
      <c r="CS244" s="14"/>
      <c r="CT244" s="14"/>
      <c r="CU244" s="14"/>
      <c r="CV244" s="180"/>
      <c r="CW244" s="189"/>
      <c r="CX244" s="189"/>
      <c r="CY244" s="14"/>
      <c r="CZ244" s="14"/>
      <c r="DA244" s="14"/>
      <c r="DB244" s="14"/>
      <c r="DC244" s="14"/>
      <c r="DD244" s="14"/>
      <c r="DE244" s="14"/>
      <c r="DF244" s="14"/>
      <c r="DG244" s="129"/>
      <c r="DH244" s="14"/>
      <c r="DI244" s="47"/>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row>
    <row r="245" spans="1:142" s="131" customFormat="1" x14ac:dyDescent="0.25">
      <c r="A245" s="78"/>
      <c r="B245" s="78" t="s">
        <v>156</v>
      </c>
      <c r="C245" s="78"/>
      <c r="D245" s="79"/>
      <c r="E245" s="78"/>
      <c r="F245" s="78"/>
      <c r="G245" s="78"/>
      <c r="H245" s="79"/>
      <c r="I245" s="79"/>
      <c r="J245" s="78"/>
      <c r="K245" s="78"/>
      <c r="L245" s="78"/>
      <c r="M245" s="78"/>
      <c r="N245" s="78"/>
      <c r="O245" s="78"/>
      <c r="P245" s="78"/>
      <c r="Q245" s="82"/>
      <c r="R245" s="83"/>
      <c r="S245" s="78" t="s">
        <v>156</v>
      </c>
      <c r="T245" s="78"/>
      <c r="U245" s="78"/>
      <c r="V245" s="78"/>
      <c r="W245" s="78"/>
      <c r="X245" s="78"/>
      <c r="Y245" s="78"/>
      <c r="Z245" s="78"/>
      <c r="AA245" s="78"/>
      <c r="AB245" s="78"/>
      <c r="AC245" s="78"/>
      <c r="AD245" s="80"/>
      <c r="AE245" s="81"/>
      <c r="AF245" s="82"/>
      <c r="AG245" s="83"/>
      <c r="AH245" s="78" t="s">
        <v>156</v>
      </c>
      <c r="AI245" s="78"/>
      <c r="AJ245" s="78"/>
      <c r="AK245" s="78"/>
      <c r="AL245" s="78"/>
      <c r="AM245" s="78"/>
      <c r="AN245" s="78"/>
      <c r="AO245" s="78"/>
      <c r="AP245" s="78"/>
      <c r="AQ245" s="78"/>
      <c r="AR245" s="78"/>
      <c r="AS245" s="80"/>
      <c r="AT245" s="81"/>
      <c r="AU245" s="82"/>
      <c r="AV245" s="78"/>
      <c r="AW245" s="78" t="s">
        <v>156</v>
      </c>
      <c r="AX245" s="78"/>
      <c r="AY245" s="78"/>
      <c r="AZ245" s="78"/>
      <c r="BA245" s="78"/>
      <c r="BB245" s="78"/>
      <c r="BC245" s="78"/>
      <c r="BD245" s="78"/>
      <c r="BE245" s="78"/>
      <c r="BF245" s="78"/>
      <c r="BG245" s="78"/>
      <c r="BH245" s="80"/>
      <c r="BI245" s="81"/>
      <c r="BJ245" s="373"/>
      <c r="BK245" s="83"/>
      <c r="BL245" s="78" t="s">
        <v>156</v>
      </c>
      <c r="BM245" s="78"/>
      <c r="BN245" s="78"/>
      <c r="BO245" s="78"/>
      <c r="BP245" s="78"/>
      <c r="BQ245" s="78"/>
      <c r="BR245" s="78"/>
      <c r="BS245" s="78"/>
      <c r="BT245" s="78"/>
      <c r="BU245" s="78"/>
      <c r="BV245" s="78"/>
      <c r="BW245" s="80"/>
      <c r="BX245" s="81"/>
      <c r="BY245" s="373"/>
      <c r="BZ245" s="78"/>
      <c r="CA245" s="78"/>
      <c r="CB245" s="79"/>
      <c r="CC245" s="79"/>
      <c r="CD245" s="182"/>
      <c r="CE245" s="182"/>
      <c r="CF245" s="79"/>
      <c r="CG245" s="78"/>
      <c r="CH245" s="78"/>
      <c r="CI245" s="78"/>
      <c r="CJ245" s="78"/>
      <c r="CK245" s="78"/>
      <c r="CL245" s="78"/>
      <c r="CM245" s="78"/>
      <c r="CN245" s="78"/>
      <c r="CO245" s="78"/>
      <c r="CP245" s="78"/>
      <c r="CQ245" s="82"/>
      <c r="CR245" s="78"/>
      <c r="CS245" s="78"/>
      <c r="CT245" s="78"/>
      <c r="CU245" s="78"/>
      <c r="CV245" s="182"/>
      <c r="CW245" s="192"/>
      <c r="CX245" s="192"/>
      <c r="CY245" s="78"/>
      <c r="CZ245" s="78"/>
      <c r="DA245" s="78"/>
      <c r="DB245" s="78"/>
      <c r="DC245" s="78"/>
      <c r="DD245" s="78"/>
      <c r="DE245" s="78"/>
      <c r="DF245" s="78"/>
      <c r="DG245" s="78"/>
      <c r="DH245" s="78"/>
      <c r="DI245" s="82"/>
      <c r="DJ245" s="78"/>
      <c r="DK245" s="78" t="s">
        <v>562</v>
      </c>
      <c r="DL245" s="78"/>
      <c r="DM245" s="78"/>
      <c r="DN245" s="78"/>
      <c r="DO245" s="78"/>
      <c r="DP245" s="78"/>
      <c r="DQ245" s="78"/>
      <c r="DR245" s="78"/>
      <c r="DS245" s="78"/>
      <c r="DT245" s="78"/>
      <c r="DU245" s="78"/>
      <c r="DV245" s="78"/>
      <c r="DW245" s="78"/>
      <c r="DX245" s="78"/>
      <c r="DY245" s="78"/>
      <c r="DZ245" s="78"/>
      <c r="EA245" s="78"/>
      <c r="EB245" s="78"/>
      <c r="EC245" s="78"/>
      <c r="ED245" s="78"/>
      <c r="EE245" s="78"/>
      <c r="EF245" s="78"/>
      <c r="EG245" s="78"/>
      <c r="EH245" s="78"/>
      <c r="EI245" s="78"/>
      <c r="EJ245" s="78"/>
      <c r="EK245" s="78"/>
      <c r="EL245" s="78"/>
    </row>
    <row r="246" spans="1:142" x14ac:dyDescent="0.25">
      <c r="A246" s="14"/>
      <c r="B246" s="14"/>
      <c r="C246" s="14"/>
      <c r="D246" s="21"/>
      <c r="E246" s="14"/>
      <c r="F246" s="14"/>
      <c r="G246" s="14"/>
      <c r="H246" s="21"/>
      <c r="I246" s="21"/>
      <c r="J246" s="14"/>
      <c r="K246" s="14"/>
      <c r="L246" s="14"/>
      <c r="M246" s="14"/>
      <c r="N246" s="14"/>
      <c r="O246" s="14"/>
      <c r="P246" s="14"/>
      <c r="Q246" s="47"/>
      <c r="R246" s="19"/>
      <c r="S246" s="14"/>
      <c r="T246" s="14"/>
      <c r="U246" s="14"/>
      <c r="V246" s="14"/>
      <c r="W246" s="14"/>
      <c r="X246" s="14"/>
      <c r="Y246" s="14"/>
      <c r="Z246" s="14"/>
      <c r="AA246" s="14"/>
      <c r="AB246" s="14"/>
      <c r="AC246" s="14"/>
      <c r="AD246" s="65"/>
      <c r="AE246" s="63"/>
      <c r="AF246" s="47"/>
      <c r="AG246" s="19"/>
      <c r="AH246" s="14"/>
      <c r="AI246" s="14"/>
      <c r="AJ246" s="14"/>
      <c r="AK246" s="14"/>
      <c r="AL246" s="14"/>
      <c r="AM246" s="14"/>
      <c r="AN246" s="14"/>
      <c r="AO246" s="14"/>
      <c r="AP246" s="14"/>
      <c r="AQ246" s="14"/>
      <c r="AR246" s="14"/>
      <c r="AS246" s="65"/>
      <c r="AT246" s="63"/>
      <c r="AU246" s="47"/>
      <c r="AV246" s="14"/>
      <c r="AW246" s="14"/>
      <c r="AX246" s="14"/>
      <c r="AY246" s="14"/>
      <c r="AZ246" s="14"/>
      <c r="BA246" s="14"/>
      <c r="BB246" s="14"/>
      <c r="BC246" s="14"/>
      <c r="BD246" s="14"/>
      <c r="BE246" s="14"/>
      <c r="BF246" s="14"/>
      <c r="BG246" s="14"/>
      <c r="BH246" s="65"/>
      <c r="BI246" s="63"/>
      <c r="BJ246" s="352"/>
      <c r="BK246" s="19"/>
      <c r="BL246" s="14"/>
      <c r="BM246" s="14"/>
      <c r="BN246" s="14"/>
      <c r="BO246" s="14"/>
      <c r="BP246" s="14"/>
      <c r="BQ246" s="14"/>
      <c r="BR246" s="14"/>
      <c r="BS246" s="14"/>
      <c r="BT246" s="14"/>
      <c r="BU246" s="14"/>
      <c r="BV246" s="14"/>
      <c r="BW246" s="65"/>
      <c r="BX246" s="63"/>
      <c r="BY246" s="352"/>
      <c r="BZ246" s="14"/>
      <c r="CA246" s="14"/>
      <c r="CB246" s="21"/>
      <c r="CC246" s="21"/>
      <c r="CD246" s="180"/>
      <c r="CE246" s="180"/>
      <c r="CF246" s="21"/>
      <c r="CG246" s="14"/>
      <c r="CH246" s="14"/>
      <c r="CI246" s="14"/>
      <c r="CJ246" s="14"/>
      <c r="CK246" s="14"/>
      <c r="CL246" s="14"/>
      <c r="CM246" s="14"/>
      <c r="CN246" s="14"/>
      <c r="CO246" s="129"/>
      <c r="CP246" s="14"/>
      <c r="CQ246" s="47"/>
      <c r="CR246" s="14"/>
      <c r="CS246" s="14"/>
      <c r="CT246" s="14"/>
      <c r="CU246" s="14"/>
      <c r="CV246" s="180"/>
      <c r="CW246" s="189"/>
      <c r="CX246" s="189"/>
      <c r="CY246" s="14"/>
      <c r="CZ246" s="14"/>
      <c r="DA246" s="14"/>
      <c r="DB246" s="14"/>
      <c r="DC246" s="14"/>
      <c r="DD246" s="14"/>
      <c r="DE246" s="14"/>
      <c r="DF246" s="14"/>
      <c r="DG246" s="129"/>
      <c r="DH246" s="14"/>
      <c r="DI246" s="47"/>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row>
    <row r="247" spans="1:142" ht="27.6" x14ac:dyDescent="0.25">
      <c r="A247" s="14"/>
      <c r="B247" s="109" t="s">
        <v>14</v>
      </c>
      <c r="C247" s="110" t="str">
        <f>B54</f>
        <v>Forest owners/managers</v>
      </c>
      <c r="D247" s="110" t="str">
        <f>B81</f>
        <v>Pellet producers</v>
      </c>
      <c r="E247" s="110" t="str">
        <f>B108</f>
        <v>Pellet users</v>
      </c>
      <c r="F247" s="110" t="str">
        <f>B135</f>
        <v>Non-bioenergy wood users</v>
      </c>
      <c r="G247" s="110" t="str">
        <f>B162</f>
        <v>Policy makers and academia</v>
      </c>
      <c r="H247" s="110" t="str">
        <f>B189</f>
        <v>NGOs</v>
      </c>
      <c r="I247" s="110" t="s">
        <v>8</v>
      </c>
      <c r="J247" s="14"/>
      <c r="K247" s="14"/>
      <c r="L247" s="14"/>
      <c r="M247" s="14"/>
      <c r="N247" s="14"/>
      <c r="O247" s="14"/>
      <c r="P247" s="14"/>
      <c r="Q247" s="47"/>
      <c r="R247" s="19"/>
      <c r="S247" s="109" t="s">
        <v>14</v>
      </c>
      <c r="T247" s="110" t="str">
        <f>S54</f>
        <v>Forest owners/managers</v>
      </c>
      <c r="U247" s="110" t="str">
        <f>S81</f>
        <v>Pellet producers</v>
      </c>
      <c r="V247" s="110" t="str">
        <f>S108</f>
        <v>Pellet users</v>
      </c>
      <c r="W247" s="110" t="str">
        <f>S135</f>
        <v>Non-bioenergy wood users</v>
      </c>
      <c r="X247" s="110" t="str">
        <f>S162</f>
        <v>Policy makers and academia</v>
      </c>
      <c r="Y247" s="110" t="str">
        <f>S189</f>
        <v>NGOs</v>
      </c>
      <c r="Z247" s="110" t="s">
        <v>8</v>
      </c>
      <c r="AA247" s="56"/>
      <c r="AB247" s="56"/>
      <c r="AC247" s="56"/>
      <c r="AD247" s="65"/>
      <c r="AE247" s="63"/>
      <c r="AF247" s="47"/>
      <c r="AG247" s="19"/>
      <c r="AH247" s="109" t="s">
        <v>14</v>
      </c>
      <c r="AI247" s="110" t="str">
        <f>AH54</f>
        <v>Forest owners/managers</v>
      </c>
      <c r="AJ247" s="110" t="str">
        <f>AH81</f>
        <v>Pellet producers</v>
      </c>
      <c r="AK247" s="110" t="str">
        <f>AH108</f>
        <v>Pellet users</v>
      </c>
      <c r="AL247" s="110" t="str">
        <f>AH135</f>
        <v>Non-bioenergy wood users</v>
      </c>
      <c r="AM247" s="110" t="str">
        <f>AH162</f>
        <v>Policy makers and academia</v>
      </c>
      <c r="AN247" s="110" t="str">
        <f>AH189</f>
        <v>NGOs</v>
      </c>
      <c r="AO247" s="110" t="s">
        <v>8</v>
      </c>
      <c r="AP247" s="56"/>
      <c r="AQ247" s="56"/>
      <c r="AR247" s="56"/>
      <c r="AS247" s="65"/>
      <c r="AT247" s="63"/>
      <c r="AU247" s="47"/>
      <c r="AV247" s="14"/>
      <c r="AW247" s="109" t="s">
        <v>14</v>
      </c>
      <c r="AX247" s="110" t="str">
        <f>AW54</f>
        <v>Forest owners/managers</v>
      </c>
      <c r="AY247" s="110" t="str">
        <f>AW81</f>
        <v>Pellet producers</v>
      </c>
      <c r="AZ247" s="110" t="str">
        <f>AW108</f>
        <v>Pellet users</v>
      </c>
      <c r="BA247" s="110" t="str">
        <f>AW135</f>
        <v>Non-bioenergy wood users</v>
      </c>
      <c r="BB247" s="110" t="str">
        <f>AW162</f>
        <v>Policy makers and academia</v>
      </c>
      <c r="BC247" s="110" t="str">
        <f>AW189</f>
        <v>NGOs</v>
      </c>
      <c r="BD247" s="110" t="s">
        <v>8</v>
      </c>
      <c r="BE247" s="56"/>
      <c r="BF247" s="56"/>
      <c r="BG247" s="56"/>
      <c r="BH247" s="65"/>
      <c r="BI247" s="63"/>
      <c r="BJ247" s="352"/>
      <c r="BK247" s="19"/>
      <c r="BL247" s="109" t="s">
        <v>14</v>
      </c>
      <c r="BM247" s="110" t="str">
        <f>BL54</f>
        <v>Forest owners/managers</v>
      </c>
      <c r="BN247" s="110" t="str">
        <f>BL81</f>
        <v>Pellet producers</v>
      </c>
      <c r="BO247" s="110" t="str">
        <f>BL108</f>
        <v>Pellet users</v>
      </c>
      <c r="BP247" s="110" t="str">
        <f>BL135</f>
        <v>Non-bioenergy wood users</v>
      </c>
      <c r="BQ247" s="110" t="str">
        <f>BL162</f>
        <v>Policy makers and academia</v>
      </c>
      <c r="BR247" s="110" t="str">
        <f>BL189</f>
        <v>NGOs</v>
      </c>
      <c r="BS247" s="110" t="s">
        <v>8</v>
      </c>
      <c r="BT247" s="56"/>
      <c r="BU247" s="56"/>
      <c r="BV247" s="56"/>
      <c r="BW247" s="65"/>
      <c r="BX247" s="63"/>
      <c r="BY247" s="352"/>
      <c r="BZ247" s="14"/>
      <c r="CA247" s="14"/>
      <c r="CB247" s="21"/>
      <c r="CC247" s="21"/>
      <c r="CD247" s="180"/>
      <c r="CE247" s="180"/>
      <c r="CF247" s="21"/>
      <c r="CG247" s="14"/>
      <c r="CH247" s="14"/>
      <c r="CI247" s="14"/>
      <c r="CJ247" s="14"/>
      <c r="CK247" s="14"/>
      <c r="CL247" s="14"/>
      <c r="CM247" s="14"/>
      <c r="CN247" s="14"/>
      <c r="CO247" s="129"/>
      <c r="CP247" s="14"/>
      <c r="CQ247" s="47"/>
      <c r="CR247" s="14"/>
      <c r="CS247" s="14"/>
      <c r="CT247" s="14"/>
      <c r="CU247" s="14"/>
      <c r="CV247" s="180"/>
      <c r="CW247" s="189"/>
      <c r="CX247" s="189"/>
      <c r="CY247" s="14"/>
      <c r="CZ247" s="14"/>
      <c r="DA247" s="14"/>
      <c r="DB247" s="14"/>
      <c r="DC247" s="14"/>
      <c r="DD247" s="14"/>
      <c r="DE247" s="14"/>
      <c r="DF247" s="14"/>
      <c r="DG247" s="129"/>
      <c r="DH247" s="14"/>
      <c r="DI247" s="47"/>
      <c r="DJ247" s="14"/>
      <c r="DK247" s="109" t="s">
        <v>14</v>
      </c>
      <c r="DL247" s="110" t="str">
        <f>DK54</f>
        <v>Forest owners/managers</v>
      </c>
      <c r="DM247" s="110" t="str">
        <f>DK81</f>
        <v>Pellet producers</v>
      </c>
      <c r="DN247" s="110" t="str">
        <f>DK108</f>
        <v>Pellet users</v>
      </c>
      <c r="DO247" s="110" t="str">
        <f>DK135</f>
        <v>Non-bioenergy wood users</v>
      </c>
      <c r="DP247" s="110" t="str">
        <f>DK162</f>
        <v>Policy makers and academia</v>
      </c>
      <c r="DQ247" s="110" t="str">
        <f>DK189</f>
        <v>NGOs</v>
      </c>
      <c r="DR247" s="110" t="s">
        <v>8</v>
      </c>
      <c r="DS247" s="14"/>
      <c r="DT247" s="14"/>
      <c r="DU247" s="14"/>
      <c r="DV247" s="14"/>
      <c r="DW247" s="14"/>
      <c r="DX247" s="14"/>
      <c r="DY247" s="14"/>
      <c r="DZ247" s="14"/>
      <c r="EA247" s="14"/>
      <c r="EB247" s="14"/>
      <c r="EC247" s="14"/>
      <c r="ED247" s="14"/>
      <c r="EE247" s="14"/>
      <c r="EF247" s="14"/>
      <c r="EG247" s="14"/>
      <c r="EH247" s="14"/>
      <c r="EI247" s="14"/>
      <c r="EJ247" s="14"/>
      <c r="EK247" s="14"/>
      <c r="EL247" s="14"/>
    </row>
    <row r="248" spans="1:142" x14ac:dyDescent="0.25">
      <c r="A248" s="14"/>
      <c r="B248" s="107" t="s">
        <v>34</v>
      </c>
      <c r="C248" s="33">
        <f>H72</f>
        <v>1</v>
      </c>
      <c r="D248" s="117">
        <f>H99</f>
        <v>0</v>
      </c>
      <c r="E248" s="116">
        <f>H126</f>
        <v>1</v>
      </c>
      <c r="F248" s="33">
        <f>H153</f>
        <v>0</v>
      </c>
      <c r="G248" s="117">
        <f>H180</f>
        <v>1</v>
      </c>
      <c r="H248" s="116">
        <f>H207</f>
        <v>0</v>
      </c>
      <c r="I248" s="27">
        <f t="shared" ref="I248:I253" si="178">SUM(C248:H248)</f>
        <v>3</v>
      </c>
      <c r="J248" s="14"/>
      <c r="K248" s="14"/>
      <c r="L248" s="14"/>
      <c r="M248" s="14"/>
      <c r="N248" s="14"/>
      <c r="O248" s="14"/>
      <c r="P248" s="14"/>
      <c r="Q248" s="47"/>
      <c r="R248" s="19"/>
      <c r="S248" s="107" t="s">
        <v>5</v>
      </c>
      <c r="T248" s="33">
        <f t="shared" ref="T248:T254" si="179">Y72</f>
        <v>2</v>
      </c>
      <c r="U248" s="117">
        <f t="shared" ref="U248:U254" si="180">Y99</f>
        <v>0</v>
      </c>
      <c r="V248" s="116">
        <f t="shared" ref="V248:V254" si="181">Y126</f>
        <v>0</v>
      </c>
      <c r="W248" s="33">
        <f t="shared" ref="W248:W254" si="182">Y153</f>
        <v>0</v>
      </c>
      <c r="X248" s="117">
        <f t="shared" ref="X248:X254" si="183">Y180</f>
        <v>1</v>
      </c>
      <c r="Y248" s="116">
        <f t="shared" ref="Y248:Y254" si="184">Y207</f>
        <v>0</v>
      </c>
      <c r="Z248" s="27">
        <f>SUM(T248:Y248)</f>
        <v>3</v>
      </c>
      <c r="AA248" s="19"/>
      <c r="AB248" s="19"/>
      <c r="AC248" s="19"/>
      <c r="AD248" s="65"/>
      <c r="AE248" s="63"/>
      <c r="AF248" s="47"/>
      <c r="AG248" s="19"/>
      <c r="AH248" s="107" t="s">
        <v>5</v>
      </c>
      <c r="AI248" s="33">
        <f t="shared" ref="AI248:AI254" si="185">AN72</f>
        <v>2</v>
      </c>
      <c r="AJ248" s="117">
        <f t="shared" ref="AJ248:AJ254" si="186">AN99</f>
        <v>1</v>
      </c>
      <c r="AK248" s="116">
        <f t="shared" ref="AK248:AK254" si="187">AN126</f>
        <v>0</v>
      </c>
      <c r="AL248" s="33">
        <f t="shared" ref="AL248:AL254" si="188">AN153</f>
        <v>1</v>
      </c>
      <c r="AM248" s="117">
        <f t="shared" ref="AM248:AM254" si="189">AN180</f>
        <v>1</v>
      </c>
      <c r="AN248" s="116">
        <f t="shared" ref="AN248:AN254" si="190">AN207</f>
        <v>0</v>
      </c>
      <c r="AO248" s="27">
        <f>SUM(AI248:AN248)</f>
        <v>5</v>
      </c>
      <c r="AP248" s="19"/>
      <c r="AQ248" s="19"/>
      <c r="AR248" s="19"/>
      <c r="AS248" s="65"/>
      <c r="AT248" s="63"/>
      <c r="AU248" s="47"/>
      <c r="AV248" s="14"/>
      <c r="AW248" s="107" t="s">
        <v>5</v>
      </c>
      <c r="AX248" s="33">
        <f t="shared" ref="AX248:AX254" si="191">BC72</f>
        <v>2</v>
      </c>
      <c r="AY248" s="117">
        <f t="shared" ref="AY248:AY254" si="192">BC99</f>
        <v>1</v>
      </c>
      <c r="AZ248" s="116">
        <f t="shared" ref="AZ248:AZ254" si="193">BC126</f>
        <v>0</v>
      </c>
      <c r="BA248" s="33">
        <f t="shared" ref="BA248:BA254" si="194">BC153</f>
        <v>0</v>
      </c>
      <c r="BB248" s="117">
        <f t="shared" ref="BB248:BB254" si="195">BC180</f>
        <v>1</v>
      </c>
      <c r="BC248" s="116">
        <f t="shared" ref="BC248:BC254" si="196">BC207</f>
        <v>0</v>
      </c>
      <c r="BD248" s="27">
        <f>SUM(AX248:BC248)</f>
        <v>4</v>
      </c>
      <c r="BE248" s="19"/>
      <c r="BF248" s="19"/>
      <c r="BG248" s="19"/>
      <c r="BH248" s="65"/>
      <c r="BI248" s="63"/>
      <c r="BJ248" s="352"/>
      <c r="BK248" s="19"/>
      <c r="BL248" s="107" t="s">
        <v>5</v>
      </c>
      <c r="BM248" s="33">
        <f t="shared" ref="BM248:BM254" si="197">BR72</f>
        <v>2</v>
      </c>
      <c r="BN248" s="117">
        <f t="shared" ref="BN248:BN254" si="198">BR99</f>
        <v>1</v>
      </c>
      <c r="BO248" s="116">
        <f t="shared" ref="BO248:BO254" si="199">BR126</f>
        <v>0</v>
      </c>
      <c r="BP248" s="33">
        <f t="shared" ref="BP248:BP254" si="200">BR153</f>
        <v>0</v>
      </c>
      <c r="BQ248" s="117">
        <f t="shared" ref="BQ248:BQ254" si="201">BR180</f>
        <v>0</v>
      </c>
      <c r="BR248" s="116">
        <f t="shared" ref="BR248:BR254" si="202">BR207</f>
        <v>0</v>
      </c>
      <c r="BS248" s="27">
        <f>SUM(BM248:BR248)</f>
        <v>3</v>
      </c>
      <c r="BT248" s="19"/>
      <c r="BU248" s="19"/>
      <c r="BV248" s="19"/>
      <c r="BW248" s="65"/>
      <c r="BX248" s="63"/>
      <c r="BY248" s="352"/>
      <c r="BZ248" s="14"/>
      <c r="CA248" s="14"/>
      <c r="CB248" s="21"/>
      <c r="CC248" s="21"/>
      <c r="CD248" s="180"/>
      <c r="CE248" s="180"/>
      <c r="CF248" s="21"/>
      <c r="CG248" s="14"/>
      <c r="CH248" s="14"/>
      <c r="CI248" s="14"/>
      <c r="CJ248" s="14"/>
      <c r="CK248" s="14"/>
      <c r="CL248" s="14"/>
      <c r="CM248" s="14"/>
      <c r="CN248" s="14"/>
      <c r="CO248" s="129"/>
      <c r="CP248" s="14"/>
      <c r="CQ248" s="47"/>
      <c r="CR248" s="14"/>
      <c r="CS248" s="14"/>
      <c r="CT248" s="14"/>
      <c r="CU248" s="14"/>
      <c r="CV248" s="180"/>
      <c r="CW248" s="189"/>
      <c r="CX248" s="189"/>
      <c r="CY248" s="14"/>
      <c r="CZ248" s="14"/>
      <c r="DA248" s="14"/>
      <c r="DB248" s="14"/>
      <c r="DC248" s="14"/>
      <c r="DD248" s="14"/>
      <c r="DE248" s="14"/>
      <c r="DF248" s="14"/>
      <c r="DG248" s="129"/>
      <c r="DH248" s="14"/>
      <c r="DI248" s="47"/>
      <c r="DJ248" s="14"/>
      <c r="DK248" s="107" t="s">
        <v>34</v>
      </c>
      <c r="DL248" s="33">
        <f>DQ72</f>
        <v>1</v>
      </c>
      <c r="DM248" s="117">
        <f>DQ99</f>
        <v>0</v>
      </c>
      <c r="DN248" s="116">
        <f>DQ126</f>
        <v>0</v>
      </c>
      <c r="DO248" s="33">
        <f>DQ153</f>
        <v>0</v>
      </c>
      <c r="DP248" s="117">
        <f>DQ180</f>
        <v>0</v>
      </c>
      <c r="DQ248" s="116">
        <f>DQ207</f>
        <v>0</v>
      </c>
      <c r="DR248" s="27">
        <f t="shared" ref="DR248:DR253" si="203">SUM(DL248:DQ248)</f>
        <v>1</v>
      </c>
      <c r="DS248" s="14"/>
      <c r="DT248" s="14"/>
      <c r="DU248" s="14"/>
      <c r="DV248" s="14"/>
      <c r="DW248" s="14"/>
      <c r="DX248" s="14"/>
      <c r="DY248" s="14"/>
      <c r="DZ248" s="14"/>
      <c r="EA248" s="14"/>
      <c r="EB248" s="14"/>
      <c r="EC248" s="14"/>
      <c r="ED248" s="14"/>
      <c r="EE248" s="14"/>
      <c r="EF248" s="14"/>
      <c r="EG248" s="14"/>
      <c r="EH248" s="14"/>
      <c r="EI248" s="14"/>
      <c r="EJ248" s="14"/>
      <c r="EK248" s="14"/>
      <c r="EL248" s="14"/>
    </row>
    <row r="249" spans="1:142" x14ac:dyDescent="0.25">
      <c r="A249" s="14"/>
      <c r="B249" s="107" t="s">
        <v>35</v>
      </c>
      <c r="C249" s="33">
        <f>H73</f>
        <v>0</v>
      </c>
      <c r="D249" s="117">
        <f>H100</f>
        <v>0</v>
      </c>
      <c r="E249" s="116">
        <f>H127</f>
        <v>0</v>
      </c>
      <c r="F249" s="33">
        <f>H154</f>
        <v>0</v>
      </c>
      <c r="G249" s="117">
        <f>H181</f>
        <v>1</v>
      </c>
      <c r="H249" s="116">
        <f>H208</f>
        <v>0</v>
      </c>
      <c r="I249" s="27">
        <f t="shared" si="178"/>
        <v>1</v>
      </c>
      <c r="J249" s="14"/>
      <c r="K249" s="14"/>
      <c r="L249" s="14"/>
      <c r="M249" s="14"/>
      <c r="N249" s="14"/>
      <c r="O249" s="14"/>
      <c r="P249" s="14"/>
      <c r="Q249" s="47"/>
      <c r="R249" s="19"/>
      <c r="S249" s="107" t="s">
        <v>4</v>
      </c>
      <c r="T249" s="33">
        <f t="shared" si="179"/>
        <v>0</v>
      </c>
      <c r="U249" s="117">
        <f t="shared" si="180"/>
        <v>0</v>
      </c>
      <c r="V249" s="116">
        <f t="shared" si="181"/>
        <v>1</v>
      </c>
      <c r="W249" s="33">
        <f t="shared" si="182"/>
        <v>1</v>
      </c>
      <c r="X249" s="117">
        <f t="shared" si="183"/>
        <v>0</v>
      </c>
      <c r="Y249" s="116">
        <f t="shared" si="184"/>
        <v>0</v>
      </c>
      <c r="Z249" s="27">
        <f t="shared" ref="Z249:Z255" si="204">SUM(T249:Y249)</f>
        <v>2</v>
      </c>
      <c r="AA249" s="19"/>
      <c r="AB249" s="19"/>
      <c r="AC249" s="19"/>
      <c r="AD249" s="65"/>
      <c r="AE249" s="63"/>
      <c r="AF249" s="47"/>
      <c r="AG249" s="19"/>
      <c r="AH249" s="107" t="s">
        <v>4</v>
      </c>
      <c r="AI249" s="33">
        <f t="shared" si="185"/>
        <v>0</v>
      </c>
      <c r="AJ249" s="117">
        <f t="shared" si="186"/>
        <v>0</v>
      </c>
      <c r="AK249" s="116">
        <f t="shared" si="187"/>
        <v>1</v>
      </c>
      <c r="AL249" s="33">
        <f t="shared" si="188"/>
        <v>0</v>
      </c>
      <c r="AM249" s="117">
        <f t="shared" si="189"/>
        <v>0</v>
      </c>
      <c r="AN249" s="116">
        <f t="shared" si="190"/>
        <v>0</v>
      </c>
      <c r="AO249" s="27">
        <f t="shared" ref="AO249:AO255" si="205">SUM(AI249:AN249)</f>
        <v>1</v>
      </c>
      <c r="AP249" s="19"/>
      <c r="AQ249" s="19"/>
      <c r="AR249" s="19"/>
      <c r="AS249" s="65"/>
      <c r="AT249" s="63"/>
      <c r="AU249" s="47"/>
      <c r="AV249" s="14"/>
      <c r="AW249" s="107" t="s">
        <v>4</v>
      </c>
      <c r="AX249" s="33">
        <f t="shared" si="191"/>
        <v>0</v>
      </c>
      <c r="AY249" s="117">
        <f t="shared" si="192"/>
        <v>0</v>
      </c>
      <c r="AZ249" s="116">
        <f t="shared" si="193"/>
        <v>1</v>
      </c>
      <c r="BA249" s="33">
        <f t="shared" si="194"/>
        <v>1</v>
      </c>
      <c r="BB249" s="117">
        <f t="shared" si="195"/>
        <v>0</v>
      </c>
      <c r="BC249" s="116">
        <f t="shared" si="196"/>
        <v>0</v>
      </c>
      <c r="BD249" s="27">
        <f t="shared" ref="BD249:BD255" si="206">SUM(AX249:BC249)</f>
        <v>2</v>
      </c>
      <c r="BE249" s="19"/>
      <c r="BF249" s="19"/>
      <c r="BG249" s="19"/>
      <c r="BH249" s="65"/>
      <c r="BI249" s="63"/>
      <c r="BJ249" s="352"/>
      <c r="BK249" s="19"/>
      <c r="BL249" s="107" t="s">
        <v>4</v>
      </c>
      <c r="BM249" s="33">
        <f t="shared" si="197"/>
        <v>0</v>
      </c>
      <c r="BN249" s="117">
        <f t="shared" si="198"/>
        <v>0</v>
      </c>
      <c r="BO249" s="116">
        <f t="shared" si="199"/>
        <v>1</v>
      </c>
      <c r="BP249" s="33">
        <f t="shared" si="200"/>
        <v>0</v>
      </c>
      <c r="BQ249" s="117">
        <f t="shared" si="201"/>
        <v>0</v>
      </c>
      <c r="BR249" s="116">
        <f t="shared" si="202"/>
        <v>0</v>
      </c>
      <c r="BS249" s="27">
        <f t="shared" ref="BS249:BS255" si="207">SUM(BM249:BR249)</f>
        <v>1</v>
      </c>
      <c r="BT249" s="19"/>
      <c r="BU249" s="19"/>
      <c r="BV249" s="19"/>
      <c r="BW249" s="65"/>
      <c r="BX249" s="63"/>
      <c r="BY249" s="352"/>
      <c r="BZ249" s="14"/>
      <c r="CA249" s="14"/>
      <c r="CB249" s="21"/>
      <c r="CC249" s="21"/>
      <c r="CD249" s="180"/>
      <c r="CE249" s="180"/>
      <c r="CF249" s="21"/>
      <c r="CG249" s="14"/>
      <c r="CH249" s="14"/>
      <c r="CI249" s="14"/>
      <c r="CJ249" s="14"/>
      <c r="CK249" s="14"/>
      <c r="CL249" s="14"/>
      <c r="CM249" s="14"/>
      <c r="CN249" s="14"/>
      <c r="CO249" s="129"/>
      <c r="CP249" s="14"/>
      <c r="CQ249" s="47"/>
      <c r="CR249" s="14"/>
      <c r="CS249" s="14"/>
      <c r="CT249" s="14"/>
      <c r="CU249" s="14"/>
      <c r="CV249" s="180"/>
      <c r="CW249" s="189"/>
      <c r="CX249" s="189"/>
      <c r="CY249" s="14"/>
      <c r="CZ249" s="14"/>
      <c r="DA249" s="14"/>
      <c r="DB249" s="14"/>
      <c r="DC249" s="14"/>
      <c r="DD249" s="14"/>
      <c r="DE249" s="14"/>
      <c r="DF249" s="14"/>
      <c r="DG249" s="129"/>
      <c r="DH249" s="14"/>
      <c r="DI249" s="47"/>
      <c r="DJ249" s="14"/>
      <c r="DK249" s="107" t="s">
        <v>35</v>
      </c>
      <c r="DL249" s="33">
        <f>DQ73</f>
        <v>1</v>
      </c>
      <c r="DM249" s="117">
        <f>DQ100</f>
        <v>0</v>
      </c>
      <c r="DN249" s="116">
        <f>DQ127</f>
        <v>1</v>
      </c>
      <c r="DO249" s="33">
        <f>DQ154</f>
        <v>0</v>
      </c>
      <c r="DP249" s="117">
        <f>DQ181</f>
        <v>0</v>
      </c>
      <c r="DQ249" s="116">
        <f>DQ208</f>
        <v>0</v>
      </c>
      <c r="DR249" s="27">
        <f t="shared" si="203"/>
        <v>2</v>
      </c>
      <c r="DS249" s="14"/>
      <c r="DT249" s="14"/>
      <c r="DU249" s="14"/>
      <c r="DV249" s="14"/>
      <c r="DW249" s="14"/>
      <c r="DX249" s="14"/>
      <c r="DY249" s="14"/>
      <c r="DZ249" s="14"/>
      <c r="EA249" s="14"/>
      <c r="EB249" s="14"/>
      <c r="EC249" s="14"/>
      <c r="ED249" s="14"/>
      <c r="EE249" s="14"/>
      <c r="EF249" s="14"/>
      <c r="EG249" s="14"/>
      <c r="EH249" s="14"/>
      <c r="EI249" s="14"/>
      <c r="EJ249" s="14"/>
      <c r="EK249" s="14"/>
      <c r="EL249" s="14"/>
    </row>
    <row r="250" spans="1:142" x14ac:dyDescent="0.25">
      <c r="A250" s="14"/>
      <c r="B250" s="107" t="s">
        <v>36</v>
      </c>
      <c r="C250" s="33">
        <f>H74</f>
        <v>0</v>
      </c>
      <c r="D250" s="117">
        <f>H101</f>
        <v>0</v>
      </c>
      <c r="E250" s="116">
        <f>H128</f>
        <v>0</v>
      </c>
      <c r="F250" s="33">
        <f>H155</f>
        <v>0</v>
      </c>
      <c r="G250" s="117">
        <f>H182</f>
        <v>1</v>
      </c>
      <c r="H250" s="116">
        <f>H209</f>
        <v>0</v>
      </c>
      <c r="I250" s="27">
        <f t="shared" si="178"/>
        <v>1</v>
      </c>
      <c r="J250" s="14"/>
      <c r="K250" s="14"/>
      <c r="L250" s="14"/>
      <c r="M250" s="14"/>
      <c r="N250" s="14"/>
      <c r="O250" s="14"/>
      <c r="P250" s="14"/>
      <c r="Q250" s="47"/>
      <c r="R250" s="19"/>
      <c r="S250" s="107" t="s">
        <v>33</v>
      </c>
      <c r="T250" s="33">
        <f t="shared" si="179"/>
        <v>0</v>
      </c>
      <c r="U250" s="117">
        <f t="shared" si="180"/>
        <v>0</v>
      </c>
      <c r="V250" s="116">
        <f t="shared" si="181"/>
        <v>0</v>
      </c>
      <c r="W250" s="33">
        <f t="shared" si="182"/>
        <v>0</v>
      </c>
      <c r="X250" s="117">
        <f t="shared" si="183"/>
        <v>1</v>
      </c>
      <c r="Y250" s="116">
        <f t="shared" si="184"/>
        <v>0</v>
      </c>
      <c r="Z250" s="27">
        <f t="shared" si="204"/>
        <v>1</v>
      </c>
      <c r="AA250" s="19"/>
      <c r="AB250" s="19"/>
      <c r="AC250" s="19"/>
      <c r="AD250" s="65"/>
      <c r="AE250" s="63"/>
      <c r="AF250" s="47"/>
      <c r="AG250" s="19"/>
      <c r="AH250" s="107" t="s">
        <v>33</v>
      </c>
      <c r="AI250" s="33">
        <f t="shared" si="185"/>
        <v>0</v>
      </c>
      <c r="AJ250" s="117">
        <f t="shared" si="186"/>
        <v>0</v>
      </c>
      <c r="AK250" s="116">
        <f t="shared" si="187"/>
        <v>0</v>
      </c>
      <c r="AL250" s="33">
        <f t="shared" si="188"/>
        <v>0</v>
      </c>
      <c r="AM250" s="117">
        <f t="shared" si="189"/>
        <v>0</v>
      </c>
      <c r="AN250" s="116">
        <f t="shared" si="190"/>
        <v>0</v>
      </c>
      <c r="AO250" s="27">
        <f t="shared" si="205"/>
        <v>0</v>
      </c>
      <c r="AP250" s="19"/>
      <c r="AQ250" s="19"/>
      <c r="AR250" s="19"/>
      <c r="AS250" s="65"/>
      <c r="AT250" s="63"/>
      <c r="AU250" s="47"/>
      <c r="AV250" s="14"/>
      <c r="AW250" s="107" t="s">
        <v>33</v>
      </c>
      <c r="AX250" s="33">
        <f t="shared" si="191"/>
        <v>0</v>
      </c>
      <c r="AY250" s="117">
        <f t="shared" si="192"/>
        <v>0</v>
      </c>
      <c r="AZ250" s="116">
        <f t="shared" si="193"/>
        <v>0</v>
      </c>
      <c r="BA250" s="33">
        <f t="shared" si="194"/>
        <v>0</v>
      </c>
      <c r="BB250" s="117">
        <f t="shared" si="195"/>
        <v>0</v>
      </c>
      <c r="BC250" s="116">
        <f t="shared" si="196"/>
        <v>0</v>
      </c>
      <c r="BD250" s="27">
        <f t="shared" si="206"/>
        <v>0</v>
      </c>
      <c r="BE250" s="19"/>
      <c r="BF250" s="19"/>
      <c r="BG250" s="19"/>
      <c r="BH250" s="65"/>
      <c r="BI250" s="63"/>
      <c r="BJ250" s="352"/>
      <c r="BK250" s="19"/>
      <c r="BL250" s="107" t="s">
        <v>33</v>
      </c>
      <c r="BM250" s="33">
        <f t="shared" si="197"/>
        <v>0</v>
      </c>
      <c r="BN250" s="117">
        <f t="shared" si="198"/>
        <v>0</v>
      </c>
      <c r="BO250" s="116">
        <f t="shared" si="199"/>
        <v>0</v>
      </c>
      <c r="BP250" s="33">
        <f t="shared" si="200"/>
        <v>1</v>
      </c>
      <c r="BQ250" s="117">
        <f t="shared" si="201"/>
        <v>0</v>
      </c>
      <c r="BR250" s="116">
        <f t="shared" si="202"/>
        <v>0</v>
      </c>
      <c r="BS250" s="27">
        <f t="shared" si="207"/>
        <v>1</v>
      </c>
      <c r="BT250" s="19"/>
      <c r="BU250" s="19"/>
      <c r="BV250" s="19"/>
      <c r="BW250" s="65"/>
      <c r="BX250" s="63"/>
      <c r="BY250" s="352"/>
      <c r="BZ250" s="14"/>
      <c r="CA250" s="14"/>
      <c r="CB250" s="21"/>
      <c r="CC250" s="21"/>
      <c r="CD250" s="180"/>
      <c r="CE250" s="180"/>
      <c r="CF250" s="21"/>
      <c r="CG250" s="14"/>
      <c r="CH250" s="14"/>
      <c r="CI250" s="14"/>
      <c r="CJ250" s="14"/>
      <c r="CK250" s="14"/>
      <c r="CL250" s="14"/>
      <c r="CM250" s="14"/>
      <c r="CN250" s="14"/>
      <c r="CO250" s="129"/>
      <c r="CP250" s="14"/>
      <c r="CQ250" s="47"/>
      <c r="CR250" s="14"/>
      <c r="CS250" s="14"/>
      <c r="CT250" s="14"/>
      <c r="CU250" s="14"/>
      <c r="CV250" s="180"/>
      <c r="CW250" s="189"/>
      <c r="CX250" s="189"/>
      <c r="CY250" s="14"/>
      <c r="CZ250" s="14"/>
      <c r="DA250" s="14"/>
      <c r="DB250" s="14"/>
      <c r="DC250" s="14"/>
      <c r="DD250" s="14"/>
      <c r="DE250" s="14"/>
      <c r="DF250" s="14"/>
      <c r="DG250" s="129"/>
      <c r="DH250" s="14"/>
      <c r="DI250" s="47"/>
      <c r="DJ250" s="14"/>
      <c r="DK250" s="107" t="s">
        <v>36</v>
      </c>
      <c r="DL250" s="33">
        <f>DQ74</f>
        <v>1</v>
      </c>
      <c r="DM250" s="117">
        <f>DQ101</f>
        <v>0</v>
      </c>
      <c r="DN250" s="116">
        <f>DQ128</f>
        <v>0</v>
      </c>
      <c r="DO250" s="33">
        <f>DQ155</f>
        <v>0</v>
      </c>
      <c r="DP250" s="117">
        <f>DQ182</f>
        <v>2</v>
      </c>
      <c r="DQ250" s="116">
        <f>DQ209</f>
        <v>0</v>
      </c>
      <c r="DR250" s="27">
        <f t="shared" si="203"/>
        <v>3</v>
      </c>
      <c r="DS250" s="14"/>
      <c r="DT250" s="14"/>
      <c r="DU250" s="14"/>
      <c r="DV250" s="14"/>
      <c r="DW250" s="14"/>
      <c r="DX250" s="14"/>
      <c r="DY250" s="14"/>
      <c r="DZ250" s="14"/>
      <c r="EA250" s="14"/>
      <c r="EB250" s="14"/>
      <c r="EC250" s="14"/>
      <c r="ED250" s="14"/>
      <c r="EE250" s="14"/>
      <c r="EF250" s="14"/>
      <c r="EG250" s="14"/>
      <c r="EH250" s="14"/>
      <c r="EI250" s="14"/>
      <c r="EJ250" s="14"/>
      <c r="EK250" s="14"/>
      <c r="EL250" s="14"/>
    </row>
    <row r="251" spans="1:142" x14ac:dyDescent="0.25">
      <c r="A251" s="14"/>
      <c r="B251" s="107" t="s">
        <v>38</v>
      </c>
      <c r="C251" s="33">
        <f>H75</f>
        <v>0</v>
      </c>
      <c r="D251" s="117">
        <f>H102</f>
        <v>0</v>
      </c>
      <c r="E251" s="116">
        <f>H129</f>
        <v>0</v>
      </c>
      <c r="F251" s="33">
        <f>H156</f>
        <v>0</v>
      </c>
      <c r="G251" s="117">
        <f>H183</f>
        <v>0</v>
      </c>
      <c r="H251" s="116">
        <f>H210</f>
        <v>0</v>
      </c>
      <c r="I251" s="27">
        <f t="shared" si="178"/>
        <v>0</v>
      </c>
      <c r="J251" s="14"/>
      <c r="K251" s="14"/>
      <c r="L251" s="14"/>
      <c r="M251" s="14"/>
      <c r="N251" s="14"/>
      <c r="O251" s="14"/>
      <c r="P251" s="14"/>
      <c r="Q251" s="47"/>
      <c r="R251" s="19"/>
      <c r="S251" s="107" t="s">
        <v>29</v>
      </c>
      <c r="T251" s="33">
        <f t="shared" si="179"/>
        <v>0</v>
      </c>
      <c r="U251" s="117">
        <f t="shared" si="180"/>
        <v>0</v>
      </c>
      <c r="V251" s="116">
        <f t="shared" si="181"/>
        <v>0</v>
      </c>
      <c r="W251" s="33">
        <f t="shared" si="182"/>
        <v>0</v>
      </c>
      <c r="X251" s="117">
        <f t="shared" si="183"/>
        <v>0</v>
      </c>
      <c r="Y251" s="116">
        <f t="shared" si="184"/>
        <v>0</v>
      </c>
      <c r="Z251" s="27">
        <f t="shared" si="204"/>
        <v>0</v>
      </c>
      <c r="AA251" s="19"/>
      <c r="AB251" s="19"/>
      <c r="AC251" s="19"/>
      <c r="AD251" s="65"/>
      <c r="AE251" s="63"/>
      <c r="AF251" s="47"/>
      <c r="AG251" s="19"/>
      <c r="AH251" s="107" t="s">
        <v>29</v>
      </c>
      <c r="AI251" s="33">
        <f t="shared" si="185"/>
        <v>0</v>
      </c>
      <c r="AJ251" s="117">
        <f t="shared" si="186"/>
        <v>0</v>
      </c>
      <c r="AK251" s="116">
        <f t="shared" si="187"/>
        <v>0</v>
      </c>
      <c r="AL251" s="33">
        <f t="shared" si="188"/>
        <v>0</v>
      </c>
      <c r="AM251" s="117">
        <f t="shared" si="189"/>
        <v>0</v>
      </c>
      <c r="AN251" s="116">
        <f t="shared" si="190"/>
        <v>0</v>
      </c>
      <c r="AO251" s="27">
        <f t="shared" si="205"/>
        <v>0</v>
      </c>
      <c r="AP251" s="19"/>
      <c r="AQ251" s="19"/>
      <c r="AR251" s="19"/>
      <c r="AS251" s="65"/>
      <c r="AT251" s="63"/>
      <c r="AU251" s="47"/>
      <c r="AV251" s="14"/>
      <c r="AW251" s="107" t="s">
        <v>29</v>
      </c>
      <c r="AX251" s="33">
        <f t="shared" si="191"/>
        <v>0</v>
      </c>
      <c r="AY251" s="117">
        <f t="shared" si="192"/>
        <v>0</v>
      </c>
      <c r="AZ251" s="116">
        <f t="shared" si="193"/>
        <v>0</v>
      </c>
      <c r="BA251" s="33">
        <f t="shared" si="194"/>
        <v>0</v>
      </c>
      <c r="BB251" s="117">
        <f t="shared" si="195"/>
        <v>0</v>
      </c>
      <c r="BC251" s="116">
        <f t="shared" si="196"/>
        <v>0</v>
      </c>
      <c r="BD251" s="27">
        <f t="shared" si="206"/>
        <v>0</v>
      </c>
      <c r="BE251" s="19"/>
      <c r="BF251" s="19"/>
      <c r="BG251" s="19"/>
      <c r="BH251" s="65"/>
      <c r="BI251" s="63"/>
      <c r="BJ251" s="352"/>
      <c r="BK251" s="19"/>
      <c r="BL251" s="107" t="s">
        <v>29</v>
      </c>
      <c r="BM251" s="33">
        <f t="shared" si="197"/>
        <v>0</v>
      </c>
      <c r="BN251" s="117">
        <f t="shared" si="198"/>
        <v>0</v>
      </c>
      <c r="BO251" s="116">
        <f t="shared" si="199"/>
        <v>0</v>
      </c>
      <c r="BP251" s="33">
        <f t="shared" si="200"/>
        <v>0</v>
      </c>
      <c r="BQ251" s="117">
        <f t="shared" si="201"/>
        <v>0</v>
      </c>
      <c r="BR251" s="116">
        <f t="shared" si="202"/>
        <v>0</v>
      </c>
      <c r="BS251" s="27">
        <f t="shared" si="207"/>
        <v>0</v>
      </c>
      <c r="BT251" s="19"/>
      <c r="BU251" s="19"/>
      <c r="BV251" s="19"/>
      <c r="BW251" s="65"/>
      <c r="BX251" s="63"/>
      <c r="BY251" s="352"/>
      <c r="BZ251" s="14"/>
      <c r="CA251" s="14"/>
      <c r="CB251" s="21"/>
      <c r="CC251" s="21"/>
      <c r="CD251" s="180"/>
      <c r="CE251" s="180"/>
      <c r="CF251" s="21"/>
      <c r="CG251" s="14"/>
      <c r="CH251" s="14"/>
      <c r="CI251" s="14"/>
      <c r="CJ251" s="14"/>
      <c r="CK251" s="14"/>
      <c r="CL251" s="14"/>
      <c r="CM251" s="14"/>
      <c r="CN251" s="14"/>
      <c r="CO251" s="129"/>
      <c r="CP251" s="14"/>
      <c r="CQ251" s="47"/>
      <c r="CR251" s="14"/>
      <c r="CS251" s="14"/>
      <c r="CT251" s="14"/>
      <c r="CU251" s="14"/>
      <c r="CV251" s="180"/>
      <c r="CW251" s="189"/>
      <c r="CX251" s="189"/>
      <c r="CY251" s="14"/>
      <c r="CZ251" s="14"/>
      <c r="DA251" s="14"/>
      <c r="DB251" s="14"/>
      <c r="DC251" s="14"/>
      <c r="DD251" s="14"/>
      <c r="DE251" s="14"/>
      <c r="DF251" s="14"/>
      <c r="DG251" s="129"/>
      <c r="DH251" s="14"/>
      <c r="DI251" s="47"/>
      <c r="DJ251" s="14"/>
      <c r="DK251" s="107" t="s">
        <v>38</v>
      </c>
      <c r="DL251" s="33">
        <f>DQ75</f>
        <v>1</v>
      </c>
      <c r="DM251" s="117">
        <f>DQ102</f>
        <v>0</v>
      </c>
      <c r="DN251" s="116">
        <f>DQ129</f>
        <v>0</v>
      </c>
      <c r="DO251" s="33">
        <f>DQ156</f>
        <v>1</v>
      </c>
      <c r="DP251" s="117">
        <f>DQ183</f>
        <v>1</v>
      </c>
      <c r="DQ251" s="116">
        <f>DQ210</f>
        <v>0</v>
      </c>
      <c r="DR251" s="27">
        <f t="shared" si="203"/>
        <v>3</v>
      </c>
      <c r="DS251" s="14"/>
      <c r="DT251" s="14"/>
      <c r="DU251" s="14"/>
      <c r="DV251" s="14"/>
      <c r="DW251" s="14"/>
      <c r="DX251" s="14"/>
      <c r="DY251" s="14"/>
      <c r="DZ251" s="14"/>
      <c r="EA251" s="14"/>
      <c r="EB251" s="14"/>
      <c r="EC251" s="14"/>
      <c r="ED251" s="14"/>
      <c r="EE251" s="14"/>
      <c r="EF251" s="14"/>
      <c r="EG251" s="14"/>
      <c r="EH251" s="14"/>
      <c r="EI251" s="14"/>
      <c r="EJ251" s="14"/>
      <c r="EK251" s="14"/>
      <c r="EL251" s="14"/>
    </row>
    <row r="252" spans="1:142" x14ac:dyDescent="0.25">
      <c r="A252" s="14"/>
      <c r="B252" s="107" t="s">
        <v>39</v>
      </c>
      <c r="C252" s="33">
        <f>H76</f>
        <v>3</v>
      </c>
      <c r="D252" s="117">
        <f>H103</f>
        <v>0</v>
      </c>
      <c r="E252" s="116">
        <f>H130</f>
        <v>0</v>
      </c>
      <c r="F252" s="33">
        <f>H157</f>
        <v>1</v>
      </c>
      <c r="G252" s="117">
        <f>H184</f>
        <v>0</v>
      </c>
      <c r="H252" s="116">
        <f>H211</f>
        <v>0</v>
      </c>
      <c r="I252" s="27">
        <f t="shared" si="178"/>
        <v>4</v>
      </c>
      <c r="J252" s="14"/>
      <c r="K252" s="14"/>
      <c r="L252" s="14"/>
      <c r="M252" s="14"/>
      <c r="N252" s="14"/>
      <c r="O252" s="14"/>
      <c r="P252" s="14"/>
      <c r="Q252" s="47"/>
      <c r="R252" s="19"/>
      <c r="S252" s="107" t="s">
        <v>3</v>
      </c>
      <c r="T252" s="33">
        <f t="shared" si="179"/>
        <v>0</v>
      </c>
      <c r="U252" s="117">
        <f t="shared" si="180"/>
        <v>0</v>
      </c>
      <c r="V252" s="116">
        <f t="shared" si="181"/>
        <v>0</v>
      </c>
      <c r="W252" s="33">
        <f t="shared" si="182"/>
        <v>0</v>
      </c>
      <c r="X252" s="117">
        <f t="shared" si="183"/>
        <v>1</v>
      </c>
      <c r="Y252" s="116">
        <f t="shared" si="184"/>
        <v>0</v>
      </c>
      <c r="Z252" s="27">
        <f t="shared" si="204"/>
        <v>1</v>
      </c>
      <c r="AA252" s="19"/>
      <c r="AB252" s="19"/>
      <c r="AC252" s="19"/>
      <c r="AD252" s="65"/>
      <c r="AE252" s="63"/>
      <c r="AF252" s="47"/>
      <c r="AG252" s="19"/>
      <c r="AH252" s="107" t="s">
        <v>3</v>
      </c>
      <c r="AI252" s="33">
        <f t="shared" si="185"/>
        <v>0</v>
      </c>
      <c r="AJ252" s="117">
        <f t="shared" si="186"/>
        <v>0</v>
      </c>
      <c r="AK252" s="116">
        <f t="shared" si="187"/>
        <v>0</v>
      </c>
      <c r="AL252" s="33">
        <f t="shared" si="188"/>
        <v>0</v>
      </c>
      <c r="AM252" s="117">
        <f t="shared" si="189"/>
        <v>0</v>
      </c>
      <c r="AN252" s="116">
        <f t="shared" si="190"/>
        <v>0</v>
      </c>
      <c r="AO252" s="27">
        <f t="shared" si="205"/>
        <v>0</v>
      </c>
      <c r="AP252" s="19"/>
      <c r="AQ252" s="19"/>
      <c r="AR252" s="19"/>
      <c r="AS252" s="65"/>
      <c r="AT252" s="63"/>
      <c r="AU252" s="47"/>
      <c r="AV252" s="14"/>
      <c r="AW252" s="107" t="s">
        <v>3</v>
      </c>
      <c r="AX252" s="33">
        <f t="shared" si="191"/>
        <v>0</v>
      </c>
      <c r="AY252" s="117">
        <f t="shared" si="192"/>
        <v>0</v>
      </c>
      <c r="AZ252" s="116">
        <f t="shared" si="193"/>
        <v>0</v>
      </c>
      <c r="BA252" s="33">
        <f t="shared" si="194"/>
        <v>0</v>
      </c>
      <c r="BB252" s="117">
        <f t="shared" si="195"/>
        <v>0</v>
      </c>
      <c r="BC252" s="116">
        <f t="shared" si="196"/>
        <v>0</v>
      </c>
      <c r="BD252" s="27">
        <f t="shared" si="206"/>
        <v>0</v>
      </c>
      <c r="BE252" s="19"/>
      <c r="BF252" s="19"/>
      <c r="BG252" s="19"/>
      <c r="BH252" s="65"/>
      <c r="BI252" s="63"/>
      <c r="BJ252" s="352"/>
      <c r="BK252" s="19"/>
      <c r="BL252" s="107" t="s">
        <v>3</v>
      </c>
      <c r="BM252" s="33">
        <f t="shared" si="197"/>
        <v>0</v>
      </c>
      <c r="BN252" s="117">
        <f t="shared" si="198"/>
        <v>0</v>
      </c>
      <c r="BO252" s="116">
        <f t="shared" si="199"/>
        <v>0</v>
      </c>
      <c r="BP252" s="33">
        <f t="shared" si="200"/>
        <v>0</v>
      </c>
      <c r="BQ252" s="117">
        <f t="shared" si="201"/>
        <v>1</v>
      </c>
      <c r="BR252" s="116">
        <f t="shared" si="202"/>
        <v>0</v>
      </c>
      <c r="BS252" s="27">
        <f t="shared" si="207"/>
        <v>1</v>
      </c>
      <c r="BT252" s="19"/>
      <c r="BU252" s="19"/>
      <c r="BV252" s="19"/>
      <c r="BW252" s="65"/>
      <c r="BX252" s="63"/>
      <c r="BY252" s="352"/>
      <c r="BZ252" s="14"/>
      <c r="CA252" s="14"/>
      <c r="CB252" s="21"/>
      <c r="CC252" s="21"/>
      <c r="CD252" s="180"/>
      <c r="CE252" s="180"/>
      <c r="CF252" s="21"/>
      <c r="CG252" s="14"/>
      <c r="CH252" s="14"/>
      <c r="CI252" s="14"/>
      <c r="CJ252" s="14"/>
      <c r="CK252" s="14"/>
      <c r="CL252" s="14"/>
      <c r="CM252" s="14"/>
      <c r="CN252" s="14"/>
      <c r="CO252" s="129"/>
      <c r="CP252" s="14"/>
      <c r="CQ252" s="47"/>
      <c r="CR252" s="14"/>
      <c r="CS252" s="14"/>
      <c r="CT252" s="14"/>
      <c r="CU252" s="14"/>
      <c r="CV252" s="180"/>
      <c r="CW252" s="189"/>
      <c r="CX252" s="189"/>
      <c r="CY252" s="14"/>
      <c r="CZ252" s="14"/>
      <c r="DA252" s="14"/>
      <c r="DB252" s="14"/>
      <c r="DC252" s="14"/>
      <c r="DD252" s="14"/>
      <c r="DE252" s="14"/>
      <c r="DF252" s="14"/>
      <c r="DG252" s="129"/>
      <c r="DH252" s="14"/>
      <c r="DI252" s="47"/>
      <c r="DJ252" s="14"/>
      <c r="DK252" s="107" t="s">
        <v>39</v>
      </c>
      <c r="DL252" s="33">
        <f>DQ76</f>
        <v>0</v>
      </c>
      <c r="DM252" s="117">
        <f>DQ103</f>
        <v>0</v>
      </c>
      <c r="DN252" s="116">
        <f>DQ130</f>
        <v>0</v>
      </c>
      <c r="DO252" s="33">
        <f>DQ157</f>
        <v>0</v>
      </c>
      <c r="DP252" s="117">
        <f>DQ184</f>
        <v>0</v>
      </c>
      <c r="DQ252" s="116">
        <f>DQ211</f>
        <v>0</v>
      </c>
      <c r="DR252" s="27">
        <f t="shared" si="203"/>
        <v>0</v>
      </c>
      <c r="DS252" s="14"/>
      <c r="DT252" s="14"/>
      <c r="DU252" s="14"/>
      <c r="DV252" s="14"/>
      <c r="DW252" s="14"/>
      <c r="DX252" s="14"/>
      <c r="DY252" s="14"/>
      <c r="DZ252" s="14"/>
      <c r="EA252" s="14"/>
      <c r="EB252" s="14"/>
      <c r="EC252" s="14"/>
      <c r="ED252" s="14"/>
      <c r="EE252" s="14"/>
      <c r="EF252" s="14"/>
      <c r="EG252" s="14"/>
      <c r="EH252" s="14"/>
      <c r="EI252" s="14"/>
      <c r="EJ252" s="14"/>
      <c r="EK252" s="14"/>
      <c r="EL252" s="14"/>
    </row>
    <row r="253" spans="1:142" x14ac:dyDescent="0.25">
      <c r="A253" s="14"/>
      <c r="B253" s="86" t="s">
        <v>8</v>
      </c>
      <c r="C253" s="111">
        <f t="shared" ref="C253:H253" si="208">SUM(C248:C252)</f>
        <v>4</v>
      </c>
      <c r="D253" s="111">
        <f t="shared" si="208"/>
        <v>0</v>
      </c>
      <c r="E253" s="111">
        <f t="shared" si="208"/>
        <v>1</v>
      </c>
      <c r="F253" s="111">
        <f t="shared" si="208"/>
        <v>1</v>
      </c>
      <c r="G253" s="111">
        <f t="shared" si="208"/>
        <v>3</v>
      </c>
      <c r="H253" s="111">
        <f t="shared" si="208"/>
        <v>0</v>
      </c>
      <c r="I253" s="111">
        <f t="shared" si="178"/>
        <v>9</v>
      </c>
      <c r="J253" s="14"/>
      <c r="K253" s="14"/>
      <c r="L253" s="14"/>
      <c r="M253" s="14"/>
      <c r="N253" s="14"/>
      <c r="O253" s="14"/>
      <c r="P253" s="14"/>
      <c r="Q253" s="47"/>
      <c r="R253" s="19"/>
      <c r="S253" s="107" t="s">
        <v>54</v>
      </c>
      <c r="T253" s="33">
        <f t="shared" si="179"/>
        <v>0</v>
      </c>
      <c r="U253" s="117">
        <f t="shared" si="180"/>
        <v>0</v>
      </c>
      <c r="V253" s="116">
        <f t="shared" si="181"/>
        <v>0</v>
      </c>
      <c r="W253" s="33">
        <f t="shared" si="182"/>
        <v>0</v>
      </c>
      <c r="X253" s="117">
        <f t="shared" si="183"/>
        <v>0</v>
      </c>
      <c r="Y253" s="116">
        <f t="shared" si="184"/>
        <v>0</v>
      </c>
      <c r="Z253" s="27">
        <f t="shared" si="204"/>
        <v>0</v>
      </c>
      <c r="AA253" s="19"/>
      <c r="AB253" s="19"/>
      <c r="AC253" s="19"/>
      <c r="AD253" s="65"/>
      <c r="AE253" s="63"/>
      <c r="AF253" s="47"/>
      <c r="AG253" s="19"/>
      <c r="AH253" s="107" t="s">
        <v>54</v>
      </c>
      <c r="AI253" s="33">
        <f t="shared" si="185"/>
        <v>0</v>
      </c>
      <c r="AJ253" s="117">
        <f t="shared" si="186"/>
        <v>0</v>
      </c>
      <c r="AK253" s="116">
        <f t="shared" si="187"/>
        <v>0</v>
      </c>
      <c r="AL253" s="33">
        <f t="shared" si="188"/>
        <v>0</v>
      </c>
      <c r="AM253" s="117">
        <f t="shared" si="189"/>
        <v>0</v>
      </c>
      <c r="AN253" s="116">
        <f t="shared" si="190"/>
        <v>0</v>
      </c>
      <c r="AO253" s="27">
        <f t="shared" si="205"/>
        <v>0</v>
      </c>
      <c r="AP253" s="19"/>
      <c r="AQ253" s="19"/>
      <c r="AR253" s="19"/>
      <c r="AS253" s="65"/>
      <c r="AT253" s="63"/>
      <c r="AU253" s="47"/>
      <c r="AV253" s="14"/>
      <c r="AW253" s="107" t="s">
        <v>54</v>
      </c>
      <c r="AX253" s="33">
        <f t="shared" si="191"/>
        <v>0</v>
      </c>
      <c r="AY253" s="117">
        <f t="shared" si="192"/>
        <v>0</v>
      </c>
      <c r="AZ253" s="116">
        <f t="shared" si="193"/>
        <v>0</v>
      </c>
      <c r="BA253" s="33">
        <f t="shared" si="194"/>
        <v>0</v>
      </c>
      <c r="BB253" s="117">
        <f t="shared" si="195"/>
        <v>0</v>
      </c>
      <c r="BC253" s="116">
        <f t="shared" si="196"/>
        <v>0</v>
      </c>
      <c r="BD253" s="27">
        <f t="shared" si="206"/>
        <v>0</v>
      </c>
      <c r="BE253" s="19"/>
      <c r="BF253" s="19"/>
      <c r="BG253" s="19"/>
      <c r="BH253" s="65"/>
      <c r="BI253" s="63"/>
      <c r="BJ253" s="352"/>
      <c r="BK253" s="19"/>
      <c r="BL253" s="107" t="s">
        <v>54</v>
      </c>
      <c r="BM253" s="33">
        <f t="shared" si="197"/>
        <v>0</v>
      </c>
      <c r="BN253" s="117">
        <f t="shared" si="198"/>
        <v>0</v>
      </c>
      <c r="BO253" s="116">
        <f t="shared" si="199"/>
        <v>0</v>
      </c>
      <c r="BP253" s="33">
        <f t="shared" si="200"/>
        <v>0</v>
      </c>
      <c r="BQ253" s="117">
        <f t="shared" si="201"/>
        <v>0</v>
      </c>
      <c r="BR253" s="116">
        <f t="shared" si="202"/>
        <v>0</v>
      </c>
      <c r="BS253" s="27">
        <f t="shared" si="207"/>
        <v>0</v>
      </c>
      <c r="BT253" s="19"/>
      <c r="BU253" s="19"/>
      <c r="BV253" s="19"/>
      <c r="BW253" s="65"/>
      <c r="BX253" s="63"/>
      <c r="BY253" s="352"/>
      <c r="BZ253" s="14"/>
      <c r="CA253" s="14"/>
      <c r="CB253" s="21"/>
      <c r="CC253" s="21"/>
      <c r="CD253" s="180"/>
      <c r="CE253" s="180"/>
      <c r="CF253" s="21"/>
      <c r="CG253" s="14"/>
      <c r="CH253" s="14"/>
      <c r="CI253" s="14"/>
      <c r="CJ253" s="14"/>
      <c r="CK253" s="14"/>
      <c r="CL253" s="14"/>
      <c r="CM253" s="14"/>
      <c r="CN253" s="14"/>
      <c r="CO253" s="129"/>
      <c r="CP253" s="14"/>
      <c r="CQ253" s="47"/>
      <c r="CR253" s="14"/>
      <c r="CS253" s="14"/>
      <c r="CT253" s="14"/>
      <c r="CU253" s="14"/>
      <c r="CV253" s="180"/>
      <c r="CW253" s="189"/>
      <c r="CX253" s="189"/>
      <c r="CY253" s="14"/>
      <c r="CZ253" s="14"/>
      <c r="DA253" s="14"/>
      <c r="DB253" s="14"/>
      <c r="DC253" s="14"/>
      <c r="DD253" s="14"/>
      <c r="DE253" s="14"/>
      <c r="DF253" s="14"/>
      <c r="DG253" s="129"/>
      <c r="DH253" s="14"/>
      <c r="DI253" s="47"/>
      <c r="DJ253" s="14"/>
      <c r="DK253" s="86" t="s">
        <v>8</v>
      </c>
      <c r="DL253" s="111">
        <f t="shared" ref="DL253:DQ253" si="209">SUM(DL248:DL252)</f>
        <v>4</v>
      </c>
      <c r="DM253" s="111">
        <f t="shared" si="209"/>
        <v>0</v>
      </c>
      <c r="DN253" s="111">
        <f t="shared" si="209"/>
        <v>1</v>
      </c>
      <c r="DO253" s="111">
        <f t="shared" si="209"/>
        <v>1</v>
      </c>
      <c r="DP253" s="111">
        <f t="shared" si="209"/>
        <v>3</v>
      </c>
      <c r="DQ253" s="111">
        <f t="shared" si="209"/>
        <v>0</v>
      </c>
      <c r="DR253" s="111">
        <f t="shared" si="203"/>
        <v>9</v>
      </c>
      <c r="DS253" s="14"/>
      <c r="DT253" s="14"/>
      <c r="DU253" s="14"/>
      <c r="DV253" s="14"/>
      <c r="DW253" s="14"/>
      <c r="DX253" s="14"/>
      <c r="DY253" s="14"/>
      <c r="DZ253" s="14"/>
      <c r="EA253" s="14"/>
      <c r="EB253" s="14"/>
      <c r="EC253" s="14"/>
      <c r="ED253" s="14"/>
      <c r="EE253" s="14"/>
      <c r="EF253" s="14"/>
      <c r="EG253" s="14"/>
      <c r="EH253" s="14"/>
      <c r="EI253" s="14"/>
      <c r="EJ253" s="14"/>
      <c r="EK253" s="14"/>
      <c r="EL253" s="14"/>
    </row>
    <row r="254" spans="1:142" x14ac:dyDescent="0.25">
      <c r="A254" s="14"/>
      <c r="B254" s="107"/>
      <c r="C254" s="33"/>
      <c r="D254" s="117"/>
      <c r="E254" s="116"/>
      <c r="F254" s="33"/>
      <c r="G254" s="117"/>
      <c r="H254" s="116"/>
      <c r="I254" s="27"/>
      <c r="J254" s="14"/>
      <c r="K254" s="14"/>
      <c r="L254" s="14"/>
      <c r="M254" s="14"/>
      <c r="N254" s="14"/>
      <c r="O254" s="14"/>
      <c r="P254" s="14"/>
      <c r="Q254" s="47"/>
      <c r="R254" s="19"/>
      <c r="S254" s="107" t="s">
        <v>39</v>
      </c>
      <c r="T254" s="33">
        <f t="shared" si="179"/>
        <v>3</v>
      </c>
      <c r="U254" s="117">
        <f t="shared" si="180"/>
        <v>0</v>
      </c>
      <c r="V254" s="116">
        <f t="shared" si="181"/>
        <v>0</v>
      </c>
      <c r="W254" s="33">
        <f t="shared" si="182"/>
        <v>0</v>
      </c>
      <c r="X254" s="117">
        <f t="shared" si="183"/>
        <v>0</v>
      </c>
      <c r="Y254" s="116">
        <f t="shared" si="184"/>
        <v>0</v>
      </c>
      <c r="Z254" s="27">
        <f t="shared" si="204"/>
        <v>3</v>
      </c>
      <c r="AA254" s="19"/>
      <c r="AB254" s="19"/>
      <c r="AC254" s="19"/>
      <c r="AD254" s="65"/>
      <c r="AE254" s="63"/>
      <c r="AF254" s="47"/>
      <c r="AG254" s="19"/>
      <c r="AH254" s="107" t="s">
        <v>39</v>
      </c>
      <c r="AI254" s="33">
        <f t="shared" si="185"/>
        <v>0</v>
      </c>
      <c r="AJ254" s="117">
        <f t="shared" si="186"/>
        <v>0</v>
      </c>
      <c r="AK254" s="116">
        <f t="shared" si="187"/>
        <v>0</v>
      </c>
      <c r="AL254" s="33">
        <f t="shared" si="188"/>
        <v>0</v>
      </c>
      <c r="AM254" s="117">
        <f t="shared" si="189"/>
        <v>0</v>
      </c>
      <c r="AN254" s="116">
        <f t="shared" si="190"/>
        <v>0</v>
      </c>
      <c r="AO254" s="27">
        <f t="shared" si="205"/>
        <v>0</v>
      </c>
      <c r="AP254" s="19"/>
      <c r="AQ254" s="19"/>
      <c r="AR254" s="19"/>
      <c r="AS254" s="65"/>
      <c r="AT254" s="63"/>
      <c r="AU254" s="47"/>
      <c r="AV254" s="14"/>
      <c r="AW254" s="107" t="s">
        <v>39</v>
      </c>
      <c r="AX254" s="33">
        <f t="shared" si="191"/>
        <v>0</v>
      </c>
      <c r="AY254" s="117">
        <f t="shared" si="192"/>
        <v>0</v>
      </c>
      <c r="AZ254" s="116">
        <f t="shared" si="193"/>
        <v>0</v>
      </c>
      <c r="BA254" s="33">
        <f t="shared" si="194"/>
        <v>0</v>
      </c>
      <c r="BB254" s="117">
        <f t="shared" si="195"/>
        <v>0</v>
      </c>
      <c r="BC254" s="116">
        <f t="shared" si="196"/>
        <v>0</v>
      </c>
      <c r="BD254" s="27">
        <f t="shared" si="206"/>
        <v>0</v>
      </c>
      <c r="BE254" s="19"/>
      <c r="BF254" s="19"/>
      <c r="BG254" s="19"/>
      <c r="BH254" s="65"/>
      <c r="BI254" s="63"/>
      <c r="BJ254" s="352"/>
      <c r="BK254" s="19"/>
      <c r="BL254" s="107" t="s">
        <v>39</v>
      </c>
      <c r="BM254" s="33">
        <f t="shared" si="197"/>
        <v>0</v>
      </c>
      <c r="BN254" s="117">
        <f t="shared" si="198"/>
        <v>0</v>
      </c>
      <c r="BO254" s="116">
        <f t="shared" si="199"/>
        <v>0</v>
      </c>
      <c r="BP254" s="33">
        <f t="shared" si="200"/>
        <v>0</v>
      </c>
      <c r="BQ254" s="117">
        <f t="shared" si="201"/>
        <v>0</v>
      </c>
      <c r="BR254" s="116">
        <f t="shared" si="202"/>
        <v>0</v>
      </c>
      <c r="BS254" s="27">
        <f t="shared" si="207"/>
        <v>0</v>
      </c>
      <c r="BT254" s="19"/>
      <c r="BU254" s="19"/>
      <c r="BV254" s="19"/>
      <c r="BW254" s="65"/>
      <c r="BX254" s="63"/>
      <c r="BY254" s="352"/>
      <c r="BZ254" s="14"/>
      <c r="CA254" s="14"/>
      <c r="CB254" s="21"/>
      <c r="CC254" s="21"/>
      <c r="CD254" s="180"/>
      <c r="CE254" s="180"/>
      <c r="CF254" s="21"/>
      <c r="CG254" s="14"/>
      <c r="CH254" s="14"/>
      <c r="CI254" s="14"/>
      <c r="CJ254" s="14"/>
      <c r="CK254" s="14"/>
      <c r="CL254" s="14"/>
      <c r="CM254" s="14"/>
      <c r="CN254" s="14"/>
      <c r="CO254" s="129"/>
      <c r="CP254" s="14"/>
      <c r="CQ254" s="47"/>
      <c r="CR254" s="14"/>
      <c r="CS254" s="14"/>
      <c r="CT254" s="14"/>
      <c r="CU254" s="14"/>
      <c r="CV254" s="180"/>
      <c r="CW254" s="189"/>
      <c r="CX254" s="189"/>
      <c r="CY254" s="14"/>
      <c r="CZ254" s="14"/>
      <c r="DA254" s="14"/>
      <c r="DB254" s="14"/>
      <c r="DC254" s="14"/>
      <c r="DD254" s="14"/>
      <c r="DE254" s="14"/>
      <c r="DF254" s="14"/>
      <c r="DG254" s="129"/>
      <c r="DH254" s="14"/>
      <c r="DI254" s="47"/>
      <c r="DJ254" s="14"/>
      <c r="DK254" s="107"/>
      <c r="DL254" s="33"/>
      <c r="DM254" s="117"/>
      <c r="DN254" s="116"/>
      <c r="DO254" s="33"/>
      <c r="DP254" s="117"/>
      <c r="DQ254" s="116"/>
      <c r="DR254" s="27"/>
      <c r="DS254" s="14"/>
      <c r="DT254" s="14"/>
      <c r="DU254" s="14"/>
      <c r="DV254" s="14"/>
      <c r="DW254" s="14"/>
      <c r="DX254" s="14"/>
      <c r="DY254" s="14"/>
      <c r="DZ254" s="14"/>
      <c r="EA254" s="14"/>
      <c r="EB254" s="14"/>
      <c r="EC254" s="14"/>
      <c r="ED254" s="14"/>
      <c r="EE254" s="14"/>
      <c r="EF254" s="14"/>
      <c r="EG254" s="14"/>
      <c r="EH254" s="14"/>
      <c r="EI254" s="14"/>
      <c r="EJ254" s="14"/>
      <c r="EK254" s="14"/>
      <c r="EL254" s="14"/>
    </row>
    <row r="255" spans="1:142" x14ac:dyDescent="0.25">
      <c r="A255" s="14"/>
      <c r="B255" s="103"/>
      <c r="C255" s="114"/>
      <c r="D255" s="114"/>
      <c r="E255" s="114"/>
      <c r="F255" s="114"/>
      <c r="G255" s="114"/>
      <c r="H255" s="114"/>
      <c r="I255" s="114"/>
      <c r="J255" s="14"/>
      <c r="K255" s="14"/>
      <c r="L255" s="14"/>
      <c r="M255" s="14"/>
      <c r="N255" s="14"/>
      <c r="O255" s="14"/>
      <c r="P255" s="14"/>
      <c r="Q255" s="47"/>
      <c r="R255" s="19"/>
      <c r="S255" s="86" t="s">
        <v>8</v>
      </c>
      <c r="T255" s="111">
        <f t="shared" ref="T255:Y255" si="210">SUM(T248:T254)</f>
        <v>5</v>
      </c>
      <c r="U255" s="111">
        <f t="shared" si="210"/>
        <v>0</v>
      </c>
      <c r="V255" s="111">
        <f t="shared" si="210"/>
        <v>1</v>
      </c>
      <c r="W255" s="111">
        <f t="shared" si="210"/>
        <v>1</v>
      </c>
      <c r="X255" s="111">
        <f t="shared" si="210"/>
        <v>3</v>
      </c>
      <c r="Y255" s="111">
        <f t="shared" si="210"/>
        <v>0</v>
      </c>
      <c r="Z255" s="111">
        <f t="shared" si="204"/>
        <v>10</v>
      </c>
      <c r="AA255" s="19"/>
      <c r="AB255" s="19"/>
      <c r="AC255" s="19"/>
      <c r="AD255" s="65"/>
      <c r="AE255" s="63"/>
      <c r="AF255" s="47"/>
      <c r="AG255" s="19"/>
      <c r="AH255" s="86" t="s">
        <v>8</v>
      </c>
      <c r="AI255" s="111">
        <f t="shared" ref="AI255:AN255" si="211">SUM(AI248:AI254)</f>
        <v>2</v>
      </c>
      <c r="AJ255" s="111">
        <f t="shared" si="211"/>
        <v>1</v>
      </c>
      <c r="AK255" s="111">
        <f t="shared" si="211"/>
        <v>1</v>
      </c>
      <c r="AL255" s="111">
        <f t="shared" si="211"/>
        <v>1</v>
      </c>
      <c r="AM255" s="111">
        <f t="shared" si="211"/>
        <v>1</v>
      </c>
      <c r="AN255" s="111">
        <f t="shared" si="211"/>
        <v>0</v>
      </c>
      <c r="AO255" s="111">
        <f t="shared" si="205"/>
        <v>6</v>
      </c>
      <c r="AP255" s="19"/>
      <c r="AQ255" s="19"/>
      <c r="AR255" s="19"/>
      <c r="AS255" s="65"/>
      <c r="AT255" s="63"/>
      <c r="AU255" s="47"/>
      <c r="AV255" s="14"/>
      <c r="AW255" s="86" t="s">
        <v>8</v>
      </c>
      <c r="AX255" s="111">
        <f t="shared" ref="AX255:BC255" si="212">SUM(AX248:AX254)</f>
        <v>2</v>
      </c>
      <c r="AY255" s="111">
        <f t="shared" si="212"/>
        <v>1</v>
      </c>
      <c r="AZ255" s="111">
        <f t="shared" si="212"/>
        <v>1</v>
      </c>
      <c r="BA255" s="111">
        <f t="shared" si="212"/>
        <v>1</v>
      </c>
      <c r="BB255" s="111">
        <f t="shared" si="212"/>
        <v>1</v>
      </c>
      <c r="BC255" s="111">
        <f t="shared" si="212"/>
        <v>0</v>
      </c>
      <c r="BD255" s="111">
        <f t="shared" si="206"/>
        <v>6</v>
      </c>
      <c r="BE255" s="19"/>
      <c r="BF255" s="19"/>
      <c r="BG255" s="19"/>
      <c r="BH255" s="65"/>
      <c r="BI255" s="63"/>
      <c r="BJ255" s="352"/>
      <c r="BK255" s="19"/>
      <c r="BL255" s="86" t="s">
        <v>8</v>
      </c>
      <c r="BM255" s="111">
        <f t="shared" ref="BM255:BR255" si="213">SUM(BM248:BM254)</f>
        <v>2</v>
      </c>
      <c r="BN255" s="111">
        <f t="shared" si="213"/>
        <v>1</v>
      </c>
      <c r="BO255" s="111">
        <f t="shared" si="213"/>
        <v>1</v>
      </c>
      <c r="BP255" s="111">
        <f t="shared" si="213"/>
        <v>1</v>
      </c>
      <c r="BQ255" s="111">
        <f t="shared" si="213"/>
        <v>1</v>
      </c>
      <c r="BR255" s="111">
        <f t="shared" si="213"/>
        <v>0</v>
      </c>
      <c r="BS255" s="111">
        <f t="shared" si="207"/>
        <v>6</v>
      </c>
      <c r="BT255" s="19"/>
      <c r="BU255" s="19"/>
      <c r="BV255" s="19"/>
      <c r="BW255" s="65"/>
      <c r="BX255" s="63"/>
      <c r="BY255" s="352"/>
      <c r="BZ255" s="14"/>
      <c r="CA255" s="14"/>
      <c r="CB255" s="21"/>
      <c r="CC255" s="21"/>
      <c r="CD255" s="180"/>
      <c r="CE255" s="180"/>
      <c r="CF255" s="21"/>
      <c r="CG255" s="14"/>
      <c r="CH255" s="14"/>
      <c r="CI255" s="14"/>
      <c r="CJ255" s="14"/>
      <c r="CK255" s="14"/>
      <c r="CL255" s="14"/>
      <c r="CM255" s="14"/>
      <c r="CN255" s="14"/>
      <c r="CO255" s="129"/>
      <c r="CP255" s="14"/>
      <c r="CQ255" s="47"/>
      <c r="CR255" s="14"/>
      <c r="CS255" s="14"/>
      <c r="CT255" s="14"/>
      <c r="CU255" s="14"/>
      <c r="CV255" s="180"/>
      <c r="CW255" s="189"/>
      <c r="CX255" s="189"/>
      <c r="CY255" s="14"/>
      <c r="CZ255" s="14"/>
      <c r="DA255" s="14"/>
      <c r="DB255" s="14"/>
      <c r="DC255" s="14"/>
      <c r="DD255" s="14"/>
      <c r="DE255" s="14"/>
      <c r="DF255" s="14"/>
      <c r="DG255" s="129"/>
      <c r="DH255" s="14"/>
      <c r="DI255" s="47"/>
      <c r="DJ255" s="14"/>
      <c r="DK255" s="103"/>
      <c r="DL255" s="114"/>
      <c r="DM255" s="114"/>
      <c r="DN255" s="114"/>
      <c r="DO255" s="114"/>
      <c r="DP255" s="114"/>
      <c r="DQ255" s="114"/>
      <c r="DR255" s="114"/>
      <c r="DS255" s="14"/>
      <c r="DT255" s="14"/>
      <c r="DU255" s="14"/>
      <c r="DV255" s="14"/>
      <c r="DW255" s="14"/>
      <c r="DX255" s="14"/>
      <c r="DY255" s="14"/>
      <c r="DZ255" s="14"/>
      <c r="EA255" s="14"/>
      <c r="EB255" s="14"/>
      <c r="EC255" s="14"/>
      <c r="ED255" s="14"/>
      <c r="EE255" s="14"/>
      <c r="EF255" s="14"/>
      <c r="EG255" s="14"/>
      <c r="EH255" s="14"/>
      <c r="EI255" s="14"/>
      <c r="EJ255" s="14"/>
      <c r="EK255" s="14"/>
      <c r="EL255" s="14"/>
    </row>
    <row r="256" spans="1:142" x14ac:dyDescent="0.25">
      <c r="A256" s="14"/>
      <c r="B256" s="19"/>
      <c r="C256" s="40"/>
      <c r="D256" s="41"/>
      <c r="E256" s="40"/>
      <c r="F256" s="40"/>
      <c r="G256" s="40"/>
      <c r="H256" s="41"/>
      <c r="I256" s="72"/>
      <c r="J256" s="14"/>
      <c r="K256" s="14"/>
      <c r="L256" s="14"/>
      <c r="M256" s="14"/>
      <c r="N256" s="14"/>
      <c r="O256" s="14"/>
      <c r="P256" s="14"/>
      <c r="Q256" s="47"/>
      <c r="R256" s="19"/>
      <c r="S256" s="19"/>
      <c r="T256" s="14"/>
      <c r="U256" s="14"/>
      <c r="V256" s="14"/>
      <c r="W256" s="14"/>
      <c r="X256" s="14"/>
      <c r="Y256" s="14"/>
      <c r="Z256" s="14"/>
      <c r="AA256" s="14"/>
      <c r="AB256" s="14"/>
      <c r="AC256" s="14"/>
      <c r="AD256" s="65"/>
      <c r="AE256" s="63"/>
      <c r="AF256" s="47"/>
      <c r="AG256" s="19"/>
      <c r="AH256" s="19"/>
      <c r="AI256" s="14"/>
      <c r="AJ256" s="14"/>
      <c r="AK256" s="14"/>
      <c r="AL256" s="14"/>
      <c r="AM256" s="14"/>
      <c r="AN256" s="14"/>
      <c r="AO256" s="14"/>
      <c r="AP256" s="14"/>
      <c r="AQ256" s="14"/>
      <c r="AR256" s="14"/>
      <c r="AS256" s="65"/>
      <c r="AT256" s="63"/>
      <c r="AU256" s="47"/>
      <c r="AV256" s="14"/>
      <c r="AW256" s="19"/>
      <c r="AX256" s="14"/>
      <c r="AY256" s="14"/>
      <c r="AZ256" s="14"/>
      <c r="BA256" s="14"/>
      <c r="BB256" s="14"/>
      <c r="BC256" s="14"/>
      <c r="BD256" s="14"/>
      <c r="BE256" s="14"/>
      <c r="BF256" s="14"/>
      <c r="BG256" s="14"/>
      <c r="BH256" s="65"/>
      <c r="BI256" s="63"/>
      <c r="BJ256" s="352"/>
      <c r="BK256" s="19"/>
      <c r="BL256" s="19"/>
      <c r="BM256" s="14"/>
      <c r="BN256" s="14"/>
      <c r="BO256" s="14"/>
      <c r="BP256" s="14"/>
      <c r="BQ256" s="14"/>
      <c r="BR256" s="14"/>
      <c r="BS256" s="14"/>
      <c r="BT256" s="14"/>
      <c r="BU256" s="14"/>
      <c r="BV256" s="14"/>
      <c r="BW256" s="65"/>
      <c r="BX256" s="63"/>
      <c r="BY256" s="352"/>
      <c r="BZ256" s="14"/>
      <c r="CA256" s="14"/>
      <c r="CB256" s="21"/>
      <c r="CC256" s="21"/>
      <c r="CD256" s="180"/>
      <c r="CE256" s="180"/>
      <c r="CF256" s="21"/>
      <c r="CG256" s="14"/>
      <c r="CH256" s="14"/>
      <c r="CI256" s="14"/>
      <c r="CJ256" s="14"/>
      <c r="CK256" s="14"/>
      <c r="CL256" s="14"/>
      <c r="CM256" s="14"/>
      <c r="CN256" s="14"/>
      <c r="CO256" s="129"/>
      <c r="CP256" s="14"/>
      <c r="CQ256" s="47"/>
      <c r="CR256" s="14"/>
      <c r="CS256" s="14"/>
      <c r="CT256" s="14"/>
      <c r="CU256" s="14"/>
      <c r="CV256" s="180"/>
      <c r="CW256" s="189"/>
      <c r="CX256" s="189"/>
      <c r="CY256" s="14"/>
      <c r="CZ256" s="14"/>
      <c r="DA256" s="14"/>
      <c r="DB256" s="14"/>
      <c r="DC256" s="14"/>
      <c r="DD256" s="14"/>
      <c r="DE256" s="14"/>
      <c r="DF256" s="14"/>
      <c r="DG256" s="129"/>
      <c r="DH256" s="14"/>
      <c r="DI256" s="47"/>
      <c r="DJ256" s="14"/>
      <c r="DK256" s="19"/>
      <c r="DL256" s="40"/>
      <c r="DM256" s="41"/>
      <c r="DN256" s="40"/>
      <c r="DO256" s="40"/>
      <c r="DP256" s="40"/>
      <c r="DQ256" s="41"/>
      <c r="DR256" s="72"/>
      <c r="DS256" s="14"/>
      <c r="DT256" s="14"/>
      <c r="DU256" s="14"/>
      <c r="DV256" s="14"/>
      <c r="DW256" s="14"/>
      <c r="DX256" s="14"/>
      <c r="DY256" s="14"/>
      <c r="DZ256" s="14"/>
      <c r="EA256" s="14"/>
      <c r="EB256" s="14"/>
      <c r="EC256" s="14"/>
      <c r="ED256" s="14"/>
      <c r="EE256" s="14"/>
      <c r="EF256" s="14"/>
      <c r="EG256" s="14"/>
      <c r="EH256" s="14"/>
      <c r="EI256" s="14"/>
      <c r="EJ256" s="14"/>
      <c r="EK256" s="14"/>
      <c r="EL256" s="14"/>
    </row>
    <row r="257" spans="1:142" x14ac:dyDescent="0.25">
      <c r="A257" s="14"/>
      <c r="B257" s="19"/>
      <c r="C257" s="40"/>
      <c r="D257" s="41"/>
      <c r="E257" s="40"/>
      <c r="F257" s="40"/>
      <c r="G257" s="40"/>
      <c r="H257" s="41"/>
      <c r="I257" s="72"/>
      <c r="J257" s="14"/>
      <c r="K257" s="14"/>
      <c r="L257" s="14"/>
      <c r="M257" s="14"/>
      <c r="N257" s="14"/>
      <c r="O257" s="14"/>
      <c r="P257" s="14"/>
      <c r="Q257" s="47"/>
      <c r="R257" s="19"/>
      <c r="S257" s="19"/>
      <c r="T257" s="14"/>
      <c r="U257" s="14"/>
      <c r="V257" s="14"/>
      <c r="W257" s="14"/>
      <c r="X257" s="14"/>
      <c r="Y257" s="14"/>
      <c r="Z257" s="14"/>
      <c r="AA257" s="14"/>
      <c r="AB257" s="14"/>
      <c r="AC257" s="14"/>
      <c r="AD257" s="65"/>
      <c r="AE257" s="63"/>
      <c r="AF257" s="47"/>
      <c r="AG257" s="19"/>
      <c r="AH257" s="19"/>
      <c r="AI257" s="14"/>
      <c r="AJ257" s="14"/>
      <c r="AK257" s="14"/>
      <c r="AL257" s="14"/>
      <c r="AM257" s="14"/>
      <c r="AN257" s="14"/>
      <c r="AO257" s="14"/>
      <c r="AP257" s="14"/>
      <c r="AQ257" s="14"/>
      <c r="AR257" s="14"/>
      <c r="AS257" s="65"/>
      <c r="AT257" s="63"/>
      <c r="AU257" s="47"/>
      <c r="AV257" s="14"/>
      <c r="AW257" s="19"/>
      <c r="AX257" s="14"/>
      <c r="AY257" s="14"/>
      <c r="AZ257" s="14"/>
      <c r="BA257" s="14"/>
      <c r="BB257" s="14"/>
      <c r="BC257" s="14"/>
      <c r="BD257" s="14"/>
      <c r="BE257" s="14"/>
      <c r="BF257" s="14"/>
      <c r="BG257" s="14"/>
      <c r="BH257" s="65"/>
      <c r="BI257" s="63"/>
      <c r="BJ257" s="352"/>
      <c r="BK257" s="19"/>
      <c r="BL257" s="19"/>
      <c r="BM257" s="14"/>
      <c r="BN257" s="14"/>
      <c r="BO257" s="14"/>
      <c r="BP257" s="14"/>
      <c r="BQ257" s="14"/>
      <c r="BR257" s="14"/>
      <c r="BS257" s="14"/>
      <c r="BT257" s="14"/>
      <c r="BU257" s="14"/>
      <c r="BV257" s="14"/>
      <c r="BW257" s="65"/>
      <c r="BX257" s="63"/>
      <c r="BY257" s="352"/>
      <c r="BZ257" s="14"/>
      <c r="CA257" s="14"/>
      <c r="CB257" s="21"/>
      <c r="CC257" s="21"/>
      <c r="CD257" s="180"/>
      <c r="CE257" s="180"/>
      <c r="CF257" s="21"/>
      <c r="CG257" s="14"/>
      <c r="CH257" s="14"/>
      <c r="CI257" s="14"/>
      <c r="CJ257" s="14"/>
      <c r="CK257" s="14"/>
      <c r="CL257" s="14"/>
      <c r="CM257" s="14"/>
      <c r="CN257" s="14"/>
      <c r="CO257" s="129"/>
      <c r="CP257" s="14"/>
      <c r="CQ257" s="47"/>
      <c r="CR257" s="14"/>
      <c r="CS257" s="14"/>
      <c r="CT257" s="14"/>
      <c r="CU257" s="14"/>
      <c r="CV257" s="180"/>
      <c r="CW257" s="189"/>
      <c r="CX257" s="189"/>
      <c r="CY257" s="14"/>
      <c r="CZ257" s="14"/>
      <c r="DA257" s="14"/>
      <c r="DB257" s="14"/>
      <c r="DC257" s="14"/>
      <c r="DD257" s="14"/>
      <c r="DE257" s="14"/>
      <c r="DF257" s="14"/>
      <c r="DG257" s="129"/>
      <c r="DH257" s="14"/>
      <c r="DI257" s="47"/>
      <c r="DJ257" s="14"/>
      <c r="DK257" s="19"/>
      <c r="DL257" s="40"/>
      <c r="DM257" s="41"/>
      <c r="DN257" s="40"/>
      <c r="DO257" s="40"/>
      <c r="DP257" s="40"/>
      <c r="DQ257" s="41"/>
      <c r="DR257" s="72"/>
      <c r="DS257" s="14"/>
      <c r="DT257" s="14"/>
      <c r="DU257" s="14"/>
      <c r="DV257" s="14"/>
      <c r="DW257" s="14"/>
      <c r="DX257" s="14"/>
      <c r="DY257" s="14"/>
      <c r="DZ257" s="14"/>
      <c r="EA257" s="14"/>
      <c r="EB257" s="14"/>
      <c r="EC257" s="14"/>
      <c r="ED257" s="14"/>
      <c r="EE257" s="14"/>
      <c r="EF257" s="14"/>
      <c r="EG257" s="14"/>
      <c r="EH257" s="14"/>
      <c r="EI257" s="14"/>
      <c r="EJ257" s="14"/>
      <c r="EK257" s="14"/>
      <c r="EL257" s="14"/>
    </row>
    <row r="258" spans="1:142" x14ac:dyDescent="0.25">
      <c r="A258" s="14"/>
      <c r="B258" s="19"/>
      <c r="C258" s="40"/>
      <c r="D258" s="41"/>
      <c r="E258" s="40"/>
      <c r="F258" s="40"/>
      <c r="G258" s="40"/>
      <c r="H258" s="41"/>
      <c r="I258" s="72"/>
      <c r="J258" s="14"/>
      <c r="K258" s="14"/>
      <c r="L258" s="14"/>
      <c r="M258" s="14"/>
      <c r="N258" s="14"/>
      <c r="O258" s="14"/>
      <c r="P258" s="14"/>
      <c r="Q258" s="47"/>
      <c r="R258" s="19"/>
      <c r="S258" s="19"/>
      <c r="T258" s="14"/>
      <c r="U258" s="14"/>
      <c r="V258" s="14"/>
      <c r="W258" s="14"/>
      <c r="X258" s="14"/>
      <c r="Y258" s="14"/>
      <c r="Z258" s="14"/>
      <c r="AA258" s="14"/>
      <c r="AB258" s="14"/>
      <c r="AC258" s="14"/>
      <c r="AD258" s="65"/>
      <c r="AE258" s="63"/>
      <c r="AF258" s="47"/>
      <c r="AG258" s="19"/>
      <c r="AH258" s="19"/>
      <c r="AI258" s="14"/>
      <c r="AJ258" s="14"/>
      <c r="AK258" s="14"/>
      <c r="AL258" s="14"/>
      <c r="AM258" s="14"/>
      <c r="AN258" s="14"/>
      <c r="AO258" s="14"/>
      <c r="AP258" s="14"/>
      <c r="AQ258" s="14"/>
      <c r="AR258" s="14"/>
      <c r="AS258" s="65"/>
      <c r="AT258" s="63"/>
      <c r="AU258" s="47"/>
      <c r="AV258" s="14"/>
      <c r="AW258" s="19"/>
      <c r="AX258" s="14"/>
      <c r="AY258" s="14"/>
      <c r="AZ258" s="14"/>
      <c r="BA258" s="14"/>
      <c r="BB258" s="14"/>
      <c r="BC258" s="14"/>
      <c r="BD258" s="14"/>
      <c r="BE258" s="14"/>
      <c r="BF258" s="14"/>
      <c r="BG258" s="14"/>
      <c r="BH258" s="65"/>
      <c r="BI258" s="63"/>
      <c r="BJ258" s="352"/>
      <c r="BK258" s="19"/>
      <c r="BL258" s="19"/>
      <c r="BM258" s="14"/>
      <c r="BN258" s="14"/>
      <c r="BO258" s="14"/>
      <c r="BP258" s="14"/>
      <c r="BQ258" s="14"/>
      <c r="BR258" s="14"/>
      <c r="BS258" s="14"/>
      <c r="BT258" s="14"/>
      <c r="BU258" s="14"/>
      <c r="BV258" s="14"/>
      <c r="BW258" s="65"/>
      <c r="BX258" s="63"/>
      <c r="BY258" s="352"/>
      <c r="BZ258" s="14"/>
      <c r="CA258" s="14"/>
      <c r="CB258" s="21"/>
      <c r="CC258" s="21"/>
      <c r="CD258" s="180"/>
      <c r="CE258" s="180"/>
      <c r="CF258" s="21"/>
      <c r="CG258" s="14"/>
      <c r="CH258" s="14"/>
      <c r="CI258" s="14"/>
      <c r="CJ258" s="14"/>
      <c r="CK258" s="14"/>
      <c r="CL258" s="14"/>
      <c r="CM258" s="14"/>
      <c r="CN258" s="14"/>
      <c r="CO258" s="129"/>
      <c r="CP258" s="14"/>
      <c r="CQ258" s="47"/>
      <c r="CR258" s="14"/>
      <c r="CS258" s="14"/>
      <c r="CT258" s="14"/>
      <c r="CU258" s="14"/>
      <c r="CV258" s="180"/>
      <c r="CW258" s="189"/>
      <c r="CX258" s="189"/>
      <c r="CY258" s="14"/>
      <c r="CZ258" s="14"/>
      <c r="DA258" s="14"/>
      <c r="DB258" s="14"/>
      <c r="DC258" s="14"/>
      <c r="DD258" s="14"/>
      <c r="DE258" s="14"/>
      <c r="DF258" s="14"/>
      <c r="DG258" s="129"/>
      <c r="DH258" s="14"/>
      <c r="DI258" s="47"/>
      <c r="DJ258" s="14"/>
      <c r="DK258" s="19"/>
      <c r="DL258" s="40"/>
      <c r="DM258" s="41"/>
      <c r="DN258" s="40"/>
      <c r="DO258" s="40"/>
      <c r="DP258" s="40"/>
      <c r="DQ258" s="41"/>
      <c r="DR258" s="72"/>
      <c r="DS258" s="14"/>
      <c r="DT258" s="14"/>
      <c r="DU258" s="14"/>
      <c r="DV258" s="14"/>
      <c r="DW258" s="14"/>
      <c r="DX258" s="14"/>
      <c r="DY258" s="14"/>
      <c r="DZ258" s="14"/>
      <c r="EA258" s="14"/>
      <c r="EB258" s="14"/>
      <c r="EC258" s="14"/>
      <c r="ED258" s="14"/>
      <c r="EE258" s="14"/>
      <c r="EF258" s="14"/>
      <c r="EG258" s="14"/>
      <c r="EH258" s="14"/>
      <c r="EI258" s="14"/>
      <c r="EJ258" s="14"/>
      <c r="EK258" s="14"/>
      <c r="EL258" s="14"/>
    </row>
    <row r="259" spans="1:142" x14ac:dyDescent="0.25">
      <c r="A259" s="14"/>
      <c r="B259" s="19"/>
      <c r="C259" s="40"/>
      <c r="D259" s="41"/>
      <c r="E259" s="40"/>
      <c r="F259" s="40"/>
      <c r="G259" s="40"/>
      <c r="H259" s="41"/>
      <c r="I259" s="72"/>
      <c r="J259" s="14"/>
      <c r="K259" s="14"/>
      <c r="L259" s="14"/>
      <c r="M259" s="14"/>
      <c r="N259" s="14"/>
      <c r="O259" s="14"/>
      <c r="P259" s="14"/>
      <c r="Q259" s="47"/>
      <c r="R259" s="19"/>
      <c r="S259" s="19"/>
      <c r="T259" s="14"/>
      <c r="U259" s="14"/>
      <c r="V259" s="14"/>
      <c r="W259" s="14"/>
      <c r="X259" s="14"/>
      <c r="Y259" s="14"/>
      <c r="Z259" s="14"/>
      <c r="AA259" s="14"/>
      <c r="AB259" s="14"/>
      <c r="AC259" s="14"/>
      <c r="AD259" s="65"/>
      <c r="AE259" s="63"/>
      <c r="AF259" s="47"/>
      <c r="AG259" s="19"/>
      <c r="AH259" s="19"/>
      <c r="AI259" s="14"/>
      <c r="AJ259" s="14"/>
      <c r="AK259" s="14"/>
      <c r="AL259" s="14"/>
      <c r="AM259" s="14"/>
      <c r="AN259" s="14"/>
      <c r="AO259" s="14"/>
      <c r="AP259" s="14"/>
      <c r="AQ259" s="14"/>
      <c r="AR259" s="14"/>
      <c r="AS259" s="65"/>
      <c r="AT259" s="63"/>
      <c r="AU259" s="47"/>
      <c r="AV259" s="14"/>
      <c r="AW259" s="19"/>
      <c r="AX259" s="14"/>
      <c r="AY259" s="14"/>
      <c r="AZ259" s="14"/>
      <c r="BA259" s="14"/>
      <c r="BB259" s="14"/>
      <c r="BC259" s="14"/>
      <c r="BD259" s="14"/>
      <c r="BE259" s="14"/>
      <c r="BF259" s="14"/>
      <c r="BG259" s="14"/>
      <c r="BH259" s="65"/>
      <c r="BI259" s="63"/>
      <c r="BJ259" s="352"/>
      <c r="BK259" s="19"/>
      <c r="BL259" s="19"/>
      <c r="BM259" s="14"/>
      <c r="BN259" s="14"/>
      <c r="BO259" s="14"/>
      <c r="BP259" s="14"/>
      <c r="BQ259" s="14"/>
      <c r="BR259" s="14"/>
      <c r="BS259" s="14"/>
      <c r="BT259" s="14"/>
      <c r="BU259" s="14"/>
      <c r="BV259" s="14"/>
      <c r="BW259" s="65"/>
      <c r="BX259" s="63"/>
      <c r="BY259" s="352"/>
      <c r="BZ259" s="14"/>
      <c r="CA259" s="14"/>
      <c r="CB259" s="21"/>
      <c r="CC259" s="21"/>
      <c r="CD259" s="180"/>
      <c r="CE259" s="180"/>
      <c r="CF259" s="21"/>
      <c r="CG259" s="14"/>
      <c r="CH259" s="14"/>
      <c r="CI259" s="14"/>
      <c r="CJ259" s="14"/>
      <c r="CK259" s="14"/>
      <c r="CL259" s="14"/>
      <c r="CM259" s="14"/>
      <c r="CN259" s="14"/>
      <c r="CO259" s="129"/>
      <c r="CP259" s="14"/>
      <c r="CQ259" s="47"/>
      <c r="CR259" s="14"/>
      <c r="CS259" s="14"/>
      <c r="CT259" s="14"/>
      <c r="CU259" s="14"/>
      <c r="CV259" s="180"/>
      <c r="CW259" s="189"/>
      <c r="CX259" s="189"/>
      <c r="CY259" s="14"/>
      <c r="CZ259" s="14"/>
      <c r="DA259" s="14"/>
      <c r="DB259" s="14"/>
      <c r="DC259" s="14"/>
      <c r="DD259" s="14"/>
      <c r="DE259" s="14"/>
      <c r="DF259" s="14"/>
      <c r="DG259" s="129"/>
      <c r="DH259" s="14"/>
      <c r="DI259" s="47"/>
      <c r="DJ259" s="14"/>
      <c r="DK259" s="19"/>
      <c r="DL259" s="40"/>
      <c r="DM259" s="41"/>
      <c r="DN259" s="40"/>
      <c r="DO259" s="40"/>
      <c r="DP259" s="40"/>
      <c r="DQ259" s="41"/>
      <c r="DR259" s="72"/>
      <c r="DS259" s="14"/>
      <c r="DT259" s="14"/>
      <c r="DU259" s="14"/>
      <c r="DV259" s="14"/>
      <c r="DW259" s="14"/>
      <c r="DX259" s="14"/>
      <c r="DY259" s="14"/>
      <c r="DZ259" s="14"/>
      <c r="EA259" s="14"/>
      <c r="EB259" s="14"/>
      <c r="EC259" s="14"/>
      <c r="ED259" s="14"/>
      <c r="EE259" s="14"/>
      <c r="EF259" s="14"/>
      <c r="EG259" s="14"/>
      <c r="EH259" s="14"/>
      <c r="EI259" s="14"/>
      <c r="EJ259" s="14"/>
      <c r="EK259" s="14"/>
      <c r="EL259" s="14"/>
    </row>
    <row r="260" spans="1:142" x14ac:dyDescent="0.25">
      <c r="A260" s="14"/>
      <c r="B260" s="19"/>
      <c r="C260" s="40"/>
      <c r="D260" s="41"/>
      <c r="E260" s="40"/>
      <c r="F260" s="40"/>
      <c r="G260" s="40"/>
      <c r="H260" s="41"/>
      <c r="I260" s="72"/>
      <c r="J260" s="14"/>
      <c r="K260" s="14"/>
      <c r="L260" s="14"/>
      <c r="M260" s="14"/>
      <c r="N260" s="14"/>
      <c r="O260" s="14"/>
      <c r="P260" s="14"/>
      <c r="Q260" s="47"/>
      <c r="R260" s="19"/>
      <c r="S260" s="19"/>
      <c r="T260" s="14"/>
      <c r="U260" s="14"/>
      <c r="V260" s="14"/>
      <c r="W260" s="14"/>
      <c r="X260" s="14"/>
      <c r="Y260" s="14"/>
      <c r="Z260" s="14"/>
      <c r="AA260" s="14"/>
      <c r="AB260" s="14"/>
      <c r="AC260" s="14"/>
      <c r="AD260" s="65"/>
      <c r="AE260" s="63"/>
      <c r="AF260" s="47"/>
      <c r="AG260" s="19"/>
      <c r="AH260" s="19"/>
      <c r="AI260" s="14"/>
      <c r="AJ260" s="14"/>
      <c r="AK260" s="14"/>
      <c r="AL260" s="14"/>
      <c r="AM260" s="14"/>
      <c r="AN260" s="14"/>
      <c r="AO260" s="14"/>
      <c r="AP260" s="14"/>
      <c r="AQ260" s="14"/>
      <c r="AR260" s="14"/>
      <c r="AS260" s="65"/>
      <c r="AT260" s="63"/>
      <c r="AU260" s="47"/>
      <c r="AV260" s="14"/>
      <c r="AW260" s="19"/>
      <c r="AX260" s="14"/>
      <c r="AY260" s="14"/>
      <c r="AZ260" s="14"/>
      <c r="BA260" s="14"/>
      <c r="BB260" s="14"/>
      <c r="BC260" s="14"/>
      <c r="BD260" s="14"/>
      <c r="BE260" s="14"/>
      <c r="BF260" s="14"/>
      <c r="BG260" s="14"/>
      <c r="BH260" s="65"/>
      <c r="BI260" s="63"/>
      <c r="BJ260" s="352"/>
      <c r="BK260" s="19"/>
      <c r="BL260" s="19"/>
      <c r="BM260" s="14"/>
      <c r="BN260" s="14"/>
      <c r="BO260" s="14"/>
      <c r="BP260" s="14"/>
      <c r="BQ260" s="14"/>
      <c r="BR260" s="14"/>
      <c r="BS260" s="14"/>
      <c r="BT260" s="14"/>
      <c r="BU260" s="14"/>
      <c r="BV260" s="14"/>
      <c r="BW260" s="65"/>
      <c r="BX260" s="63"/>
      <c r="BY260" s="352"/>
      <c r="BZ260" s="14"/>
      <c r="CA260" s="14"/>
      <c r="CB260" s="21"/>
      <c r="CC260" s="21"/>
      <c r="CD260" s="180"/>
      <c r="CE260" s="180"/>
      <c r="CF260" s="21"/>
      <c r="CG260" s="14"/>
      <c r="CH260" s="14"/>
      <c r="CI260" s="14"/>
      <c r="CJ260" s="14"/>
      <c r="CK260" s="14"/>
      <c r="CL260" s="14"/>
      <c r="CM260" s="14"/>
      <c r="CN260" s="14"/>
      <c r="CO260" s="129"/>
      <c r="CP260" s="14"/>
      <c r="CQ260" s="47"/>
      <c r="CR260" s="14"/>
      <c r="CS260" s="14"/>
      <c r="CT260" s="14"/>
      <c r="CU260" s="14"/>
      <c r="CV260" s="180"/>
      <c r="CW260" s="189"/>
      <c r="CX260" s="189"/>
      <c r="CY260" s="14"/>
      <c r="CZ260" s="14"/>
      <c r="DA260" s="14"/>
      <c r="DB260" s="14"/>
      <c r="DC260" s="14"/>
      <c r="DD260" s="14"/>
      <c r="DE260" s="14"/>
      <c r="DF260" s="14"/>
      <c r="DG260" s="129"/>
      <c r="DH260" s="14"/>
      <c r="DI260" s="47"/>
      <c r="DJ260" s="14"/>
      <c r="DK260" s="19"/>
      <c r="DL260" s="40"/>
      <c r="DM260" s="41"/>
      <c r="DN260" s="40"/>
      <c r="DO260" s="40"/>
      <c r="DP260" s="40"/>
      <c r="DQ260" s="41"/>
      <c r="DR260" s="72"/>
      <c r="DS260" s="14"/>
      <c r="DT260" s="14"/>
      <c r="DU260" s="14"/>
      <c r="DV260" s="14"/>
      <c r="DW260" s="14"/>
      <c r="DX260" s="14"/>
      <c r="DY260" s="14"/>
      <c r="DZ260" s="14"/>
      <c r="EA260" s="14"/>
      <c r="EB260" s="14"/>
      <c r="EC260" s="14"/>
      <c r="ED260" s="14"/>
      <c r="EE260" s="14"/>
      <c r="EF260" s="14"/>
      <c r="EG260" s="14"/>
      <c r="EH260" s="14"/>
      <c r="EI260" s="14"/>
      <c r="EJ260" s="14"/>
      <c r="EK260" s="14"/>
      <c r="EL260" s="14"/>
    </row>
    <row r="261" spans="1:142" x14ac:dyDescent="0.25">
      <c r="A261" s="14"/>
      <c r="B261" s="19"/>
      <c r="C261" s="40"/>
      <c r="D261" s="41"/>
      <c r="E261" s="40"/>
      <c r="F261" s="40"/>
      <c r="G261" s="40"/>
      <c r="H261" s="41"/>
      <c r="I261" s="72"/>
      <c r="J261" s="14"/>
      <c r="K261" s="14"/>
      <c r="L261" s="14"/>
      <c r="M261" s="14"/>
      <c r="N261" s="14"/>
      <c r="O261" s="14"/>
      <c r="P261" s="14"/>
      <c r="Q261" s="47"/>
      <c r="R261" s="19"/>
      <c r="S261" s="19"/>
      <c r="T261" s="14"/>
      <c r="U261" s="14"/>
      <c r="V261" s="14"/>
      <c r="W261" s="14"/>
      <c r="X261" s="14"/>
      <c r="Y261" s="14"/>
      <c r="Z261" s="14"/>
      <c r="AA261" s="14"/>
      <c r="AB261" s="14"/>
      <c r="AC261" s="14"/>
      <c r="AD261" s="65"/>
      <c r="AE261" s="63"/>
      <c r="AF261" s="47"/>
      <c r="AG261" s="19"/>
      <c r="AH261" s="19"/>
      <c r="AI261" s="14"/>
      <c r="AJ261" s="14"/>
      <c r="AK261" s="14"/>
      <c r="AL261" s="14"/>
      <c r="AM261" s="14"/>
      <c r="AN261" s="14"/>
      <c r="AO261" s="14"/>
      <c r="AP261" s="14"/>
      <c r="AQ261" s="14"/>
      <c r="AR261" s="14"/>
      <c r="AS261" s="65"/>
      <c r="AT261" s="63"/>
      <c r="AU261" s="47"/>
      <c r="AV261" s="14"/>
      <c r="AW261" s="19"/>
      <c r="AX261" s="14"/>
      <c r="AY261" s="14"/>
      <c r="AZ261" s="14"/>
      <c r="BA261" s="14"/>
      <c r="BB261" s="14"/>
      <c r="BC261" s="14"/>
      <c r="BD261" s="14"/>
      <c r="BE261" s="14"/>
      <c r="BF261" s="14"/>
      <c r="BG261" s="14"/>
      <c r="BH261" s="65"/>
      <c r="BI261" s="63"/>
      <c r="BJ261" s="352"/>
      <c r="BK261" s="19"/>
      <c r="BL261" s="19"/>
      <c r="BM261" s="14"/>
      <c r="BN261" s="14"/>
      <c r="BO261" s="14"/>
      <c r="BP261" s="14"/>
      <c r="BQ261" s="14"/>
      <c r="BR261" s="14"/>
      <c r="BS261" s="14"/>
      <c r="BT261" s="14"/>
      <c r="BU261" s="14"/>
      <c r="BV261" s="14"/>
      <c r="BW261" s="65"/>
      <c r="BX261" s="63"/>
      <c r="BY261" s="352"/>
      <c r="BZ261" s="14"/>
      <c r="CA261" s="14"/>
      <c r="CB261" s="21"/>
      <c r="CC261" s="21"/>
      <c r="CD261" s="180"/>
      <c r="CE261" s="180"/>
      <c r="CF261" s="21"/>
      <c r="CG261" s="14"/>
      <c r="CH261" s="14"/>
      <c r="CI261" s="14"/>
      <c r="CJ261" s="14"/>
      <c r="CK261" s="14"/>
      <c r="CL261" s="14"/>
      <c r="CM261" s="14"/>
      <c r="CN261" s="14"/>
      <c r="CO261" s="129"/>
      <c r="CP261" s="14"/>
      <c r="CQ261" s="47"/>
      <c r="CR261" s="14"/>
      <c r="CS261" s="14"/>
      <c r="CT261" s="14"/>
      <c r="CU261" s="14"/>
      <c r="CV261" s="180"/>
      <c r="CW261" s="189"/>
      <c r="CX261" s="189"/>
      <c r="CY261" s="14"/>
      <c r="CZ261" s="14"/>
      <c r="DA261" s="14"/>
      <c r="DB261" s="14"/>
      <c r="DC261" s="14"/>
      <c r="DD261" s="14"/>
      <c r="DE261" s="14"/>
      <c r="DF261" s="14"/>
      <c r="DG261" s="129"/>
      <c r="DH261" s="14"/>
      <c r="DI261" s="47"/>
      <c r="DJ261" s="14"/>
      <c r="DK261" s="19"/>
      <c r="DL261" s="40"/>
      <c r="DM261" s="41"/>
      <c r="DN261" s="40"/>
      <c r="DO261" s="40"/>
      <c r="DP261" s="40"/>
      <c r="DQ261" s="41"/>
      <c r="DR261" s="72"/>
      <c r="DS261" s="14"/>
      <c r="DT261" s="14"/>
      <c r="DU261" s="14"/>
      <c r="DV261" s="14"/>
      <c r="DW261" s="14"/>
      <c r="DX261" s="14"/>
      <c r="DY261" s="14"/>
      <c r="DZ261" s="14"/>
      <c r="EA261" s="14"/>
      <c r="EB261" s="14"/>
      <c r="EC261" s="14"/>
      <c r="ED261" s="14"/>
      <c r="EE261" s="14"/>
      <c r="EF261" s="14"/>
      <c r="EG261" s="14"/>
      <c r="EH261" s="14"/>
      <c r="EI261" s="14"/>
      <c r="EJ261" s="14"/>
      <c r="EK261" s="14"/>
      <c r="EL261" s="14"/>
    </row>
    <row r="262" spans="1:142" x14ac:dyDescent="0.25">
      <c r="A262" s="14"/>
      <c r="B262" s="19"/>
      <c r="C262" s="40"/>
      <c r="D262" s="41"/>
      <c r="E262" s="40"/>
      <c r="F262" s="40"/>
      <c r="G262" s="40"/>
      <c r="H262" s="41"/>
      <c r="I262" s="72"/>
      <c r="J262" s="14"/>
      <c r="K262" s="14"/>
      <c r="L262" s="14"/>
      <c r="M262" s="14"/>
      <c r="N262" s="14"/>
      <c r="O262" s="14"/>
      <c r="P262" s="14"/>
      <c r="Q262" s="47"/>
      <c r="R262" s="19"/>
      <c r="S262" s="19"/>
      <c r="T262" s="14"/>
      <c r="U262" s="14"/>
      <c r="V262" s="14"/>
      <c r="W262" s="14"/>
      <c r="X262" s="14"/>
      <c r="Y262" s="14"/>
      <c r="Z262" s="14"/>
      <c r="AA262" s="14"/>
      <c r="AB262" s="14"/>
      <c r="AC262" s="14"/>
      <c r="AD262" s="65"/>
      <c r="AE262" s="63"/>
      <c r="AF262" s="47"/>
      <c r="AG262" s="19"/>
      <c r="AH262" s="19"/>
      <c r="AI262" s="14"/>
      <c r="AJ262" s="14"/>
      <c r="AK262" s="14"/>
      <c r="AL262" s="14"/>
      <c r="AM262" s="14"/>
      <c r="AN262" s="14"/>
      <c r="AO262" s="14"/>
      <c r="AP262" s="14"/>
      <c r="AQ262" s="14"/>
      <c r="AR262" s="14"/>
      <c r="AS262" s="65"/>
      <c r="AT262" s="63"/>
      <c r="AU262" s="47"/>
      <c r="AV262" s="14"/>
      <c r="AW262" s="19"/>
      <c r="AX262" s="14"/>
      <c r="AY262" s="14"/>
      <c r="AZ262" s="14"/>
      <c r="BA262" s="14"/>
      <c r="BB262" s="14"/>
      <c r="BC262" s="14"/>
      <c r="BD262" s="14"/>
      <c r="BE262" s="14"/>
      <c r="BF262" s="14"/>
      <c r="BG262" s="14"/>
      <c r="BH262" s="65"/>
      <c r="BI262" s="63"/>
      <c r="BJ262" s="352"/>
      <c r="BK262" s="19"/>
      <c r="BL262" s="19"/>
      <c r="BM262" s="14"/>
      <c r="BN262" s="14"/>
      <c r="BO262" s="14"/>
      <c r="BP262" s="14"/>
      <c r="BQ262" s="14"/>
      <c r="BR262" s="14"/>
      <c r="BS262" s="14"/>
      <c r="BT262" s="14"/>
      <c r="BU262" s="14"/>
      <c r="BV262" s="14"/>
      <c r="BW262" s="65"/>
      <c r="BX262" s="63"/>
      <c r="BY262" s="352"/>
      <c r="BZ262" s="14"/>
      <c r="CA262" s="14"/>
      <c r="CB262" s="21"/>
      <c r="CC262" s="21"/>
      <c r="CD262" s="180"/>
      <c r="CE262" s="180"/>
      <c r="CF262" s="21"/>
      <c r="CG262" s="14"/>
      <c r="CH262" s="14"/>
      <c r="CI262" s="14"/>
      <c r="CJ262" s="14"/>
      <c r="CK262" s="14"/>
      <c r="CL262" s="14"/>
      <c r="CM262" s="14"/>
      <c r="CN262" s="14"/>
      <c r="CO262" s="129"/>
      <c r="CP262" s="14"/>
      <c r="CQ262" s="47"/>
      <c r="CR262" s="14"/>
      <c r="CS262" s="14"/>
      <c r="CT262" s="14"/>
      <c r="CU262" s="14"/>
      <c r="CV262" s="180"/>
      <c r="CW262" s="189"/>
      <c r="CX262" s="189"/>
      <c r="CY262" s="14"/>
      <c r="CZ262" s="14"/>
      <c r="DA262" s="14"/>
      <c r="DB262" s="14"/>
      <c r="DC262" s="14"/>
      <c r="DD262" s="14"/>
      <c r="DE262" s="14"/>
      <c r="DF262" s="14"/>
      <c r="DG262" s="129"/>
      <c r="DH262" s="14"/>
      <c r="DI262" s="47"/>
      <c r="DJ262" s="14"/>
      <c r="DK262" s="19"/>
      <c r="DL262" s="40"/>
      <c r="DM262" s="41"/>
      <c r="DN262" s="40"/>
      <c r="DO262" s="40"/>
      <c r="DP262" s="40"/>
      <c r="DQ262" s="41"/>
      <c r="DR262" s="72"/>
      <c r="DS262" s="14"/>
      <c r="DT262" s="14"/>
      <c r="DU262" s="14"/>
      <c r="DV262" s="14"/>
      <c r="DW262" s="14"/>
      <c r="DX262" s="14"/>
      <c r="DY262" s="14"/>
      <c r="DZ262" s="14"/>
      <c r="EA262" s="14"/>
      <c r="EB262" s="14"/>
      <c r="EC262" s="14"/>
      <c r="ED262" s="14"/>
      <c r="EE262" s="14"/>
      <c r="EF262" s="14"/>
      <c r="EG262" s="14"/>
      <c r="EH262" s="14"/>
      <c r="EI262" s="14"/>
      <c r="EJ262" s="14"/>
      <c r="EK262" s="14"/>
      <c r="EL262" s="14"/>
    </row>
    <row r="263" spans="1:142" x14ac:dyDescent="0.25">
      <c r="A263" s="14"/>
      <c r="B263" s="19"/>
      <c r="C263" s="40"/>
      <c r="D263" s="41"/>
      <c r="E263" s="40"/>
      <c r="F263" s="40"/>
      <c r="G263" s="40"/>
      <c r="H263" s="41"/>
      <c r="I263" s="72"/>
      <c r="J263" s="14"/>
      <c r="K263" s="14"/>
      <c r="L263" s="14"/>
      <c r="M263" s="14"/>
      <c r="N263" s="14"/>
      <c r="O263" s="14"/>
      <c r="P263" s="14"/>
      <c r="Q263" s="47"/>
      <c r="R263" s="19"/>
      <c r="S263" s="19"/>
      <c r="T263" s="14"/>
      <c r="U263" s="14"/>
      <c r="V263" s="14"/>
      <c r="W263" s="14"/>
      <c r="X263" s="14"/>
      <c r="Y263" s="14"/>
      <c r="Z263" s="14"/>
      <c r="AA263" s="14"/>
      <c r="AB263" s="14"/>
      <c r="AC263" s="14"/>
      <c r="AD263" s="65"/>
      <c r="AE263" s="63"/>
      <c r="AF263" s="47"/>
      <c r="AG263" s="19"/>
      <c r="AH263" s="19"/>
      <c r="AI263" s="14"/>
      <c r="AJ263" s="14"/>
      <c r="AK263" s="14"/>
      <c r="AL263" s="14"/>
      <c r="AM263" s="14"/>
      <c r="AN263" s="14"/>
      <c r="AO263" s="14"/>
      <c r="AP263" s="14"/>
      <c r="AQ263" s="14"/>
      <c r="AR263" s="14"/>
      <c r="AS263" s="65"/>
      <c r="AT263" s="63"/>
      <c r="AU263" s="47"/>
      <c r="AV263" s="14"/>
      <c r="AW263" s="19"/>
      <c r="AX263" s="14"/>
      <c r="AY263" s="14"/>
      <c r="AZ263" s="14"/>
      <c r="BA263" s="14"/>
      <c r="BB263" s="14"/>
      <c r="BC263" s="14"/>
      <c r="BD263" s="14"/>
      <c r="BE263" s="14"/>
      <c r="BF263" s="14"/>
      <c r="BG263" s="14"/>
      <c r="BH263" s="65"/>
      <c r="BI263" s="63"/>
      <c r="BJ263" s="352"/>
      <c r="BK263" s="19"/>
      <c r="BL263" s="19"/>
      <c r="BM263" s="14"/>
      <c r="BN263" s="14"/>
      <c r="BO263" s="14"/>
      <c r="BP263" s="14"/>
      <c r="BQ263" s="14"/>
      <c r="BR263" s="14"/>
      <c r="BS263" s="14"/>
      <c r="BT263" s="14"/>
      <c r="BU263" s="14"/>
      <c r="BV263" s="14"/>
      <c r="BW263" s="65"/>
      <c r="BX263" s="63"/>
      <c r="BY263" s="352"/>
      <c r="BZ263" s="14"/>
      <c r="CA263" s="14"/>
      <c r="CB263" s="21"/>
      <c r="CC263" s="21"/>
      <c r="CD263" s="180"/>
      <c r="CE263" s="180"/>
      <c r="CF263" s="21"/>
      <c r="CG263" s="14"/>
      <c r="CH263" s="14"/>
      <c r="CI263" s="14"/>
      <c r="CJ263" s="14"/>
      <c r="CK263" s="14"/>
      <c r="CL263" s="14"/>
      <c r="CM263" s="14"/>
      <c r="CN263" s="14"/>
      <c r="CO263" s="129"/>
      <c r="CP263" s="14"/>
      <c r="CQ263" s="47"/>
      <c r="CR263" s="14"/>
      <c r="CS263" s="14"/>
      <c r="CT263" s="14"/>
      <c r="CU263" s="14"/>
      <c r="CV263" s="180"/>
      <c r="CW263" s="189"/>
      <c r="CX263" s="189"/>
      <c r="CY263" s="14"/>
      <c r="CZ263" s="14"/>
      <c r="DA263" s="14"/>
      <c r="DB263" s="14"/>
      <c r="DC263" s="14"/>
      <c r="DD263" s="14"/>
      <c r="DE263" s="14"/>
      <c r="DF263" s="14"/>
      <c r="DG263" s="129"/>
      <c r="DH263" s="14"/>
      <c r="DI263" s="47"/>
      <c r="DJ263" s="14"/>
      <c r="DK263" s="19"/>
      <c r="DL263" s="40"/>
      <c r="DM263" s="41"/>
      <c r="DN263" s="40"/>
      <c r="DO263" s="40"/>
      <c r="DP263" s="40"/>
      <c r="DQ263" s="41"/>
      <c r="DR263" s="72"/>
      <c r="DS263" s="14"/>
      <c r="DT263" s="14"/>
      <c r="DU263" s="14"/>
      <c r="DV263" s="14"/>
      <c r="DW263" s="14"/>
      <c r="DX263" s="14"/>
      <c r="DY263" s="14"/>
      <c r="DZ263" s="14"/>
      <c r="EA263" s="14"/>
      <c r="EB263" s="14"/>
      <c r="EC263" s="14"/>
      <c r="ED263" s="14"/>
      <c r="EE263" s="14"/>
      <c r="EF263" s="14"/>
      <c r="EG263" s="14"/>
      <c r="EH263" s="14"/>
      <c r="EI263" s="14"/>
      <c r="EJ263" s="14"/>
      <c r="EK263" s="14"/>
      <c r="EL263" s="14"/>
    </row>
    <row r="264" spans="1:142" x14ac:dyDescent="0.25">
      <c r="A264" s="14"/>
      <c r="B264" s="19"/>
      <c r="C264" s="40"/>
      <c r="D264" s="41"/>
      <c r="E264" s="40"/>
      <c r="F264" s="40"/>
      <c r="G264" s="40"/>
      <c r="H264" s="41"/>
      <c r="I264" s="72"/>
      <c r="J264" s="14"/>
      <c r="K264" s="14"/>
      <c r="L264" s="14"/>
      <c r="M264" s="14"/>
      <c r="N264" s="14"/>
      <c r="O264" s="14"/>
      <c r="P264" s="14"/>
      <c r="Q264" s="47"/>
      <c r="R264" s="19"/>
      <c r="S264" s="19"/>
      <c r="T264" s="14"/>
      <c r="U264" s="14"/>
      <c r="V264" s="14"/>
      <c r="W264" s="14"/>
      <c r="X264" s="14"/>
      <c r="Y264" s="14"/>
      <c r="Z264" s="14"/>
      <c r="AA264" s="14"/>
      <c r="AB264" s="14"/>
      <c r="AC264" s="14"/>
      <c r="AD264" s="65"/>
      <c r="AE264" s="63"/>
      <c r="AF264" s="47"/>
      <c r="AG264" s="19"/>
      <c r="AH264" s="19"/>
      <c r="AI264" s="14"/>
      <c r="AJ264" s="14"/>
      <c r="AK264" s="14"/>
      <c r="AL264" s="14"/>
      <c r="AM264" s="14"/>
      <c r="AN264" s="14"/>
      <c r="AO264" s="14"/>
      <c r="AP264" s="14"/>
      <c r="AQ264" s="14"/>
      <c r="AR264" s="14"/>
      <c r="AS264" s="65"/>
      <c r="AT264" s="63"/>
      <c r="AU264" s="47"/>
      <c r="AV264" s="14"/>
      <c r="AW264" s="19"/>
      <c r="AX264" s="14"/>
      <c r="AY264" s="14"/>
      <c r="AZ264" s="14"/>
      <c r="BA264" s="14"/>
      <c r="BB264" s="14"/>
      <c r="BC264" s="14"/>
      <c r="BD264" s="14"/>
      <c r="BE264" s="14"/>
      <c r="BF264" s="14"/>
      <c r="BG264" s="14"/>
      <c r="BH264" s="65"/>
      <c r="BI264" s="63"/>
      <c r="BJ264" s="352"/>
      <c r="BK264" s="19"/>
      <c r="BL264" s="19"/>
      <c r="BM264" s="14"/>
      <c r="BN264" s="14"/>
      <c r="BO264" s="14"/>
      <c r="BP264" s="14"/>
      <c r="BQ264" s="14"/>
      <c r="BR264" s="14"/>
      <c r="BS264" s="14"/>
      <c r="BT264" s="14"/>
      <c r="BU264" s="14"/>
      <c r="BV264" s="14"/>
      <c r="BW264" s="65"/>
      <c r="BX264" s="63"/>
      <c r="BY264" s="352"/>
      <c r="BZ264" s="14"/>
      <c r="CA264" s="14"/>
      <c r="CB264" s="21"/>
      <c r="CC264" s="21"/>
      <c r="CD264" s="180"/>
      <c r="CE264" s="180"/>
      <c r="CF264" s="21"/>
      <c r="CG264" s="14"/>
      <c r="CH264" s="14"/>
      <c r="CI264" s="14"/>
      <c r="CJ264" s="14"/>
      <c r="CK264" s="14"/>
      <c r="CL264" s="14"/>
      <c r="CM264" s="14"/>
      <c r="CN264" s="14"/>
      <c r="CO264" s="129"/>
      <c r="CP264" s="14"/>
      <c r="CQ264" s="47"/>
      <c r="CR264" s="14"/>
      <c r="CS264" s="14"/>
      <c r="CT264" s="14"/>
      <c r="CU264" s="14"/>
      <c r="CV264" s="180"/>
      <c r="CW264" s="189"/>
      <c r="CX264" s="189"/>
      <c r="CY264" s="14"/>
      <c r="CZ264" s="14"/>
      <c r="DA264" s="14"/>
      <c r="DB264" s="14"/>
      <c r="DC264" s="14"/>
      <c r="DD264" s="14"/>
      <c r="DE264" s="14"/>
      <c r="DF264" s="14"/>
      <c r="DG264" s="129"/>
      <c r="DH264" s="14"/>
      <c r="DI264" s="47"/>
      <c r="DJ264" s="14"/>
      <c r="DK264" s="19"/>
      <c r="DL264" s="40"/>
      <c r="DM264" s="41"/>
      <c r="DN264" s="40"/>
      <c r="DO264" s="40"/>
      <c r="DP264" s="40"/>
      <c r="DQ264" s="41"/>
      <c r="DR264" s="72"/>
      <c r="DS264" s="14"/>
      <c r="DT264" s="14"/>
      <c r="DU264" s="14"/>
      <c r="DV264" s="14"/>
      <c r="DW264" s="14"/>
      <c r="DX264" s="14"/>
      <c r="DY264" s="14"/>
      <c r="DZ264" s="14"/>
      <c r="EA264" s="14"/>
      <c r="EB264" s="14"/>
      <c r="EC264" s="14"/>
      <c r="ED264" s="14"/>
      <c r="EE264" s="14"/>
      <c r="EF264" s="14"/>
      <c r="EG264" s="14"/>
      <c r="EH264" s="14"/>
      <c r="EI264" s="14"/>
      <c r="EJ264" s="14"/>
      <c r="EK264" s="14"/>
      <c r="EL264" s="14"/>
    </row>
    <row r="265" spans="1:142" x14ac:dyDescent="0.25">
      <c r="A265" s="14"/>
      <c r="B265" s="19"/>
      <c r="C265" s="40"/>
      <c r="D265" s="41"/>
      <c r="E265" s="40"/>
      <c r="F265" s="40"/>
      <c r="G265" s="40"/>
      <c r="H265" s="41"/>
      <c r="I265" s="72"/>
      <c r="J265" s="14"/>
      <c r="K265" s="14"/>
      <c r="L265" s="14"/>
      <c r="M265" s="14"/>
      <c r="N265" s="14"/>
      <c r="O265" s="14"/>
      <c r="P265" s="14"/>
      <c r="Q265" s="47"/>
      <c r="R265" s="19"/>
      <c r="S265" s="19"/>
      <c r="T265" s="14"/>
      <c r="U265" s="14"/>
      <c r="V265" s="14"/>
      <c r="W265" s="14"/>
      <c r="X265" s="14"/>
      <c r="Y265" s="14"/>
      <c r="Z265" s="14"/>
      <c r="AA265" s="14"/>
      <c r="AB265" s="14"/>
      <c r="AC265" s="14"/>
      <c r="AD265" s="65"/>
      <c r="AE265" s="63"/>
      <c r="AF265" s="47"/>
      <c r="AG265" s="19"/>
      <c r="AH265" s="19"/>
      <c r="AI265" s="14"/>
      <c r="AJ265" s="14"/>
      <c r="AK265" s="14"/>
      <c r="AL265" s="14"/>
      <c r="AM265" s="14"/>
      <c r="AN265" s="14"/>
      <c r="AO265" s="14"/>
      <c r="AP265" s="14"/>
      <c r="AQ265" s="14"/>
      <c r="AR265" s="14"/>
      <c r="AS265" s="65"/>
      <c r="AT265" s="63"/>
      <c r="AU265" s="47"/>
      <c r="AV265" s="14"/>
      <c r="AW265" s="19"/>
      <c r="AX265" s="14"/>
      <c r="AY265" s="14"/>
      <c r="AZ265" s="14"/>
      <c r="BA265" s="14"/>
      <c r="BB265" s="14"/>
      <c r="BC265" s="14"/>
      <c r="BD265" s="14"/>
      <c r="BE265" s="14"/>
      <c r="BF265" s="14"/>
      <c r="BG265" s="14"/>
      <c r="BH265" s="65"/>
      <c r="BI265" s="63"/>
      <c r="BJ265" s="352"/>
      <c r="BK265" s="19"/>
      <c r="BL265" s="19"/>
      <c r="BM265" s="14"/>
      <c r="BN265" s="14"/>
      <c r="BO265" s="14"/>
      <c r="BP265" s="14"/>
      <c r="BQ265" s="14"/>
      <c r="BR265" s="14"/>
      <c r="BS265" s="14"/>
      <c r="BT265" s="14"/>
      <c r="BU265" s="14"/>
      <c r="BV265" s="14"/>
      <c r="BW265" s="65"/>
      <c r="BX265" s="63"/>
      <c r="BY265" s="352"/>
      <c r="BZ265" s="14"/>
      <c r="CA265" s="14"/>
      <c r="CB265" s="21"/>
      <c r="CC265" s="21"/>
      <c r="CD265" s="180"/>
      <c r="CE265" s="180"/>
      <c r="CF265" s="21"/>
      <c r="CG265" s="14"/>
      <c r="CH265" s="14"/>
      <c r="CI265" s="14"/>
      <c r="CJ265" s="14"/>
      <c r="CK265" s="14"/>
      <c r="CL265" s="14"/>
      <c r="CM265" s="14"/>
      <c r="CN265" s="14"/>
      <c r="CO265" s="129"/>
      <c r="CP265" s="14"/>
      <c r="CQ265" s="47"/>
      <c r="CR265" s="14"/>
      <c r="CS265" s="14"/>
      <c r="CT265" s="14"/>
      <c r="CU265" s="14"/>
      <c r="CV265" s="180"/>
      <c r="CW265" s="189"/>
      <c r="CX265" s="189"/>
      <c r="CY265" s="14"/>
      <c r="CZ265" s="14"/>
      <c r="DA265" s="14"/>
      <c r="DB265" s="14"/>
      <c r="DC265" s="14"/>
      <c r="DD265" s="14"/>
      <c r="DE265" s="14"/>
      <c r="DF265" s="14"/>
      <c r="DG265" s="129"/>
      <c r="DH265" s="14"/>
      <c r="DI265" s="47"/>
      <c r="DJ265" s="14"/>
      <c r="DK265" s="19"/>
      <c r="DL265" s="40"/>
      <c r="DM265" s="41"/>
      <c r="DN265" s="40"/>
      <c r="DO265" s="40"/>
      <c r="DP265" s="40"/>
      <c r="DQ265" s="41"/>
      <c r="DR265" s="72"/>
      <c r="DS265" s="14"/>
      <c r="DT265" s="14"/>
      <c r="DU265" s="14"/>
      <c r="DV265" s="14"/>
      <c r="DW265" s="14"/>
      <c r="DX265" s="14"/>
      <c r="DY265" s="14"/>
      <c r="DZ265" s="14"/>
      <c r="EA265" s="14"/>
      <c r="EB265" s="14"/>
      <c r="EC265" s="14"/>
      <c r="ED265" s="14"/>
      <c r="EE265" s="14"/>
      <c r="EF265" s="14"/>
      <c r="EG265" s="14"/>
      <c r="EH265" s="14"/>
      <c r="EI265" s="14"/>
      <c r="EJ265" s="14"/>
      <c r="EK265" s="14"/>
      <c r="EL265" s="14"/>
    </row>
    <row r="266" spans="1:142" x14ac:dyDescent="0.25">
      <c r="A266" s="14"/>
      <c r="B266" s="19"/>
      <c r="C266" s="40"/>
      <c r="D266" s="41"/>
      <c r="E266" s="40"/>
      <c r="F266" s="40"/>
      <c r="G266" s="40"/>
      <c r="H266" s="41"/>
      <c r="I266" s="72"/>
      <c r="J266" s="14"/>
      <c r="K266" s="14"/>
      <c r="L266" s="14"/>
      <c r="M266" s="14"/>
      <c r="N266" s="14"/>
      <c r="O266" s="14"/>
      <c r="P266" s="14"/>
      <c r="Q266" s="47"/>
      <c r="R266" s="19"/>
      <c r="S266" s="19"/>
      <c r="T266" s="14"/>
      <c r="U266" s="14"/>
      <c r="V266" s="14"/>
      <c r="W266" s="14"/>
      <c r="X266" s="14"/>
      <c r="Y266" s="14"/>
      <c r="Z266" s="14"/>
      <c r="AA266" s="14"/>
      <c r="AB266" s="14"/>
      <c r="AC266" s="14"/>
      <c r="AD266" s="65"/>
      <c r="AE266" s="63"/>
      <c r="AF266" s="47"/>
      <c r="AG266" s="19"/>
      <c r="AH266" s="19"/>
      <c r="AI266" s="14"/>
      <c r="AJ266" s="14"/>
      <c r="AK266" s="14"/>
      <c r="AL266" s="14"/>
      <c r="AM266" s="14"/>
      <c r="AN266" s="14"/>
      <c r="AO266" s="14"/>
      <c r="AP266" s="14"/>
      <c r="AQ266" s="14"/>
      <c r="AR266" s="14"/>
      <c r="AS266" s="65"/>
      <c r="AT266" s="63"/>
      <c r="AU266" s="47"/>
      <c r="AV266" s="14"/>
      <c r="AW266" s="19"/>
      <c r="AX266" s="14"/>
      <c r="AY266" s="14"/>
      <c r="AZ266" s="14"/>
      <c r="BA266" s="14"/>
      <c r="BB266" s="14"/>
      <c r="BC266" s="14"/>
      <c r="BD266" s="14"/>
      <c r="BE266" s="14"/>
      <c r="BF266" s="14"/>
      <c r="BG266" s="14"/>
      <c r="BH266" s="65"/>
      <c r="BI266" s="63"/>
      <c r="BJ266" s="352"/>
      <c r="BK266" s="19"/>
      <c r="BL266" s="19"/>
      <c r="BM266" s="14"/>
      <c r="BN266" s="14"/>
      <c r="BO266" s="14"/>
      <c r="BP266" s="14"/>
      <c r="BQ266" s="14"/>
      <c r="BR266" s="14"/>
      <c r="BS266" s="14"/>
      <c r="BT266" s="14"/>
      <c r="BU266" s="14"/>
      <c r="BV266" s="14"/>
      <c r="BW266" s="65"/>
      <c r="BX266" s="63"/>
      <c r="BY266" s="352"/>
      <c r="BZ266" s="14"/>
      <c r="CA266" s="14"/>
      <c r="CB266" s="21"/>
      <c r="CC266" s="21"/>
      <c r="CD266" s="180"/>
      <c r="CE266" s="180"/>
      <c r="CF266" s="21"/>
      <c r="CG266" s="14"/>
      <c r="CH266" s="14"/>
      <c r="CI266" s="14"/>
      <c r="CJ266" s="14"/>
      <c r="CK266" s="14"/>
      <c r="CL266" s="14"/>
      <c r="CM266" s="14"/>
      <c r="CN266" s="14"/>
      <c r="CO266" s="129"/>
      <c r="CP266" s="14"/>
      <c r="CQ266" s="47"/>
      <c r="CR266" s="14"/>
      <c r="CS266" s="14"/>
      <c r="CT266" s="14"/>
      <c r="CU266" s="14"/>
      <c r="CV266" s="180"/>
      <c r="CW266" s="189"/>
      <c r="CX266" s="189"/>
      <c r="CY266" s="14"/>
      <c r="CZ266" s="14"/>
      <c r="DA266" s="14"/>
      <c r="DB266" s="14"/>
      <c r="DC266" s="14"/>
      <c r="DD266" s="14"/>
      <c r="DE266" s="14"/>
      <c r="DF266" s="14"/>
      <c r="DG266" s="129"/>
      <c r="DH266" s="14"/>
      <c r="DI266" s="47"/>
      <c r="DJ266" s="14"/>
      <c r="DK266" s="19"/>
      <c r="DL266" s="40"/>
      <c r="DM266" s="41"/>
      <c r="DN266" s="40"/>
      <c r="DO266" s="40"/>
      <c r="DP266" s="40"/>
      <c r="DQ266" s="41"/>
      <c r="DR266" s="72"/>
      <c r="DS266" s="14"/>
      <c r="DT266" s="14"/>
      <c r="DU266" s="14"/>
      <c r="DV266" s="14"/>
      <c r="DW266" s="14"/>
      <c r="DX266" s="14"/>
      <c r="DY266" s="14"/>
      <c r="DZ266" s="14"/>
      <c r="EA266" s="14"/>
      <c r="EB266" s="14"/>
      <c r="EC266" s="14"/>
      <c r="ED266" s="14"/>
      <c r="EE266" s="14"/>
      <c r="EF266" s="14"/>
      <c r="EG266" s="14"/>
      <c r="EH266" s="14"/>
      <c r="EI266" s="14"/>
      <c r="EJ266" s="14"/>
      <c r="EK266" s="14"/>
      <c r="EL266" s="14"/>
    </row>
    <row r="267" spans="1:142" x14ac:dyDescent="0.25">
      <c r="A267" s="14"/>
      <c r="B267" s="19"/>
      <c r="C267" s="40"/>
      <c r="D267" s="41"/>
      <c r="E267" s="40"/>
      <c r="F267" s="40"/>
      <c r="G267" s="40"/>
      <c r="H267" s="41"/>
      <c r="I267" s="72"/>
      <c r="J267" s="14"/>
      <c r="K267" s="14"/>
      <c r="L267" s="14"/>
      <c r="M267" s="14"/>
      <c r="N267" s="14"/>
      <c r="O267" s="14"/>
      <c r="P267" s="14"/>
      <c r="Q267" s="47"/>
      <c r="R267" s="19"/>
      <c r="S267" s="19"/>
      <c r="T267" s="14"/>
      <c r="U267" s="14"/>
      <c r="V267" s="14"/>
      <c r="W267" s="14"/>
      <c r="X267" s="14"/>
      <c r="Y267" s="14"/>
      <c r="Z267" s="14"/>
      <c r="AA267" s="14"/>
      <c r="AB267" s="14"/>
      <c r="AC267" s="14"/>
      <c r="AD267" s="65"/>
      <c r="AE267" s="63"/>
      <c r="AF267" s="47"/>
      <c r="AG267" s="19"/>
      <c r="AH267" s="19"/>
      <c r="AI267" s="14"/>
      <c r="AJ267" s="14"/>
      <c r="AK267" s="14"/>
      <c r="AL267" s="14"/>
      <c r="AM267" s="14"/>
      <c r="AN267" s="14"/>
      <c r="AO267" s="14"/>
      <c r="AP267" s="14"/>
      <c r="AQ267" s="14"/>
      <c r="AR267" s="14"/>
      <c r="AS267" s="65"/>
      <c r="AT267" s="63"/>
      <c r="AU267" s="47"/>
      <c r="AV267" s="14"/>
      <c r="AW267" s="19"/>
      <c r="AX267" s="14"/>
      <c r="AY267" s="14"/>
      <c r="AZ267" s="14"/>
      <c r="BA267" s="14"/>
      <c r="BB267" s="14"/>
      <c r="BC267" s="14"/>
      <c r="BD267" s="14"/>
      <c r="BE267" s="14"/>
      <c r="BF267" s="14"/>
      <c r="BG267" s="14"/>
      <c r="BH267" s="65"/>
      <c r="BI267" s="63"/>
      <c r="BJ267" s="352"/>
      <c r="BK267" s="19"/>
      <c r="BL267" s="19"/>
      <c r="BM267" s="14"/>
      <c r="BN267" s="14"/>
      <c r="BO267" s="14"/>
      <c r="BP267" s="14"/>
      <c r="BQ267" s="14"/>
      <c r="BR267" s="14"/>
      <c r="BS267" s="14"/>
      <c r="BT267" s="14"/>
      <c r="BU267" s="14"/>
      <c r="BV267" s="14"/>
      <c r="BW267" s="65"/>
      <c r="BX267" s="63"/>
      <c r="BY267" s="352"/>
      <c r="BZ267" s="14"/>
      <c r="CA267" s="14"/>
      <c r="CB267" s="21"/>
      <c r="CC267" s="21"/>
      <c r="CD267" s="180"/>
      <c r="CE267" s="180"/>
      <c r="CF267" s="21"/>
      <c r="CG267" s="14"/>
      <c r="CH267" s="14"/>
      <c r="CI267" s="14"/>
      <c r="CJ267" s="14"/>
      <c r="CK267" s="14"/>
      <c r="CL267" s="14"/>
      <c r="CM267" s="14"/>
      <c r="CN267" s="14"/>
      <c r="CO267" s="129"/>
      <c r="CP267" s="14"/>
      <c r="CQ267" s="47"/>
      <c r="CR267" s="14"/>
      <c r="CS267" s="14"/>
      <c r="CT267" s="14"/>
      <c r="CU267" s="14"/>
      <c r="CV267" s="180"/>
      <c r="CW267" s="189"/>
      <c r="CX267" s="189"/>
      <c r="CY267" s="14"/>
      <c r="CZ267" s="14"/>
      <c r="DA267" s="14"/>
      <c r="DB267" s="14"/>
      <c r="DC267" s="14"/>
      <c r="DD267" s="14"/>
      <c r="DE267" s="14"/>
      <c r="DF267" s="14"/>
      <c r="DG267" s="129"/>
      <c r="DH267" s="14"/>
      <c r="DI267" s="47"/>
      <c r="DJ267" s="14"/>
      <c r="DK267" s="19"/>
      <c r="DL267" s="40"/>
      <c r="DM267" s="41"/>
      <c r="DN267" s="40"/>
      <c r="DO267" s="40"/>
      <c r="DP267" s="40"/>
      <c r="DQ267" s="41"/>
      <c r="DR267" s="72"/>
      <c r="DS267" s="14"/>
      <c r="DT267" s="14"/>
      <c r="DU267" s="14"/>
      <c r="DV267" s="14"/>
      <c r="DW267" s="14"/>
      <c r="DX267" s="14"/>
      <c r="DY267" s="14"/>
      <c r="DZ267" s="14"/>
      <c r="EA267" s="14"/>
      <c r="EB267" s="14"/>
      <c r="EC267" s="14"/>
      <c r="ED267" s="14"/>
      <c r="EE267" s="14"/>
      <c r="EF267" s="14"/>
      <c r="EG267" s="14"/>
      <c r="EH267" s="14"/>
      <c r="EI267" s="14"/>
      <c r="EJ267" s="14"/>
      <c r="EK267" s="14"/>
      <c r="EL267" s="14"/>
    </row>
    <row r="268" spans="1:142" x14ac:dyDescent="0.25">
      <c r="A268" s="14"/>
      <c r="B268" s="19"/>
      <c r="C268" s="40"/>
      <c r="D268" s="41"/>
      <c r="E268" s="40"/>
      <c r="F268" s="40"/>
      <c r="G268" s="40"/>
      <c r="H268" s="41"/>
      <c r="I268" s="72"/>
      <c r="J268" s="14"/>
      <c r="K268" s="14"/>
      <c r="L268" s="14"/>
      <c r="M268" s="14"/>
      <c r="N268" s="14"/>
      <c r="O268" s="14"/>
      <c r="P268" s="14"/>
      <c r="Q268" s="47"/>
      <c r="R268" s="19"/>
      <c r="S268" s="19"/>
      <c r="T268" s="14"/>
      <c r="U268" s="14"/>
      <c r="V268" s="14"/>
      <c r="W268" s="14"/>
      <c r="X268" s="14"/>
      <c r="Y268" s="14"/>
      <c r="Z268" s="14"/>
      <c r="AA268" s="14"/>
      <c r="AB268" s="14"/>
      <c r="AC268" s="14"/>
      <c r="AD268" s="65"/>
      <c r="AE268" s="63"/>
      <c r="AF268" s="47"/>
      <c r="AG268" s="19"/>
      <c r="AH268" s="19"/>
      <c r="AI268" s="14"/>
      <c r="AJ268" s="14"/>
      <c r="AK268" s="14"/>
      <c r="AL268" s="14"/>
      <c r="AM268" s="14"/>
      <c r="AN268" s="14"/>
      <c r="AO268" s="14"/>
      <c r="AP268" s="14"/>
      <c r="AQ268" s="14"/>
      <c r="AR268" s="14"/>
      <c r="AS268" s="65"/>
      <c r="AT268" s="63"/>
      <c r="AU268" s="47"/>
      <c r="AV268" s="14"/>
      <c r="AW268" s="19"/>
      <c r="AX268" s="14"/>
      <c r="AY268" s="14"/>
      <c r="AZ268" s="14"/>
      <c r="BA268" s="14"/>
      <c r="BB268" s="14"/>
      <c r="BC268" s="14"/>
      <c r="BD268" s="14"/>
      <c r="BE268" s="14"/>
      <c r="BF268" s="14"/>
      <c r="BG268" s="14"/>
      <c r="BH268" s="65"/>
      <c r="BI268" s="63"/>
      <c r="BJ268" s="352"/>
      <c r="BK268" s="19"/>
      <c r="BL268" s="19"/>
      <c r="BM268" s="14"/>
      <c r="BN268" s="14"/>
      <c r="BO268" s="14"/>
      <c r="BP268" s="14"/>
      <c r="BQ268" s="14"/>
      <c r="BR268" s="14"/>
      <c r="BS268" s="14"/>
      <c r="BT268" s="14"/>
      <c r="BU268" s="14"/>
      <c r="BV268" s="14"/>
      <c r="BW268" s="65"/>
      <c r="BX268" s="63"/>
      <c r="BY268" s="352"/>
      <c r="BZ268" s="14"/>
      <c r="CA268" s="14"/>
      <c r="CB268" s="21"/>
      <c r="CC268" s="21"/>
      <c r="CD268" s="180"/>
      <c r="CE268" s="180"/>
      <c r="CF268" s="21"/>
      <c r="CG268" s="14"/>
      <c r="CH268" s="14"/>
      <c r="CI268" s="14"/>
      <c r="CJ268" s="14"/>
      <c r="CK268" s="14"/>
      <c r="CL268" s="14"/>
      <c r="CM268" s="14"/>
      <c r="CN268" s="14"/>
      <c r="CO268" s="129"/>
      <c r="CP268" s="14"/>
      <c r="CQ268" s="47"/>
      <c r="CR268" s="14"/>
      <c r="CS268" s="14"/>
      <c r="CT268" s="14"/>
      <c r="CU268" s="14"/>
      <c r="CV268" s="180"/>
      <c r="CW268" s="189"/>
      <c r="CX268" s="189"/>
      <c r="CY268" s="14"/>
      <c r="CZ268" s="14"/>
      <c r="DA268" s="14"/>
      <c r="DB268" s="14"/>
      <c r="DC268" s="14"/>
      <c r="DD268" s="14"/>
      <c r="DE268" s="14"/>
      <c r="DF268" s="14"/>
      <c r="DG268" s="129"/>
      <c r="DH268" s="14"/>
      <c r="DI268" s="47"/>
      <c r="DJ268" s="14"/>
      <c r="DK268" s="19"/>
      <c r="DL268" s="40"/>
      <c r="DM268" s="41"/>
      <c r="DN268" s="40"/>
      <c r="DO268" s="40"/>
      <c r="DP268" s="40"/>
      <c r="DQ268" s="41"/>
      <c r="DR268" s="72"/>
      <c r="DS268" s="14"/>
      <c r="DT268" s="14"/>
      <c r="DU268" s="14"/>
      <c r="DV268" s="14"/>
      <c r="DW268" s="14"/>
      <c r="DX268" s="14"/>
      <c r="DY268" s="14"/>
      <c r="DZ268" s="14"/>
      <c r="EA268" s="14"/>
      <c r="EB268" s="14"/>
      <c r="EC268" s="14"/>
      <c r="ED268" s="14"/>
      <c r="EE268" s="14"/>
      <c r="EF268" s="14"/>
      <c r="EG268" s="14"/>
      <c r="EH268" s="14"/>
      <c r="EI268" s="14"/>
      <c r="EJ268" s="14"/>
      <c r="EK268" s="14"/>
      <c r="EL268" s="14"/>
    </row>
    <row r="269" spans="1:142" x14ac:dyDescent="0.25">
      <c r="A269" s="14"/>
      <c r="B269" s="19"/>
      <c r="C269" s="40"/>
      <c r="D269" s="41"/>
      <c r="E269" s="40"/>
      <c r="F269" s="40"/>
      <c r="G269" s="40"/>
      <c r="H269" s="41"/>
      <c r="I269" s="72"/>
      <c r="J269" s="14"/>
      <c r="K269" s="14"/>
      <c r="L269" s="14"/>
      <c r="M269" s="14"/>
      <c r="N269" s="14"/>
      <c r="O269" s="14"/>
      <c r="P269" s="14"/>
      <c r="Q269" s="47"/>
      <c r="R269" s="19"/>
      <c r="S269" s="19"/>
      <c r="T269" s="14"/>
      <c r="U269" s="14"/>
      <c r="V269" s="14"/>
      <c r="W269" s="14"/>
      <c r="X269" s="14"/>
      <c r="Y269" s="14"/>
      <c r="Z269" s="14"/>
      <c r="AA269" s="14"/>
      <c r="AB269" s="14"/>
      <c r="AC269" s="14"/>
      <c r="AD269" s="65"/>
      <c r="AE269" s="63"/>
      <c r="AF269" s="47"/>
      <c r="AG269" s="19"/>
      <c r="AH269" s="19"/>
      <c r="AI269" s="14"/>
      <c r="AJ269" s="14"/>
      <c r="AK269" s="14"/>
      <c r="AL269" s="14"/>
      <c r="AM269" s="14"/>
      <c r="AN269" s="14"/>
      <c r="AO269" s="14"/>
      <c r="AP269" s="14"/>
      <c r="AQ269" s="14"/>
      <c r="AR269" s="14"/>
      <c r="AS269" s="65"/>
      <c r="AT269" s="63"/>
      <c r="AU269" s="47"/>
      <c r="AV269" s="14"/>
      <c r="AW269" s="19"/>
      <c r="AX269" s="14"/>
      <c r="AY269" s="14"/>
      <c r="AZ269" s="14"/>
      <c r="BA269" s="14"/>
      <c r="BB269" s="14"/>
      <c r="BC269" s="14"/>
      <c r="BD269" s="14"/>
      <c r="BE269" s="14"/>
      <c r="BF269" s="14"/>
      <c r="BG269" s="14"/>
      <c r="BH269" s="65"/>
      <c r="BI269" s="63"/>
      <c r="BJ269" s="352"/>
      <c r="BK269" s="19"/>
      <c r="BL269" s="19"/>
      <c r="BM269" s="14"/>
      <c r="BN269" s="14"/>
      <c r="BO269" s="14"/>
      <c r="BP269" s="14"/>
      <c r="BQ269" s="14"/>
      <c r="BR269" s="14"/>
      <c r="BS269" s="14"/>
      <c r="BT269" s="14"/>
      <c r="BU269" s="14"/>
      <c r="BV269" s="14"/>
      <c r="BW269" s="65"/>
      <c r="BX269" s="63"/>
      <c r="BY269" s="352"/>
      <c r="BZ269" s="14"/>
      <c r="CA269" s="14"/>
      <c r="CB269" s="21"/>
      <c r="CC269" s="21"/>
      <c r="CD269" s="180"/>
      <c r="CE269" s="180"/>
      <c r="CF269" s="21"/>
      <c r="CG269" s="14"/>
      <c r="CH269" s="14"/>
      <c r="CI269" s="14"/>
      <c r="CJ269" s="14"/>
      <c r="CK269" s="14"/>
      <c r="CL269" s="14"/>
      <c r="CM269" s="14"/>
      <c r="CN269" s="14"/>
      <c r="CO269" s="129"/>
      <c r="CP269" s="14"/>
      <c r="CQ269" s="47"/>
      <c r="CR269" s="14"/>
      <c r="CS269" s="14"/>
      <c r="CT269" s="14"/>
      <c r="CU269" s="14"/>
      <c r="CV269" s="180"/>
      <c r="CW269" s="189"/>
      <c r="CX269" s="189"/>
      <c r="CY269" s="14"/>
      <c r="CZ269" s="14"/>
      <c r="DA269" s="14"/>
      <c r="DB269" s="14"/>
      <c r="DC269" s="14"/>
      <c r="DD269" s="14"/>
      <c r="DE269" s="14"/>
      <c r="DF269" s="14"/>
      <c r="DG269" s="129"/>
      <c r="DH269" s="14"/>
      <c r="DI269" s="47"/>
      <c r="DJ269" s="14"/>
      <c r="DK269" s="19"/>
      <c r="DL269" s="40"/>
      <c r="DM269" s="41"/>
      <c r="DN269" s="40"/>
      <c r="DO269" s="40"/>
      <c r="DP269" s="40"/>
      <c r="DQ269" s="41"/>
      <c r="DR269" s="72"/>
      <c r="DS269" s="14"/>
      <c r="DT269" s="14"/>
      <c r="DU269" s="14"/>
      <c r="DV269" s="14"/>
      <c r="DW269" s="14"/>
      <c r="DX269" s="14"/>
      <c r="DY269" s="14"/>
      <c r="DZ269" s="14"/>
      <c r="EA269" s="14"/>
      <c r="EB269" s="14"/>
      <c r="EC269" s="14"/>
      <c r="ED269" s="14"/>
      <c r="EE269" s="14"/>
      <c r="EF269" s="14"/>
      <c r="EG269" s="14"/>
      <c r="EH269" s="14"/>
      <c r="EI269" s="14"/>
      <c r="EJ269" s="14"/>
      <c r="EK269" s="14"/>
      <c r="EL269" s="14"/>
    </row>
    <row r="270" spans="1:142" x14ac:dyDescent="0.25">
      <c r="A270" s="14"/>
      <c r="B270" s="19"/>
      <c r="C270" s="40"/>
      <c r="D270" s="41"/>
      <c r="E270" s="40"/>
      <c r="F270" s="40"/>
      <c r="G270" s="40"/>
      <c r="H270" s="41"/>
      <c r="I270" s="72"/>
      <c r="J270" s="14"/>
      <c r="K270" s="14"/>
      <c r="L270" s="14"/>
      <c r="M270" s="14"/>
      <c r="N270" s="14"/>
      <c r="O270" s="14"/>
      <c r="P270" s="14"/>
      <c r="Q270" s="47"/>
      <c r="R270" s="19"/>
      <c r="S270" s="19"/>
      <c r="T270" s="14"/>
      <c r="U270" s="14"/>
      <c r="V270" s="14"/>
      <c r="W270" s="14"/>
      <c r="X270" s="14"/>
      <c r="Y270" s="14"/>
      <c r="Z270" s="14"/>
      <c r="AA270" s="14"/>
      <c r="AB270" s="14"/>
      <c r="AC270" s="14"/>
      <c r="AD270" s="65"/>
      <c r="AE270" s="63"/>
      <c r="AF270" s="47"/>
      <c r="AG270" s="19"/>
      <c r="AH270" s="19"/>
      <c r="AI270" s="14"/>
      <c r="AJ270" s="14"/>
      <c r="AK270" s="14"/>
      <c r="AL270" s="14"/>
      <c r="AM270" s="14"/>
      <c r="AN270" s="14"/>
      <c r="AO270" s="14"/>
      <c r="AP270" s="14"/>
      <c r="AQ270" s="14"/>
      <c r="AR270" s="14"/>
      <c r="AS270" s="65"/>
      <c r="AT270" s="63"/>
      <c r="AU270" s="47"/>
      <c r="AV270" s="14"/>
      <c r="AW270" s="19"/>
      <c r="AX270" s="14"/>
      <c r="AY270" s="14"/>
      <c r="AZ270" s="14"/>
      <c r="BA270" s="14"/>
      <c r="BB270" s="14"/>
      <c r="BC270" s="14"/>
      <c r="BD270" s="14"/>
      <c r="BE270" s="14"/>
      <c r="BF270" s="14"/>
      <c r="BG270" s="14"/>
      <c r="BH270" s="65"/>
      <c r="BI270" s="63"/>
      <c r="BJ270" s="352"/>
      <c r="BK270" s="19"/>
      <c r="BL270" s="19"/>
      <c r="BM270" s="14"/>
      <c r="BN270" s="14"/>
      <c r="BO270" s="14"/>
      <c r="BP270" s="14"/>
      <c r="BQ270" s="14"/>
      <c r="BR270" s="14"/>
      <c r="BS270" s="14"/>
      <c r="BT270" s="14"/>
      <c r="BU270" s="14"/>
      <c r="BV270" s="14"/>
      <c r="BW270" s="65"/>
      <c r="BX270" s="63"/>
      <c r="BY270" s="352"/>
      <c r="BZ270" s="14"/>
      <c r="CA270" s="14"/>
      <c r="CB270" s="21"/>
      <c r="CC270" s="21"/>
      <c r="CD270" s="180"/>
      <c r="CE270" s="180"/>
      <c r="CF270" s="21"/>
      <c r="CG270" s="14"/>
      <c r="CH270" s="14"/>
      <c r="CI270" s="14"/>
      <c r="CJ270" s="14"/>
      <c r="CK270" s="14"/>
      <c r="CL270" s="14"/>
      <c r="CM270" s="14"/>
      <c r="CN270" s="14"/>
      <c r="CO270" s="129"/>
      <c r="CP270" s="14"/>
      <c r="CQ270" s="47"/>
      <c r="CR270" s="14"/>
      <c r="CS270" s="14"/>
      <c r="CT270" s="14"/>
      <c r="CU270" s="14"/>
      <c r="CV270" s="180"/>
      <c r="CW270" s="189"/>
      <c r="CX270" s="189"/>
      <c r="CY270" s="14"/>
      <c r="CZ270" s="14"/>
      <c r="DA270" s="14"/>
      <c r="DB270" s="14"/>
      <c r="DC270" s="14"/>
      <c r="DD270" s="14"/>
      <c r="DE270" s="14"/>
      <c r="DF270" s="14"/>
      <c r="DG270" s="129"/>
      <c r="DH270" s="14"/>
      <c r="DI270" s="47"/>
      <c r="DJ270" s="14"/>
      <c r="DK270" s="19"/>
      <c r="DL270" s="40"/>
      <c r="DM270" s="41"/>
      <c r="DN270" s="40"/>
      <c r="DO270" s="40"/>
      <c r="DP270" s="40"/>
      <c r="DQ270" s="41"/>
      <c r="DR270" s="72"/>
      <c r="DS270" s="14"/>
      <c r="DT270" s="14"/>
      <c r="DU270" s="14"/>
      <c r="DV270" s="14"/>
      <c r="DW270" s="14"/>
      <c r="DX270" s="14"/>
      <c r="DY270" s="14"/>
      <c r="DZ270" s="14"/>
      <c r="EA270" s="14"/>
      <c r="EB270" s="14"/>
      <c r="EC270" s="14"/>
      <c r="ED270" s="14"/>
      <c r="EE270" s="14"/>
      <c r="EF270" s="14"/>
      <c r="EG270" s="14"/>
      <c r="EH270" s="14"/>
      <c r="EI270" s="14"/>
      <c r="EJ270" s="14"/>
      <c r="EK270" s="14"/>
      <c r="EL270" s="14"/>
    </row>
    <row r="271" spans="1:142" x14ac:dyDescent="0.25">
      <c r="A271" s="14"/>
      <c r="B271" s="19"/>
      <c r="C271" s="40"/>
      <c r="D271" s="41"/>
      <c r="E271" s="40"/>
      <c r="F271" s="40"/>
      <c r="G271" s="40"/>
      <c r="H271" s="41"/>
      <c r="I271" s="72"/>
      <c r="J271" s="14"/>
      <c r="K271" s="14"/>
      <c r="L271" s="14"/>
      <c r="M271" s="14"/>
      <c r="N271" s="14"/>
      <c r="O271" s="14"/>
      <c r="P271" s="14"/>
      <c r="Q271" s="47"/>
      <c r="R271" s="19"/>
      <c r="S271" s="19"/>
      <c r="T271" s="14"/>
      <c r="U271" s="14"/>
      <c r="V271" s="14"/>
      <c r="W271" s="14"/>
      <c r="X271" s="14"/>
      <c r="Y271" s="14"/>
      <c r="Z271" s="14"/>
      <c r="AA271" s="14"/>
      <c r="AB271" s="14"/>
      <c r="AC271" s="14"/>
      <c r="AD271" s="65"/>
      <c r="AE271" s="63"/>
      <c r="AF271" s="47"/>
      <c r="AG271" s="19"/>
      <c r="AH271" s="19"/>
      <c r="AI271" s="14"/>
      <c r="AJ271" s="14"/>
      <c r="AK271" s="14"/>
      <c r="AL271" s="14"/>
      <c r="AM271" s="14"/>
      <c r="AN271" s="14"/>
      <c r="AO271" s="14"/>
      <c r="AP271" s="14"/>
      <c r="AQ271" s="14"/>
      <c r="AR271" s="14"/>
      <c r="AS271" s="65"/>
      <c r="AT271" s="63"/>
      <c r="AU271" s="47"/>
      <c r="AV271" s="14"/>
      <c r="AW271" s="19"/>
      <c r="AX271" s="14"/>
      <c r="AY271" s="14"/>
      <c r="AZ271" s="14"/>
      <c r="BA271" s="14"/>
      <c r="BB271" s="14"/>
      <c r="BC271" s="14"/>
      <c r="BD271" s="14"/>
      <c r="BE271" s="14"/>
      <c r="BF271" s="14"/>
      <c r="BG271" s="14"/>
      <c r="BH271" s="65"/>
      <c r="BI271" s="63"/>
      <c r="BJ271" s="352"/>
      <c r="BK271" s="19"/>
      <c r="BL271" s="19"/>
      <c r="BM271" s="14"/>
      <c r="BN271" s="14"/>
      <c r="BO271" s="14"/>
      <c r="BP271" s="14"/>
      <c r="BQ271" s="14"/>
      <c r="BR271" s="14"/>
      <c r="BS271" s="14"/>
      <c r="BT271" s="14"/>
      <c r="BU271" s="14"/>
      <c r="BV271" s="14"/>
      <c r="BW271" s="65"/>
      <c r="BX271" s="63"/>
      <c r="BY271" s="352"/>
      <c r="BZ271" s="14"/>
      <c r="CA271" s="14"/>
      <c r="CB271" s="21"/>
      <c r="CC271" s="21"/>
      <c r="CD271" s="180"/>
      <c r="CE271" s="180"/>
      <c r="CF271" s="21"/>
      <c r="CG271" s="14"/>
      <c r="CH271" s="14"/>
      <c r="CI271" s="14"/>
      <c r="CJ271" s="14"/>
      <c r="CK271" s="14"/>
      <c r="CL271" s="14"/>
      <c r="CM271" s="14"/>
      <c r="CN271" s="14"/>
      <c r="CO271" s="129"/>
      <c r="CP271" s="14"/>
      <c r="CQ271" s="47"/>
      <c r="CR271" s="14"/>
      <c r="CS271" s="14"/>
      <c r="CT271" s="14"/>
      <c r="CU271" s="14"/>
      <c r="CV271" s="180"/>
      <c r="CW271" s="189"/>
      <c r="CX271" s="189"/>
      <c r="CY271" s="14"/>
      <c r="CZ271" s="14"/>
      <c r="DA271" s="14"/>
      <c r="DB271" s="14"/>
      <c r="DC271" s="14"/>
      <c r="DD271" s="14"/>
      <c r="DE271" s="14"/>
      <c r="DF271" s="14"/>
      <c r="DG271" s="129"/>
      <c r="DH271" s="14"/>
      <c r="DI271" s="47"/>
      <c r="DJ271" s="14"/>
      <c r="DK271" s="19"/>
      <c r="DL271" s="40"/>
      <c r="DM271" s="41"/>
      <c r="DN271" s="40"/>
      <c r="DO271" s="40"/>
      <c r="DP271" s="40"/>
      <c r="DQ271" s="41"/>
      <c r="DR271" s="72"/>
      <c r="DS271" s="14"/>
      <c r="DT271" s="14"/>
      <c r="DU271" s="14"/>
      <c r="DV271" s="14"/>
      <c r="DW271" s="14"/>
      <c r="DX271" s="14"/>
      <c r="DY271" s="14"/>
      <c r="DZ271" s="14"/>
      <c r="EA271" s="14"/>
      <c r="EB271" s="14"/>
      <c r="EC271" s="14"/>
      <c r="ED271" s="14"/>
      <c r="EE271" s="14"/>
      <c r="EF271" s="14"/>
      <c r="EG271" s="14"/>
      <c r="EH271" s="14"/>
      <c r="EI271" s="14"/>
      <c r="EJ271" s="14"/>
      <c r="EK271" s="14"/>
      <c r="EL271" s="14"/>
    </row>
    <row r="272" spans="1:142" x14ac:dyDescent="0.25">
      <c r="A272" s="14"/>
      <c r="B272" s="19"/>
      <c r="C272" s="40"/>
      <c r="D272" s="41"/>
      <c r="E272" s="40"/>
      <c r="F272" s="40"/>
      <c r="G272" s="40"/>
      <c r="H272" s="41"/>
      <c r="I272" s="72"/>
      <c r="J272" s="14"/>
      <c r="K272" s="14"/>
      <c r="L272" s="14"/>
      <c r="M272" s="14"/>
      <c r="N272" s="14"/>
      <c r="O272" s="14"/>
      <c r="P272" s="14"/>
      <c r="Q272" s="47"/>
      <c r="R272" s="19"/>
      <c r="S272" s="19"/>
      <c r="T272" s="14"/>
      <c r="U272" s="14"/>
      <c r="V272" s="14"/>
      <c r="W272" s="14"/>
      <c r="X272" s="14"/>
      <c r="Y272" s="14"/>
      <c r="Z272" s="14"/>
      <c r="AA272" s="14"/>
      <c r="AB272" s="14"/>
      <c r="AC272" s="14"/>
      <c r="AD272" s="65"/>
      <c r="AE272" s="63"/>
      <c r="AF272" s="47"/>
      <c r="AG272" s="19"/>
      <c r="AH272" s="19"/>
      <c r="AI272" s="14"/>
      <c r="AJ272" s="14"/>
      <c r="AK272" s="14"/>
      <c r="AL272" s="14"/>
      <c r="AM272" s="14"/>
      <c r="AN272" s="14"/>
      <c r="AO272" s="14"/>
      <c r="AP272" s="14"/>
      <c r="AQ272" s="14"/>
      <c r="AR272" s="14"/>
      <c r="AS272" s="65"/>
      <c r="AT272" s="63"/>
      <c r="AU272" s="47"/>
      <c r="AV272" s="14"/>
      <c r="AW272" s="19"/>
      <c r="AX272" s="14"/>
      <c r="AY272" s="14"/>
      <c r="AZ272" s="14"/>
      <c r="BA272" s="14"/>
      <c r="BB272" s="14"/>
      <c r="BC272" s="14"/>
      <c r="BD272" s="14"/>
      <c r="BE272" s="14"/>
      <c r="BF272" s="14"/>
      <c r="BG272" s="14"/>
      <c r="BH272" s="65"/>
      <c r="BI272" s="63"/>
      <c r="BJ272" s="352"/>
      <c r="BK272" s="19"/>
      <c r="BL272" s="19"/>
      <c r="BM272" s="14"/>
      <c r="BN272" s="14"/>
      <c r="BO272" s="14"/>
      <c r="BP272" s="14"/>
      <c r="BQ272" s="14"/>
      <c r="BR272" s="14"/>
      <c r="BS272" s="14"/>
      <c r="BT272" s="14"/>
      <c r="BU272" s="14"/>
      <c r="BV272" s="14"/>
      <c r="BW272" s="65"/>
      <c r="BX272" s="63"/>
      <c r="BY272" s="352"/>
      <c r="BZ272" s="14"/>
      <c r="CA272" s="14"/>
      <c r="CB272" s="21"/>
      <c r="CC272" s="21"/>
      <c r="CD272" s="180"/>
      <c r="CE272" s="180"/>
      <c r="CF272" s="21"/>
      <c r="CG272" s="14"/>
      <c r="CH272" s="14"/>
      <c r="CI272" s="14"/>
      <c r="CJ272" s="14"/>
      <c r="CK272" s="14"/>
      <c r="CL272" s="14"/>
      <c r="CM272" s="14"/>
      <c r="CN272" s="14"/>
      <c r="CO272" s="129"/>
      <c r="CP272" s="14"/>
      <c r="CQ272" s="47"/>
      <c r="CR272" s="14"/>
      <c r="CS272" s="14"/>
      <c r="CT272" s="14"/>
      <c r="CU272" s="14"/>
      <c r="CV272" s="180"/>
      <c r="CW272" s="189"/>
      <c r="CX272" s="189"/>
      <c r="CY272" s="14"/>
      <c r="CZ272" s="14"/>
      <c r="DA272" s="14"/>
      <c r="DB272" s="14"/>
      <c r="DC272" s="14"/>
      <c r="DD272" s="14"/>
      <c r="DE272" s="14"/>
      <c r="DF272" s="14"/>
      <c r="DG272" s="129"/>
      <c r="DH272" s="14"/>
      <c r="DI272" s="47"/>
      <c r="DJ272" s="14"/>
      <c r="DK272" s="19"/>
      <c r="DL272" s="40"/>
      <c r="DM272" s="41"/>
      <c r="DN272" s="40"/>
      <c r="DO272" s="40"/>
      <c r="DP272" s="40"/>
      <c r="DQ272" s="41"/>
      <c r="DR272" s="72"/>
      <c r="DS272" s="14"/>
      <c r="DT272" s="14"/>
      <c r="DU272" s="14"/>
      <c r="DV272" s="14"/>
      <c r="DW272" s="14"/>
      <c r="DX272" s="14"/>
      <c r="DY272" s="14"/>
      <c r="DZ272" s="14"/>
      <c r="EA272" s="14"/>
      <c r="EB272" s="14"/>
      <c r="EC272" s="14"/>
      <c r="ED272" s="14"/>
      <c r="EE272" s="14"/>
      <c r="EF272" s="14"/>
      <c r="EG272" s="14"/>
      <c r="EH272" s="14"/>
      <c r="EI272" s="14"/>
      <c r="EJ272" s="14"/>
      <c r="EK272" s="14"/>
      <c r="EL272" s="14"/>
    </row>
    <row r="273" spans="1:142" x14ac:dyDescent="0.25">
      <c r="A273" s="14"/>
      <c r="B273" s="19"/>
      <c r="C273" s="40"/>
      <c r="D273" s="41"/>
      <c r="E273" s="40"/>
      <c r="F273" s="40"/>
      <c r="G273" s="40"/>
      <c r="H273" s="41"/>
      <c r="I273" s="72"/>
      <c r="J273" s="14"/>
      <c r="K273" s="14"/>
      <c r="L273" s="14"/>
      <c r="M273" s="14"/>
      <c r="N273" s="14"/>
      <c r="O273" s="14"/>
      <c r="P273" s="14"/>
      <c r="Q273" s="47"/>
      <c r="R273" s="19"/>
      <c r="S273" s="19"/>
      <c r="T273" s="14"/>
      <c r="U273" s="14"/>
      <c r="V273" s="14"/>
      <c r="W273" s="14"/>
      <c r="X273" s="14"/>
      <c r="Y273" s="14"/>
      <c r="Z273" s="14"/>
      <c r="AA273" s="14"/>
      <c r="AB273" s="14"/>
      <c r="AC273" s="14"/>
      <c r="AD273" s="65"/>
      <c r="AE273" s="63"/>
      <c r="AF273" s="47"/>
      <c r="AG273" s="19"/>
      <c r="AH273" s="19"/>
      <c r="AI273" s="14"/>
      <c r="AJ273" s="14"/>
      <c r="AK273" s="14"/>
      <c r="AL273" s="14"/>
      <c r="AM273" s="14"/>
      <c r="AN273" s="14"/>
      <c r="AO273" s="14"/>
      <c r="AP273" s="14"/>
      <c r="AQ273" s="14"/>
      <c r="AR273" s="14"/>
      <c r="AS273" s="65"/>
      <c r="AT273" s="63"/>
      <c r="AU273" s="47"/>
      <c r="AV273" s="14"/>
      <c r="AW273" s="19"/>
      <c r="AX273" s="14"/>
      <c r="AY273" s="14"/>
      <c r="AZ273" s="14"/>
      <c r="BA273" s="14"/>
      <c r="BB273" s="14"/>
      <c r="BC273" s="14"/>
      <c r="BD273" s="14"/>
      <c r="BE273" s="14"/>
      <c r="BF273" s="14"/>
      <c r="BG273" s="14"/>
      <c r="BH273" s="65"/>
      <c r="BI273" s="63"/>
      <c r="BJ273" s="352"/>
      <c r="BK273" s="19"/>
      <c r="BL273" s="19"/>
      <c r="BM273" s="14"/>
      <c r="BN273" s="14"/>
      <c r="BO273" s="14"/>
      <c r="BP273" s="14"/>
      <c r="BQ273" s="14"/>
      <c r="BR273" s="14"/>
      <c r="BS273" s="14"/>
      <c r="BT273" s="14"/>
      <c r="BU273" s="14"/>
      <c r="BV273" s="14"/>
      <c r="BW273" s="65"/>
      <c r="BX273" s="63"/>
      <c r="BY273" s="352"/>
      <c r="BZ273" s="14"/>
      <c r="CA273" s="14"/>
      <c r="CB273" s="21"/>
      <c r="CC273" s="21"/>
      <c r="CD273" s="180"/>
      <c r="CE273" s="180"/>
      <c r="CF273" s="21"/>
      <c r="CG273" s="14"/>
      <c r="CH273" s="14"/>
      <c r="CI273" s="14"/>
      <c r="CJ273" s="14"/>
      <c r="CK273" s="14"/>
      <c r="CL273" s="14"/>
      <c r="CM273" s="14"/>
      <c r="CN273" s="14"/>
      <c r="CO273" s="129"/>
      <c r="CP273" s="14"/>
      <c r="CQ273" s="47"/>
      <c r="CR273" s="14"/>
      <c r="CS273" s="14"/>
      <c r="CT273" s="14"/>
      <c r="CU273" s="14"/>
      <c r="CV273" s="180"/>
      <c r="CW273" s="189"/>
      <c r="CX273" s="189"/>
      <c r="CY273" s="14"/>
      <c r="CZ273" s="14"/>
      <c r="DA273" s="14"/>
      <c r="DB273" s="14"/>
      <c r="DC273" s="14"/>
      <c r="DD273" s="14"/>
      <c r="DE273" s="14"/>
      <c r="DF273" s="14"/>
      <c r="DG273" s="129"/>
      <c r="DH273" s="14"/>
      <c r="DI273" s="47"/>
      <c r="DJ273" s="14"/>
      <c r="DK273" s="19"/>
      <c r="DL273" s="40"/>
      <c r="DM273" s="41"/>
      <c r="DN273" s="40"/>
      <c r="DO273" s="40"/>
      <c r="DP273" s="40"/>
      <c r="DQ273" s="41"/>
      <c r="DR273" s="72"/>
      <c r="DS273" s="14"/>
      <c r="DT273" s="14"/>
      <c r="DU273" s="14"/>
      <c r="DV273" s="14"/>
      <c r="DW273" s="14"/>
      <c r="DX273" s="14"/>
      <c r="DY273" s="14"/>
      <c r="DZ273" s="14"/>
      <c r="EA273" s="14"/>
      <c r="EB273" s="14"/>
      <c r="EC273" s="14"/>
      <c r="ED273" s="14"/>
      <c r="EE273" s="14"/>
      <c r="EF273" s="14"/>
      <c r="EG273" s="14"/>
      <c r="EH273" s="14"/>
      <c r="EI273" s="14"/>
      <c r="EJ273" s="14"/>
      <c r="EK273" s="14"/>
      <c r="EL273" s="14"/>
    </row>
    <row r="274" spans="1:142" x14ac:dyDescent="0.25">
      <c r="A274" s="14"/>
      <c r="B274" s="19"/>
      <c r="C274" s="40"/>
      <c r="D274" s="41"/>
      <c r="E274" s="40"/>
      <c r="F274" s="40"/>
      <c r="G274" s="40"/>
      <c r="H274" s="41"/>
      <c r="I274" s="72"/>
      <c r="J274" s="14"/>
      <c r="K274" s="14"/>
      <c r="L274" s="14"/>
      <c r="M274" s="14"/>
      <c r="N274" s="14"/>
      <c r="O274" s="14"/>
      <c r="P274" s="14"/>
      <c r="Q274" s="47"/>
      <c r="R274" s="19"/>
      <c r="S274" s="19"/>
      <c r="T274" s="14"/>
      <c r="U274" s="14"/>
      <c r="V274" s="14"/>
      <c r="W274" s="14"/>
      <c r="X274" s="14"/>
      <c r="Y274" s="14"/>
      <c r="Z274" s="14"/>
      <c r="AA274" s="14"/>
      <c r="AB274" s="14"/>
      <c r="AC274" s="14"/>
      <c r="AD274" s="65"/>
      <c r="AE274" s="63"/>
      <c r="AF274" s="47"/>
      <c r="AG274" s="19"/>
      <c r="AH274" s="19"/>
      <c r="AI274" s="14"/>
      <c r="AJ274" s="14"/>
      <c r="AK274" s="14"/>
      <c r="AL274" s="14"/>
      <c r="AM274" s="14"/>
      <c r="AN274" s="14"/>
      <c r="AO274" s="14"/>
      <c r="AP274" s="14"/>
      <c r="AQ274" s="14"/>
      <c r="AR274" s="14"/>
      <c r="AS274" s="65"/>
      <c r="AT274" s="63"/>
      <c r="AU274" s="47"/>
      <c r="AV274" s="14"/>
      <c r="AW274" s="19"/>
      <c r="AX274" s="14"/>
      <c r="AY274" s="14"/>
      <c r="AZ274" s="14"/>
      <c r="BA274" s="14"/>
      <c r="BB274" s="14"/>
      <c r="BC274" s="14"/>
      <c r="BD274" s="14"/>
      <c r="BE274" s="14"/>
      <c r="BF274" s="14"/>
      <c r="BG274" s="14"/>
      <c r="BH274" s="65"/>
      <c r="BI274" s="63"/>
      <c r="BJ274" s="352"/>
      <c r="BK274" s="19"/>
      <c r="BL274" s="19"/>
      <c r="BM274" s="14"/>
      <c r="BN274" s="14"/>
      <c r="BO274" s="14"/>
      <c r="BP274" s="14"/>
      <c r="BQ274" s="14"/>
      <c r="BR274" s="14"/>
      <c r="BS274" s="14"/>
      <c r="BT274" s="14"/>
      <c r="BU274" s="14"/>
      <c r="BV274" s="14"/>
      <c r="BW274" s="65"/>
      <c r="BX274" s="63"/>
      <c r="BY274" s="352"/>
      <c r="BZ274" s="14"/>
      <c r="CA274" s="14"/>
      <c r="CB274" s="21"/>
      <c r="CC274" s="21"/>
      <c r="CD274" s="180"/>
      <c r="CE274" s="180"/>
      <c r="CF274" s="21"/>
      <c r="CG274" s="14"/>
      <c r="CH274" s="14"/>
      <c r="CI274" s="14"/>
      <c r="CJ274" s="14"/>
      <c r="CK274" s="14"/>
      <c r="CL274" s="14"/>
      <c r="CM274" s="14"/>
      <c r="CN274" s="14"/>
      <c r="CO274" s="129"/>
      <c r="CP274" s="14"/>
      <c r="CQ274" s="47"/>
      <c r="CR274" s="14"/>
      <c r="CS274" s="14"/>
      <c r="CT274" s="14"/>
      <c r="CU274" s="14"/>
      <c r="CV274" s="180"/>
      <c r="CW274" s="189"/>
      <c r="CX274" s="189"/>
      <c r="CY274" s="14"/>
      <c r="CZ274" s="14"/>
      <c r="DA274" s="14"/>
      <c r="DB274" s="14"/>
      <c r="DC274" s="14"/>
      <c r="DD274" s="14"/>
      <c r="DE274" s="14"/>
      <c r="DF274" s="14"/>
      <c r="DG274" s="129"/>
      <c r="DH274" s="14"/>
      <c r="DI274" s="47"/>
      <c r="DJ274" s="14"/>
      <c r="DK274" s="19"/>
      <c r="DL274" s="40"/>
      <c r="DM274" s="41"/>
      <c r="DN274" s="40"/>
      <c r="DO274" s="40"/>
      <c r="DP274" s="40"/>
      <c r="DQ274" s="41"/>
      <c r="DR274" s="72"/>
      <c r="DS274" s="14"/>
      <c r="DT274" s="14"/>
      <c r="DU274" s="14"/>
      <c r="DV274" s="14"/>
      <c r="DW274" s="14"/>
      <c r="DX274" s="14"/>
      <c r="DY274" s="14"/>
      <c r="DZ274" s="14"/>
      <c r="EA274" s="14"/>
      <c r="EB274" s="14"/>
      <c r="EC274" s="14"/>
      <c r="ED274" s="14"/>
      <c r="EE274" s="14"/>
      <c r="EF274" s="14"/>
      <c r="EG274" s="14"/>
      <c r="EH274" s="14"/>
      <c r="EI274" s="14"/>
      <c r="EJ274" s="14"/>
      <c r="EK274" s="14"/>
      <c r="EL274" s="14"/>
    </row>
    <row r="275" spans="1:142" x14ac:dyDescent="0.25">
      <c r="A275" s="14"/>
      <c r="B275" s="19"/>
      <c r="C275" s="40"/>
      <c r="D275" s="41"/>
      <c r="E275" s="40"/>
      <c r="F275" s="40"/>
      <c r="G275" s="40"/>
      <c r="H275" s="41"/>
      <c r="I275" s="72"/>
      <c r="J275" s="14"/>
      <c r="K275" s="14"/>
      <c r="L275" s="14"/>
      <c r="M275" s="14"/>
      <c r="N275" s="14"/>
      <c r="O275" s="14"/>
      <c r="P275" s="14"/>
      <c r="Q275" s="47"/>
      <c r="R275" s="19"/>
      <c r="S275" s="19"/>
      <c r="T275" s="14"/>
      <c r="U275" s="14"/>
      <c r="V275" s="14"/>
      <c r="W275" s="14"/>
      <c r="X275" s="14"/>
      <c r="Y275" s="14"/>
      <c r="Z275" s="14"/>
      <c r="AA275" s="14"/>
      <c r="AB275" s="14"/>
      <c r="AC275" s="14"/>
      <c r="AD275" s="65"/>
      <c r="AE275" s="63"/>
      <c r="AF275" s="47"/>
      <c r="AG275" s="19"/>
      <c r="AH275" s="19"/>
      <c r="AI275" s="14"/>
      <c r="AJ275" s="14"/>
      <c r="AK275" s="14"/>
      <c r="AL275" s="14"/>
      <c r="AM275" s="14"/>
      <c r="AN275" s="14"/>
      <c r="AO275" s="14"/>
      <c r="AP275" s="14"/>
      <c r="AQ275" s="14"/>
      <c r="AR275" s="14"/>
      <c r="AS275" s="65"/>
      <c r="AT275" s="63"/>
      <c r="AU275" s="47"/>
      <c r="AV275" s="14"/>
      <c r="AW275" s="19"/>
      <c r="AX275" s="14"/>
      <c r="AY275" s="14"/>
      <c r="AZ275" s="14"/>
      <c r="BA275" s="14"/>
      <c r="BB275" s="14"/>
      <c r="BC275" s="14"/>
      <c r="BD275" s="14"/>
      <c r="BE275" s="14"/>
      <c r="BF275" s="14"/>
      <c r="BG275" s="14"/>
      <c r="BH275" s="65"/>
      <c r="BI275" s="63"/>
      <c r="BJ275" s="352"/>
      <c r="BK275" s="19"/>
      <c r="BL275" s="19"/>
      <c r="BM275" s="14"/>
      <c r="BN275" s="14"/>
      <c r="BO275" s="14"/>
      <c r="BP275" s="14"/>
      <c r="BQ275" s="14"/>
      <c r="BR275" s="14"/>
      <c r="BS275" s="14"/>
      <c r="BT275" s="14"/>
      <c r="BU275" s="14"/>
      <c r="BV275" s="14"/>
      <c r="BW275" s="65"/>
      <c r="BX275" s="63"/>
      <c r="BY275" s="352"/>
      <c r="BZ275" s="14"/>
      <c r="CA275" s="14"/>
      <c r="CB275" s="21"/>
      <c r="CC275" s="21"/>
      <c r="CD275" s="180"/>
      <c r="CE275" s="180"/>
      <c r="CF275" s="21"/>
      <c r="CG275" s="14"/>
      <c r="CH275" s="14"/>
      <c r="CI275" s="14"/>
      <c r="CJ275" s="14"/>
      <c r="CK275" s="14"/>
      <c r="CL275" s="14"/>
      <c r="CM275" s="14"/>
      <c r="CN275" s="14"/>
      <c r="CO275" s="129"/>
      <c r="CP275" s="14"/>
      <c r="CQ275" s="47"/>
      <c r="CR275" s="14"/>
      <c r="CS275" s="14"/>
      <c r="CT275" s="14"/>
      <c r="CU275" s="14"/>
      <c r="CV275" s="180"/>
      <c r="CW275" s="189"/>
      <c r="CX275" s="189"/>
      <c r="CY275" s="14"/>
      <c r="CZ275" s="14"/>
      <c r="DA275" s="14"/>
      <c r="DB275" s="14"/>
      <c r="DC275" s="14"/>
      <c r="DD275" s="14"/>
      <c r="DE275" s="14"/>
      <c r="DF275" s="14"/>
      <c r="DG275" s="129"/>
      <c r="DH275" s="14"/>
      <c r="DI275" s="47"/>
      <c r="DJ275" s="14"/>
      <c r="DK275" s="19"/>
      <c r="DL275" s="40"/>
      <c r="DM275" s="41"/>
      <c r="DN275" s="40"/>
      <c r="DO275" s="40"/>
      <c r="DP275" s="40"/>
      <c r="DQ275" s="41"/>
      <c r="DR275" s="72"/>
      <c r="DS275" s="14"/>
      <c r="DT275" s="14"/>
      <c r="DU275" s="14"/>
      <c r="DV275" s="14"/>
      <c r="DW275" s="14"/>
      <c r="DX275" s="14"/>
      <c r="DY275" s="14"/>
      <c r="DZ275" s="14"/>
      <c r="EA275" s="14"/>
      <c r="EB275" s="14"/>
      <c r="EC275" s="14"/>
      <c r="ED275" s="14"/>
      <c r="EE275" s="14"/>
      <c r="EF275" s="14"/>
      <c r="EG275" s="14"/>
      <c r="EH275" s="14"/>
      <c r="EI275" s="14"/>
      <c r="EJ275" s="14"/>
      <c r="EK275" s="14"/>
      <c r="EL275" s="14"/>
    </row>
    <row r="276" spans="1:142" x14ac:dyDescent="0.25">
      <c r="A276" s="14"/>
      <c r="B276" s="14"/>
      <c r="C276" s="14"/>
      <c r="D276" s="21"/>
      <c r="E276" s="14"/>
      <c r="F276" s="14"/>
      <c r="G276" s="14"/>
      <c r="H276" s="21"/>
      <c r="I276" s="21"/>
      <c r="J276" s="14"/>
      <c r="K276" s="14"/>
      <c r="L276" s="14"/>
      <c r="M276" s="14"/>
      <c r="N276" s="14"/>
      <c r="O276" s="14"/>
      <c r="P276" s="14"/>
      <c r="Q276" s="47"/>
      <c r="R276" s="19"/>
      <c r="S276" s="19"/>
      <c r="T276" s="19"/>
      <c r="U276" s="14"/>
      <c r="V276" s="14"/>
      <c r="W276" s="14"/>
      <c r="X276" s="14"/>
      <c r="Y276" s="14"/>
      <c r="Z276" s="14"/>
      <c r="AA276" s="14"/>
      <c r="AB276" s="14"/>
      <c r="AC276" s="14"/>
      <c r="AD276" s="65"/>
      <c r="AE276" s="63"/>
      <c r="AF276" s="47"/>
      <c r="AG276" s="19"/>
      <c r="AH276" s="19"/>
      <c r="AI276" s="19"/>
      <c r="AJ276" s="14"/>
      <c r="AK276" s="14"/>
      <c r="AL276" s="14"/>
      <c r="AM276" s="14"/>
      <c r="AN276" s="14"/>
      <c r="AO276" s="14"/>
      <c r="AP276" s="14"/>
      <c r="AQ276" s="14"/>
      <c r="AR276" s="14"/>
      <c r="AS276" s="65"/>
      <c r="AT276" s="63"/>
      <c r="AU276" s="47"/>
      <c r="AV276" s="14"/>
      <c r="AW276" s="19"/>
      <c r="AX276" s="19"/>
      <c r="AY276" s="14"/>
      <c r="AZ276" s="14"/>
      <c r="BA276" s="14"/>
      <c r="BB276" s="14"/>
      <c r="BC276" s="14"/>
      <c r="BD276" s="14"/>
      <c r="BE276" s="14"/>
      <c r="BF276" s="14"/>
      <c r="BG276" s="14"/>
      <c r="BH276" s="65"/>
      <c r="BI276" s="63"/>
      <c r="BJ276" s="352"/>
      <c r="BK276" s="19"/>
      <c r="BL276" s="42"/>
      <c r="BM276" s="19"/>
      <c r="BN276" s="14"/>
      <c r="BO276" s="14"/>
      <c r="BP276" s="14"/>
      <c r="BQ276" s="14"/>
      <c r="BR276" s="14"/>
      <c r="BS276" s="14"/>
      <c r="BT276" s="14"/>
      <c r="BU276" s="14"/>
      <c r="BV276" s="14"/>
      <c r="BW276" s="65"/>
      <c r="BX276" s="63"/>
      <c r="BY276" s="352"/>
      <c r="BZ276" s="14"/>
      <c r="CA276" s="14"/>
      <c r="CB276" s="21"/>
      <c r="CC276" s="21"/>
      <c r="CD276" s="180"/>
      <c r="CE276" s="180"/>
      <c r="CF276" s="21"/>
      <c r="CG276" s="14"/>
      <c r="CH276" s="14"/>
      <c r="CI276" s="14"/>
      <c r="CJ276" s="14"/>
      <c r="CK276" s="14"/>
      <c r="CL276" s="14"/>
      <c r="CM276" s="14"/>
      <c r="CN276" s="14"/>
      <c r="CO276" s="129"/>
      <c r="CP276" s="14"/>
      <c r="CQ276" s="47"/>
      <c r="CR276" s="14"/>
      <c r="CS276" s="14"/>
      <c r="CT276" s="14"/>
      <c r="CU276" s="14"/>
      <c r="CV276" s="180"/>
      <c r="CW276" s="189"/>
      <c r="CX276" s="189"/>
      <c r="CY276" s="14"/>
      <c r="CZ276" s="14"/>
      <c r="DA276" s="14"/>
      <c r="DB276" s="14"/>
      <c r="DC276" s="14"/>
      <c r="DD276" s="14"/>
      <c r="DE276" s="14"/>
      <c r="DF276" s="14"/>
      <c r="DG276" s="129"/>
      <c r="DH276" s="14"/>
      <c r="DI276" s="47"/>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row>
    <row r="277" spans="1:142" s="131" customFormat="1" x14ac:dyDescent="0.25">
      <c r="A277" s="78"/>
      <c r="B277" s="78" t="s">
        <v>157</v>
      </c>
      <c r="C277" s="78"/>
      <c r="D277" s="79"/>
      <c r="E277" s="78"/>
      <c r="F277" s="78"/>
      <c r="G277" s="78"/>
      <c r="H277" s="79"/>
      <c r="I277" s="79"/>
      <c r="J277" s="78"/>
      <c r="K277" s="78"/>
      <c r="L277" s="78"/>
      <c r="M277" s="78"/>
      <c r="N277" s="78"/>
      <c r="O277" s="78"/>
      <c r="P277" s="78"/>
      <c r="Q277" s="82"/>
      <c r="R277" s="83"/>
      <c r="S277" s="83" t="s">
        <v>157</v>
      </c>
      <c r="T277" s="78"/>
      <c r="U277" s="78"/>
      <c r="V277" s="78"/>
      <c r="W277" s="78"/>
      <c r="X277" s="78"/>
      <c r="Y277" s="78"/>
      <c r="Z277" s="78"/>
      <c r="AA277" s="78"/>
      <c r="AB277" s="78"/>
      <c r="AC277" s="78"/>
      <c r="AD277" s="80"/>
      <c r="AE277" s="81"/>
      <c r="AF277" s="82"/>
      <c r="AG277" s="83"/>
      <c r="AH277" s="83" t="s">
        <v>157</v>
      </c>
      <c r="AI277" s="78"/>
      <c r="AJ277" s="78"/>
      <c r="AK277" s="78"/>
      <c r="AL277" s="78"/>
      <c r="AM277" s="78"/>
      <c r="AN277" s="78"/>
      <c r="AO277" s="78"/>
      <c r="AP277" s="78"/>
      <c r="AQ277" s="78"/>
      <c r="AR277" s="78"/>
      <c r="AS277" s="80"/>
      <c r="AT277" s="81"/>
      <c r="AU277" s="82"/>
      <c r="AV277" s="78"/>
      <c r="AW277" s="83" t="s">
        <v>157</v>
      </c>
      <c r="AX277" s="78"/>
      <c r="AY277" s="78"/>
      <c r="AZ277" s="78"/>
      <c r="BA277" s="78"/>
      <c r="BB277" s="78"/>
      <c r="BC277" s="78"/>
      <c r="BD277" s="78"/>
      <c r="BE277" s="78"/>
      <c r="BF277" s="78"/>
      <c r="BG277" s="78"/>
      <c r="BH277" s="80"/>
      <c r="BI277" s="81"/>
      <c r="BJ277" s="373"/>
      <c r="BK277" s="83"/>
      <c r="BL277" s="78" t="s">
        <v>157</v>
      </c>
      <c r="BM277" s="78"/>
      <c r="BN277" s="78"/>
      <c r="BO277" s="78"/>
      <c r="BP277" s="78"/>
      <c r="BQ277" s="78"/>
      <c r="BR277" s="78"/>
      <c r="BS277" s="78"/>
      <c r="BT277" s="78"/>
      <c r="BU277" s="78"/>
      <c r="BV277" s="78"/>
      <c r="BW277" s="80"/>
      <c r="BX277" s="81"/>
      <c r="BY277" s="373"/>
      <c r="BZ277" s="78"/>
      <c r="CA277" s="78"/>
      <c r="CB277" s="79"/>
      <c r="CC277" s="79"/>
      <c r="CD277" s="182"/>
      <c r="CE277" s="182"/>
      <c r="CF277" s="79"/>
      <c r="CG277" s="78"/>
      <c r="CH277" s="78"/>
      <c r="CI277" s="78"/>
      <c r="CJ277" s="78"/>
      <c r="CK277" s="78"/>
      <c r="CL277" s="78"/>
      <c r="CM277" s="78"/>
      <c r="CN277" s="78"/>
      <c r="CO277" s="78"/>
      <c r="CP277" s="78"/>
      <c r="CQ277" s="82"/>
      <c r="CR277" s="78"/>
      <c r="CS277" s="78"/>
      <c r="CT277" s="78"/>
      <c r="CU277" s="78"/>
      <c r="CV277" s="182"/>
      <c r="CW277" s="192"/>
      <c r="CX277" s="192"/>
      <c r="CY277" s="78"/>
      <c r="CZ277" s="78"/>
      <c r="DA277" s="78"/>
      <c r="DB277" s="78"/>
      <c r="DC277" s="78"/>
      <c r="DD277" s="78"/>
      <c r="DE277" s="78"/>
      <c r="DF277" s="78"/>
      <c r="DG277" s="78"/>
      <c r="DH277" s="78"/>
      <c r="DI277" s="82"/>
      <c r="DJ277" s="78"/>
      <c r="DK277" s="78" t="s">
        <v>157</v>
      </c>
      <c r="DL277" s="78"/>
      <c r="DM277" s="78"/>
      <c r="DN277" s="78"/>
      <c r="DO277" s="78"/>
      <c r="DP277" s="78"/>
      <c r="DQ277" s="78"/>
      <c r="DR277" s="78"/>
      <c r="DS277" s="78"/>
      <c r="DT277" s="78"/>
      <c r="DU277" s="78"/>
      <c r="DV277" s="78"/>
      <c r="DW277" s="78"/>
      <c r="DX277" s="78"/>
      <c r="DY277" s="78"/>
      <c r="DZ277" s="78"/>
      <c r="EA277" s="78"/>
      <c r="EB277" s="78"/>
      <c r="EC277" s="78"/>
      <c r="ED277" s="78"/>
      <c r="EE277" s="78"/>
      <c r="EF277" s="78"/>
      <c r="EG277" s="78"/>
      <c r="EH277" s="78"/>
      <c r="EI277" s="78"/>
      <c r="EJ277" s="78"/>
      <c r="EK277" s="78"/>
      <c r="EL277" s="78"/>
    </row>
    <row r="278" spans="1:142" x14ac:dyDescent="0.25">
      <c r="A278" s="14"/>
      <c r="B278" s="14"/>
      <c r="C278" s="14"/>
      <c r="D278" s="21"/>
      <c r="E278" s="14"/>
      <c r="F278" s="14"/>
      <c r="G278" s="14"/>
      <c r="H278" s="21"/>
      <c r="I278" s="21"/>
      <c r="J278" s="14"/>
      <c r="K278" s="14"/>
      <c r="L278" s="14"/>
      <c r="M278" s="14"/>
      <c r="N278" s="14"/>
      <c r="O278" s="14"/>
      <c r="P278" s="14"/>
      <c r="Q278" s="47"/>
      <c r="R278" s="19"/>
      <c r="S278" s="19"/>
      <c r="T278" s="19"/>
      <c r="U278" s="14"/>
      <c r="V278" s="14"/>
      <c r="W278" s="14"/>
      <c r="X278" s="14"/>
      <c r="Y278" s="14"/>
      <c r="Z278" s="14"/>
      <c r="AA278" s="14"/>
      <c r="AB278" s="14"/>
      <c r="AC278" s="14"/>
      <c r="AD278" s="65"/>
      <c r="AE278" s="63"/>
      <c r="AF278" s="47"/>
      <c r="AG278" s="19"/>
      <c r="AH278" s="19"/>
      <c r="AI278" s="19"/>
      <c r="AJ278" s="14"/>
      <c r="AK278" s="14"/>
      <c r="AL278" s="14"/>
      <c r="AM278" s="14"/>
      <c r="AN278" s="14"/>
      <c r="AO278" s="14"/>
      <c r="AP278" s="14"/>
      <c r="AQ278" s="14"/>
      <c r="AR278" s="14"/>
      <c r="AS278" s="65"/>
      <c r="AT278" s="63"/>
      <c r="AU278" s="47"/>
      <c r="AV278" s="14"/>
      <c r="AW278" s="19"/>
      <c r="AX278" s="19"/>
      <c r="AY278" s="14"/>
      <c r="AZ278" s="14"/>
      <c r="BA278" s="14"/>
      <c r="BB278" s="14"/>
      <c r="BC278" s="14"/>
      <c r="BD278" s="14"/>
      <c r="BE278" s="14"/>
      <c r="BF278" s="14"/>
      <c r="BG278" s="14"/>
      <c r="BH278" s="65"/>
      <c r="BI278" s="63"/>
      <c r="BJ278" s="352"/>
      <c r="BK278" s="19"/>
      <c r="BL278" s="19"/>
      <c r="BM278" s="19"/>
      <c r="BN278" s="19"/>
      <c r="BO278" s="19"/>
      <c r="BP278" s="19"/>
      <c r="BQ278" s="19"/>
      <c r="BR278" s="19"/>
      <c r="BS278" s="19"/>
      <c r="BT278" s="14"/>
      <c r="BU278" s="14"/>
      <c r="BV278" s="14"/>
      <c r="BW278" s="65"/>
      <c r="BX278" s="63"/>
      <c r="BY278" s="352"/>
      <c r="BZ278" s="14"/>
      <c r="CA278" s="14"/>
      <c r="CB278" s="21"/>
      <c r="CC278" s="21"/>
      <c r="CD278" s="180"/>
      <c r="CE278" s="180"/>
      <c r="CF278" s="21"/>
      <c r="CG278" s="14"/>
      <c r="CH278" s="14"/>
      <c r="CI278" s="14"/>
      <c r="CJ278" s="14"/>
      <c r="CK278" s="14"/>
      <c r="CL278" s="14"/>
      <c r="CM278" s="14"/>
      <c r="CN278" s="14"/>
      <c r="CO278" s="129"/>
      <c r="CP278" s="14"/>
      <c r="CQ278" s="47"/>
      <c r="CR278" s="14"/>
      <c r="CS278" s="14"/>
      <c r="CT278" s="14"/>
      <c r="CU278" s="14"/>
      <c r="CV278" s="180"/>
      <c r="CW278" s="189"/>
      <c r="CX278" s="189"/>
      <c r="CY278" s="14"/>
      <c r="CZ278" s="14"/>
      <c r="DA278" s="14"/>
      <c r="DB278" s="14"/>
      <c r="DC278" s="14"/>
      <c r="DD278" s="14"/>
      <c r="DE278" s="14"/>
      <c r="DF278" s="14"/>
      <c r="DG278" s="129"/>
      <c r="DH278" s="14"/>
      <c r="DI278" s="47"/>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row>
    <row r="279" spans="1:142" s="134" customFormat="1" ht="24.75" customHeight="1" x14ac:dyDescent="0.25">
      <c r="A279" s="8"/>
      <c r="B279" s="109"/>
      <c r="C279" s="110" t="str">
        <f t="shared" ref="C279:H279" si="214">C247</f>
        <v>Forest owners/managers</v>
      </c>
      <c r="D279" s="110" t="str">
        <f t="shared" si="214"/>
        <v>Pellet producers</v>
      </c>
      <c r="E279" s="110" t="str">
        <f t="shared" si="214"/>
        <v>Pellet users</v>
      </c>
      <c r="F279" s="110" t="str">
        <f t="shared" si="214"/>
        <v>Non-bioenergy wood users</v>
      </c>
      <c r="G279" s="110" t="str">
        <f t="shared" si="214"/>
        <v>Policy makers and academia</v>
      </c>
      <c r="H279" s="110" t="str">
        <f t="shared" si="214"/>
        <v>NGOs</v>
      </c>
      <c r="I279" s="110" t="s">
        <v>8</v>
      </c>
      <c r="J279" s="8"/>
      <c r="K279" s="8"/>
      <c r="L279" s="8"/>
      <c r="M279" s="8"/>
      <c r="N279" s="8"/>
      <c r="O279" s="8"/>
      <c r="P279" s="8"/>
      <c r="Q279" s="48"/>
      <c r="R279" s="44"/>
      <c r="S279" s="109"/>
      <c r="T279" s="110" t="str">
        <f t="shared" ref="T279:Y279" si="215">T247</f>
        <v>Forest owners/managers</v>
      </c>
      <c r="U279" s="110" t="str">
        <f t="shared" si="215"/>
        <v>Pellet producers</v>
      </c>
      <c r="V279" s="110" t="str">
        <f t="shared" si="215"/>
        <v>Pellet users</v>
      </c>
      <c r="W279" s="110" t="str">
        <f t="shared" si="215"/>
        <v>Non-bioenergy wood users</v>
      </c>
      <c r="X279" s="110" t="str">
        <f t="shared" si="215"/>
        <v>Policy makers and academia</v>
      </c>
      <c r="Y279" s="110" t="str">
        <f t="shared" si="215"/>
        <v>NGOs</v>
      </c>
      <c r="Z279" s="110" t="s">
        <v>8</v>
      </c>
      <c r="AA279" s="17"/>
      <c r="AB279" s="17"/>
      <c r="AC279" s="17"/>
      <c r="AD279" s="102"/>
      <c r="AE279" s="101"/>
      <c r="AF279" s="48"/>
      <c r="AG279" s="44"/>
      <c r="AH279" s="109"/>
      <c r="AI279" s="110" t="str">
        <f t="shared" ref="AI279:AN279" si="216">AI247</f>
        <v>Forest owners/managers</v>
      </c>
      <c r="AJ279" s="110" t="str">
        <f t="shared" si="216"/>
        <v>Pellet producers</v>
      </c>
      <c r="AK279" s="110" t="str">
        <f t="shared" si="216"/>
        <v>Pellet users</v>
      </c>
      <c r="AL279" s="110" t="str">
        <f t="shared" si="216"/>
        <v>Non-bioenergy wood users</v>
      </c>
      <c r="AM279" s="110" t="str">
        <f t="shared" si="216"/>
        <v>Policy makers and academia</v>
      </c>
      <c r="AN279" s="110" t="str">
        <f t="shared" si="216"/>
        <v>NGOs</v>
      </c>
      <c r="AO279" s="110" t="s">
        <v>8</v>
      </c>
      <c r="AP279" s="17"/>
      <c r="AQ279" s="17"/>
      <c r="AR279" s="17"/>
      <c r="AS279" s="102"/>
      <c r="AT279" s="101"/>
      <c r="AU279" s="48"/>
      <c r="AV279" s="8"/>
      <c r="AW279" s="109"/>
      <c r="AX279" s="110" t="str">
        <f t="shared" ref="AX279:BC279" si="217">AX247</f>
        <v>Forest owners/managers</v>
      </c>
      <c r="AY279" s="110" t="str">
        <f t="shared" si="217"/>
        <v>Pellet producers</v>
      </c>
      <c r="AZ279" s="110" t="str">
        <f t="shared" si="217"/>
        <v>Pellet users</v>
      </c>
      <c r="BA279" s="110" t="str">
        <f t="shared" si="217"/>
        <v>Non-bioenergy wood users</v>
      </c>
      <c r="BB279" s="110" t="str">
        <f t="shared" si="217"/>
        <v>Policy makers and academia</v>
      </c>
      <c r="BC279" s="110" t="str">
        <f t="shared" si="217"/>
        <v>NGOs</v>
      </c>
      <c r="BD279" s="110" t="s">
        <v>8</v>
      </c>
      <c r="BE279" s="17"/>
      <c r="BF279" s="17"/>
      <c r="BG279" s="17"/>
      <c r="BH279" s="102"/>
      <c r="BI279" s="101"/>
      <c r="BJ279" s="371"/>
      <c r="BK279" s="44"/>
      <c r="BL279" s="109"/>
      <c r="BM279" s="110" t="str">
        <f t="shared" ref="BM279:BR279" si="218">BM247</f>
        <v>Forest owners/managers</v>
      </c>
      <c r="BN279" s="110" t="str">
        <f t="shared" si="218"/>
        <v>Pellet producers</v>
      </c>
      <c r="BO279" s="110" t="str">
        <f t="shared" si="218"/>
        <v>Pellet users</v>
      </c>
      <c r="BP279" s="110" t="str">
        <f t="shared" si="218"/>
        <v>Non-bioenergy wood users</v>
      </c>
      <c r="BQ279" s="110" t="str">
        <f t="shared" si="218"/>
        <v>Policy makers and academia</v>
      </c>
      <c r="BR279" s="110" t="str">
        <f t="shared" si="218"/>
        <v>NGOs</v>
      </c>
      <c r="BS279" s="110" t="s">
        <v>8</v>
      </c>
      <c r="BT279" s="17"/>
      <c r="BU279" s="17"/>
      <c r="BV279" s="17"/>
      <c r="BW279" s="102"/>
      <c r="BX279" s="101"/>
      <c r="BY279" s="371"/>
      <c r="BZ279" s="8"/>
      <c r="CA279" s="8"/>
      <c r="CB279" s="77"/>
      <c r="CC279" s="77"/>
      <c r="CD279" s="187"/>
      <c r="CE279" s="187"/>
      <c r="CF279" s="77"/>
      <c r="CG279" s="8"/>
      <c r="CH279" s="8"/>
      <c r="CI279" s="8"/>
      <c r="CJ279" s="8"/>
      <c r="CK279" s="8"/>
      <c r="CL279" s="8"/>
      <c r="CM279" s="8"/>
      <c r="CN279" s="8"/>
      <c r="CO279" s="315"/>
      <c r="CP279" s="8"/>
      <c r="CQ279" s="48"/>
      <c r="CR279" s="8"/>
      <c r="CS279" s="8"/>
      <c r="CT279" s="8"/>
      <c r="CU279" s="8"/>
      <c r="CV279" s="187"/>
      <c r="CW279" s="195"/>
      <c r="CX279" s="195"/>
      <c r="CY279" s="8"/>
      <c r="CZ279" s="8"/>
      <c r="DA279" s="8"/>
      <c r="DB279" s="8"/>
      <c r="DC279" s="8"/>
      <c r="DD279" s="8"/>
      <c r="DE279" s="8"/>
      <c r="DF279" s="8"/>
      <c r="DG279" s="315"/>
      <c r="DH279" s="8"/>
      <c r="DI279" s="48"/>
      <c r="DJ279" s="8"/>
      <c r="DK279" s="109"/>
      <c r="DL279" s="110" t="str">
        <f t="shared" ref="DL279:DQ279" si="219">DL247</f>
        <v>Forest owners/managers</v>
      </c>
      <c r="DM279" s="110" t="str">
        <f t="shared" si="219"/>
        <v>Pellet producers</v>
      </c>
      <c r="DN279" s="110" t="str">
        <f t="shared" si="219"/>
        <v>Pellet users</v>
      </c>
      <c r="DO279" s="110" t="str">
        <f t="shared" si="219"/>
        <v>Non-bioenergy wood users</v>
      </c>
      <c r="DP279" s="110" t="str">
        <f t="shared" si="219"/>
        <v>Policy makers and academia</v>
      </c>
      <c r="DQ279" s="110" t="str">
        <f t="shared" si="219"/>
        <v>NGOs</v>
      </c>
      <c r="DR279" s="110" t="s">
        <v>8</v>
      </c>
      <c r="DS279" s="8"/>
      <c r="DT279" s="8"/>
      <c r="DU279" s="8"/>
      <c r="DV279" s="8"/>
      <c r="DW279" s="8"/>
      <c r="DX279" s="8"/>
      <c r="DY279" s="8"/>
      <c r="DZ279" s="8"/>
      <c r="EA279" s="8"/>
      <c r="EB279" s="8"/>
      <c r="EC279" s="8"/>
      <c r="ED279" s="8"/>
      <c r="EE279" s="8"/>
      <c r="EF279" s="8"/>
      <c r="EG279" s="8"/>
      <c r="EH279" s="8"/>
      <c r="EI279" s="8"/>
      <c r="EJ279" s="8"/>
      <c r="EK279" s="8"/>
      <c r="EL279" s="8"/>
    </row>
    <row r="280" spans="1:142" x14ac:dyDescent="0.25">
      <c r="A280" s="14"/>
      <c r="B280" s="107" t="s">
        <v>34</v>
      </c>
      <c r="C280" s="41">
        <f t="shared" ref="C280:H284" si="220">IF(OR(C$253=0,C248=0),"",C248/C$253/6)</f>
        <v>4.1666666666666664E-2</v>
      </c>
      <c r="D280" s="41" t="str">
        <f t="shared" si="220"/>
        <v/>
      </c>
      <c r="E280" s="118">
        <f t="shared" si="220"/>
        <v>0.16666666666666666</v>
      </c>
      <c r="F280" s="41" t="str">
        <f t="shared" si="220"/>
        <v/>
      </c>
      <c r="G280" s="41">
        <f t="shared" si="220"/>
        <v>5.5555555555555552E-2</v>
      </c>
      <c r="H280" s="118" t="str">
        <f t="shared" si="220"/>
        <v/>
      </c>
      <c r="I280" s="41">
        <f>SUM(C280:H280)</f>
        <v>0.26388888888888884</v>
      </c>
      <c r="J280" s="14"/>
      <c r="K280" s="14"/>
      <c r="L280" s="14"/>
      <c r="M280" s="14"/>
      <c r="N280" s="14"/>
      <c r="O280" s="14"/>
      <c r="P280" s="14"/>
      <c r="Q280" s="47"/>
      <c r="R280" s="19"/>
      <c r="S280" s="107" t="s">
        <v>5</v>
      </c>
      <c r="T280" s="41">
        <f t="shared" ref="T280:Y286" si="221">IF(OR(T$255=0,T248=0),"",T248/T$255/6)</f>
        <v>6.6666666666666666E-2</v>
      </c>
      <c r="U280" s="41" t="str">
        <f t="shared" si="221"/>
        <v/>
      </c>
      <c r="V280" s="118" t="str">
        <f t="shared" si="221"/>
        <v/>
      </c>
      <c r="W280" s="41" t="str">
        <f t="shared" si="221"/>
        <v/>
      </c>
      <c r="X280" s="41">
        <f t="shared" si="221"/>
        <v>5.5555555555555552E-2</v>
      </c>
      <c r="Y280" s="118" t="str">
        <f t="shared" si="221"/>
        <v/>
      </c>
      <c r="Z280" s="41">
        <f>SUM(T280:Y280)</f>
        <v>0.12222222222222222</v>
      </c>
      <c r="AA280" s="35"/>
      <c r="AB280" s="35"/>
      <c r="AC280" s="35"/>
      <c r="AD280" s="65"/>
      <c r="AE280" s="63"/>
      <c r="AF280" s="47"/>
      <c r="AG280" s="19"/>
      <c r="AH280" s="107" t="s">
        <v>5</v>
      </c>
      <c r="AI280" s="41">
        <f t="shared" ref="AI280:AN286" si="222">IF(OR(AI$255=0,AI248=0),"",AI248/AI$255/6)</f>
        <v>0.16666666666666666</v>
      </c>
      <c r="AJ280" s="41">
        <f t="shared" si="222"/>
        <v>0.16666666666666666</v>
      </c>
      <c r="AK280" s="118" t="str">
        <f t="shared" si="222"/>
        <v/>
      </c>
      <c r="AL280" s="41">
        <f t="shared" si="222"/>
        <v>0.16666666666666666</v>
      </c>
      <c r="AM280" s="41">
        <f t="shared" si="222"/>
        <v>0.16666666666666666</v>
      </c>
      <c r="AN280" s="118" t="str">
        <f t="shared" si="222"/>
        <v/>
      </c>
      <c r="AO280" s="41">
        <f>SUM(AI280:AN280)</f>
        <v>0.66666666666666663</v>
      </c>
      <c r="AP280" s="35"/>
      <c r="AQ280" s="35"/>
      <c r="AR280" s="35"/>
      <c r="AS280" s="65"/>
      <c r="AT280" s="63"/>
      <c r="AU280" s="47"/>
      <c r="AV280" s="14"/>
      <c r="AW280" s="107" t="s">
        <v>5</v>
      </c>
      <c r="AX280" s="41">
        <f t="shared" ref="AX280:BC286" si="223">IF(OR(AX$255=0,AX248=0),"",AX248/AX$255/6)</f>
        <v>0.16666666666666666</v>
      </c>
      <c r="AY280" s="41">
        <f t="shared" si="223"/>
        <v>0.16666666666666666</v>
      </c>
      <c r="AZ280" s="118" t="str">
        <f t="shared" si="223"/>
        <v/>
      </c>
      <c r="BA280" s="41" t="str">
        <f t="shared" si="223"/>
        <v/>
      </c>
      <c r="BB280" s="41">
        <f t="shared" si="223"/>
        <v>0.16666666666666666</v>
      </c>
      <c r="BC280" s="118" t="str">
        <f t="shared" si="223"/>
        <v/>
      </c>
      <c r="BD280" s="41">
        <f>SUM(AX280:BC280)</f>
        <v>0.5</v>
      </c>
      <c r="BE280" s="35"/>
      <c r="BF280" s="35"/>
      <c r="BG280" s="35"/>
      <c r="BH280" s="65"/>
      <c r="BI280" s="63"/>
      <c r="BJ280" s="352"/>
      <c r="BK280" s="19"/>
      <c r="BL280" s="107" t="s">
        <v>5</v>
      </c>
      <c r="BM280" s="41">
        <f t="shared" ref="BM280:BR286" si="224">IF(OR(BM$255=0,BM248=0),"",BM248/BM$255/6)</f>
        <v>0.16666666666666666</v>
      </c>
      <c r="BN280" s="41">
        <f t="shared" si="224"/>
        <v>0.16666666666666666</v>
      </c>
      <c r="BO280" s="118" t="str">
        <f t="shared" si="224"/>
        <v/>
      </c>
      <c r="BP280" s="41" t="str">
        <f t="shared" si="224"/>
        <v/>
      </c>
      <c r="BQ280" s="41" t="str">
        <f t="shared" si="224"/>
        <v/>
      </c>
      <c r="BR280" s="118" t="str">
        <f t="shared" si="224"/>
        <v/>
      </c>
      <c r="BS280" s="41">
        <f>SUM(BM280:BR280)</f>
        <v>0.33333333333333331</v>
      </c>
      <c r="BT280" s="35"/>
      <c r="BU280" s="35"/>
      <c r="BV280" s="35"/>
      <c r="BW280" s="65"/>
      <c r="BX280" s="63"/>
      <c r="BY280" s="352"/>
      <c r="BZ280" s="14"/>
      <c r="CA280" s="14"/>
      <c r="CB280" s="21"/>
      <c r="CC280" s="21"/>
      <c r="CD280" s="180"/>
      <c r="CE280" s="180"/>
      <c r="CF280" s="21"/>
      <c r="CG280" s="14"/>
      <c r="CH280" s="14"/>
      <c r="CI280" s="14"/>
      <c r="CJ280" s="14"/>
      <c r="CK280" s="14"/>
      <c r="CL280" s="14"/>
      <c r="CM280" s="14"/>
      <c r="CN280" s="14"/>
      <c r="CO280" s="129"/>
      <c r="CP280" s="14"/>
      <c r="CQ280" s="47"/>
      <c r="CR280" s="14"/>
      <c r="CS280" s="14"/>
      <c r="CT280" s="14"/>
      <c r="CU280" s="14"/>
      <c r="CV280" s="180"/>
      <c r="CW280" s="189"/>
      <c r="CX280" s="189"/>
      <c r="CY280" s="14"/>
      <c r="CZ280" s="14"/>
      <c r="DA280" s="14"/>
      <c r="DB280" s="14"/>
      <c r="DC280" s="14"/>
      <c r="DD280" s="14"/>
      <c r="DE280" s="14"/>
      <c r="DF280" s="14"/>
      <c r="DG280" s="129"/>
      <c r="DH280" s="14"/>
      <c r="DI280" s="47"/>
      <c r="DJ280" s="14"/>
      <c r="DK280" s="107" t="s">
        <v>34</v>
      </c>
      <c r="DL280" s="41">
        <f t="shared" ref="DL280:DQ284" si="225">IF(OR(DL$253=0,DL248=0),"",DL248/DL$253/6)</f>
        <v>4.1666666666666664E-2</v>
      </c>
      <c r="DM280" s="41" t="str">
        <f t="shared" si="225"/>
        <v/>
      </c>
      <c r="DN280" s="118" t="str">
        <f t="shared" si="225"/>
        <v/>
      </c>
      <c r="DO280" s="41" t="str">
        <f t="shared" si="225"/>
        <v/>
      </c>
      <c r="DP280" s="41" t="str">
        <f t="shared" si="225"/>
        <v/>
      </c>
      <c r="DQ280" s="118" t="str">
        <f t="shared" si="225"/>
        <v/>
      </c>
      <c r="DR280" s="41">
        <f>SUM(DL280:DQ280)</f>
        <v>4.1666666666666664E-2</v>
      </c>
      <c r="DS280" s="14"/>
      <c r="DT280" s="14"/>
      <c r="DU280" s="14"/>
      <c r="DV280" s="14"/>
      <c r="DW280" s="14"/>
      <c r="DX280" s="14"/>
      <c r="DY280" s="14"/>
      <c r="DZ280" s="14"/>
      <c r="EA280" s="14"/>
      <c r="EB280" s="14"/>
      <c r="EC280" s="14"/>
      <c r="ED280" s="14"/>
      <c r="EE280" s="14"/>
      <c r="EF280" s="14"/>
      <c r="EG280" s="14"/>
      <c r="EH280" s="14"/>
      <c r="EI280" s="14"/>
      <c r="EJ280" s="14"/>
      <c r="EK280" s="14"/>
      <c r="EL280" s="14"/>
    </row>
    <row r="281" spans="1:142" x14ac:dyDescent="0.25">
      <c r="A281" s="14"/>
      <c r="B281" s="107" t="s">
        <v>35</v>
      </c>
      <c r="C281" s="41" t="str">
        <f t="shared" si="220"/>
        <v/>
      </c>
      <c r="D281" s="41" t="str">
        <f t="shared" si="220"/>
        <v/>
      </c>
      <c r="E281" s="118" t="str">
        <f t="shared" si="220"/>
        <v/>
      </c>
      <c r="F281" s="41" t="str">
        <f t="shared" si="220"/>
        <v/>
      </c>
      <c r="G281" s="41">
        <f t="shared" si="220"/>
        <v>5.5555555555555552E-2</v>
      </c>
      <c r="H281" s="118" t="str">
        <f t="shared" si="220"/>
        <v/>
      </c>
      <c r="I281" s="41">
        <f>SUM(C281:H281)</f>
        <v>5.5555555555555552E-2</v>
      </c>
      <c r="J281" s="14"/>
      <c r="K281" s="14"/>
      <c r="L281" s="14"/>
      <c r="M281" s="14"/>
      <c r="N281" s="14"/>
      <c r="O281" s="14"/>
      <c r="P281" s="14"/>
      <c r="Q281" s="47"/>
      <c r="R281" s="19"/>
      <c r="S281" s="107" t="s">
        <v>4</v>
      </c>
      <c r="T281" s="41" t="str">
        <f t="shared" si="221"/>
        <v/>
      </c>
      <c r="U281" s="41" t="str">
        <f t="shared" si="221"/>
        <v/>
      </c>
      <c r="V281" s="118">
        <f t="shared" si="221"/>
        <v>0.16666666666666666</v>
      </c>
      <c r="W281" s="41">
        <f t="shared" si="221"/>
        <v>0.16666666666666666</v>
      </c>
      <c r="X281" s="41" t="str">
        <f t="shared" si="221"/>
        <v/>
      </c>
      <c r="Y281" s="118" t="str">
        <f t="shared" si="221"/>
        <v/>
      </c>
      <c r="Z281" s="41">
        <f t="shared" ref="Z281:Z286" si="226">SUM(T281:Y281)</f>
        <v>0.33333333333333331</v>
      </c>
      <c r="AA281" s="35"/>
      <c r="AB281" s="35"/>
      <c r="AC281" s="35"/>
      <c r="AD281" s="65"/>
      <c r="AE281" s="63"/>
      <c r="AF281" s="47"/>
      <c r="AG281" s="19"/>
      <c r="AH281" s="107" t="s">
        <v>4</v>
      </c>
      <c r="AI281" s="41" t="str">
        <f t="shared" si="222"/>
        <v/>
      </c>
      <c r="AJ281" s="41" t="str">
        <f t="shared" si="222"/>
        <v/>
      </c>
      <c r="AK281" s="118">
        <f t="shared" si="222"/>
        <v>0.16666666666666666</v>
      </c>
      <c r="AL281" s="41" t="str">
        <f t="shared" si="222"/>
        <v/>
      </c>
      <c r="AM281" s="41" t="str">
        <f t="shared" si="222"/>
        <v/>
      </c>
      <c r="AN281" s="118" t="str">
        <f t="shared" si="222"/>
        <v/>
      </c>
      <c r="AO281" s="41">
        <f t="shared" ref="AO281:AO286" si="227">SUM(AI281:AN281)</f>
        <v>0.16666666666666666</v>
      </c>
      <c r="AP281" s="35"/>
      <c r="AQ281" s="35"/>
      <c r="AR281" s="35"/>
      <c r="AS281" s="65"/>
      <c r="AT281" s="63"/>
      <c r="AU281" s="47"/>
      <c r="AV281" s="14"/>
      <c r="AW281" s="107" t="s">
        <v>4</v>
      </c>
      <c r="AX281" s="41" t="str">
        <f t="shared" si="223"/>
        <v/>
      </c>
      <c r="AY281" s="41" t="str">
        <f t="shared" si="223"/>
        <v/>
      </c>
      <c r="AZ281" s="118">
        <f t="shared" si="223"/>
        <v>0.16666666666666666</v>
      </c>
      <c r="BA281" s="41">
        <f t="shared" si="223"/>
        <v>0.16666666666666666</v>
      </c>
      <c r="BB281" s="41" t="str">
        <f t="shared" si="223"/>
        <v/>
      </c>
      <c r="BC281" s="118" t="str">
        <f t="shared" si="223"/>
        <v/>
      </c>
      <c r="BD281" s="41">
        <f t="shared" ref="BD281:BD286" si="228">SUM(AX281:BC281)</f>
        <v>0.33333333333333331</v>
      </c>
      <c r="BE281" s="35"/>
      <c r="BF281" s="35"/>
      <c r="BG281" s="35"/>
      <c r="BH281" s="65"/>
      <c r="BI281" s="63"/>
      <c r="BJ281" s="352"/>
      <c r="BK281" s="19"/>
      <c r="BL281" s="107" t="s">
        <v>4</v>
      </c>
      <c r="BM281" s="41" t="str">
        <f t="shared" si="224"/>
        <v/>
      </c>
      <c r="BN281" s="41" t="str">
        <f t="shared" si="224"/>
        <v/>
      </c>
      <c r="BO281" s="118">
        <f t="shared" si="224"/>
        <v>0.16666666666666666</v>
      </c>
      <c r="BP281" s="41" t="str">
        <f t="shared" si="224"/>
        <v/>
      </c>
      <c r="BQ281" s="41" t="str">
        <f t="shared" si="224"/>
        <v/>
      </c>
      <c r="BR281" s="118" t="str">
        <f t="shared" si="224"/>
        <v/>
      </c>
      <c r="BS281" s="41">
        <f t="shared" ref="BS281:BS286" si="229">SUM(BM281:BR281)</f>
        <v>0.16666666666666666</v>
      </c>
      <c r="BT281" s="35"/>
      <c r="BU281" s="35"/>
      <c r="BV281" s="35"/>
      <c r="BW281" s="65"/>
      <c r="BX281" s="63"/>
      <c r="BY281" s="352"/>
      <c r="BZ281" s="14"/>
      <c r="CA281" s="14"/>
      <c r="CB281" s="21"/>
      <c r="CC281" s="21"/>
      <c r="CD281" s="180"/>
      <c r="CE281" s="180"/>
      <c r="CF281" s="21"/>
      <c r="CG281" s="14"/>
      <c r="CH281" s="14"/>
      <c r="CI281" s="14"/>
      <c r="CJ281" s="14"/>
      <c r="CK281" s="14"/>
      <c r="CL281" s="14"/>
      <c r="CM281" s="14"/>
      <c r="CN281" s="14"/>
      <c r="CO281" s="129"/>
      <c r="CP281" s="14"/>
      <c r="CQ281" s="47"/>
      <c r="CR281" s="14"/>
      <c r="CS281" s="14"/>
      <c r="CT281" s="14"/>
      <c r="CU281" s="14"/>
      <c r="CV281" s="180"/>
      <c r="CW281" s="189"/>
      <c r="CX281" s="189"/>
      <c r="CY281" s="14"/>
      <c r="CZ281" s="14"/>
      <c r="DA281" s="14"/>
      <c r="DB281" s="14"/>
      <c r="DC281" s="14"/>
      <c r="DD281" s="14"/>
      <c r="DE281" s="14"/>
      <c r="DF281" s="14"/>
      <c r="DG281" s="129"/>
      <c r="DH281" s="14"/>
      <c r="DI281" s="47"/>
      <c r="DJ281" s="14"/>
      <c r="DK281" s="107" t="s">
        <v>35</v>
      </c>
      <c r="DL281" s="41">
        <f t="shared" si="225"/>
        <v>4.1666666666666664E-2</v>
      </c>
      <c r="DM281" s="41" t="str">
        <f t="shared" si="225"/>
        <v/>
      </c>
      <c r="DN281" s="118">
        <f t="shared" si="225"/>
        <v>0.16666666666666666</v>
      </c>
      <c r="DO281" s="41" t="str">
        <f t="shared" si="225"/>
        <v/>
      </c>
      <c r="DP281" s="41" t="str">
        <f t="shared" si="225"/>
        <v/>
      </c>
      <c r="DQ281" s="118" t="str">
        <f>IF(OR(DQ$253=0,DQ249=0),"",DQ249/DQ$253/6)</f>
        <v/>
      </c>
      <c r="DR281" s="41">
        <f>SUM(DL281:DQ281)</f>
        <v>0.20833333333333331</v>
      </c>
      <c r="DS281" s="14"/>
      <c r="DT281" s="14"/>
      <c r="DU281" s="14"/>
      <c r="DV281" s="14"/>
      <c r="DW281" s="14"/>
      <c r="DX281" s="14"/>
      <c r="DY281" s="14"/>
      <c r="DZ281" s="14"/>
      <c r="EA281" s="14"/>
      <c r="EB281" s="14"/>
      <c r="EC281" s="14"/>
      <c r="ED281" s="14"/>
      <c r="EE281" s="14"/>
      <c r="EF281" s="14"/>
      <c r="EG281" s="14"/>
      <c r="EH281" s="14"/>
      <c r="EI281" s="14"/>
      <c r="EJ281" s="14"/>
      <c r="EK281" s="14"/>
      <c r="EL281" s="14"/>
    </row>
    <row r="282" spans="1:142" x14ac:dyDescent="0.25">
      <c r="A282" s="14"/>
      <c r="B282" s="107" t="s">
        <v>36</v>
      </c>
      <c r="C282" s="41" t="str">
        <f t="shared" si="220"/>
        <v/>
      </c>
      <c r="D282" s="41" t="str">
        <f t="shared" si="220"/>
        <v/>
      </c>
      <c r="E282" s="118" t="str">
        <f t="shared" si="220"/>
        <v/>
      </c>
      <c r="F282" s="41" t="str">
        <f t="shared" si="220"/>
        <v/>
      </c>
      <c r="G282" s="41">
        <f t="shared" si="220"/>
        <v>5.5555555555555552E-2</v>
      </c>
      <c r="H282" s="118" t="str">
        <f t="shared" si="220"/>
        <v/>
      </c>
      <c r="I282" s="41">
        <f>SUM(C282:H282)</f>
        <v>5.5555555555555552E-2</v>
      </c>
      <c r="J282" s="14"/>
      <c r="K282" s="14"/>
      <c r="L282" s="14"/>
      <c r="M282" s="14"/>
      <c r="N282" s="14"/>
      <c r="O282" s="14"/>
      <c r="P282" s="14"/>
      <c r="Q282" s="47"/>
      <c r="R282" s="14"/>
      <c r="S282" s="107" t="s">
        <v>33</v>
      </c>
      <c r="T282" s="41" t="str">
        <f t="shared" si="221"/>
        <v/>
      </c>
      <c r="U282" s="41" t="str">
        <f t="shared" si="221"/>
        <v/>
      </c>
      <c r="V282" s="118" t="str">
        <f t="shared" si="221"/>
        <v/>
      </c>
      <c r="W282" s="41" t="str">
        <f t="shared" si="221"/>
        <v/>
      </c>
      <c r="X282" s="41">
        <f t="shared" si="221"/>
        <v>5.5555555555555552E-2</v>
      </c>
      <c r="Y282" s="118" t="str">
        <f t="shared" si="221"/>
        <v/>
      </c>
      <c r="Z282" s="41">
        <f t="shared" si="226"/>
        <v>5.5555555555555552E-2</v>
      </c>
      <c r="AA282" s="35"/>
      <c r="AB282" s="35"/>
      <c r="AC282" s="35"/>
      <c r="AD282" s="65"/>
      <c r="AE282" s="63"/>
      <c r="AF282" s="47"/>
      <c r="AG282" s="14"/>
      <c r="AH282" s="107" t="s">
        <v>33</v>
      </c>
      <c r="AI282" s="41" t="str">
        <f t="shared" si="222"/>
        <v/>
      </c>
      <c r="AJ282" s="41" t="str">
        <f t="shared" si="222"/>
        <v/>
      </c>
      <c r="AK282" s="118" t="str">
        <f t="shared" si="222"/>
        <v/>
      </c>
      <c r="AL282" s="41" t="str">
        <f t="shared" si="222"/>
        <v/>
      </c>
      <c r="AM282" s="41" t="str">
        <f t="shared" si="222"/>
        <v/>
      </c>
      <c r="AN282" s="118" t="str">
        <f t="shared" si="222"/>
        <v/>
      </c>
      <c r="AO282" s="41">
        <f t="shared" si="227"/>
        <v>0</v>
      </c>
      <c r="AP282" s="35"/>
      <c r="AQ282" s="35"/>
      <c r="AR282" s="35"/>
      <c r="AS282" s="65"/>
      <c r="AT282" s="63"/>
      <c r="AU282" s="47"/>
      <c r="AV282" s="14"/>
      <c r="AW282" s="107" t="s">
        <v>33</v>
      </c>
      <c r="AX282" s="41" t="str">
        <f t="shared" si="223"/>
        <v/>
      </c>
      <c r="AY282" s="41" t="str">
        <f t="shared" si="223"/>
        <v/>
      </c>
      <c r="AZ282" s="118" t="str">
        <f t="shared" si="223"/>
        <v/>
      </c>
      <c r="BA282" s="41" t="str">
        <f t="shared" si="223"/>
        <v/>
      </c>
      <c r="BB282" s="41" t="str">
        <f t="shared" si="223"/>
        <v/>
      </c>
      <c r="BC282" s="118" t="str">
        <f t="shared" si="223"/>
        <v/>
      </c>
      <c r="BD282" s="41">
        <f t="shared" si="228"/>
        <v>0</v>
      </c>
      <c r="BE282" s="35"/>
      <c r="BF282" s="35"/>
      <c r="BG282" s="35"/>
      <c r="BH282" s="65"/>
      <c r="BI282" s="63"/>
      <c r="BJ282" s="352"/>
      <c r="BK282" s="14"/>
      <c r="BL282" s="107" t="s">
        <v>33</v>
      </c>
      <c r="BM282" s="41" t="str">
        <f t="shared" si="224"/>
        <v/>
      </c>
      <c r="BN282" s="41" t="str">
        <f t="shared" si="224"/>
        <v/>
      </c>
      <c r="BO282" s="118" t="str">
        <f t="shared" si="224"/>
        <v/>
      </c>
      <c r="BP282" s="41">
        <f t="shared" si="224"/>
        <v>0.16666666666666666</v>
      </c>
      <c r="BQ282" s="41" t="str">
        <f t="shared" si="224"/>
        <v/>
      </c>
      <c r="BR282" s="118" t="str">
        <f t="shared" si="224"/>
        <v/>
      </c>
      <c r="BS282" s="41">
        <f t="shared" si="229"/>
        <v>0.16666666666666666</v>
      </c>
      <c r="BT282" s="35"/>
      <c r="BU282" s="35"/>
      <c r="BV282" s="35"/>
      <c r="BW282" s="65"/>
      <c r="BX282" s="63"/>
      <c r="BY282" s="352"/>
      <c r="BZ282" s="14"/>
      <c r="CA282" s="14"/>
      <c r="CB282" s="21"/>
      <c r="CC282" s="21"/>
      <c r="CD282" s="180"/>
      <c r="CE282" s="180"/>
      <c r="CF282" s="21"/>
      <c r="CG282" s="14"/>
      <c r="CH282" s="14"/>
      <c r="CI282" s="14"/>
      <c r="CJ282" s="14"/>
      <c r="CK282" s="14"/>
      <c r="CL282" s="14"/>
      <c r="CM282" s="14"/>
      <c r="CN282" s="14"/>
      <c r="CO282" s="129"/>
      <c r="CP282" s="14"/>
      <c r="CQ282" s="47"/>
      <c r="CR282" s="14"/>
      <c r="CS282" s="14"/>
      <c r="CT282" s="14"/>
      <c r="CU282" s="14"/>
      <c r="CV282" s="180"/>
      <c r="CW282" s="189"/>
      <c r="CX282" s="189"/>
      <c r="CY282" s="14"/>
      <c r="CZ282" s="14"/>
      <c r="DA282" s="14"/>
      <c r="DB282" s="14"/>
      <c r="DC282" s="14"/>
      <c r="DD282" s="14"/>
      <c r="DE282" s="14"/>
      <c r="DF282" s="14"/>
      <c r="DG282" s="129"/>
      <c r="DH282" s="14"/>
      <c r="DI282" s="47"/>
      <c r="DJ282" s="14"/>
      <c r="DK282" s="107" t="s">
        <v>36</v>
      </c>
      <c r="DL282" s="41">
        <f t="shared" si="225"/>
        <v>4.1666666666666664E-2</v>
      </c>
      <c r="DM282" s="41" t="str">
        <f t="shared" si="225"/>
        <v/>
      </c>
      <c r="DN282" s="118" t="str">
        <f t="shared" si="225"/>
        <v/>
      </c>
      <c r="DO282" s="41" t="str">
        <f t="shared" si="225"/>
        <v/>
      </c>
      <c r="DP282" s="41">
        <f t="shared" si="225"/>
        <v>0.1111111111111111</v>
      </c>
      <c r="DQ282" s="118" t="str">
        <f t="shared" si="225"/>
        <v/>
      </c>
      <c r="DR282" s="41">
        <f>SUM(DL282:DQ282)</f>
        <v>0.15277777777777776</v>
      </c>
      <c r="DS282" s="14"/>
      <c r="DT282" s="14"/>
      <c r="DU282" s="14"/>
      <c r="DV282" s="14"/>
      <c r="DW282" s="14"/>
      <c r="DX282" s="14"/>
      <c r="DY282" s="14"/>
      <c r="DZ282" s="14"/>
      <c r="EA282" s="14"/>
      <c r="EB282" s="14"/>
      <c r="EC282" s="14"/>
      <c r="ED282" s="14"/>
      <c r="EE282" s="14"/>
      <c r="EF282" s="14"/>
      <c r="EG282" s="14"/>
      <c r="EH282" s="14"/>
      <c r="EI282" s="14"/>
      <c r="EJ282" s="14"/>
      <c r="EK282" s="14"/>
      <c r="EL282" s="14"/>
    </row>
    <row r="283" spans="1:142" x14ac:dyDescent="0.25">
      <c r="A283" s="14"/>
      <c r="B283" s="107" t="s">
        <v>38</v>
      </c>
      <c r="C283" s="41" t="str">
        <f t="shared" si="220"/>
        <v/>
      </c>
      <c r="D283" s="41" t="str">
        <f t="shared" si="220"/>
        <v/>
      </c>
      <c r="E283" s="118" t="str">
        <f t="shared" si="220"/>
        <v/>
      </c>
      <c r="F283" s="41" t="str">
        <f t="shared" si="220"/>
        <v/>
      </c>
      <c r="G283" s="41" t="str">
        <f t="shared" si="220"/>
        <v/>
      </c>
      <c r="H283" s="118" t="str">
        <f t="shared" si="220"/>
        <v/>
      </c>
      <c r="I283" s="41">
        <f>SUM(C283:H283)</f>
        <v>0</v>
      </c>
      <c r="J283" s="14"/>
      <c r="K283" s="14"/>
      <c r="L283" s="14"/>
      <c r="M283" s="14"/>
      <c r="N283" s="14"/>
      <c r="O283" s="14"/>
      <c r="P283" s="14"/>
      <c r="Q283" s="47"/>
      <c r="R283" s="14"/>
      <c r="S283" s="107" t="s">
        <v>29</v>
      </c>
      <c r="T283" s="41" t="str">
        <f t="shared" si="221"/>
        <v/>
      </c>
      <c r="U283" s="41" t="str">
        <f t="shared" si="221"/>
        <v/>
      </c>
      <c r="V283" s="118" t="str">
        <f t="shared" si="221"/>
        <v/>
      </c>
      <c r="W283" s="41" t="str">
        <f t="shared" si="221"/>
        <v/>
      </c>
      <c r="X283" s="41" t="str">
        <f t="shared" si="221"/>
        <v/>
      </c>
      <c r="Y283" s="118" t="str">
        <f t="shared" si="221"/>
        <v/>
      </c>
      <c r="Z283" s="41">
        <f t="shared" si="226"/>
        <v>0</v>
      </c>
      <c r="AA283" s="35"/>
      <c r="AB283" s="35"/>
      <c r="AC283" s="35"/>
      <c r="AD283" s="65"/>
      <c r="AE283" s="63"/>
      <c r="AF283" s="47"/>
      <c r="AG283" s="14"/>
      <c r="AH283" s="107" t="s">
        <v>29</v>
      </c>
      <c r="AI283" s="41" t="str">
        <f t="shared" si="222"/>
        <v/>
      </c>
      <c r="AJ283" s="41" t="str">
        <f t="shared" si="222"/>
        <v/>
      </c>
      <c r="AK283" s="118" t="str">
        <f t="shared" si="222"/>
        <v/>
      </c>
      <c r="AL283" s="41" t="str">
        <f t="shared" si="222"/>
        <v/>
      </c>
      <c r="AM283" s="41" t="str">
        <f t="shared" si="222"/>
        <v/>
      </c>
      <c r="AN283" s="118" t="str">
        <f t="shared" si="222"/>
        <v/>
      </c>
      <c r="AO283" s="41">
        <f t="shared" si="227"/>
        <v>0</v>
      </c>
      <c r="AP283" s="35"/>
      <c r="AQ283" s="35"/>
      <c r="AR283" s="35"/>
      <c r="AS283" s="65"/>
      <c r="AT283" s="63"/>
      <c r="AU283" s="47"/>
      <c r="AV283" s="14"/>
      <c r="AW283" s="107" t="s">
        <v>29</v>
      </c>
      <c r="AX283" s="41" t="str">
        <f t="shared" si="223"/>
        <v/>
      </c>
      <c r="AY283" s="41" t="str">
        <f t="shared" si="223"/>
        <v/>
      </c>
      <c r="AZ283" s="118" t="str">
        <f t="shared" si="223"/>
        <v/>
      </c>
      <c r="BA283" s="41" t="str">
        <f t="shared" si="223"/>
        <v/>
      </c>
      <c r="BB283" s="41" t="str">
        <f t="shared" si="223"/>
        <v/>
      </c>
      <c r="BC283" s="118" t="str">
        <f t="shared" si="223"/>
        <v/>
      </c>
      <c r="BD283" s="41">
        <f t="shared" si="228"/>
        <v>0</v>
      </c>
      <c r="BE283" s="35"/>
      <c r="BF283" s="35"/>
      <c r="BG283" s="35"/>
      <c r="BH283" s="65"/>
      <c r="BI283" s="63"/>
      <c r="BJ283" s="352"/>
      <c r="BK283" s="14"/>
      <c r="BL283" s="107" t="s">
        <v>29</v>
      </c>
      <c r="BM283" s="41" t="str">
        <f t="shared" si="224"/>
        <v/>
      </c>
      <c r="BN283" s="41" t="str">
        <f t="shared" si="224"/>
        <v/>
      </c>
      <c r="BO283" s="118" t="str">
        <f t="shared" si="224"/>
        <v/>
      </c>
      <c r="BP283" s="41" t="str">
        <f t="shared" si="224"/>
        <v/>
      </c>
      <c r="BQ283" s="41" t="str">
        <f t="shared" si="224"/>
        <v/>
      </c>
      <c r="BR283" s="118" t="str">
        <f t="shared" si="224"/>
        <v/>
      </c>
      <c r="BS283" s="41">
        <f t="shared" si="229"/>
        <v>0</v>
      </c>
      <c r="BT283" s="35"/>
      <c r="BU283" s="35"/>
      <c r="BV283" s="35"/>
      <c r="BW283" s="65"/>
      <c r="BX283" s="63"/>
      <c r="BY283" s="352"/>
      <c r="BZ283" s="14"/>
      <c r="CA283" s="14"/>
      <c r="CB283" s="21"/>
      <c r="CC283" s="21"/>
      <c r="CD283" s="180"/>
      <c r="CE283" s="180"/>
      <c r="CF283" s="21"/>
      <c r="CG283" s="14"/>
      <c r="CH283" s="14"/>
      <c r="CI283" s="14"/>
      <c r="CJ283" s="14"/>
      <c r="CK283" s="14"/>
      <c r="CL283" s="14"/>
      <c r="CM283" s="14"/>
      <c r="CN283" s="14"/>
      <c r="CO283" s="129"/>
      <c r="CP283" s="14"/>
      <c r="CQ283" s="47"/>
      <c r="CR283" s="14"/>
      <c r="CS283" s="14"/>
      <c r="CT283" s="14"/>
      <c r="CU283" s="14"/>
      <c r="CV283" s="180"/>
      <c r="CW283" s="189"/>
      <c r="CX283" s="189"/>
      <c r="CY283" s="14"/>
      <c r="CZ283" s="14"/>
      <c r="DA283" s="14"/>
      <c r="DB283" s="14"/>
      <c r="DC283" s="14"/>
      <c r="DD283" s="14"/>
      <c r="DE283" s="14"/>
      <c r="DF283" s="14"/>
      <c r="DG283" s="129"/>
      <c r="DH283" s="14"/>
      <c r="DI283" s="47"/>
      <c r="DJ283" s="14"/>
      <c r="DK283" s="107" t="s">
        <v>38</v>
      </c>
      <c r="DL283" s="41">
        <f t="shared" si="225"/>
        <v>4.1666666666666664E-2</v>
      </c>
      <c r="DM283" s="41" t="str">
        <f t="shared" si="225"/>
        <v/>
      </c>
      <c r="DN283" s="118" t="str">
        <f t="shared" si="225"/>
        <v/>
      </c>
      <c r="DO283" s="41">
        <f t="shared" si="225"/>
        <v>0.16666666666666666</v>
      </c>
      <c r="DP283" s="41">
        <f t="shared" si="225"/>
        <v>5.5555555555555552E-2</v>
      </c>
      <c r="DQ283" s="118" t="str">
        <f t="shared" si="225"/>
        <v/>
      </c>
      <c r="DR283" s="41">
        <f>SUM(DL283:DQ283)</f>
        <v>0.26388888888888884</v>
      </c>
      <c r="DS283" s="14"/>
      <c r="DT283" s="14"/>
      <c r="DU283" s="14"/>
      <c r="DV283" s="14"/>
      <c r="DW283" s="14"/>
      <c r="DX283" s="14"/>
      <c r="DY283" s="14"/>
      <c r="DZ283" s="14"/>
      <c r="EA283" s="14"/>
      <c r="EB283" s="14"/>
      <c r="EC283" s="14"/>
      <c r="ED283" s="14"/>
      <c r="EE283" s="14"/>
      <c r="EF283" s="14"/>
      <c r="EG283" s="14"/>
      <c r="EH283" s="14"/>
      <c r="EI283" s="14"/>
      <c r="EJ283" s="14"/>
      <c r="EK283" s="14"/>
      <c r="EL283" s="14"/>
    </row>
    <row r="284" spans="1:142" x14ac:dyDescent="0.25">
      <c r="A284" s="14"/>
      <c r="B284" s="107" t="s">
        <v>39</v>
      </c>
      <c r="C284" s="41">
        <f t="shared" si="220"/>
        <v>0.125</v>
      </c>
      <c r="D284" s="41" t="str">
        <f t="shared" si="220"/>
        <v/>
      </c>
      <c r="E284" s="118" t="str">
        <f t="shared" si="220"/>
        <v/>
      </c>
      <c r="F284" s="41">
        <f t="shared" si="220"/>
        <v>0.16666666666666666</v>
      </c>
      <c r="G284" s="41" t="str">
        <f t="shared" si="220"/>
        <v/>
      </c>
      <c r="H284" s="118" t="str">
        <f t="shared" si="220"/>
        <v/>
      </c>
      <c r="I284" s="41">
        <f>SUM(C284:H284)</f>
        <v>0.29166666666666663</v>
      </c>
      <c r="J284" s="14"/>
      <c r="K284" s="14"/>
      <c r="L284" s="14"/>
      <c r="M284" s="14"/>
      <c r="N284" s="14"/>
      <c r="O284" s="14"/>
      <c r="P284" s="14"/>
      <c r="Q284" s="47"/>
      <c r="R284" s="14"/>
      <c r="S284" s="107" t="s">
        <v>3</v>
      </c>
      <c r="T284" s="41" t="str">
        <f t="shared" si="221"/>
        <v/>
      </c>
      <c r="U284" s="41" t="str">
        <f t="shared" si="221"/>
        <v/>
      </c>
      <c r="V284" s="118" t="str">
        <f t="shared" si="221"/>
        <v/>
      </c>
      <c r="W284" s="41" t="str">
        <f t="shared" si="221"/>
        <v/>
      </c>
      <c r="X284" s="41">
        <f t="shared" si="221"/>
        <v>5.5555555555555552E-2</v>
      </c>
      <c r="Y284" s="118" t="str">
        <f t="shared" si="221"/>
        <v/>
      </c>
      <c r="Z284" s="41">
        <f t="shared" si="226"/>
        <v>5.5555555555555552E-2</v>
      </c>
      <c r="AA284" s="35"/>
      <c r="AB284" s="35"/>
      <c r="AC284" s="35"/>
      <c r="AD284" s="65"/>
      <c r="AE284" s="63"/>
      <c r="AF284" s="47"/>
      <c r="AG284" s="14"/>
      <c r="AH284" s="107" t="s">
        <v>3</v>
      </c>
      <c r="AI284" s="41" t="str">
        <f t="shared" si="222"/>
        <v/>
      </c>
      <c r="AJ284" s="41" t="str">
        <f t="shared" si="222"/>
        <v/>
      </c>
      <c r="AK284" s="118" t="str">
        <f t="shared" si="222"/>
        <v/>
      </c>
      <c r="AL284" s="41" t="str">
        <f t="shared" si="222"/>
        <v/>
      </c>
      <c r="AM284" s="41" t="str">
        <f t="shared" si="222"/>
        <v/>
      </c>
      <c r="AN284" s="118" t="str">
        <f t="shared" si="222"/>
        <v/>
      </c>
      <c r="AO284" s="41">
        <f t="shared" si="227"/>
        <v>0</v>
      </c>
      <c r="AP284" s="35"/>
      <c r="AQ284" s="35"/>
      <c r="AR284" s="35"/>
      <c r="AS284" s="65"/>
      <c r="AT284" s="63"/>
      <c r="AU284" s="47"/>
      <c r="AV284" s="14"/>
      <c r="AW284" s="107" t="s">
        <v>3</v>
      </c>
      <c r="AX284" s="41" t="str">
        <f t="shared" si="223"/>
        <v/>
      </c>
      <c r="AY284" s="41" t="str">
        <f t="shared" si="223"/>
        <v/>
      </c>
      <c r="AZ284" s="118" t="str">
        <f t="shared" si="223"/>
        <v/>
      </c>
      <c r="BA284" s="41" t="str">
        <f t="shared" si="223"/>
        <v/>
      </c>
      <c r="BB284" s="41" t="str">
        <f t="shared" si="223"/>
        <v/>
      </c>
      <c r="BC284" s="118" t="str">
        <f t="shared" si="223"/>
        <v/>
      </c>
      <c r="BD284" s="41">
        <f t="shared" si="228"/>
        <v>0</v>
      </c>
      <c r="BE284" s="35"/>
      <c r="BF284" s="35"/>
      <c r="BG284" s="35"/>
      <c r="BH284" s="65"/>
      <c r="BI284" s="63"/>
      <c r="BJ284" s="352"/>
      <c r="BK284" s="14"/>
      <c r="BL284" s="107" t="s">
        <v>3</v>
      </c>
      <c r="BM284" s="41" t="str">
        <f t="shared" si="224"/>
        <v/>
      </c>
      <c r="BN284" s="41" t="str">
        <f t="shared" si="224"/>
        <v/>
      </c>
      <c r="BO284" s="118" t="str">
        <f t="shared" si="224"/>
        <v/>
      </c>
      <c r="BP284" s="41" t="str">
        <f t="shared" si="224"/>
        <v/>
      </c>
      <c r="BQ284" s="41">
        <f t="shared" si="224"/>
        <v>0.16666666666666666</v>
      </c>
      <c r="BR284" s="118" t="str">
        <f t="shared" si="224"/>
        <v/>
      </c>
      <c r="BS284" s="41">
        <f t="shared" si="229"/>
        <v>0.16666666666666666</v>
      </c>
      <c r="BT284" s="35"/>
      <c r="BU284" s="35"/>
      <c r="BV284" s="35"/>
      <c r="BW284" s="65"/>
      <c r="BX284" s="63"/>
      <c r="BY284" s="352"/>
      <c r="BZ284" s="14"/>
      <c r="CA284" s="14"/>
      <c r="CB284" s="21"/>
      <c r="CC284" s="21"/>
      <c r="CD284" s="180"/>
      <c r="CE284" s="180"/>
      <c r="CF284" s="21"/>
      <c r="CG284" s="14"/>
      <c r="CH284" s="14"/>
      <c r="CI284" s="14"/>
      <c r="CJ284" s="14"/>
      <c r="CK284" s="14"/>
      <c r="CL284" s="14"/>
      <c r="CM284" s="14"/>
      <c r="CN284" s="14"/>
      <c r="CO284" s="129"/>
      <c r="CP284" s="14"/>
      <c r="CQ284" s="47"/>
      <c r="CR284" s="14"/>
      <c r="CS284" s="14"/>
      <c r="CT284" s="14"/>
      <c r="CU284" s="14"/>
      <c r="CV284" s="180"/>
      <c r="CW284" s="189"/>
      <c r="CX284" s="189"/>
      <c r="CY284" s="14"/>
      <c r="CZ284" s="14"/>
      <c r="DA284" s="14"/>
      <c r="DB284" s="14"/>
      <c r="DC284" s="14"/>
      <c r="DD284" s="14"/>
      <c r="DE284" s="14"/>
      <c r="DF284" s="14"/>
      <c r="DG284" s="129"/>
      <c r="DH284" s="14"/>
      <c r="DI284" s="47"/>
      <c r="DJ284" s="14"/>
      <c r="DK284" s="107" t="s">
        <v>39</v>
      </c>
      <c r="DL284" s="41" t="str">
        <f t="shared" si="225"/>
        <v/>
      </c>
      <c r="DM284" s="41" t="str">
        <f t="shared" si="225"/>
        <v/>
      </c>
      <c r="DN284" s="118" t="str">
        <f t="shared" si="225"/>
        <v/>
      </c>
      <c r="DO284" s="41" t="str">
        <f t="shared" si="225"/>
        <v/>
      </c>
      <c r="DP284" s="41" t="str">
        <f t="shared" si="225"/>
        <v/>
      </c>
      <c r="DQ284" s="118" t="str">
        <f t="shared" si="225"/>
        <v/>
      </c>
      <c r="DR284" s="41">
        <f>SUM(DL284:DQ284)</f>
        <v>0</v>
      </c>
      <c r="DS284" s="14"/>
      <c r="DT284" s="14"/>
      <c r="DU284" s="14"/>
      <c r="DV284" s="14"/>
      <c r="DW284" s="14"/>
      <c r="DX284" s="14"/>
      <c r="DY284" s="14"/>
      <c r="DZ284" s="14"/>
      <c r="EA284" s="14"/>
      <c r="EB284" s="14"/>
      <c r="EC284" s="14"/>
      <c r="ED284" s="14"/>
      <c r="EE284" s="14"/>
      <c r="EF284" s="14"/>
      <c r="EG284" s="14"/>
      <c r="EH284" s="14"/>
      <c r="EI284" s="14"/>
      <c r="EJ284" s="14"/>
      <c r="EK284" s="14"/>
      <c r="EL284" s="14"/>
    </row>
    <row r="285" spans="1:142" x14ac:dyDescent="0.25">
      <c r="A285" s="14"/>
      <c r="B285" s="86" t="s">
        <v>8</v>
      </c>
      <c r="C285" s="119">
        <f t="shared" ref="C285:I285" si="230">SUM(C280:C284)</f>
        <v>0.16666666666666666</v>
      </c>
      <c r="D285" s="119">
        <f t="shared" si="230"/>
        <v>0</v>
      </c>
      <c r="E285" s="119">
        <f t="shared" si="230"/>
        <v>0.16666666666666666</v>
      </c>
      <c r="F285" s="119">
        <f t="shared" si="230"/>
        <v>0.16666666666666666</v>
      </c>
      <c r="G285" s="119">
        <f t="shared" si="230"/>
        <v>0.16666666666666666</v>
      </c>
      <c r="H285" s="119">
        <f t="shared" si="230"/>
        <v>0</v>
      </c>
      <c r="I285" s="119">
        <f t="shared" si="230"/>
        <v>0.66666666666666663</v>
      </c>
      <c r="J285" s="14"/>
      <c r="K285" s="14"/>
      <c r="L285" s="14"/>
      <c r="M285" s="14"/>
      <c r="N285" s="14"/>
      <c r="O285" s="14"/>
      <c r="P285" s="14"/>
      <c r="Q285" s="47"/>
      <c r="R285" s="14"/>
      <c r="S285" s="107" t="s">
        <v>54</v>
      </c>
      <c r="T285" s="41" t="str">
        <f t="shared" si="221"/>
        <v/>
      </c>
      <c r="U285" s="41" t="str">
        <f t="shared" si="221"/>
        <v/>
      </c>
      <c r="V285" s="118" t="str">
        <f t="shared" si="221"/>
        <v/>
      </c>
      <c r="W285" s="41" t="str">
        <f t="shared" si="221"/>
        <v/>
      </c>
      <c r="X285" s="41" t="str">
        <f t="shared" si="221"/>
        <v/>
      </c>
      <c r="Y285" s="118" t="str">
        <f t="shared" si="221"/>
        <v/>
      </c>
      <c r="Z285" s="41">
        <f t="shared" si="226"/>
        <v>0</v>
      </c>
      <c r="AA285" s="35"/>
      <c r="AB285" s="35"/>
      <c r="AC285" s="35"/>
      <c r="AD285" s="65"/>
      <c r="AE285" s="63"/>
      <c r="AF285" s="47"/>
      <c r="AG285" s="14"/>
      <c r="AH285" s="107" t="s">
        <v>54</v>
      </c>
      <c r="AI285" s="41" t="str">
        <f t="shared" si="222"/>
        <v/>
      </c>
      <c r="AJ285" s="41" t="str">
        <f t="shared" si="222"/>
        <v/>
      </c>
      <c r="AK285" s="118" t="str">
        <f t="shared" si="222"/>
        <v/>
      </c>
      <c r="AL285" s="41" t="str">
        <f t="shared" si="222"/>
        <v/>
      </c>
      <c r="AM285" s="41" t="str">
        <f t="shared" si="222"/>
        <v/>
      </c>
      <c r="AN285" s="118" t="str">
        <f t="shared" si="222"/>
        <v/>
      </c>
      <c r="AO285" s="41">
        <f t="shared" si="227"/>
        <v>0</v>
      </c>
      <c r="AP285" s="35"/>
      <c r="AQ285" s="35"/>
      <c r="AR285" s="35"/>
      <c r="AS285" s="65"/>
      <c r="AT285" s="63"/>
      <c r="AU285" s="47"/>
      <c r="AV285" s="14"/>
      <c r="AW285" s="107" t="s">
        <v>54</v>
      </c>
      <c r="AX285" s="41" t="str">
        <f t="shared" si="223"/>
        <v/>
      </c>
      <c r="AY285" s="41" t="str">
        <f t="shared" si="223"/>
        <v/>
      </c>
      <c r="AZ285" s="118" t="str">
        <f t="shared" si="223"/>
        <v/>
      </c>
      <c r="BA285" s="41" t="str">
        <f t="shared" si="223"/>
        <v/>
      </c>
      <c r="BB285" s="41" t="str">
        <f t="shared" si="223"/>
        <v/>
      </c>
      <c r="BC285" s="118" t="str">
        <f t="shared" si="223"/>
        <v/>
      </c>
      <c r="BD285" s="41">
        <f t="shared" si="228"/>
        <v>0</v>
      </c>
      <c r="BE285" s="35"/>
      <c r="BF285" s="35"/>
      <c r="BG285" s="35"/>
      <c r="BH285" s="65"/>
      <c r="BI285" s="63"/>
      <c r="BJ285" s="352"/>
      <c r="BK285" s="14"/>
      <c r="BL285" s="107" t="s">
        <v>54</v>
      </c>
      <c r="BM285" s="41" t="str">
        <f t="shared" si="224"/>
        <v/>
      </c>
      <c r="BN285" s="41" t="str">
        <f t="shared" si="224"/>
        <v/>
      </c>
      <c r="BO285" s="118" t="str">
        <f t="shared" si="224"/>
        <v/>
      </c>
      <c r="BP285" s="41" t="str">
        <f t="shared" si="224"/>
        <v/>
      </c>
      <c r="BQ285" s="41" t="str">
        <f t="shared" si="224"/>
        <v/>
      </c>
      <c r="BR285" s="118" t="str">
        <f t="shared" si="224"/>
        <v/>
      </c>
      <c r="BS285" s="41">
        <f t="shared" si="229"/>
        <v>0</v>
      </c>
      <c r="BT285" s="35"/>
      <c r="BU285" s="35"/>
      <c r="BV285" s="35"/>
      <c r="BW285" s="65"/>
      <c r="BX285" s="63"/>
      <c r="BY285" s="352"/>
      <c r="BZ285" s="14"/>
      <c r="CA285" s="14"/>
      <c r="CB285" s="21"/>
      <c r="CC285" s="21"/>
      <c r="CD285" s="180"/>
      <c r="CE285" s="180"/>
      <c r="CF285" s="21"/>
      <c r="CG285" s="14"/>
      <c r="CH285" s="14"/>
      <c r="CI285" s="14"/>
      <c r="CJ285" s="14"/>
      <c r="CK285" s="14"/>
      <c r="CL285" s="14"/>
      <c r="CM285" s="14"/>
      <c r="CN285" s="14"/>
      <c r="CO285" s="129"/>
      <c r="CP285" s="14"/>
      <c r="CQ285" s="47"/>
      <c r="CR285" s="14"/>
      <c r="CS285" s="14"/>
      <c r="CT285" s="14"/>
      <c r="CU285" s="14"/>
      <c r="CV285" s="180"/>
      <c r="CW285" s="189"/>
      <c r="CX285" s="189"/>
      <c r="CY285" s="14"/>
      <c r="CZ285" s="14"/>
      <c r="DA285" s="14"/>
      <c r="DB285" s="14"/>
      <c r="DC285" s="14"/>
      <c r="DD285" s="14"/>
      <c r="DE285" s="14"/>
      <c r="DF285" s="14"/>
      <c r="DG285" s="129"/>
      <c r="DH285" s="14"/>
      <c r="DI285" s="47"/>
      <c r="DJ285" s="14"/>
      <c r="DK285" s="86" t="s">
        <v>8</v>
      </c>
      <c r="DL285" s="119">
        <f t="shared" ref="DL285:DR285" si="231">SUM(DL280:DL284)</f>
        <v>0.16666666666666666</v>
      </c>
      <c r="DM285" s="119">
        <f t="shared" si="231"/>
        <v>0</v>
      </c>
      <c r="DN285" s="119">
        <f t="shared" si="231"/>
        <v>0.16666666666666666</v>
      </c>
      <c r="DO285" s="119">
        <f t="shared" si="231"/>
        <v>0.16666666666666666</v>
      </c>
      <c r="DP285" s="119">
        <f t="shared" si="231"/>
        <v>0.16666666666666666</v>
      </c>
      <c r="DQ285" s="119">
        <f t="shared" si="231"/>
        <v>0</v>
      </c>
      <c r="DR285" s="119">
        <f t="shared" si="231"/>
        <v>0.66666666666666652</v>
      </c>
      <c r="DS285" s="14"/>
      <c r="DT285" s="14"/>
      <c r="DU285" s="14"/>
      <c r="DV285" s="14"/>
      <c r="DW285" s="14"/>
      <c r="DX285" s="14"/>
      <c r="DY285" s="14"/>
      <c r="DZ285" s="14"/>
      <c r="EA285" s="14"/>
      <c r="EB285" s="14"/>
      <c r="EC285" s="14"/>
      <c r="ED285" s="14"/>
      <c r="EE285" s="14"/>
      <c r="EF285" s="14"/>
      <c r="EG285" s="14"/>
      <c r="EH285" s="14"/>
      <c r="EI285" s="14"/>
      <c r="EJ285" s="14"/>
      <c r="EK285" s="14"/>
      <c r="EL285" s="14"/>
    </row>
    <row r="286" spans="1:142" x14ac:dyDescent="0.25">
      <c r="A286" s="14"/>
      <c r="B286" s="107"/>
      <c r="C286" s="41"/>
      <c r="D286" s="41"/>
      <c r="E286" s="118"/>
      <c r="F286" s="41"/>
      <c r="G286" s="41"/>
      <c r="H286" s="118"/>
      <c r="I286" s="41"/>
      <c r="J286" s="14"/>
      <c r="K286" s="14"/>
      <c r="L286" s="14"/>
      <c r="M286" s="14"/>
      <c r="N286" s="14"/>
      <c r="O286" s="14"/>
      <c r="P286" s="14"/>
      <c r="Q286" s="47"/>
      <c r="R286" s="14"/>
      <c r="S286" s="107" t="s">
        <v>39</v>
      </c>
      <c r="T286" s="41">
        <f t="shared" si="221"/>
        <v>9.9999999999999992E-2</v>
      </c>
      <c r="U286" s="41" t="str">
        <f t="shared" si="221"/>
        <v/>
      </c>
      <c r="V286" s="118" t="str">
        <f t="shared" si="221"/>
        <v/>
      </c>
      <c r="W286" s="41" t="str">
        <f t="shared" si="221"/>
        <v/>
      </c>
      <c r="X286" s="41" t="str">
        <f t="shared" si="221"/>
        <v/>
      </c>
      <c r="Y286" s="118" t="str">
        <f t="shared" si="221"/>
        <v/>
      </c>
      <c r="Z286" s="41">
        <f t="shared" si="226"/>
        <v>9.9999999999999992E-2</v>
      </c>
      <c r="AA286" s="35"/>
      <c r="AB286" s="35"/>
      <c r="AC286" s="35"/>
      <c r="AD286" s="65"/>
      <c r="AE286" s="63"/>
      <c r="AF286" s="47"/>
      <c r="AG286" s="14"/>
      <c r="AH286" s="107" t="s">
        <v>39</v>
      </c>
      <c r="AI286" s="41" t="str">
        <f t="shared" si="222"/>
        <v/>
      </c>
      <c r="AJ286" s="41" t="str">
        <f t="shared" si="222"/>
        <v/>
      </c>
      <c r="AK286" s="118" t="str">
        <f t="shared" si="222"/>
        <v/>
      </c>
      <c r="AL286" s="41" t="str">
        <f t="shared" si="222"/>
        <v/>
      </c>
      <c r="AM286" s="41" t="str">
        <f t="shared" si="222"/>
        <v/>
      </c>
      <c r="AN286" s="118" t="str">
        <f t="shared" si="222"/>
        <v/>
      </c>
      <c r="AO286" s="41">
        <f t="shared" si="227"/>
        <v>0</v>
      </c>
      <c r="AP286" s="35"/>
      <c r="AQ286" s="35"/>
      <c r="AR286" s="35"/>
      <c r="AS286" s="65"/>
      <c r="AT286" s="63"/>
      <c r="AU286" s="47"/>
      <c r="AV286" s="14"/>
      <c r="AW286" s="107" t="s">
        <v>39</v>
      </c>
      <c r="AX286" s="41" t="str">
        <f t="shared" si="223"/>
        <v/>
      </c>
      <c r="AY286" s="41" t="str">
        <f t="shared" si="223"/>
        <v/>
      </c>
      <c r="AZ286" s="118" t="str">
        <f t="shared" si="223"/>
        <v/>
      </c>
      <c r="BA286" s="41" t="str">
        <f t="shared" si="223"/>
        <v/>
      </c>
      <c r="BB286" s="41" t="str">
        <f t="shared" si="223"/>
        <v/>
      </c>
      <c r="BC286" s="118" t="str">
        <f t="shared" si="223"/>
        <v/>
      </c>
      <c r="BD286" s="41">
        <f t="shared" si="228"/>
        <v>0</v>
      </c>
      <c r="BE286" s="35"/>
      <c r="BF286" s="35"/>
      <c r="BG286" s="35"/>
      <c r="BH286" s="65"/>
      <c r="BI286" s="63"/>
      <c r="BJ286" s="352"/>
      <c r="BK286" s="14"/>
      <c r="BL286" s="107" t="s">
        <v>39</v>
      </c>
      <c r="BM286" s="41" t="str">
        <f t="shared" si="224"/>
        <v/>
      </c>
      <c r="BN286" s="41" t="str">
        <f t="shared" si="224"/>
        <v/>
      </c>
      <c r="BO286" s="118" t="str">
        <f t="shared" si="224"/>
        <v/>
      </c>
      <c r="BP286" s="41" t="str">
        <f t="shared" si="224"/>
        <v/>
      </c>
      <c r="BQ286" s="41" t="str">
        <f t="shared" si="224"/>
        <v/>
      </c>
      <c r="BR286" s="118" t="str">
        <f t="shared" si="224"/>
        <v/>
      </c>
      <c r="BS286" s="41">
        <f t="shared" si="229"/>
        <v>0</v>
      </c>
      <c r="BT286" s="35"/>
      <c r="BU286" s="35"/>
      <c r="BV286" s="35"/>
      <c r="BW286" s="65"/>
      <c r="BX286" s="63"/>
      <c r="BY286" s="352"/>
      <c r="BZ286" s="14"/>
      <c r="CA286" s="14"/>
      <c r="CB286" s="21"/>
      <c r="CC286" s="21"/>
      <c r="CD286" s="180"/>
      <c r="CE286" s="180"/>
      <c r="CF286" s="21"/>
      <c r="CG286" s="14"/>
      <c r="CH286" s="14"/>
      <c r="CI286" s="14"/>
      <c r="CJ286" s="14"/>
      <c r="CK286" s="14"/>
      <c r="CL286" s="14"/>
      <c r="CM286" s="14"/>
      <c r="CN286" s="14"/>
      <c r="CO286" s="129"/>
      <c r="CP286" s="14"/>
      <c r="CQ286" s="47"/>
      <c r="CR286" s="14"/>
      <c r="CS286" s="14"/>
      <c r="CT286" s="14"/>
      <c r="CU286" s="14"/>
      <c r="CV286" s="180"/>
      <c r="CW286" s="189"/>
      <c r="CX286" s="189"/>
      <c r="CY286" s="14"/>
      <c r="CZ286" s="14"/>
      <c r="DA286" s="14"/>
      <c r="DB286" s="14"/>
      <c r="DC286" s="14"/>
      <c r="DD286" s="14"/>
      <c r="DE286" s="14"/>
      <c r="DF286" s="14"/>
      <c r="DG286" s="129"/>
      <c r="DH286" s="14"/>
      <c r="DI286" s="47"/>
      <c r="DJ286" s="14"/>
      <c r="DK286" s="107"/>
      <c r="DL286" s="41"/>
      <c r="DM286" s="41"/>
      <c r="DN286" s="118"/>
      <c r="DO286" s="41"/>
      <c r="DP286" s="41"/>
      <c r="DQ286" s="118"/>
      <c r="DR286" s="41"/>
      <c r="DS286" s="14"/>
      <c r="DT286" s="14"/>
      <c r="DU286" s="14"/>
      <c r="DV286" s="14"/>
      <c r="DW286" s="14"/>
      <c r="DX286" s="14"/>
      <c r="DY286" s="14"/>
      <c r="DZ286" s="14"/>
      <c r="EA286" s="14"/>
      <c r="EB286" s="14"/>
      <c r="EC286" s="14"/>
      <c r="ED286" s="14"/>
      <c r="EE286" s="14"/>
      <c r="EF286" s="14"/>
      <c r="EG286" s="14"/>
      <c r="EH286" s="14"/>
      <c r="EI286" s="14"/>
      <c r="EJ286" s="14"/>
      <c r="EK286" s="14"/>
      <c r="EL286" s="14"/>
    </row>
    <row r="287" spans="1:142" x14ac:dyDescent="0.25">
      <c r="A287" s="14"/>
      <c r="B287" s="103"/>
      <c r="C287" s="120"/>
      <c r="D287" s="120"/>
      <c r="E287" s="120"/>
      <c r="F287" s="120"/>
      <c r="G287" s="120"/>
      <c r="H287" s="120"/>
      <c r="I287" s="120"/>
      <c r="J287" s="14"/>
      <c r="K287" s="14"/>
      <c r="L287" s="14"/>
      <c r="M287" s="14"/>
      <c r="N287" s="14"/>
      <c r="O287" s="14"/>
      <c r="P287" s="14"/>
      <c r="Q287" s="47"/>
      <c r="R287" s="14"/>
      <c r="S287" s="86" t="s">
        <v>8</v>
      </c>
      <c r="T287" s="119">
        <f t="shared" ref="T287:Y287" si="232">SUM(T280:T286)</f>
        <v>0.16666666666666666</v>
      </c>
      <c r="U287" s="119">
        <f t="shared" si="232"/>
        <v>0</v>
      </c>
      <c r="V287" s="119">
        <f t="shared" si="232"/>
        <v>0.16666666666666666</v>
      </c>
      <c r="W287" s="119">
        <f t="shared" si="232"/>
        <v>0.16666666666666666</v>
      </c>
      <c r="X287" s="119">
        <f t="shared" si="232"/>
        <v>0.16666666666666666</v>
      </c>
      <c r="Y287" s="119">
        <f t="shared" si="232"/>
        <v>0</v>
      </c>
      <c r="Z287" s="119">
        <f>SUM(T287:Y287)</f>
        <v>0.66666666666666663</v>
      </c>
      <c r="AA287" s="35"/>
      <c r="AB287" s="35"/>
      <c r="AC287" s="35"/>
      <c r="AD287" s="65"/>
      <c r="AE287" s="63"/>
      <c r="AF287" s="47"/>
      <c r="AG287" s="14"/>
      <c r="AH287" s="86" t="s">
        <v>8</v>
      </c>
      <c r="AI287" s="119">
        <f t="shared" ref="AI287:AN287" si="233">SUM(AI280:AI286)</f>
        <v>0.16666666666666666</v>
      </c>
      <c r="AJ287" s="119">
        <f t="shared" si="233"/>
        <v>0.16666666666666666</v>
      </c>
      <c r="AK287" s="119">
        <f t="shared" si="233"/>
        <v>0.16666666666666666</v>
      </c>
      <c r="AL287" s="119">
        <f t="shared" si="233"/>
        <v>0.16666666666666666</v>
      </c>
      <c r="AM287" s="119">
        <f t="shared" si="233"/>
        <v>0.16666666666666666</v>
      </c>
      <c r="AN287" s="119">
        <f t="shared" si="233"/>
        <v>0</v>
      </c>
      <c r="AO287" s="119">
        <f>SUM(AI287:AN287)</f>
        <v>0.83333333333333326</v>
      </c>
      <c r="AP287" s="35"/>
      <c r="AQ287" s="35"/>
      <c r="AR287" s="35"/>
      <c r="AS287" s="65"/>
      <c r="AT287" s="63"/>
      <c r="AU287" s="47"/>
      <c r="AV287" s="14"/>
      <c r="AW287" s="86" t="s">
        <v>8</v>
      </c>
      <c r="AX287" s="119">
        <f t="shared" ref="AX287:BC287" si="234">SUM(AX280:AX286)</f>
        <v>0.16666666666666666</v>
      </c>
      <c r="AY287" s="119">
        <f t="shared" si="234"/>
        <v>0.16666666666666666</v>
      </c>
      <c r="AZ287" s="119">
        <f t="shared" si="234"/>
        <v>0.16666666666666666</v>
      </c>
      <c r="BA287" s="119">
        <f t="shared" si="234"/>
        <v>0.16666666666666666</v>
      </c>
      <c r="BB287" s="119">
        <f t="shared" si="234"/>
        <v>0.16666666666666666</v>
      </c>
      <c r="BC287" s="119">
        <f t="shared" si="234"/>
        <v>0</v>
      </c>
      <c r="BD287" s="119">
        <f>SUM(AX287:BC287)</f>
        <v>0.83333333333333326</v>
      </c>
      <c r="BE287" s="35"/>
      <c r="BF287" s="35"/>
      <c r="BG287" s="35"/>
      <c r="BH287" s="65"/>
      <c r="BI287" s="63"/>
      <c r="BJ287" s="352"/>
      <c r="BK287" s="14"/>
      <c r="BL287" s="86" t="s">
        <v>8</v>
      </c>
      <c r="BM287" s="119">
        <f t="shared" ref="BM287:BR287" si="235">SUM(BM280:BM286)</f>
        <v>0.16666666666666666</v>
      </c>
      <c r="BN287" s="119">
        <f t="shared" si="235"/>
        <v>0.16666666666666666</v>
      </c>
      <c r="BO287" s="119">
        <f t="shared" si="235"/>
        <v>0.16666666666666666</v>
      </c>
      <c r="BP287" s="119">
        <f t="shared" si="235"/>
        <v>0.16666666666666666</v>
      </c>
      <c r="BQ287" s="119">
        <f t="shared" si="235"/>
        <v>0.16666666666666666</v>
      </c>
      <c r="BR287" s="119">
        <f t="shared" si="235"/>
        <v>0</v>
      </c>
      <c r="BS287" s="119">
        <f>SUM(BM287:BR287)</f>
        <v>0.83333333333333326</v>
      </c>
      <c r="BT287" s="35"/>
      <c r="BU287" s="35"/>
      <c r="BV287" s="35"/>
      <c r="BW287" s="65"/>
      <c r="BX287" s="63"/>
      <c r="BY287" s="352"/>
      <c r="BZ287" s="14"/>
      <c r="CA287" s="14"/>
      <c r="CB287" s="21"/>
      <c r="CC287" s="21"/>
      <c r="CD287" s="180"/>
      <c r="CE287" s="180"/>
      <c r="CF287" s="21"/>
      <c r="CG287" s="14"/>
      <c r="CH287" s="14"/>
      <c r="CI287" s="14"/>
      <c r="CJ287" s="14"/>
      <c r="CK287" s="14"/>
      <c r="CL287" s="14"/>
      <c r="CM287" s="14"/>
      <c r="CN287" s="14"/>
      <c r="CO287" s="129"/>
      <c r="CP287" s="14"/>
      <c r="CQ287" s="47"/>
      <c r="CR287" s="14"/>
      <c r="CS287" s="14"/>
      <c r="CT287" s="14"/>
      <c r="CU287" s="14"/>
      <c r="CV287" s="180"/>
      <c r="CW287" s="189"/>
      <c r="CX287" s="189"/>
      <c r="CY287" s="14"/>
      <c r="CZ287" s="14"/>
      <c r="DA287" s="14"/>
      <c r="DB287" s="14"/>
      <c r="DC287" s="14"/>
      <c r="DD287" s="14"/>
      <c r="DE287" s="14"/>
      <c r="DF287" s="14"/>
      <c r="DG287" s="129"/>
      <c r="DH287" s="14"/>
      <c r="DI287" s="47"/>
      <c r="DJ287" s="14"/>
      <c r="DK287" s="103"/>
      <c r="DL287" s="120"/>
      <c r="DM287" s="120"/>
      <c r="DN287" s="120"/>
      <c r="DO287" s="120"/>
      <c r="DP287" s="120"/>
      <c r="DQ287" s="120"/>
      <c r="DR287" s="120"/>
      <c r="DS287" s="14"/>
      <c r="DT287" s="14"/>
      <c r="DU287" s="14"/>
      <c r="DV287" s="14"/>
      <c r="DW287" s="14"/>
      <c r="DX287" s="14"/>
      <c r="DY287" s="14"/>
      <c r="DZ287" s="14"/>
      <c r="EA287" s="14"/>
      <c r="EB287" s="14"/>
      <c r="EC287" s="14"/>
      <c r="ED287" s="14"/>
      <c r="EE287" s="14"/>
      <c r="EF287" s="14"/>
      <c r="EG287" s="14"/>
      <c r="EH287" s="14"/>
      <c r="EI287" s="14"/>
      <c r="EJ287" s="14"/>
      <c r="EK287" s="14"/>
      <c r="EL287" s="14"/>
    </row>
    <row r="288" spans="1:142" x14ac:dyDescent="0.25">
      <c r="A288" s="14"/>
      <c r="B288" s="19"/>
      <c r="C288" s="19"/>
      <c r="D288" s="19"/>
      <c r="E288" s="19"/>
      <c r="F288" s="19"/>
      <c r="G288" s="19"/>
      <c r="H288" s="19"/>
      <c r="I288" s="19"/>
      <c r="J288" s="14"/>
      <c r="K288" s="14"/>
      <c r="L288" s="14"/>
      <c r="M288" s="14"/>
      <c r="N288" s="14"/>
      <c r="O288" s="14"/>
      <c r="P288" s="14"/>
      <c r="Q288" s="47"/>
      <c r="R288" s="14"/>
      <c r="S288" s="19"/>
      <c r="T288" s="14"/>
      <c r="U288" s="14"/>
      <c r="V288" s="14"/>
      <c r="W288" s="14"/>
      <c r="X288" s="14"/>
      <c r="Y288" s="14"/>
      <c r="Z288" s="14"/>
      <c r="AA288" s="14"/>
      <c r="AB288" s="14"/>
      <c r="AC288" s="14"/>
      <c r="AD288" s="65"/>
      <c r="AE288" s="63"/>
      <c r="AF288" s="47"/>
      <c r="AG288" s="14"/>
      <c r="AH288" s="19"/>
      <c r="AI288" s="19"/>
      <c r="AJ288" s="19"/>
      <c r="AK288" s="19"/>
      <c r="AL288" s="19"/>
      <c r="AM288" s="19"/>
      <c r="AN288" s="19"/>
      <c r="AO288" s="19"/>
      <c r="AP288" s="14"/>
      <c r="AQ288" s="14"/>
      <c r="AR288" s="14"/>
      <c r="AS288" s="65"/>
      <c r="AT288" s="63"/>
      <c r="AU288" s="47"/>
      <c r="AV288" s="14"/>
      <c r="AW288" s="19"/>
      <c r="AX288" s="14"/>
      <c r="AY288" s="14"/>
      <c r="AZ288" s="14"/>
      <c r="BA288" s="14"/>
      <c r="BB288" s="14"/>
      <c r="BC288" s="14"/>
      <c r="BD288" s="14"/>
      <c r="BE288" s="14"/>
      <c r="BF288" s="14"/>
      <c r="BG288" s="14"/>
      <c r="BH288" s="65"/>
      <c r="BI288" s="63"/>
      <c r="BJ288" s="352"/>
      <c r="BK288" s="14"/>
      <c r="BL288" s="19"/>
      <c r="BM288" s="14"/>
      <c r="BN288" s="14"/>
      <c r="BO288" s="14"/>
      <c r="BP288" s="14"/>
      <c r="BQ288" s="14"/>
      <c r="BR288" s="14"/>
      <c r="BS288" s="14"/>
      <c r="BT288" s="14"/>
      <c r="BU288" s="14"/>
      <c r="BV288" s="14"/>
      <c r="BW288" s="65"/>
      <c r="BX288" s="63"/>
      <c r="BY288" s="352"/>
      <c r="BZ288" s="14"/>
      <c r="CA288" s="14"/>
      <c r="CB288" s="21"/>
      <c r="CC288" s="21"/>
      <c r="CD288" s="180"/>
      <c r="CE288" s="180"/>
      <c r="CF288" s="21"/>
      <c r="CG288" s="14"/>
      <c r="CH288" s="14"/>
      <c r="CI288" s="14"/>
      <c r="CJ288" s="14"/>
      <c r="CK288" s="14"/>
      <c r="CL288" s="14"/>
      <c r="CM288" s="14"/>
      <c r="CN288" s="14"/>
      <c r="CO288" s="129"/>
      <c r="CP288" s="14"/>
      <c r="CQ288" s="47"/>
      <c r="CR288" s="14"/>
      <c r="CS288" s="14"/>
      <c r="CT288" s="14"/>
      <c r="CU288" s="14"/>
      <c r="CV288" s="180"/>
      <c r="CW288" s="189"/>
      <c r="CX288" s="189"/>
      <c r="CY288" s="14"/>
      <c r="CZ288" s="14"/>
      <c r="DA288" s="14"/>
      <c r="DB288" s="14"/>
      <c r="DC288" s="14"/>
      <c r="DD288" s="14"/>
      <c r="DE288" s="14"/>
      <c r="DF288" s="14"/>
      <c r="DG288" s="129"/>
      <c r="DH288" s="14"/>
      <c r="DI288" s="47"/>
      <c r="DJ288" s="14"/>
      <c r="DK288" s="19"/>
      <c r="DL288" s="19"/>
      <c r="DM288" s="19"/>
      <c r="DN288" s="19"/>
      <c r="DO288" s="19"/>
      <c r="DP288" s="19"/>
      <c r="DQ288" s="19"/>
      <c r="DR288" s="19"/>
      <c r="DS288" s="14"/>
      <c r="DT288" s="14"/>
      <c r="DU288" s="14"/>
      <c r="DV288" s="14"/>
      <c r="DW288" s="14"/>
      <c r="DX288" s="14"/>
      <c r="DY288" s="14"/>
      <c r="DZ288" s="14"/>
      <c r="EA288" s="14"/>
      <c r="EB288" s="14"/>
      <c r="EC288" s="14"/>
      <c r="ED288" s="14"/>
      <c r="EE288" s="14"/>
      <c r="EF288" s="14"/>
      <c r="EG288" s="14"/>
      <c r="EH288" s="14"/>
      <c r="EI288" s="14"/>
      <c r="EJ288" s="14"/>
      <c r="EK288" s="14"/>
      <c r="EL288" s="14"/>
    </row>
    <row r="289" spans="1:142" x14ac:dyDescent="0.25">
      <c r="A289" s="14"/>
      <c r="B289" s="19"/>
      <c r="C289" s="40"/>
      <c r="D289" s="41"/>
      <c r="E289" s="40"/>
      <c r="F289" s="40"/>
      <c r="G289" s="40"/>
      <c r="H289" s="41"/>
      <c r="I289" s="72"/>
      <c r="J289" s="14"/>
      <c r="K289" s="14"/>
      <c r="L289" s="14"/>
      <c r="M289" s="14"/>
      <c r="N289" s="14"/>
      <c r="O289" s="14"/>
      <c r="P289" s="14"/>
      <c r="Q289" s="47"/>
      <c r="R289" s="14"/>
      <c r="S289" s="19"/>
      <c r="T289" s="14"/>
      <c r="U289" s="14"/>
      <c r="V289" s="14"/>
      <c r="W289" s="14"/>
      <c r="X289" s="14"/>
      <c r="Y289" s="14"/>
      <c r="Z289" s="14"/>
      <c r="AA289" s="14"/>
      <c r="AB289" s="14"/>
      <c r="AC289" s="14"/>
      <c r="AD289" s="65"/>
      <c r="AE289" s="63"/>
      <c r="AF289" s="47"/>
      <c r="AG289" s="14"/>
      <c r="AH289" s="19"/>
      <c r="AI289" s="14"/>
      <c r="AJ289" s="14"/>
      <c r="AK289" s="14"/>
      <c r="AL289" s="14"/>
      <c r="AM289" s="14"/>
      <c r="AN289" s="14"/>
      <c r="AO289" s="14"/>
      <c r="AP289" s="14"/>
      <c r="AQ289" s="14"/>
      <c r="AR289" s="14"/>
      <c r="AS289" s="65"/>
      <c r="AT289" s="63"/>
      <c r="AU289" s="47"/>
      <c r="AV289" s="14"/>
      <c r="AW289" s="19"/>
      <c r="AX289" s="14"/>
      <c r="AY289" s="14"/>
      <c r="AZ289" s="14"/>
      <c r="BA289" s="14"/>
      <c r="BB289" s="14"/>
      <c r="BC289" s="14"/>
      <c r="BD289" s="14"/>
      <c r="BE289" s="14"/>
      <c r="BF289" s="14"/>
      <c r="BG289" s="14"/>
      <c r="BH289" s="65"/>
      <c r="BI289" s="63"/>
      <c r="BJ289" s="352"/>
      <c r="BK289" s="14"/>
      <c r="BL289" s="19"/>
      <c r="BM289" s="14"/>
      <c r="BN289" s="14"/>
      <c r="BO289" s="14"/>
      <c r="BP289" s="14"/>
      <c r="BQ289" s="14"/>
      <c r="BR289" s="14"/>
      <c r="BS289" s="14"/>
      <c r="BT289" s="14"/>
      <c r="BU289" s="14"/>
      <c r="BV289" s="14"/>
      <c r="BW289" s="65"/>
      <c r="BX289" s="63"/>
      <c r="BY289" s="352"/>
      <c r="BZ289" s="14"/>
      <c r="CA289" s="14"/>
      <c r="CB289" s="21"/>
      <c r="CC289" s="21"/>
      <c r="CD289" s="180"/>
      <c r="CE289" s="180"/>
      <c r="CF289" s="21"/>
      <c r="CG289" s="14"/>
      <c r="CH289" s="14"/>
      <c r="CI289" s="14"/>
      <c r="CJ289" s="14"/>
      <c r="CK289" s="14"/>
      <c r="CL289" s="14"/>
      <c r="CM289" s="14"/>
      <c r="CN289" s="14"/>
      <c r="CO289" s="129"/>
      <c r="CP289" s="14"/>
      <c r="CQ289" s="47"/>
      <c r="CR289" s="14"/>
      <c r="CS289" s="14"/>
      <c r="CT289" s="14"/>
      <c r="CU289" s="14"/>
      <c r="CV289" s="180"/>
      <c r="CW289" s="189"/>
      <c r="CX289" s="189"/>
      <c r="CY289" s="14"/>
      <c r="CZ289" s="14"/>
      <c r="DA289" s="14"/>
      <c r="DB289" s="14"/>
      <c r="DC289" s="14"/>
      <c r="DD289" s="14"/>
      <c r="DE289" s="14"/>
      <c r="DF289" s="14"/>
      <c r="DG289" s="129"/>
      <c r="DH289" s="14"/>
      <c r="DI289" s="47"/>
      <c r="DJ289" s="14"/>
      <c r="DK289" s="19"/>
      <c r="DL289" s="40"/>
      <c r="DM289" s="41"/>
      <c r="DN289" s="40"/>
      <c r="DO289" s="40"/>
      <c r="DP289" s="40"/>
      <c r="DQ289" s="41"/>
      <c r="DR289" s="72"/>
      <c r="DS289" s="14"/>
      <c r="DT289" s="14"/>
      <c r="DU289" s="14"/>
      <c r="DV289" s="14"/>
      <c r="DW289" s="14"/>
      <c r="DX289" s="14"/>
      <c r="DY289" s="14"/>
      <c r="DZ289" s="14"/>
      <c r="EA289" s="14"/>
      <c r="EB289" s="14"/>
      <c r="EC289" s="14"/>
      <c r="ED289" s="14"/>
      <c r="EE289" s="14"/>
      <c r="EF289" s="14"/>
      <c r="EG289" s="14"/>
      <c r="EH289" s="14"/>
      <c r="EI289" s="14"/>
      <c r="EJ289" s="14"/>
      <c r="EK289" s="14"/>
      <c r="EL289" s="14"/>
    </row>
    <row r="290" spans="1:142" x14ac:dyDescent="0.25">
      <c r="A290" s="14"/>
      <c r="B290" s="19"/>
      <c r="C290" s="40"/>
      <c r="D290" s="41"/>
      <c r="E290" s="40"/>
      <c r="F290" s="40"/>
      <c r="G290" s="40"/>
      <c r="H290" s="41"/>
      <c r="I290" s="72"/>
      <c r="J290" s="14"/>
      <c r="K290" s="14"/>
      <c r="L290" s="14"/>
      <c r="M290" s="14"/>
      <c r="N290" s="14"/>
      <c r="O290" s="14"/>
      <c r="P290" s="14"/>
      <c r="Q290" s="47"/>
      <c r="R290" s="14"/>
      <c r="S290" s="19"/>
      <c r="T290" s="14"/>
      <c r="U290" s="14"/>
      <c r="V290" s="14"/>
      <c r="W290" s="14"/>
      <c r="X290" s="14"/>
      <c r="Y290" s="14"/>
      <c r="Z290" s="14"/>
      <c r="AA290" s="14"/>
      <c r="AB290" s="14"/>
      <c r="AC290" s="44"/>
      <c r="AD290" s="44"/>
      <c r="AE290" s="63"/>
      <c r="AF290" s="352"/>
      <c r="AG290" s="14"/>
      <c r="AH290" s="19"/>
      <c r="AI290" s="14"/>
      <c r="AJ290" s="14"/>
      <c r="AK290" s="14"/>
      <c r="AL290" s="14"/>
      <c r="AM290" s="14"/>
      <c r="AN290" s="14"/>
      <c r="AO290" s="14"/>
      <c r="AP290" s="14"/>
      <c r="AQ290" s="14"/>
      <c r="AR290" s="14"/>
      <c r="AS290" s="65"/>
      <c r="AT290" s="63"/>
      <c r="AU290" s="47"/>
      <c r="AV290" s="14"/>
      <c r="AW290" s="19"/>
      <c r="AX290" s="14"/>
      <c r="AY290" s="14"/>
      <c r="AZ290" s="14"/>
      <c r="BA290" s="14"/>
      <c r="BB290" s="14"/>
      <c r="BC290" s="14"/>
      <c r="BD290" s="14"/>
      <c r="BE290" s="14"/>
      <c r="BF290" s="14"/>
      <c r="BG290" s="14"/>
      <c r="BH290" s="65"/>
      <c r="BI290" s="63"/>
      <c r="BJ290" s="352"/>
      <c r="BK290" s="14"/>
      <c r="BL290" s="19"/>
      <c r="BM290" s="14"/>
      <c r="BN290" s="14"/>
      <c r="BO290" s="14"/>
      <c r="BP290" s="14"/>
      <c r="BQ290" s="14"/>
      <c r="BR290" s="14"/>
      <c r="BS290" s="14"/>
      <c r="BT290" s="14"/>
      <c r="BU290" s="14"/>
      <c r="BV290" s="14"/>
      <c r="BW290" s="65"/>
      <c r="BX290" s="63"/>
      <c r="BY290" s="352"/>
      <c r="BZ290" s="14"/>
      <c r="CA290" s="14"/>
      <c r="CB290" s="21"/>
      <c r="CC290" s="21"/>
      <c r="CD290" s="180"/>
      <c r="CE290" s="180"/>
      <c r="CF290" s="21"/>
      <c r="CG290" s="14"/>
      <c r="CH290" s="14"/>
      <c r="CI290" s="14"/>
      <c r="CJ290" s="14"/>
      <c r="CK290" s="14"/>
      <c r="CL290" s="14"/>
      <c r="CM290" s="14"/>
      <c r="CN290" s="14"/>
      <c r="CO290" s="129"/>
      <c r="CP290" s="14"/>
      <c r="CQ290" s="47"/>
      <c r="CR290" s="14"/>
      <c r="CS290" s="14"/>
      <c r="CT290" s="14"/>
      <c r="CU290" s="14"/>
      <c r="CV290" s="180"/>
      <c r="CW290" s="189"/>
      <c r="CX290" s="189"/>
      <c r="CY290" s="14"/>
      <c r="CZ290" s="14"/>
      <c r="DA290" s="14"/>
      <c r="DB290" s="14"/>
      <c r="DC290" s="14"/>
      <c r="DD290" s="14"/>
      <c r="DE290" s="14"/>
      <c r="DF290" s="14"/>
      <c r="DG290" s="129"/>
      <c r="DH290" s="14"/>
      <c r="DI290" s="47"/>
      <c r="DJ290" s="14"/>
      <c r="DK290" s="19"/>
      <c r="DL290" s="40"/>
      <c r="DM290" s="41"/>
      <c r="DN290" s="40"/>
      <c r="DO290" s="40"/>
      <c r="DP290" s="40"/>
      <c r="DQ290" s="41"/>
      <c r="DR290" s="72"/>
      <c r="DS290" s="14"/>
      <c r="DT290" s="14"/>
      <c r="DU290" s="14"/>
      <c r="DV290" s="14"/>
      <c r="DW290" s="14"/>
      <c r="DX290" s="14"/>
      <c r="DY290" s="14"/>
      <c r="DZ290" s="14"/>
      <c r="EA290" s="14"/>
      <c r="EB290" s="14"/>
      <c r="EC290" s="14"/>
      <c r="ED290" s="14"/>
      <c r="EE290" s="14"/>
      <c r="EF290" s="14"/>
      <c r="EG290" s="14"/>
      <c r="EH290" s="14"/>
      <c r="EI290" s="14"/>
      <c r="EJ290" s="14"/>
      <c r="EK290" s="14"/>
      <c r="EL290" s="14"/>
    </row>
    <row r="291" spans="1:142" x14ac:dyDescent="0.25">
      <c r="A291" s="14"/>
      <c r="B291" s="19"/>
      <c r="C291" s="40"/>
      <c r="D291" s="41"/>
      <c r="E291" s="40"/>
      <c r="F291" s="40"/>
      <c r="G291" s="40"/>
      <c r="H291" s="41"/>
      <c r="I291" s="72"/>
      <c r="J291" s="14"/>
      <c r="K291" s="14"/>
      <c r="L291" s="14"/>
      <c r="M291" s="14"/>
      <c r="N291" s="14"/>
      <c r="O291" s="14"/>
      <c r="P291" s="14"/>
      <c r="Q291" s="47"/>
      <c r="R291" s="14"/>
      <c r="S291" s="19"/>
      <c r="T291" s="14"/>
      <c r="U291" s="14"/>
      <c r="V291" s="14"/>
      <c r="W291" s="14"/>
      <c r="X291" s="14"/>
      <c r="Y291" s="14"/>
      <c r="Z291" s="14"/>
      <c r="AA291" s="14"/>
      <c r="AB291" s="14"/>
      <c r="AC291" s="44"/>
      <c r="AD291" s="44"/>
      <c r="AE291" s="63"/>
      <c r="AF291" s="352"/>
      <c r="AG291" s="14"/>
      <c r="AH291" s="19"/>
      <c r="AI291" s="14"/>
      <c r="AJ291" s="14"/>
      <c r="AK291" s="14"/>
      <c r="AL291" s="14"/>
      <c r="AM291" s="14"/>
      <c r="AN291" s="14"/>
      <c r="AO291" s="14"/>
      <c r="AP291" s="14"/>
      <c r="AQ291" s="14"/>
      <c r="AR291" s="14"/>
      <c r="AS291" s="65"/>
      <c r="AT291" s="63"/>
      <c r="AU291" s="47"/>
      <c r="AV291" s="14"/>
      <c r="AW291" s="19"/>
      <c r="AX291" s="14"/>
      <c r="AY291" s="14"/>
      <c r="AZ291" s="14"/>
      <c r="BA291" s="14"/>
      <c r="BB291" s="14"/>
      <c r="BC291" s="14"/>
      <c r="BD291" s="14"/>
      <c r="BE291" s="14"/>
      <c r="BF291" s="14"/>
      <c r="BG291" s="14"/>
      <c r="BH291" s="65"/>
      <c r="BI291" s="63"/>
      <c r="BJ291" s="352"/>
      <c r="BK291" s="14"/>
      <c r="BL291" s="19"/>
      <c r="BM291" s="14"/>
      <c r="BN291" s="14"/>
      <c r="BO291" s="14"/>
      <c r="BP291" s="14"/>
      <c r="BQ291" s="14"/>
      <c r="BR291" s="14"/>
      <c r="BS291" s="14"/>
      <c r="BT291" s="14"/>
      <c r="BU291" s="14"/>
      <c r="BV291" s="14"/>
      <c r="BW291" s="65"/>
      <c r="BX291" s="63"/>
      <c r="BY291" s="352"/>
      <c r="BZ291" s="14"/>
      <c r="CA291" s="14"/>
      <c r="CB291" s="21"/>
      <c r="CC291" s="21"/>
      <c r="CD291" s="180"/>
      <c r="CE291" s="180"/>
      <c r="CF291" s="21"/>
      <c r="CG291" s="14"/>
      <c r="CH291" s="14"/>
      <c r="CI291" s="14"/>
      <c r="CJ291" s="14"/>
      <c r="CK291" s="14"/>
      <c r="CL291" s="14"/>
      <c r="CM291" s="14"/>
      <c r="CN291" s="14"/>
      <c r="CO291" s="129"/>
      <c r="CP291" s="14"/>
      <c r="CQ291" s="47"/>
      <c r="CR291" s="14"/>
      <c r="CS291" s="14"/>
      <c r="CT291" s="14"/>
      <c r="CU291" s="14"/>
      <c r="CV291" s="180"/>
      <c r="CW291" s="189"/>
      <c r="CX291" s="189"/>
      <c r="CY291" s="14"/>
      <c r="CZ291" s="14"/>
      <c r="DA291" s="14"/>
      <c r="DB291" s="14"/>
      <c r="DC291" s="14"/>
      <c r="DD291" s="14"/>
      <c r="DE291" s="14"/>
      <c r="DF291" s="14"/>
      <c r="DG291" s="129"/>
      <c r="DH291" s="14"/>
      <c r="DI291" s="47"/>
      <c r="DJ291" s="14"/>
      <c r="DK291" s="19"/>
      <c r="DL291" s="40"/>
      <c r="DM291" s="41"/>
      <c r="DN291" s="40"/>
      <c r="DO291" s="40"/>
      <c r="DP291" s="40"/>
      <c r="DQ291" s="41"/>
      <c r="DR291" s="72"/>
      <c r="DS291" s="14"/>
      <c r="DT291" s="14"/>
      <c r="DU291" s="14"/>
      <c r="DV291" s="14"/>
      <c r="DW291" s="14"/>
      <c r="DX291" s="14"/>
      <c r="DY291" s="14"/>
      <c r="DZ291" s="14"/>
      <c r="EA291" s="14"/>
      <c r="EB291" s="14"/>
      <c r="EC291" s="14"/>
      <c r="ED291" s="14"/>
      <c r="EE291" s="14"/>
      <c r="EF291" s="14"/>
      <c r="EG291" s="14"/>
      <c r="EH291" s="14"/>
      <c r="EI291" s="14"/>
      <c r="EJ291" s="14"/>
      <c r="EK291" s="14"/>
      <c r="EL291" s="14"/>
    </row>
    <row r="292" spans="1:142" x14ac:dyDescent="0.25">
      <c r="A292" s="14"/>
      <c r="B292" s="19"/>
      <c r="C292" s="40"/>
      <c r="D292" s="41"/>
      <c r="E292" s="40"/>
      <c r="F292" s="40"/>
      <c r="G292" s="40"/>
      <c r="H292" s="41"/>
      <c r="I292" s="72"/>
      <c r="J292" s="14"/>
      <c r="K292" s="14"/>
      <c r="L292" s="14"/>
      <c r="M292" s="14"/>
      <c r="N292" s="14"/>
      <c r="O292" s="14"/>
      <c r="P292" s="14"/>
      <c r="Q292" s="47"/>
      <c r="R292" s="14"/>
      <c r="S292" s="19"/>
      <c r="T292" s="14"/>
      <c r="U292" s="14"/>
      <c r="V292" s="14"/>
      <c r="W292" s="14"/>
      <c r="X292" s="14"/>
      <c r="Y292" s="14"/>
      <c r="Z292" s="14"/>
      <c r="AA292" s="14"/>
      <c r="AB292" s="14"/>
      <c r="AC292" s="44"/>
      <c r="AD292" s="44"/>
      <c r="AE292" s="63"/>
      <c r="AF292" s="352"/>
      <c r="AG292" s="14"/>
      <c r="AH292" s="19"/>
      <c r="AI292" s="14"/>
      <c r="AJ292" s="14"/>
      <c r="AK292" s="14"/>
      <c r="AL292" s="14"/>
      <c r="AM292" s="14"/>
      <c r="AN292" s="14"/>
      <c r="AO292" s="14"/>
      <c r="AP292" s="14"/>
      <c r="AQ292" s="14"/>
      <c r="AR292" s="14"/>
      <c r="AS292" s="65"/>
      <c r="AT292" s="63"/>
      <c r="AU292" s="47"/>
      <c r="AV292" s="14"/>
      <c r="AW292" s="19"/>
      <c r="AX292" s="14"/>
      <c r="AY292" s="14"/>
      <c r="AZ292" s="14"/>
      <c r="BA292" s="14"/>
      <c r="BB292" s="14"/>
      <c r="BC292" s="14"/>
      <c r="BD292" s="14"/>
      <c r="BE292" s="14"/>
      <c r="BF292" s="14"/>
      <c r="BG292" s="14"/>
      <c r="BH292" s="65"/>
      <c r="BI292" s="63"/>
      <c r="BJ292" s="352"/>
      <c r="BK292" s="14"/>
      <c r="BL292" s="19"/>
      <c r="BM292" s="14"/>
      <c r="BN292" s="14"/>
      <c r="BO292" s="14"/>
      <c r="BP292" s="14"/>
      <c r="BQ292" s="14"/>
      <c r="BR292" s="14"/>
      <c r="BS292" s="14"/>
      <c r="BT292" s="14"/>
      <c r="BU292" s="14"/>
      <c r="BV292" s="14"/>
      <c r="BW292" s="65"/>
      <c r="BX292" s="63"/>
      <c r="BY292" s="352"/>
      <c r="BZ292" s="14"/>
      <c r="CA292" s="14"/>
      <c r="CB292" s="21"/>
      <c r="CC292" s="21"/>
      <c r="CD292" s="180"/>
      <c r="CE292" s="180"/>
      <c r="CF292" s="21"/>
      <c r="CG292" s="14"/>
      <c r="CH292" s="14"/>
      <c r="CI292" s="14"/>
      <c r="CJ292" s="14"/>
      <c r="CK292" s="14"/>
      <c r="CL292" s="14"/>
      <c r="CM292" s="14"/>
      <c r="CN292" s="14"/>
      <c r="CO292" s="129"/>
      <c r="CP292" s="14"/>
      <c r="CQ292" s="47"/>
      <c r="CR292" s="14"/>
      <c r="CS292" s="14"/>
      <c r="CT292" s="14"/>
      <c r="CU292" s="14"/>
      <c r="CV292" s="180"/>
      <c r="CW292" s="189"/>
      <c r="CX292" s="189"/>
      <c r="CY292" s="14"/>
      <c r="CZ292" s="14"/>
      <c r="DA292" s="14"/>
      <c r="DB292" s="14"/>
      <c r="DC292" s="14"/>
      <c r="DD292" s="14"/>
      <c r="DE292" s="14"/>
      <c r="DF292" s="14"/>
      <c r="DG292" s="129"/>
      <c r="DH292" s="14"/>
      <c r="DI292" s="47"/>
      <c r="DJ292" s="14"/>
      <c r="DK292" s="19"/>
      <c r="DL292" s="40"/>
      <c r="DM292" s="41"/>
      <c r="DN292" s="40"/>
      <c r="DO292" s="40"/>
      <c r="DP292" s="40"/>
      <c r="DQ292" s="41"/>
      <c r="DR292" s="72"/>
      <c r="DS292" s="14"/>
      <c r="DT292" s="14"/>
      <c r="DU292" s="14"/>
      <c r="DV292" s="14"/>
      <c r="DW292" s="14"/>
      <c r="DX292" s="14"/>
      <c r="DY292" s="14"/>
      <c r="DZ292" s="14"/>
      <c r="EA292" s="14"/>
      <c r="EB292" s="14"/>
      <c r="EC292" s="14"/>
      <c r="ED292" s="14"/>
      <c r="EE292" s="14"/>
      <c r="EF292" s="14"/>
      <c r="EG292" s="14"/>
      <c r="EH292" s="14"/>
      <c r="EI292" s="14"/>
      <c r="EJ292" s="14"/>
      <c r="EK292" s="14"/>
      <c r="EL292" s="14"/>
    </row>
    <row r="293" spans="1:142" x14ac:dyDescent="0.25">
      <c r="A293" s="14"/>
      <c r="B293" s="19"/>
      <c r="C293" s="40"/>
      <c r="D293" s="41"/>
      <c r="E293" s="40"/>
      <c r="F293" s="40"/>
      <c r="G293" s="40"/>
      <c r="H293" s="41"/>
      <c r="I293" s="72"/>
      <c r="J293" s="14"/>
      <c r="K293" s="14"/>
      <c r="L293" s="14"/>
      <c r="M293" s="14"/>
      <c r="N293" s="14"/>
      <c r="O293" s="14"/>
      <c r="P293" s="14"/>
      <c r="Q293" s="47"/>
      <c r="R293" s="14"/>
      <c r="S293" s="19"/>
      <c r="T293" s="14"/>
      <c r="U293" s="14"/>
      <c r="V293" s="14"/>
      <c r="W293" s="14"/>
      <c r="X293" s="14"/>
      <c r="Y293" s="14"/>
      <c r="Z293" s="14"/>
      <c r="AA293" s="14"/>
      <c r="AB293" s="14"/>
      <c r="AC293" s="44"/>
      <c r="AD293" s="44"/>
      <c r="AE293" s="63"/>
      <c r="AF293" s="352"/>
      <c r="AG293" s="14"/>
      <c r="AH293" s="19"/>
      <c r="AI293" s="14"/>
      <c r="AJ293" s="14"/>
      <c r="AK293" s="14"/>
      <c r="AL293" s="14"/>
      <c r="AM293" s="14"/>
      <c r="AN293" s="14"/>
      <c r="AO293" s="14"/>
      <c r="AP293" s="14"/>
      <c r="AQ293" s="14"/>
      <c r="AR293" s="14"/>
      <c r="AS293" s="65"/>
      <c r="AT293" s="63"/>
      <c r="AU293" s="47"/>
      <c r="AV293" s="14"/>
      <c r="AW293" s="19"/>
      <c r="AX293" s="14"/>
      <c r="AY293" s="14"/>
      <c r="AZ293" s="14"/>
      <c r="BA293" s="14"/>
      <c r="BB293" s="14"/>
      <c r="BC293" s="14"/>
      <c r="BD293" s="14"/>
      <c r="BE293" s="14"/>
      <c r="BF293" s="14"/>
      <c r="BG293" s="14"/>
      <c r="BH293" s="65"/>
      <c r="BI293" s="63"/>
      <c r="BJ293" s="352"/>
      <c r="BK293" s="14"/>
      <c r="BL293" s="19"/>
      <c r="BM293" s="14"/>
      <c r="BN293" s="14"/>
      <c r="BO293" s="14"/>
      <c r="BP293" s="14"/>
      <c r="BQ293" s="14"/>
      <c r="BR293" s="14"/>
      <c r="BS293" s="14"/>
      <c r="BT293" s="14"/>
      <c r="BU293" s="14"/>
      <c r="BV293" s="14"/>
      <c r="BW293" s="65"/>
      <c r="BX293" s="63"/>
      <c r="BY293" s="352"/>
      <c r="BZ293" s="14"/>
      <c r="CA293" s="14"/>
      <c r="CB293" s="21"/>
      <c r="CC293" s="21"/>
      <c r="CD293" s="180"/>
      <c r="CE293" s="180"/>
      <c r="CF293" s="21"/>
      <c r="CG293" s="14"/>
      <c r="CH293" s="14"/>
      <c r="CI293" s="14"/>
      <c r="CJ293" s="14"/>
      <c r="CK293" s="14"/>
      <c r="CL293" s="14"/>
      <c r="CM293" s="14"/>
      <c r="CN293" s="14"/>
      <c r="CO293" s="129"/>
      <c r="CP293" s="14"/>
      <c r="CQ293" s="47"/>
      <c r="CR293" s="14"/>
      <c r="CS293" s="14"/>
      <c r="CT293" s="14"/>
      <c r="CU293" s="14"/>
      <c r="CV293" s="180"/>
      <c r="CW293" s="189"/>
      <c r="CX293" s="189"/>
      <c r="CY293" s="14"/>
      <c r="CZ293" s="14"/>
      <c r="DA293" s="14"/>
      <c r="DB293" s="14"/>
      <c r="DC293" s="14"/>
      <c r="DD293" s="14"/>
      <c r="DE293" s="14"/>
      <c r="DF293" s="14"/>
      <c r="DG293" s="129"/>
      <c r="DH293" s="14"/>
      <c r="DI293" s="47"/>
      <c r="DJ293" s="14"/>
      <c r="DK293" s="19"/>
      <c r="DL293" s="40"/>
      <c r="DM293" s="41"/>
      <c r="DN293" s="40"/>
      <c r="DO293" s="40"/>
      <c r="DP293" s="40"/>
      <c r="DQ293" s="41"/>
      <c r="DR293" s="72"/>
      <c r="DS293" s="14"/>
      <c r="DT293" s="14"/>
      <c r="DU293" s="14"/>
      <c r="DV293" s="14"/>
      <c r="DW293" s="14"/>
      <c r="DX293" s="14"/>
      <c r="DY293" s="14"/>
      <c r="DZ293" s="14"/>
      <c r="EA293" s="14"/>
      <c r="EB293" s="14"/>
      <c r="EC293" s="14"/>
      <c r="ED293" s="14"/>
      <c r="EE293" s="14"/>
      <c r="EF293" s="14"/>
      <c r="EG293" s="14"/>
      <c r="EH293" s="14"/>
      <c r="EI293" s="14"/>
      <c r="EJ293" s="14"/>
      <c r="EK293" s="14"/>
      <c r="EL293" s="14"/>
    </row>
    <row r="294" spans="1:142" x14ac:dyDescent="0.25">
      <c r="A294" s="14"/>
      <c r="B294" s="19"/>
      <c r="C294" s="40"/>
      <c r="D294" s="41"/>
      <c r="E294" s="40"/>
      <c r="F294" s="40"/>
      <c r="G294" s="40"/>
      <c r="H294" s="41"/>
      <c r="I294" s="72"/>
      <c r="J294" s="14"/>
      <c r="K294" s="14"/>
      <c r="L294" s="14"/>
      <c r="M294" s="14"/>
      <c r="N294" s="14"/>
      <c r="O294" s="14"/>
      <c r="P294" s="14"/>
      <c r="Q294" s="47"/>
      <c r="R294" s="14"/>
      <c r="S294" s="19"/>
      <c r="T294" s="14"/>
      <c r="U294" s="14"/>
      <c r="V294" s="14"/>
      <c r="W294" s="14"/>
      <c r="X294" s="14"/>
      <c r="Y294" s="14"/>
      <c r="Z294" s="14"/>
      <c r="AA294" s="14"/>
      <c r="AB294" s="14"/>
      <c r="AC294" s="44"/>
      <c r="AD294" s="44"/>
      <c r="AE294" s="63"/>
      <c r="AF294" s="352"/>
      <c r="AG294" s="14"/>
      <c r="AH294" s="19"/>
      <c r="AI294" s="14"/>
      <c r="AJ294" s="14"/>
      <c r="AK294" s="14"/>
      <c r="AL294" s="14"/>
      <c r="AM294" s="14"/>
      <c r="AN294" s="14"/>
      <c r="AO294" s="14"/>
      <c r="AP294" s="14"/>
      <c r="AQ294" s="14"/>
      <c r="AR294" s="14"/>
      <c r="AS294" s="65"/>
      <c r="AT294" s="63"/>
      <c r="AU294" s="47"/>
      <c r="AV294" s="14"/>
      <c r="AW294" s="19"/>
      <c r="AX294" s="14"/>
      <c r="AY294" s="14"/>
      <c r="AZ294" s="14"/>
      <c r="BA294" s="14"/>
      <c r="BB294" s="14"/>
      <c r="BC294" s="14"/>
      <c r="BD294" s="14"/>
      <c r="BE294" s="14"/>
      <c r="BF294" s="14"/>
      <c r="BG294" s="14"/>
      <c r="BH294" s="65"/>
      <c r="BI294" s="63"/>
      <c r="BJ294" s="352"/>
      <c r="BK294" s="14"/>
      <c r="BL294" s="19"/>
      <c r="BM294" s="14"/>
      <c r="BN294" s="14"/>
      <c r="BO294" s="14"/>
      <c r="BP294" s="14"/>
      <c r="BQ294" s="14"/>
      <c r="BR294" s="14"/>
      <c r="BS294" s="14"/>
      <c r="BT294" s="14"/>
      <c r="BU294" s="14"/>
      <c r="BV294" s="14"/>
      <c r="BW294" s="65"/>
      <c r="BX294" s="63"/>
      <c r="BY294" s="352"/>
      <c r="BZ294" s="14"/>
      <c r="CA294" s="14"/>
      <c r="CB294" s="21"/>
      <c r="CC294" s="21"/>
      <c r="CD294" s="180"/>
      <c r="CE294" s="180"/>
      <c r="CF294" s="21"/>
      <c r="CG294" s="14"/>
      <c r="CH294" s="14"/>
      <c r="CI294" s="14"/>
      <c r="CJ294" s="14"/>
      <c r="CK294" s="14"/>
      <c r="CL294" s="14"/>
      <c r="CM294" s="14"/>
      <c r="CN294" s="14"/>
      <c r="CO294" s="129"/>
      <c r="CP294" s="14"/>
      <c r="CQ294" s="47"/>
      <c r="CR294" s="14"/>
      <c r="CS294" s="14"/>
      <c r="CT294" s="14"/>
      <c r="CU294" s="14"/>
      <c r="CV294" s="180"/>
      <c r="CW294" s="189"/>
      <c r="CX294" s="189"/>
      <c r="CY294" s="14"/>
      <c r="CZ294" s="14"/>
      <c r="DA294" s="14"/>
      <c r="DB294" s="14"/>
      <c r="DC294" s="14"/>
      <c r="DD294" s="14"/>
      <c r="DE294" s="14"/>
      <c r="DF294" s="14"/>
      <c r="DG294" s="129"/>
      <c r="DH294" s="14"/>
      <c r="DI294" s="47"/>
      <c r="DJ294" s="14"/>
      <c r="DK294" s="19"/>
      <c r="DL294" s="40"/>
      <c r="DM294" s="41"/>
      <c r="DN294" s="40"/>
      <c r="DO294" s="40"/>
      <c r="DP294" s="40"/>
      <c r="DQ294" s="41"/>
      <c r="DR294" s="72"/>
      <c r="DS294" s="14"/>
      <c r="DT294" s="14"/>
      <c r="DU294" s="14"/>
      <c r="DV294" s="14"/>
      <c r="DW294" s="14"/>
      <c r="DX294" s="14"/>
      <c r="DY294" s="14"/>
      <c r="DZ294" s="14"/>
      <c r="EA294" s="14"/>
      <c r="EB294" s="14"/>
      <c r="EC294" s="14"/>
      <c r="ED294" s="14"/>
      <c r="EE294" s="14"/>
      <c r="EF294" s="14"/>
      <c r="EG294" s="14"/>
      <c r="EH294" s="14"/>
      <c r="EI294" s="14"/>
      <c r="EJ294" s="14"/>
      <c r="EK294" s="14"/>
      <c r="EL294" s="14"/>
    </row>
    <row r="295" spans="1:142" x14ac:dyDescent="0.25">
      <c r="A295" s="14"/>
      <c r="B295" s="19"/>
      <c r="C295" s="40"/>
      <c r="D295" s="41"/>
      <c r="E295" s="40"/>
      <c r="F295" s="40"/>
      <c r="G295" s="40"/>
      <c r="H295" s="41"/>
      <c r="I295" s="72"/>
      <c r="J295" s="14"/>
      <c r="K295" s="14"/>
      <c r="L295" s="14"/>
      <c r="M295" s="14"/>
      <c r="N295" s="14"/>
      <c r="O295" s="14"/>
      <c r="P295" s="14"/>
      <c r="Q295" s="47"/>
      <c r="R295" s="14"/>
      <c r="S295" s="19"/>
      <c r="T295" s="14"/>
      <c r="U295" s="14"/>
      <c r="V295" s="14"/>
      <c r="W295" s="14"/>
      <c r="X295" s="14"/>
      <c r="Y295" s="14"/>
      <c r="Z295" s="14"/>
      <c r="AA295" s="14"/>
      <c r="AB295" s="14"/>
      <c r="AC295" s="44"/>
      <c r="AD295" s="44"/>
      <c r="AE295" s="63"/>
      <c r="AF295" s="352"/>
      <c r="AG295" s="14"/>
      <c r="AH295" s="19"/>
      <c r="AI295" s="14"/>
      <c r="AJ295" s="14"/>
      <c r="AK295" s="14"/>
      <c r="AL295" s="14"/>
      <c r="AM295" s="14"/>
      <c r="AN295" s="14"/>
      <c r="AO295" s="14"/>
      <c r="AP295" s="14"/>
      <c r="AQ295" s="14"/>
      <c r="AR295" s="14"/>
      <c r="AS295" s="65"/>
      <c r="AT295" s="63"/>
      <c r="AU295" s="47"/>
      <c r="AV295" s="14"/>
      <c r="AW295" s="19"/>
      <c r="AX295" s="14"/>
      <c r="AY295" s="14"/>
      <c r="AZ295" s="14"/>
      <c r="BA295" s="14"/>
      <c r="BB295" s="14"/>
      <c r="BC295" s="14"/>
      <c r="BD295" s="14"/>
      <c r="BE295" s="14"/>
      <c r="BF295" s="14"/>
      <c r="BG295" s="14"/>
      <c r="BH295" s="65"/>
      <c r="BI295" s="63"/>
      <c r="BJ295" s="352"/>
      <c r="BK295" s="14"/>
      <c r="BL295" s="19"/>
      <c r="BM295" s="14"/>
      <c r="BN295" s="14"/>
      <c r="BO295" s="14"/>
      <c r="BP295" s="14"/>
      <c r="BQ295" s="14"/>
      <c r="BR295" s="14"/>
      <c r="BS295" s="14"/>
      <c r="BT295" s="14"/>
      <c r="BU295" s="14"/>
      <c r="BV295" s="14"/>
      <c r="BW295" s="65"/>
      <c r="BX295" s="63"/>
      <c r="BY295" s="352"/>
      <c r="BZ295" s="14"/>
      <c r="CA295" s="14"/>
      <c r="CB295" s="21"/>
      <c r="CC295" s="21"/>
      <c r="CD295" s="180"/>
      <c r="CE295" s="180"/>
      <c r="CF295" s="21"/>
      <c r="CG295" s="14"/>
      <c r="CH295" s="14"/>
      <c r="CI295" s="14"/>
      <c r="CJ295" s="14"/>
      <c r="CK295" s="14"/>
      <c r="CL295" s="14"/>
      <c r="CM295" s="14"/>
      <c r="CN295" s="14"/>
      <c r="CO295" s="129"/>
      <c r="CP295" s="14"/>
      <c r="CQ295" s="47"/>
      <c r="CR295" s="14"/>
      <c r="CS295" s="14"/>
      <c r="CT295" s="14"/>
      <c r="CU295" s="14"/>
      <c r="CV295" s="180"/>
      <c r="CW295" s="189"/>
      <c r="CX295" s="189"/>
      <c r="CY295" s="14"/>
      <c r="CZ295" s="14"/>
      <c r="DA295" s="14"/>
      <c r="DB295" s="14"/>
      <c r="DC295" s="14"/>
      <c r="DD295" s="14"/>
      <c r="DE295" s="14"/>
      <c r="DF295" s="14"/>
      <c r="DG295" s="129"/>
      <c r="DH295" s="14"/>
      <c r="DI295" s="47"/>
      <c r="DJ295" s="14"/>
      <c r="DK295" s="19"/>
      <c r="DL295" s="40"/>
      <c r="DM295" s="41"/>
      <c r="DN295" s="40"/>
      <c r="DO295" s="40"/>
      <c r="DP295" s="40"/>
      <c r="DQ295" s="41"/>
      <c r="DR295" s="72"/>
      <c r="DS295" s="14"/>
      <c r="DT295" s="14"/>
      <c r="DU295" s="14"/>
      <c r="DV295" s="14"/>
      <c r="DW295" s="14"/>
      <c r="DX295" s="14"/>
      <c r="DY295" s="14"/>
      <c r="DZ295" s="14"/>
      <c r="EA295" s="14"/>
      <c r="EB295" s="14"/>
      <c r="EC295" s="14"/>
      <c r="ED295" s="14"/>
      <c r="EE295" s="14"/>
      <c r="EF295" s="14"/>
      <c r="EG295" s="14"/>
      <c r="EH295" s="14"/>
      <c r="EI295" s="14"/>
      <c r="EJ295" s="14"/>
      <c r="EK295" s="14"/>
      <c r="EL295" s="14"/>
    </row>
    <row r="296" spans="1:142" x14ac:dyDescent="0.25">
      <c r="A296" s="14"/>
      <c r="B296" s="19"/>
      <c r="C296" s="40"/>
      <c r="D296" s="41"/>
      <c r="E296" s="40"/>
      <c r="F296" s="40"/>
      <c r="G296" s="40"/>
      <c r="H296" s="41"/>
      <c r="I296" s="72"/>
      <c r="J296" s="14"/>
      <c r="K296" s="14"/>
      <c r="L296" s="14"/>
      <c r="M296" s="14"/>
      <c r="N296" s="14"/>
      <c r="O296" s="14"/>
      <c r="P296" s="14"/>
      <c r="Q296" s="47"/>
      <c r="R296" s="14"/>
      <c r="S296" s="19"/>
      <c r="T296" s="14"/>
      <c r="U296" s="14"/>
      <c r="V296" s="14"/>
      <c r="W296" s="14"/>
      <c r="X296" s="14"/>
      <c r="Y296" s="14"/>
      <c r="Z296" s="14"/>
      <c r="AA296" s="14"/>
      <c r="AB296" s="14"/>
      <c r="AC296" s="44"/>
      <c r="AD296" s="44"/>
      <c r="AE296" s="63"/>
      <c r="AF296" s="352"/>
      <c r="AG296" s="14"/>
      <c r="AH296" s="19"/>
      <c r="AI296" s="14"/>
      <c r="AJ296" s="14"/>
      <c r="AK296" s="14"/>
      <c r="AL296" s="14"/>
      <c r="AM296" s="14"/>
      <c r="AN296" s="14"/>
      <c r="AO296" s="14"/>
      <c r="AP296" s="14"/>
      <c r="AQ296" s="14"/>
      <c r="AR296" s="14"/>
      <c r="AS296" s="65"/>
      <c r="AT296" s="63"/>
      <c r="AU296" s="47"/>
      <c r="AV296" s="14"/>
      <c r="AW296" s="19"/>
      <c r="AX296" s="14"/>
      <c r="AY296" s="14"/>
      <c r="AZ296" s="14"/>
      <c r="BA296" s="14"/>
      <c r="BB296" s="14"/>
      <c r="BC296" s="14"/>
      <c r="BD296" s="14"/>
      <c r="BE296" s="14"/>
      <c r="BF296" s="14"/>
      <c r="BG296" s="14"/>
      <c r="BH296" s="65"/>
      <c r="BI296" s="63"/>
      <c r="BJ296" s="352"/>
      <c r="BK296" s="14"/>
      <c r="BL296" s="19"/>
      <c r="BM296" s="14"/>
      <c r="BN296" s="14"/>
      <c r="BO296" s="14"/>
      <c r="BP296" s="14"/>
      <c r="BQ296" s="14"/>
      <c r="BR296" s="14"/>
      <c r="BS296" s="14"/>
      <c r="BT296" s="14"/>
      <c r="BU296" s="14"/>
      <c r="BV296" s="14"/>
      <c r="BW296" s="65"/>
      <c r="BX296" s="63"/>
      <c r="BY296" s="352"/>
      <c r="BZ296" s="14"/>
      <c r="CA296" s="14"/>
      <c r="CB296" s="21"/>
      <c r="CC296" s="21"/>
      <c r="CD296" s="180"/>
      <c r="CE296" s="180"/>
      <c r="CF296" s="21"/>
      <c r="CG296" s="14"/>
      <c r="CH296" s="14"/>
      <c r="CI296" s="14"/>
      <c r="CJ296" s="14"/>
      <c r="CK296" s="14"/>
      <c r="CL296" s="14"/>
      <c r="CM296" s="14"/>
      <c r="CN296" s="14"/>
      <c r="CO296" s="129"/>
      <c r="CP296" s="14"/>
      <c r="CQ296" s="47"/>
      <c r="CR296" s="14"/>
      <c r="CS296" s="14"/>
      <c r="CT296" s="14"/>
      <c r="CU296" s="14"/>
      <c r="CV296" s="180"/>
      <c r="CW296" s="189"/>
      <c r="CX296" s="189"/>
      <c r="CY296" s="14"/>
      <c r="CZ296" s="14"/>
      <c r="DA296" s="14"/>
      <c r="DB296" s="14"/>
      <c r="DC296" s="14"/>
      <c r="DD296" s="14"/>
      <c r="DE296" s="14"/>
      <c r="DF296" s="14"/>
      <c r="DG296" s="129"/>
      <c r="DH296" s="14"/>
      <c r="DI296" s="47"/>
      <c r="DJ296" s="14"/>
      <c r="DK296" s="19"/>
      <c r="DL296" s="40"/>
      <c r="DM296" s="41"/>
      <c r="DN296" s="40"/>
      <c r="DO296" s="40"/>
      <c r="DP296" s="40"/>
      <c r="DQ296" s="41"/>
      <c r="DR296" s="72"/>
      <c r="DS296" s="14"/>
      <c r="DT296" s="14"/>
      <c r="DU296" s="14"/>
      <c r="DV296" s="14"/>
      <c r="DW296" s="14"/>
      <c r="DX296" s="14"/>
      <c r="DY296" s="14"/>
      <c r="DZ296" s="14"/>
      <c r="EA296" s="14"/>
      <c r="EB296" s="14"/>
      <c r="EC296" s="14"/>
      <c r="ED296" s="14"/>
      <c r="EE296" s="14"/>
      <c r="EF296" s="14"/>
      <c r="EG296" s="14"/>
      <c r="EH296" s="14"/>
      <c r="EI296" s="14"/>
      <c r="EJ296" s="14"/>
      <c r="EK296" s="14"/>
      <c r="EL296" s="14"/>
    </row>
    <row r="297" spans="1:142" x14ac:dyDescent="0.25">
      <c r="A297" s="14"/>
      <c r="B297" s="19"/>
      <c r="C297" s="40"/>
      <c r="D297" s="41"/>
      <c r="E297" s="40"/>
      <c r="F297" s="40"/>
      <c r="G297" s="40"/>
      <c r="H297" s="41"/>
      <c r="I297" s="72"/>
      <c r="J297" s="14"/>
      <c r="K297" s="14"/>
      <c r="L297" s="14"/>
      <c r="M297" s="14"/>
      <c r="N297" s="14"/>
      <c r="O297" s="14"/>
      <c r="P297" s="14"/>
      <c r="Q297" s="47"/>
      <c r="R297" s="14"/>
      <c r="S297" s="19"/>
      <c r="T297" s="14"/>
      <c r="U297" s="14"/>
      <c r="V297" s="14"/>
      <c r="W297" s="14"/>
      <c r="X297" s="14"/>
      <c r="Y297" s="14"/>
      <c r="Z297" s="14"/>
      <c r="AA297" s="14"/>
      <c r="AB297" s="14"/>
      <c r="AC297" s="44"/>
      <c r="AD297" s="44"/>
      <c r="AE297" s="63"/>
      <c r="AF297" s="352"/>
      <c r="AG297" s="14"/>
      <c r="AH297" s="19"/>
      <c r="AI297" s="14"/>
      <c r="AJ297" s="14"/>
      <c r="AK297" s="14"/>
      <c r="AL297" s="14"/>
      <c r="AM297" s="14"/>
      <c r="AN297" s="14"/>
      <c r="AO297" s="14"/>
      <c r="AP297" s="14"/>
      <c r="AQ297" s="14"/>
      <c r="AR297" s="14"/>
      <c r="AS297" s="65"/>
      <c r="AT297" s="63"/>
      <c r="AU297" s="47"/>
      <c r="AV297" s="14"/>
      <c r="AW297" s="19"/>
      <c r="AX297" s="14"/>
      <c r="AY297" s="14"/>
      <c r="AZ297" s="14"/>
      <c r="BA297" s="14"/>
      <c r="BB297" s="14"/>
      <c r="BC297" s="14"/>
      <c r="BD297" s="14"/>
      <c r="BE297" s="14"/>
      <c r="BF297" s="14"/>
      <c r="BG297" s="14"/>
      <c r="BH297" s="65"/>
      <c r="BI297" s="63"/>
      <c r="BJ297" s="352"/>
      <c r="BK297" s="14"/>
      <c r="BL297" s="19"/>
      <c r="BM297" s="14"/>
      <c r="BN297" s="14"/>
      <c r="BO297" s="14"/>
      <c r="BP297" s="14"/>
      <c r="BQ297" s="14"/>
      <c r="BR297" s="14"/>
      <c r="BS297" s="14"/>
      <c r="BT297" s="14"/>
      <c r="BU297" s="14"/>
      <c r="BV297" s="14"/>
      <c r="BW297" s="65"/>
      <c r="BX297" s="63"/>
      <c r="BY297" s="352"/>
      <c r="BZ297" s="14"/>
      <c r="CA297" s="14"/>
      <c r="CB297" s="21"/>
      <c r="CC297" s="21"/>
      <c r="CD297" s="180"/>
      <c r="CE297" s="180"/>
      <c r="CF297" s="21"/>
      <c r="CG297" s="14"/>
      <c r="CH297" s="14"/>
      <c r="CI297" s="14"/>
      <c r="CJ297" s="14"/>
      <c r="CK297" s="14"/>
      <c r="CL297" s="14"/>
      <c r="CM297" s="14"/>
      <c r="CN297" s="14"/>
      <c r="CO297" s="129"/>
      <c r="CP297" s="14"/>
      <c r="CQ297" s="47"/>
      <c r="CR297" s="14"/>
      <c r="CS297" s="14"/>
      <c r="CT297" s="14"/>
      <c r="CU297" s="14"/>
      <c r="CV297" s="180"/>
      <c r="CW297" s="189"/>
      <c r="CX297" s="189"/>
      <c r="CY297" s="14"/>
      <c r="CZ297" s="14"/>
      <c r="DA297" s="14"/>
      <c r="DB297" s="14"/>
      <c r="DC297" s="14"/>
      <c r="DD297" s="14"/>
      <c r="DE297" s="14"/>
      <c r="DF297" s="14"/>
      <c r="DG297" s="129"/>
      <c r="DH297" s="14"/>
      <c r="DI297" s="47"/>
      <c r="DJ297" s="14"/>
      <c r="DK297" s="19"/>
      <c r="DL297" s="40"/>
      <c r="DM297" s="41"/>
      <c r="DN297" s="40"/>
      <c r="DO297" s="40"/>
      <c r="DP297" s="40"/>
      <c r="DQ297" s="41"/>
      <c r="DR297" s="72"/>
      <c r="DS297" s="14"/>
      <c r="DT297" s="14"/>
      <c r="DU297" s="14"/>
      <c r="DV297" s="14"/>
      <c r="DW297" s="14"/>
      <c r="DX297" s="14"/>
      <c r="DY297" s="14"/>
      <c r="DZ297" s="14"/>
      <c r="EA297" s="14"/>
      <c r="EB297" s="14"/>
      <c r="EC297" s="14"/>
      <c r="ED297" s="14"/>
      <c r="EE297" s="14"/>
      <c r="EF297" s="14"/>
      <c r="EG297" s="14"/>
      <c r="EH297" s="14"/>
      <c r="EI297" s="14"/>
      <c r="EJ297" s="14"/>
      <c r="EK297" s="14"/>
      <c r="EL297" s="14"/>
    </row>
    <row r="298" spans="1:142" x14ac:dyDescent="0.25">
      <c r="A298" s="14"/>
      <c r="B298" s="19"/>
      <c r="C298" s="40"/>
      <c r="D298" s="41"/>
      <c r="E298" s="40"/>
      <c r="F298" s="40"/>
      <c r="G298" s="40"/>
      <c r="H298" s="41"/>
      <c r="I298" s="72"/>
      <c r="J298" s="14"/>
      <c r="K298" s="14"/>
      <c r="L298" s="14"/>
      <c r="M298" s="14"/>
      <c r="N298" s="14"/>
      <c r="O298" s="14"/>
      <c r="P298" s="14"/>
      <c r="Q298" s="47"/>
      <c r="R298" s="14"/>
      <c r="S298" s="19"/>
      <c r="T298" s="14"/>
      <c r="U298" s="14"/>
      <c r="V298" s="14"/>
      <c r="W298" s="14"/>
      <c r="X298" s="14"/>
      <c r="Y298" s="14"/>
      <c r="Z298" s="14"/>
      <c r="AA298" s="14"/>
      <c r="AB298" s="14"/>
      <c r="AC298" s="44"/>
      <c r="AD298" s="44"/>
      <c r="AE298" s="63"/>
      <c r="AF298" s="352"/>
      <c r="AG298" s="14"/>
      <c r="AH298" s="19"/>
      <c r="AI298" s="14"/>
      <c r="AJ298" s="14"/>
      <c r="AK298" s="14"/>
      <c r="AL298" s="14"/>
      <c r="AM298" s="14"/>
      <c r="AN298" s="14"/>
      <c r="AO298" s="14"/>
      <c r="AP298" s="14"/>
      <c r="AQ298" s="14"/>
      <c r="AR298" s="14"/>
      <c r="AS298" s="65"/>
      <c r="AT298" s="63"/>
      <c r="AU298" s="47"/>
      <c r="AV298" s="14"/>
      <c r="AW298" s="19"/>
      <c r="AX298" s="14"/>
      <c r="AY298" s="14"/>
      <c r="AZ298" s="14"/>
      <c r="BA298" s="14"/>
      <c r="BB298" s="14"/>
      <c r="BC298" s="14"/>
      <c r="BD298" s="14"/>
      <c r="BE298" s="14"/>
      <c r="BF298" s="14"/>
      <c r="BG298" s="14"/>
      <c r="BH298" s="65"/>
      <c r="BI298" s="63"/>
      <c r="BJ298" s="352"/>
      <c r="BK298" s="14"/>
      <c r="BL298" s="19"/>
      <c r="BM298" s="14"/>
      <c r="BN298" s="14"/>
      <c r="BO298" s="14"/>
      <c r="BP298" s="14"/>
      <c r="BQ298" s="14"/>
      <c r="BR298" s="14"/>
      <c r="BS298" s="14"/>
      <c r="BT298" s="14"/>
      <c r="BU298" s="14"/>
      <c r="BV298" s="14"/>
      <c r="BW298" s="65"/>
      <c r="BX298" s="63"/>
      <c r="BY298" s="352"/>
      <c r="BZ298" s="14"/>
      <c r="CA298" s="14"/>
      <c r="CB298" s="21"/>
      <c r="CC298" s="21"/>
      <c r="CD298" s="180"/>
      <c r="CE298" s="180"/>
      <c r="CF298" s="21"/>
      <c r="CG298" s="14"/>
      <c r="CH298" s="14"/>
      <c r="CI298" s="14"/>
      <c r="CJ298" s="14"/>
      <c r="CK298" s="14"/>
      <c r="CL298" s="14"/>
      <c r="CM298" s="14"/>
      <c r="CN298" s="14"/>
      <c r="CO298" s="129"/>
      <c r="CP298" s="14"/>
      <c r="CQ298" s="47"/>
      <c r="CR298" s="14"/>
      <c r="CS298" s="14"/>
      <c r="CT298" s="14"/>
      <c r="CU298" s="14"/>
      <c r="CV298" s="180"/>
      <c r="CW298" s="189"/>
      <c r="CX298" s="189"/>
      <c r="CY298" s="14"/>
      <c r="CZ298" s="14"/>
      <c r="DA298" s="14"/>
      <c r="DB298" s="14"/>
      <c r="DC298" s="14"/>
      <c r="DD298" s="14"/>
      <c r="DE298" s="14"/>
      <c r="DF298" s="14"/>
      <c r="DG298" s="129"/>
      <c r="DH298" s="14"/>
      <c r="DI298" s="47"/>
      <c r="DJ298" s="14"/>
      <c r="DK298" s="19"/>
      <c r="DL298" s="40"/>
      <c r="DM298" s="41"/>
      <c r="DN298" s="40"/>
      <c r="DO298" s="40"/>
      <c r="DP298" s="40"/>
      <c r="DQ298" s="41"/>
      <c r="DR298" s="72"/>
      <c r="DS298" s="14"/>
      <c r="DT298" s="14"/>
      <c r="DU298" s="14"/>
      <c r="DV298" s="14"/>
      <c r="DW298" s="14"/>
      <c r="DX298" s="14"/>
      <c r="DY298" s="14"/>
      <c r="DZ298" s="14"/>
      <c r="EA298" s="14"/>
      <c r="EB298" s="14"/>
      <c r="EC298" s="14"/>
      <c r="ED298" s="14"/>
      <c r="EE298" s="14"/>
      <c r="EF298" s="14"/>
      <c r="EG298" s="14"/>
      <c r="EH298" s="14"/>
      <c r="EI298" s="14"/>
      <c r="EJ298" s="14"/>
      <c r="EK298" s="14"/>
      <c r="EL298" s="14"/>
    </row>
    <row r="299" spans="1:142" x14ac:dyDescent="0.25">
      <c r="A299" s="14"/>
      <c r="B299" s="19"/>
      <c r="C299" s="40"/>
      <c r="D299" s="41"/>
      <c r="E299" s="40"/>
      <c r="F299" s="40"/>
      <c r="G299" s="40"/>
      <c r="H299" s="41"/>
      <c r="I299" s="72"/>
      <c r="J299" s="14"/>
      <c r="K299" s="14"/>
      <c r="L299" s="14"/>
      <c r="M299" s="14"/>
      <c r="N299" s="14"/>
      <c r="O299" s="14"/>
      <c r="P299" s="14"/>
      <c r="Q299" s="47"/>
      <c r="R299" s="14"/>
      <c r="S299" s="19"/>
      <c r="T299" s="14"/>
      <c r="U299" s="14"/>
      <c r="V299" s="14"/>
      <c r="W299" s="14"/>
      <c r="X299" s="14"/>
      <c r="Y299" s="14"/>
      <c r="Z299" s="14"/>
      <c r="AA299" s="14"/>
      <c r="AB299" s="14"/>
      <c r="AC299" s="44"/>
      <c r="AD299" s="44"/>
      <c r="AE299" s="63"/>
      <c r="AF299" s="352"/>
      <c r="AG299" s="14"/>
      <c r="AH299" s="19"/>
      <c r="AI299" s="14"/>
      <c r="AJ299" s="14"/>
      <c r="AK299" s="14"/>
      <c r="AL299" s="14"/>
      <c r="AM299" s="14"/>
      <c r="AN299" s="14"/>
      <c r="AO299" s="14"/>
      <c r="AP299" s="14"/>
      <c r="AQ299" s="14"/>
      <c r="AR299" s="14"/>
      <c r="AS299" s="65"/>
      <c r="AT299" s="63"/>
      <c r="AU299" s="47"/>
      <c r="AV299" s="14"/>
      <c r="AW299" s="19"/>
      <c r="AX299" s="14"/>
      <c r="AY299" s="14"/>
      <c r="AZ299" s="14"/>
      <c r="BA299" s="14"/>
      <c r="BB299" s="14"/>
      <c r="BC299" s="14"/>
      <c r="BD299" s="14"/>
      <c r="BE299" s="14"/>
      <c r="BF299" s="14"/>
      <c r="BG299" s="14"/>
      <c r="BH299" s="65"/>
      <c r="BI299" s="63"/>
      <c r="BJ299" s="352"/>
      <c r="BK299" s="14"/>
      <c r="BL299" s="19"/>
      <c r="BM299" s="14"/>
      <c r="BN299" s="14"/>
      <c r="BO299" s="14"/>
      <c r="BP299" s="14"/>
      <c r="BQ299" s="14"/>
      <c r="BR299" s="14"/>
      <c r="BS299" s="14"/>
      <c r="BT299" s="14"/>
      <c r="BU299" s="14"/>
      <c r="BV299" s="14"/>
      <c r="BW299" s="65"/>
      <c r="BX299" s="63"/>
      <c r="BY299" s="352"/>
      <c r="BZ299" s="14"/>
      <c r="CA299" s="14"/>
      <c r="CB299" s="21"/>
      <c r="CC299" s="21"/>
      <c r="CD299" s="180"/>
      <c r="CE299" s="180"/>
      <c r="CF299" s="21"/>
      <c r="CG299" s="14"/>
      <c r="CH299" s="14"/>
      <c r="CI299" s="14"/>
      <c r="CJ299" s="14"/>
      <c r="CK299" s="14"/>
      <c r="CL299" s="14"/>
      <c r="CM299" s="14"/>
      <c r="CN299" s="14"/>
      <c r="CO299" s="129"/>
      <c r="CP299" s="14"/>
      <c r="CQ299" s="47"/>
      <c r="CR299" s="14"/>
      <c r="CS299" s="14"/>
      <c r="CT299" s="14"/>
      <c r="CU299" s="14"/>
      <c r="CV299" s="180"/>
      <c r="CW299" s="189"/>
      <c r="CX299" s="189"/>
      <c r="CY299" s="14"/>
      <c r="CZ299" s="14"/>
      <c r="DA299" s="14"/>
      <c r="DB299" s="14"/>
      <c r="DC299" s="14"/>
      <c r="DD299" s="14"/>
      <c r="DE299" s="14"/>
      <c r="DF299" s="14"/>
      <c r="DG299" s="129"/>
      <c r="DH299" s="14"/>
      <c r="DI299" s="47"/>
      <c r="DJ299" s="14"/>
      <c r="DK299" s="19"/>
      <c r="DL299" s="40"/>
      <c r="DM299" s="41"/>
      <c r="DN299" s="40"/>
      <c r="DO299" s="40"/>
      <c r="DP299" s="40"/>
      <c r="DQ299" s="41"/>
      <c r="DR299" s="72"/>
      <c r="DS299" s="14"/>
      <c r="DT299" s="14"/>
      <c r="DU299" s="14"/>
      <c r="DV299" s="14"/>
      <c r="DW299" s="14"/>
      <c r="DX299" s="14"/>
      <c r="DY299" s="14"/>
      <c r="DZ299" s="14"/>
      <c r="EA299" s="14"/>
      <c r="EB299" s="14"/>
      <c r="EC299" s="14"/>
      <c r="ED299" s="14"/>
      <c r="EE299" s="14"/>
      <c r="EF299" s="14"/>
      <c r="EG299" s="14"/>
      <c r="EH299" s="14"/>
      <c r="EI299" s="14"/>
      <c r="EJ299" s="14"/>
      <c r="EK299" s="14"/>
      <c r="EL299" s="14"/>
    </row>
    <row r="300" spans="1:142" x14ac:dyDescent="0.25">
      <c r="A300" s="14"/>
      <c r="B300" s="19"/>
      <c r="C300" s="40"/>
      <c r="D300" s="41"/>
      <c r="E300" s="40"/>
      <c r="F300" s="40"/>
      <c r="G300" s="40"/>
      <c r="H300" s="41"/>
      <c r="I300" s="72"/>
      <c r="J300" s="14"/>
      <c r="K300" s="14"/>
      <c r="L300" s="14"/>
      <c r="M300" s="14"/>
      <c r="N300" s="14"/>
      <c r="O300" s="14"/>
      <c r="P300" s="14"/>
      <c r="Q300" s="47"/>
      <c r="R300" s="14"/>
      <c r="S300" s="19"/>
      <c r="T300" s="14"/>
      <c r="U300" s="14"/>
      <c r="V300" s="14"/>
      <c r="W300" s="14"/>
      <c r="X300" s="14"/>
      <c r="Y300" s="14"/>
      <c r="Z300" s="14"/>
      <c r="AA300" s="14"/>
      <c r="AB300" s="14"/>
      <c r="AC300" s="44"/>
      <c r="AD300" s="44"/>
      <c r="AE300" s="63"/>
      <c r="AF300" s="352"/>
      <c r="AG300" s="14"/>
      <c r="AH300" s="19"/>
      <c r="AI300" s="14"/>
      <c r="AJ300" s="14"/>
      <c r="AK300" s="14"/>
      <c r="AL300" s="14"/>
      <c r="AM300" s="14"/>
      <c r="AN300" s="14"/>
      <c r="AO300" s="14"/>
      <c r="AP300" s="14"/>
      <c r="AQ300" s="14"/>
      <c r="AR300" s="14"/>
      <c r="AS300" s="65"/>
      <c r="AT300" s="63"/>
      <c r="AU300" s="47"/>
      <c r="AV300" s="14"/>
      <c r="AW300" s="19"/>
      <c r="AX300" s="14"/>
      <c r="AY300" s="14"/>
      <c r="AZ300" s="14"/>
      <c r="BA300" s="14"/>
      <c r="BB300" s="14"/>
      <c r="BC300" s="14"/>
      <c r="BD300" s="14"/>
      <c r="BE300" s="14"/>
      <c r="BF300" s="14"/>
      <c r="BG300" s="14"/>
      <c r="BH300" s="65"/>
      <c r="BI300" s="63"/>
      <c r="BJ300" s="352"/>
      <c r="BK300" s="14"/>
      <c r="BL300" s="19"/>
      <c r="BM300" s="14"/>
      <c r="BN300" s="14"/>
      <c r="BO300" s="14"/>
      <c r="BP300" s="14"/>
      <c r="BQ300" s="14"/>
      <c r="BR300" s="14"/>
      <c r="BS300" s="14"/>
      <c r="BT300" s="14"/>
      <c r="BU300" s="14"/>
      <c r="BV300" s="14"/>
      <c r="BW300" s="65"/>
      <c r="BX300" s="63"/>
      <c r="BY300" s="352"/>
      <c r="BZ300" s="14"/>
      <c r="CA300" s="14"/>
      <c r="CB300" s="21"/>
      <c r="CC300" s="21"/>
      <c r="CD300" s="180"/>
      <c r="CE300" s="180"/>
      <c r="CF300" s="21"/>
      <c r="CG300" s="14"/>
      <c r="CH300" s="14"/>
      <c r="CI300" s="14"/>
      <c r="CJ300" s="14"/>
      <c r="CK300" s="14"/>
      <c r="CL300" s="14"/>
      <c r="CM300" s="14"/>
      <c r="CN300" s="14"/>
      <c r="CO300" s="129"/>
      <c r="CP300" s="14"/>
      <c r="CQ300" s="47"/>
      <c r="CR300" s="14"/>
      <c r="CS300" s="14"/>
      <c r="CT300" s="14"/>
      <c r="CU300" s="14"/>
      <c r="CV300" s="180"/>
      <c r="CW300" s="189"/>
      <c r="CX300" s="189"/>
      <c r="CY300" s="14"/>
      <c r="CZ300" s="14"/>
      <c r="DA300" s="14"/>
      <c r="DB300" s="14"/>
      <c r="DC300" s="14"/>
      <c r="DD300" s="14"/>
      <c r="DE300" s="14"/>
      <c r="DF300" s="14"/>
      <c r="DG300" s="129"/>
      <c r="DH300" s="14"/>
      <c r="DI300" s="47"/>
      <c r="DJ300" s="14"/>
      <c r="DK300" s="19"/>
      <c r="DL300" s="40"/>
      <c r="DM300" s="41"/>
      <c r="DN300" s="40"/>
      <c r="DO300" s="40"/>
      <c r="DP300" s="40"/>
      <c r="DQ300" s="41"/>
      <c r="DR300" s="72"/>
      <c r="DS300" s="14"/>
      <c r="DT300" s="14"/>
      <c r="DU300" s="14"/>
      <c r="DV300" s="14"/>
      <c r="DW300" s="14"/>
      <c r="DX300" s="14"/>
      <c r="DY300" s="14"/>
      <c r="DZ300" s="14"/>
      <c r="EA300" s="14"/>
      <c r="EB300" s="14"/>
      <c r="EC300" s="14"/>
      <c r="ED300" s="14"/>
      <c r="EE300" s="14"/>
      <c r="EF300" s="14"/>
      <c r="EG300" s="14"/>
      <c r="EH300" s="14"/>
      <c r="EI300" s="14"/>
      <c r="EJ300" s="14"/>
      <c r="EK300" s="14"/>
      <c r="EL300" s="14"/>
    </row>
    <row r="301" spans="1:142" x14ac:dyDescent="0.25">
      <c r="A301" s="14"/>
      <c r="B301" s="19"/>
      <c r="C301" s="40"/>
      <c r="D301" s="41"/>
      <c r="E301" s="40"/>
      <c r="F301" s="40"/>
      <c r="G301" s="40"/>
      <c r="H301" s="41"/>
      <c r="I301" s="72"/>
      <c r="J301" s="14"/>
      <c r="K301" s="14"/>
      <c r="L301" s="14"/>
      <c r="M301" s="14"/>
      <c r="N301" s="14"/>
      <c r="O301" s="14"/>
      <c r="P301" s="14"/>
      <c r="Q301" s="47"/>
      <c r="R301" s="14"/>
      <c r="S301" s="19"/>
      <c r="T301" s="14"/>
      <c r="U301" s="14"/>
      <c r="V301" s="14"/>
      <c r="W301" s="14"/>
      <c r="X301" s="14"/>
      <c r="Y301" s="14"/>
      <c r="Z301" s="14"/>
      <c r="AA301" s="14"/>
      <c r="AB301" s="14"/>
      <c r="AC301" s="44"/>
      <c r="AD301" s="44"/>
      <c r="AE301" s="63"/>
      <c r="AF301" s="352"/>
      <c r="AG301" s="14"/>
      <c r="AH301" s="19"/>
      <c r="AI301" s="14"/>
      <c r="AJ301" s="14"/>
      <c r="AK301" s="14"/>
      <c r="AL301" s="14"/>
      <c r="AM301" s="14"/>
      <c r="AN301" s="14"/>
      <c r="AO301" s="14"/>
      <c r="AP301" s="14"/>
      <c r="AQ301" s="14"/>
      <c r="AR301" s="14"/>
      <c r="AS301" s="65"/>
      <c r="AT301" s="63"/>
      <c r="AU301" s="47"/>
      <c r="AV301" s="14"/>
      <c r="AW301" s="19"/>
      <c r="AX301" s="14"/>
      <c r="AY301" s="14"/>
      <c r="AZ301" s="14"/>
      <c r="BA301" s="14"/>
      <c r="BB301" s="14"/>
      <c r="BC301" s="14"/>
      <c r="BD301" s="14"/>
      <c r="BE301" s="14"/>
      <c r="BF301" s="14"/>
      <c r="BG301" s="14"/>
      <c r="BH301" s="65"/>
      <c r="BI301" s="63"/>
      <c r="BJ301" s="352"/>
      <c r="BK301" s="14"/>
      <c r="BL301" s="19"/>
      <c r="BM301" s="14"/>
      <c r="BN301" s="14"/>
      <c r="BO301" s="14"/>
      <c r="BP301" s="14"/>
      <c r="BQ301" s="14"/>
      <c r="BR301" s="14"/>
      <c r="BS301" s="14"/>
      <c r="BT301" s="14"/>
      <c r="BU301" s="14"/>
      <c r="BV301" s="14"/>
      <c r="BW301" s="65"/>
      <c r="BX301" s="63"/>
      <c r="BY301" s="352"/>
      <c r="BZ301" s="14"/>
      <c r="CA301" s="14"/>
      <c r="CB301" s="21"/>
      <c r="CC301" s="21"/>
      <c r="CD301" s="180"/>
      <c r="CE301" s="180"/>
      <c r="CF301" s="21"/>
      <c r="CG301" s="14"/>
      <c r="CH301" s="14"/>
      <c r="CI301" s="14"/>
      <c r="CJ301" s="14"/>
      <c r="CK301" s="14"/>
      <c r="CL301" s="14"/>
      <c r="CM301" s="14"/>
      <c r="CN301" s="14"/>
      <c r="CO301" s="129"/>
      <c r="CP301" s="14"/>
      <c r="CQ301" s="47"/>
      <c r="CR301" s="14"/>
      <c r="CS301" s="14"/>
      <c r="CT301" s="14"/>
      <c r="CU301" s="14"/>
      <c r="CV301" s="180"/>
      <c r="CW301" s="189"/>
      <c r="CX301" s="189"/>
      <c r="CY301" s="14"/>
      <c r="CZ301" s="14"/>
      <c r="DA301" s="14"/>
      <c r="DB301" s="14"/>
      <c r="DC301" s="14"/>
      <c r="DD301" s="14"/>
      <c r="DE301" s="14"/>
      <c r="DF301" s="14"/>
      <c r="DG301" s="129"/>
      <c r="DH301" s="14"/>
      <c r="DI301" s="47"/>
      <c r="DJ301" s="14"/>
      <c r="DK301" s="19"/>
      <c r="DL301" s="40"/>
      <c r="DM301" s="41"/>
      <c r="DN301" s="40"/>
      <c r="DO301" s="40"/>
      <c r="DP301" s="40"/>
      <c r="DQ301" s="41"/>
      <c r="DR301" s="72"/>
      <c r="DS301" s="14"/>
      <c r="DT301" s="14"/>
      <c r="DU301" s="14"/>
      <c r="DV301" s="14"/>
      <c r="DW301" s="14"/>
      <c r="DX301" s="14"/>
      <c r="DY301" s="14"/>
      <c r="DZ301" s="14"/>
      <c r="EA301" s="14"/>
      <c r="EB301" s="14"/>
      <c r="EC301" s="14"/>
      <c r="ED301" s="14"/>
      <c r="EE301" s="14"/>
      <c r="EF301" s="14"/>
      <c r="EG301" s="14"/>
      <c r="EH301" s="14"/>
      <c r="EI301" s="14"/>
      <c r="EJ301" s="14"/>
      <c r="EK301" s="14"/>
      <c r="EL301" s="14"/>
    </row>
    <row r="302" spans="1:142" x14ac:dyDescent="0.25">
      <c r="A302" s="14"/>
      <c r="B302" s="19"/>
      <c r="C302" s="40"/>
      <c r="D302" s="41"/>
      <c r="E302" s="40"/>
      <c r="F302" s="40"/>
      <c r="G302" s="40"/>
      <c r="H302" s="41"/>
      <c r="I302" s="72"/>
      <c r="J302" s="14"/>
      <c r="K302" s="14"/>
      <c r="L302" s="14"/>
      <c r="M302" s="14"/>
      <c r="N302" s="14"/>
      <c r="O302" s="14"/>
      <c r="P302" s="14"/>
      <c r="Q302" s="47"/>
      <c r="R302" s="14"/>
      <c r="S302" s="19"/>
      <c r="T302" s="14"/>
      <c r="U302" s="14"/>
      <c r="V302" s="14"/>
      <c r="W302" s="14"/>
      <c r="X302" s="14"/>
      <c r="Y302" s="14"/>
      <c r="Z302" s="14"/>
      <c r="AA302" s="14"/>
      <c r="AB302" s="14"/>
      <c r="AC302" s="44"/>
      <c r="AD302" s="44"/>
      <c r="AE302" s="63"/>
      <c r="AF302" s="352"/>
      <c r="AG302" s="14"/>
      <c r="AH302" s="19"/>
      <c r="AI302" s="14"/>
      <c r="AJ302" s="14"/>
      <c r="AK302" s="14"/>
      <c r="AL302" s="14"/>
      <c r="AM302" s="14"/>
      <c r="AN302" s="14"/>
      <c r="AO302" s="14"/>
      <c r="AP302" s="14"/>
      <c r="AQ302" s="14"/>
      <c r="AR302" s="14"/>
      <c r="AS302" s="65"/>
      <c r="AT302" s="63"/>
      <c r="AU302" s="47"/>
      <c r="AV302" s="14"/>
      <c r="AW302" s="19"/>
      <c r="AX302" s="14"/>
      <c r="AY302" s="14"/>
      <c r="AZ302" s="14"/>
      <c r="BA302" s="14"/>
      <c r="BB302" s="14"/>
      <c r="BC302" s="14"/>
      <c r="BD302" s="14"/>
      <c r="BE302" s="14"/>
      <c r="BF302" s="14"/>
      <c r="BG302" s="14"/>
      <c r="BH302" s="65"/>
      <c r="BI302" s="63"/>
      <c r="BJ302" s="352"/>
      <c r="BK302" s="14"/>
      <c r="BL302" s="19"/>
      <c r="BM302" s="14"/>
      <c r="BN302" s="14"/>
      <c r="BO302" s="14"/>
      <c r="BP302" s="14"/>
      <c r="BQ302" s="14"/>
      <c r="BR302" s="14"/>
      <c r="BS302" s="14"/>
      <c r="BT302" s="14"/>
      <c r="BU302" s="14"/>
      <c r="BV302" s="14"/>
      <c r="BW302" s="65"/>
      <c r="BX302" s="63"/>
      <c r="BY302" s="352"/>
      <c r="BZ302" s="14"/>
      <c r="CA302" s="14"/>
      <c r="CB302" s="21"/>
      <c r="CC302" s="21"/>
      <c r="CD302" s="180"/>
      <c r="CE302" s="180"/>
      <c r="CF302" s="21"/>
      <c r="CG302" s="14"/>
      <c r="CH302" s="14"/>
      <c r="CI302" s="14"/>
      <c r="CJ302" s="14"/>
      <c r="CK302" s="14"/>
      <c r="CL302" s="14"/>
      <c r="CM302" s="14"/>
      <c r="CN302" s="14"/>
      <c r="CO302" s="129"/>
      <c r="CP302" s="14"/>
      <c r="CQ302" s="47"/>
      <c r="CR302" s="14"/>
      <c r="CS302" s="14"/>
      <c r="CT302" s="14"/>
      <c r="CU302" s="14"/>
      <c r="CV302" s="180"/>
      <c r="CW302" s="189"/>
      <c r="CX302" s="189"/>
      <c r="CY302" s="14"/>
      <c r="CZ302" s="14"/>
      <c r="DA302" s="14"/>
      <c r="DB302" s="14"/>
      <c r="DC302" s="14"/>
      <c r="DD302" s="14"/>
      <c r="DE302" s="14"/>
      <c r="DF302" s="14"/>
      <c r="DG302" s="129"/>
      <c r="DH302" s="14"/>
      <c r="DI302" s="47"/>
      <c r="DJ302" s="14"/>
      <c r="DK302" s="19"/>
      <c r="DL302" s="40"/>
      <c r="DM302" s="41"/>
      <c r="DN302" s="40"/>
      <c r="DO302" s="40"/>
      <c r="DP302" s="40"/>
      <c r="DQ302" s="41"/>
      <c r="DR302" s="72"/>
      <c r="DS302" s="14"/>
      <c r="DT302" s="14"/>
      <c r="DU302" s="14"/>
      <c r="DV302" s="14"/>
      <c r="DW302" s="14"/>
      <c r="DX302" s="14"/>
      <c r="DY302" s="14"/>
      <c r="DZ302" s="14"/>
      <c r="EA302" s="14"/>
      <c r="EB302" s="14"/>
      <c r="EC302" s="14"/>
      <c r="ED302" s="14"/>
      <c r="EE302" s="14"/>
      <c r="EF302" s="14"/>
      <c r="EG302" s="14"/>
      <c r="EH302" s="14"/>
      <c r="EI302" s="14"/>
      <c r="EJ302" s="14"/>
      <c r="EK302" s="14"/>
      <c r="EL302" s="14"/>
    </row>
    <row r="303" spans="1:142" x14ac:dyDescent="0.25">
      <c r="A303" s="14"/>
      <c r="B303" s="19"/>
      <c r="C303" s="40"/>
      <c r="D303" s="41"/>
      <c r="E303" s="40"/>
      <c r="F303" s="40"/>
      <c r="G303" s="40"/>
      <c r="H303" s="41"/>
      <c r="I303" s="72"/>
      <c r="J303" s="14"/>
      <c r="K303" s="14"/>
      <c r="L303" s="14"/>
      <c r="M303" s="14"/>
      <c r="N303" s="14"/>
      <c r="O303" s="14"/>
      <c r="P303" s="14"/>
      <c r="Q303" s="47"/>
      <c r="R303" s="14"/>
      <c r="S303" s="19"/>
      <c r="T303" s="14"/>
      <c r="U303" s="14"/>
      <c r="V303" s="14"/>
      <c r="W303" s="14"/>
      <c r="X303" s="14"/>
      <c r="Y303" s="14"/>
      <c r="Z303" s="14"/>
      <c r="AA303" s="14"/>
      <c r="AB303" s="14"/>
      <c r="AC303" s="44"/>
      <c r="AD303" s="44"/>
      <c r="AE303" s="63"/>
      <c r="AF303" s="352"/>
      <c r="AG303" s="14"/>
      <c r="AH303" s="19"/>
      <c r="AI303" s="14"/>
      <c r="AJ303" s="14"/>
      <c r="AK303" s="14"/>
      <c r="AL303" s="14"/>
      <c r="AM303" s="14"/>
      <c r="AN303" s="14"/>
      <c r="AO303" s="14"/>
      <c r="AP303" s="14"/>
      <c r="AQ303" s="14"/>
      <c r="AR303" s="14"/>
      <c r="AS303" s="65"/>
      <c r="AT303" s="63"/>
      <c r="AU303" s="47"/>
      <c r="AV303" s="14"/>
      <c r="AW303" s="19"/>
      <c r="AX303" s="14"/>
      <c r="AY303" s="14"/>
      <c r="AZ303" s="14"/>
      <c r="BA303" s="14"/>
      <c r="BB303" s="14"/>
      <c r="BC303" s="14"/>
      <c r="BD303" s="14"/>
      <c r="BE303" s="14"/>
      <c r="BF303" s="14"/>
      <c r="BG303" s="14"/>
      <c r="BH303" s="65"/>
      <c r="BI303" s="63"/>
      <c r="BJ303" s="352"/>
      <c r="BK303" s="14"/>
      <c r="BL303" s="19"/>
      <c r="BM303" s="14"/>
      <c r="BN303" s="14"/>
      <c r="BO303" s="14"/>
      <c r="BP303" s="14"/>
      <c r="BQ303" s="14"/>
      <c r="BR303" s="14"/>
      <c r="BS303" s="14"/>
      <c r="BT303" s="14"/>
      <c r="BU303" s="14"/>
      <c r="BV303" s="14"/>
      <c r="BW303" s="65"/>
      <c r="BX303" s="63"/>
      <c r="BY303" s="352"/>
      <c r="BZ303" s="14"/>
      <c r="CA303" s="14"/>
      <c r="CB303" s="21"/>
      <c r="CC303" s="21"/>
      <c r="CD303" s="180"/>
      <c r="CE303" s="180"/>
      <c r="CF303" s="21"/>
      <c r="CG303" s="14"/>
      <c r="CH303" s="14"/>
      <c r="CI303" s="14"/>
      <c r="CJ303" s="14"/>
      <c r="CK303" s="14"/>
      <c r="CL303" s="14"/>
      <c r="CM303" s="14"/>
      <c r="CN303" s="14"/>
      <c r="CO303" s="129"/>
      <c r="CP303" s="14"/>
      <c r="CQ303" s="47"/>
      <c r="CR303" s="14"/>
      <c r="CS303" s="14"/>
      <c r="CT303" s="14"/>
      <c r="CU303" s="14"/>
      <c r="CV303" s="180"/>
      <c r="CW303" s="189"/>
      <c r="CX303" s="189"/>
      <c r="CY303" s="14"/>
      <c r="CZ303" s="14"/>
      <c r="DA303" s="14"/>
      <c r="DB303" s="14"/>
      <c r="DC303" s="14"/>
      <c r="DD303" s="14"/>
      <c r="DE303" s="14"/>
      <c r="DF303" s="14"/>
      <c r="DG303" s="129"/>
      <c r="DH303" s="14"/>
      <c r="DI303" s="47"/>
      <c r="DJ303" s="14"/>
      <c r="DK303" s="19"/>
      <c r="DL303" s="40"/>
      <c r="DM303" s="41"/>
      <c r="DN303" s="40"/>
      <c r="DO303" s="40"/>
      <c r="DP303" s="40"/>
      <c r="DQ303" s="41"/>
      <c r="DR303" s="72"/>
      <c r="DS303" s="14"/>
      <c r="DT303" s="14"/>
      <c r="DU303" s="14"/>
      <c r="DV303" s="14"/>
      <c r="DW303" s="14"/>
      <c r="DX303" s="14"/>
      <c r="DY303" s="14"/>
      <c r="DZ303" s="14"/>
      <c r="EA303" s="14"/>
      <c r="EB303" s="14"/>
      <c r="EC303" s="14"/>
      <c r="ED303" s="14"/>
      <c r="EE303" s="14"/>
      <c r="EF303" s="14"/>
      <c r="EG303" s="14"/>
      <c r="EH303" s="14"/>
      <c r="EI303" s="14"/>
      <c r="EJ303" s="14"/>
      <c r="EK303" s="14"/>
      <c r="EL303" s="14"/>
    </row>
    <row r="304" spans="1:142" x14ac:dyDescent="0.25">
      <c r="A304" s="14"/>
      <c r="B304" s="19"/>
      <c r="C304" s="40"/>
      <c r="D304" s="41"/>
      <c r="E304" s="40"/>
      <c r="F304" s="40"/>
      <c r="G304" s="40"/>
      <c r="H304" s="41"/>
      <c r="I304" s="72"/>
      <c r="J304" s="14"/>
      <c r="K304" s="14"/>
      <c r="L304" s="14"/>
      <c r="M304" s="14"/>
      <c r="N304" s="14"/>
      <c r="O304" s="14"/>
      <c r="P304" s="14"/>
      <c r="Q304" s="47"/>
      <c r="R304" s="14"/>
      <c r="S304" s="19"/>
      <c r="T304" s="14"/>
      <c r="U304" s="14"/>
      <c r="V304" s="14"/>
      <c r="W304" s="14"/>
      <c r="X304" s="14"/>
      <c r="Y304" s="14"/>
      <c r="Z304" s="14"/>
      <c r="AA304" s="14"/>
      <c r="AB304" s="14"/>
      <c r="AC304" s="44"/>
      <c r="AD304" s="44"/>
      <c r="AE304" s="63"/>
      <c r="AF304" s="352"/>
      <c r="AG304" s="14"/>
      <c r="AH304" s="19"/>
      <c r="AI304" s="14"/>
      <c r="AJ304" s="14"/>
      <c r="AK304" s="14"/>
      <c r="AL304" s="14"/>
      <c r="AM304" s="14"/>
      <c r="AN304" s="14"/>
      <c r="AO304" s="14"/>
      <c r="AP304" s="14"/>
      <c r="AQ304" s="14"/>
      <c r="AR304" s="14"/>
      <c r="AS304" s="65"/>
      <c r="AT304" s="63"/>
      <c r="AU304" s="47"/>
      <c r="AV304" s="14"/>
      <c r="AW304" s="19"/>
      <c r="AX304" s="14"/>
      <c r="AY304" s="14"/>
      <c r="AZ304" s="14"/>
      <c r="BA304" s="14"/>
      <c r="BB304" s="14"/>
      <c r="BC304" s="14"/>
      <c r="BD304" s="14"/>
      <c r="BE304" s="14"/>
      <c r="BF304" s="14"/>
      <c r="BG304" s="14"/>
      <c r="BH304" s="65"/>
      <c r="BI304" s="63"/>
      <c r="BJ304" s="352"/>
      <c r="BK304" s="14"/>
      <c r="BL304" s="19"/>
      <c r="BM304" s="14"/>
      <c r="BN304" s="14"/>
      <c r="BO304" s="14"/>
      <c r="BP304" s="14"/>
      <c r="BQ304" s="14"/>
      <c r="BR304" s="14"/>
      <c r="BS304" s="14"/>
      <c r="BT304" s="14"/>
      <c r="BU304" s="14"/>
      <c r="BV304" s="14"/>
      <c r="BW304" s="65"/>
      <c r="BX304" s="63"/>
      <c r="BY304" s="352"/>
      <c r="BZ304" s="14"/>
      <c r="CA304" s="14"/>
      <c r="CB304" s="21"/>
      <c r="CC304" s="21"/>
      <c r="CD304" s="180"/>
      <c r="CE304" s="180"/>
      <c r="CF304" s="21"/>
      <c r="CG304" s="14"/>
      <c r="CH304" s="14"/>
      <c r="CI304" s="14"/>
      <c r="CJ304" s="14"/>
      <c r="CK304" s="14"/>
      <c r="CL304" s="14"/>
      <c r="CM304" s="14"/>
      <c r="CN304" s="14"/>
      <c r="CO304" s="129"/>
      <c r="CP304" s="14"/>
      <c r="CQ304" s="47"/>
      <c r="CR304" s="14"/>
      <c r="CS304" s="14"/>
      <c r="CT304" s="14"/>
      <c r="CU304" s="14"/>
      <c r="CV304" s="180"/>
      <c r="CW304" s="189"/>
      <c r="CX304" s="189"/>
      <c r="CY304" s="14"/>
      <c r="CZ304" s="14"/>
      <c r="DA304" s="14"/>
      <c r="DB304" s="14"/>
      <c r="DC304" s="14"/>
      <c r="DD304" s="14"/>
      <c r="DE304" s="14"/>
      <c r="DF304" s="14"/>
      <c r="DG304" s="129"/>
      <c r="DH304" s="14"/>
      <c r="DI304" s="47"/>
      <c r="DJ304" s="14"/>
      <c r="DK304" s="19"/>
      <c r="DL304" s="40"/>
      <c r="DM304" s="41"/>
      <c r="DN304" s="40"/>
      <c r="DO304" s="40"/>
      <c r="DP304" s="40"/>
      <c r="DQ304" s="41"/>
      <c r="DR304" s="72"/>
      <c r="DS304" s="14"/>
      <c r="DT304" s="14"/>
      <c r="DU304" s="14"/>
      <c r="DV304" s="14"/>
      <c r="DW304" s="14"/>
      <c r="DX304" s="14"/>
      <c r="DY304" s="14"/>
      <c r="DZ304" s="14"/>
      <c r="EA304" s="14"/>
      <c r="EB304" s="14"/>
      <c r="EC304" s="14"/>
      <c r="ED304" s="14"/>
      <c r="EE304" s="14"/>
      <c r="EF304" s="14"/>
      <c r="EG304" s="14"/>
      <c r="EH304" s="14"/>
      <c r="EI304" s="14"/>
      <c r="EJ304" s="14"/>
      <c r="EK304" s="14"/>
      <c r="EL304" s="14"/>
    </row>
    <row r="305" spans="1:142" x14ac:dyDescent="0.25">
      <c r="A305" s="14"/>
      <c r="B305" s="19"/>
      <c r="C305" s="40"/>
      <c r="D305" s="41"/>
      <c r="E305" s="40"/>
      <c r="F305" s="40"/>
      <c r="G305" s="40"/>
      <c r="H305" s="41"/>
      <c r="I305" s="72"/>
      <c r="J305" s="14"/>
      <c r="K305" s="14"/>
      <c r="L305" s="14"/>
      <c r="M305" s="14"/>
      <c r="N305" s="14"/>
      <c r="O305" s="14"/>
      <c r="P305" s="14"/>
      <c r="Q305" s="47"/>
      <c r="R305" s="14"/>
      <c r="S305" s="19"/>
      <c r="T305" s="14"/>
      <c r="U305" s="14"/>
      <c r="V305" s="14"/>
      <c r="W305" s="14"/>
      <c r="X305" s="14"/>
      <c r="Y305" s="14"/>
      <c r="Z305" s="14"/>
      <c r="AA305" s="14"/>
      <c r="AB305" s="14"/>
      <c r="AC305" s="44"/>
      <c r="AD305" s="44"/>
      <c r="AE305" s="63"/>
      <c r="AF305" s="352"/>
      <c r="AG305" s="14"/>
      <c r="AH305" s="19"/>
      <c r="AI305" s="14"/>
      <c r="AJ305" s="14"/>
      <c r="AK305" s="14"/>
      <c r="AL305" s="14"/>
      <c r="AM305" s="14"/>
      <c r="AN305" s="14"/>
      <c r="AO305" s="14"/>
      <c r="AP305" s="14"/>
      <c r="AQ305" s="14"/>
      <c r="AR305" s="14"/>
      <c r="AS305" s="65"/>
      <c r="AT305" s="63"/>
      <c r="AU305" s="47"/>
      <c r="AV305" s="14"/>
      <c r="AW305" s="19"/>
      <c r="AX305" s="14"/>
      <c r="AY305" s="14"/>
      <c r="AZ305" s="14"/>
      <c r="BA305" s="14"/>
      <c r="BB305" s="14"/>
      <c r="BC305" s="14"/>
      <c r="BD305" s="14"/>
      <c r="BE305" s="14"/>
      <c r="BF305" s="14"/>
      <c r="BG305" s="14"/>
      <c r="BH305" s="65"/>
      <c r="BI305" s="63"/>
      <c r="BJ305" s="352"/>
      <c r="BK305" s="14"/>
      <c r="BL305" s="19"/>
      <c r="BM305" s="14"/>
      <c r="BN305" s="14"/>
      <c r="BO305" s="14"/>
      <c r="BP305" s="14"/>
      <c r="BQ305" s="14"/>
      <c r="BR305" s="14"/>
      <c r="BS305" s="14"/>
      <c r="BT305" s="14"/>
      <c r="BU305" s="14"/>
      <c r="BV305" s="14"/>
      <c r="BW305" s="65"/>
      <c r="BX305" s="63"/>
      <c r="BY305" s="352"/>
      <c r="BZ305" s="14"/>
      <c r="CA305" s="14"/>
      <c r="CB305" s="21"/>
      <c r="CC305" s="21"/>
      <c r="CD305" s="180"/>
      <c r="CE305" s="180"/>
      <c r="CF305" s="21"/>
      <c r="CG305" s="14"/>
      <c r="CH305" s="14"/>
      <c r="CI305" s="14"/>
      <c r="CJ305" s="14"/>
      <c r="CK305" s="14"/>
      <c r="CL305" s="14"/>
      <c r="CM305" s="14"/>
      <c r="CN305" s="14"/>
      <c r="CO305" s="129"/>
      <c r="CP305" s="14"/>
      <c r="CQ305" s="47"/>
      <c r="CR305" s="14"/>
      <c r="CS305" s="14"/>
      <c r="CT305" s="14"/>
      <c r="CU305" s="14"/>
      <c r="CV305" s="180"/>
      <c r="CW305" s="189"/>
      <c r="CX305" s="189"/>
      <c r="CY305" s="14"/>
      <c r="CZ305" s="14"/>
      <c r="DA305" s="14"/>
      <c r="DB305" s="14"/>
      <c r="DC305" s="14"/>
      <c r="DD305" s="14"/>
      <c r="DE305" s="14"/>
      <c r="DF305" s="14"/>
      <c r="DG305" s="129"/>
      <c r="DH305" s="14"/>
      <c r="DI305" s="47"/>
      <c r="DJ305" s="14"/>
      <c r="DK305" s="19"/>
      <c r="DL305" s="40"/>
      <c r="DM305" s="41"/>
      <c r="DN305" s="40"/>
      <c r="DO305" s="40"/>
      <c r="DP305" s="40"/>
      <c r="DQ305" s="41"/>
      <c r="DR305" s="72"/>
      <c r="DS305" s="14"/>
      <c r="DT305" s="14"/>
      <c r="DU305" s="14"/>
      <c r="DV305" s="14"/>
      <c r="DW305" s="14"/>
      <c r="DX305" s="14"/>
      <c r="DY305" s="14"/>
      <c r="DZ305" s="14"/>
      <c r="EA305" s="14"/>
      <c r="EB305" s="14"/>
      <c r="EC305" s="14"/>
      <c r="ED305" s="14"/>
      <c r="EE305" s="14"/>
      <c r="EF305" s="14"/>
      <c r="EG305" s="14"/>
      <c r="EH305" s="14"/>
      <c r="EI305" s="14"/>
      <c r="EJ305" s="14"/>
      <c r="EK305" s="14"/>
      <c r="EL305" s="14"/>
    </row>
    <row r="306" spans="1:142" x14ac:dyDescent="0.25">
      <c r="A306" s="14"/>
      <c r="B306" s="19"/>
      <c r="C306" s="40"/>
      <c r="D306" s="41"/>
      <c r="E306" s="40"/>
      <c r="F306" s="40"/>
      <c r="G306" s="40"/>
      <c r="H306" s="41"/>
      <c r="I306" s="72"/>
      <c r="J306" s="14"/>
      <c r="K306" s="14"/>
      <c r="L306" s="14"/>
      <c r="M306" s="14"/>
      <c r="N306" s="14"/>
      <c r="O306" s="14"/>
      <c r="P306" s="14"/>
      <c r="Q306" s="47"/>
      <c r="R306" s="14"/>
      <c r="S306" s="19"/>
      <c r="T306" s="14"/>
      <c r="U306" s="14"/>
      <c r="V306" s="14"/>
      <c r="W306" s="14"/>
      <c r="X306" s="14"/>
      <c r="Y306" s="14"/>
      <c r="Z306" s="14"/>
      <c r="AA306" s="14"/>
      <c r="AB306" s="14"/>
      <c r="AC306" s="19"/>
      <c r="AD306" s="63"/>
      <c r="AE306" s="63"/>
      <c r="AF306" s="47"/>
      <c r="AG306" s="14"/>
      <c r="AH306" s="19"/>
      <c r="AI306" s="14"/>
      <c r="AJ306" s="14"/>
      <c r="AK306" s="14"/>
      <c r="AL306" s="14"/>
      <c r="AM306" s="14"/>
      <c r="AN306" s="14"/>
      <c r="AO306" s="14"/>
      <c r="AP306" s="14"/>
      <c r="AQ306" s="14"/>
      <c r="AR306" s="14"/>
      <c r="AS306" s="65"/>
      <c r="AT306" s="63"/>
      <c r="AU306" s="47"/>
      <c r="AV306" s="14"/>
      <c r="AW306" s="19"/>
      <c r="AX306" s="14"/>
      <c r="AY306" s="14"/>
      <c r="AZ306" s="14"/>
      <c r="BA306" s="14"/>
      <c r="BB306" s="14"/>
      <c r="BC306" s="14"/>
      <c r="BD306" s="14"/>
      <c r="BE306" s="14"/>
      <c r="BF306" s="14"/>
      <c r="BG306" s="14"/>
      <c r="BH306" s="65"/>
      <c r="BI306" s="63"/>
      <c r="BJ306" s="352"/>
      <c r="BK306" s="14"/>
      <c r="BL306" s="19"/>
      <c r="BM306" s="14"/>
      <c r="BN306" s="14"/>
      <c r="BO306" s="14"/>
      <c r="BP306" s="14"/>
      <c r="BQ306" s="14"/>
      <c r="BR306" s="14"/>
      <c r="BS306" s="14"/>
      <c r="BT306" s="14"/>
      <c r="BU306" s="14"/>
      <c r="BV306" s="14"/>
      <c r="BW306" s="65"/>
      <c r="BX306" s="63"/>
      <c r="BY306" s="352"/>
      <c r="BZ306" s="14"/>
      <c r="CA306" s="14"/>
      <c r="CB306" s="21"/>
      <c r="CC306" s="21"/>
      <c r="CD306" s="180"/>
      <c r="CE306" s="180"/>
      <c r="CF306" s="21"/>
      <c r="CG306" s="14"/>
      <c r="CH306" s="14"/>
      <c r="CI306" s="14"/>
      <c r="CJ306" s="14"/>
      <c r="CK306" s="14"/>
      <c r="CL306" s="14"/>
      <c r="CM306" s="14"/>
      <c r="CN306" s="14"/>
      <c r="CO306" s="129"/>
      <c r="CP306" s="14"/>
      <c r="CQ306" s="47"/>
      <c r="CR306" s="14"/>
      <c r="CS306" s="14"/>
      <c r="CT306" s="14"/>
      <c r="CU306" s="14"/>
      <c r="CV306" s="180"/>
      <c r="CW306" s="189"/>
      <c r="CX306" s="189"/>
      <c r="CY306" s="14"/>
      <c r="CZ306" s="14"/>
      <c r="DA306" s="14"/>
      <c r="DB306" s="14"/>
      <c r="DC306" s="14"/>
      <c r="DD306" s="14"/>
      <c r="DE306" s="14"/>
      <c r="DF306" s="14"/>
      <c r="DG306" s="129"/>
      <c r="DH306" s="14"/>
      <c r="DI306" s="47"/>
      <c r="DJ306" s="14"/>
      <c r="DK306" s="19"/>
      <c r="DL306" s="40"/>
      <c r="DM306" s="41"/>
      <c r="DN306" s="40"/>
      <c r="DO306" s="40"/>
      <c r="DP306" s="40"/>
      <c r="DQ306" s="41"/>
      <c r="DR306" s="72"/>
      <c r="DS306" s="14"/>
      <c r="DT306" s="14"/>
      <c r="DU306" s="14"/>
      <c r="DV306" s="14"/>
      <c r="DW306" s="14"/>
      <c r="DX306" s="14"/>
      <c r="DY306" s="14"/>
      <c r="DZ306" s="14"/>
      <c r="EA306" s="14"/>
      <c r="EB306" s="14"/>
      <c r="EC306" s="14"/>
      <c r="ED306" s="14"/>
      <c r="EE306" s="14"/>
      <c r="EF306" s="14"/>
      <c r="EG306" s="14"/>
      <c r="EH306" s="14"/>
      <c r="EI306" s="14"/>
      <c r="EJ306" s="14"/>
      <c r="EK306" s="14"/>
      <c r="EL306" s="14"/>
    </row>
    <row r="307" spans="1:142" x14ac:dyDescent="0.25">
      <c r="A307" s="14"/>
      <c r="B307" s="19"/>
      <c r="C307" s="40"/>
      <c r="D307" s="41"/>
      <c r="E307" s="40"/>
      <c r="F307" s="40"/>
      <c r="G307" s="40"/>
      <c r="H307" s="41"/>
      <c r="I307" s="72"/>
      <c r="J307" s="14"/>
      <c r="K307" s="14"/>
      <c r="L307" s="14"/>
      <c r="M307" s="14"/>
      <c r="N307" s="14"/>
      <c r="O307" s="14"/>
      <c r="P307" s="14"/>
      <c r="Q307" s="47"/>
      <c r="R307" s="14"/>
      <c r="S307" s="19"/>
      <c r="T307" s="14"/>
      <c r="U307" s="14"/>
      <c r="V307" s="14"/>
      <c r="W307" s="14"/>
      <c r="X307" s="14"/>
      <c r="Y307" s="14"/>
      <c r="Z307" s="14"/>
      <c r="AA307" s="14"/>
      <c r="AB307" s="14"/>
      <c r="AC307" s="19"/>
      <c r="AD307" s="63"/>
      <c r="AE307" s="63"/>
      <c r="AF307" s="47"/>
      <c r="AG307" s="14"/>
      <c r="AH307" s="19"/>
      <c r="AI307" s="14"/>
      <c r="AJ307" s="14"/>
      <c r="AK307" s="14"/>
      <c r="AL307" s="14"/>
      <c r="AM307" s="14"/>
      <c r="AN307" s="14"/>
      <c r="AO307" s="14"/>
      <c r="AP307" s="14"/>
      <c r="AQ307" s="14"/>
      <c r="AR307" s="14"/>
      <c r="AS307" s="65"/>
      <c r="AT307" s="63"/>
      <c r="AU307" s="47"/>
      <c r="AV307" s="14"/>
      <c r="AW307" s="19"/>
      <c r="AX307" s="14"/>
      <c r="AY307" s="14"/>
      <c r="AZ307" s="14"/>
      <c r="BA307" s="14"/>
      <c r="BB307" s="14"/>
      <c r="BC307" s="14"/>
      <c r="BD307" s="14"/>
      <c r="BE307" s="14"/>
      <c r="BF307" s="14"/>
      <c r="BG307" s="14"/>
      <c r="BH307" s="65"/>
      <c r="BI307" s="63"/>
      <c r="BJ307" s="352"/>
      <c r="BK307" s="14"/>
      <c r="BL307" s="19"/>
      <c r="BM307" s="14"/>
      <c r="BN307" s="14"/>
      <c r="BO307" s="14"/>
      <c r="BP307" s="14"/>
      <c r="BQ307" s="14"/>
      <c r="BR307" s="14"/>
      <c r="BS307" s="14"/>
      <c r="BT307" s="14"/>
      <c r="BU307" s="14"/>
      <c r="BV307" s="14"/>
      <c r="BW307" s="65"/>
      <c r="BX307" s="63"/>
      <c r="BY307" s="352"/>
      <c r="BZ307" s="14"/>
      <c r="CA307" s="14"/>
      <c r="CB307" s="21"/>
      <c r="CC307" s="21"/>
      <c r="CD307" s="180"/>
      <c r="CE307" s="180"/>
      <c r="CF307" s="21"/>
      <c r="CG307" s="14"/>
      <c r="CH307" s="14"/>
      <c r="CI307" s="14"/>
      <c r="CJ307" s="14"/>
      <c r="CK307" s="14"/>
      <c r="CL307" s="14"/>
      <c r="CM307" s="14"/>
      <c r="CN307" s="14"/>
      <c r="CO307" s="129"/>
      <c r="CP307" s="14"/>
      <c r="CQ307" s="47"/>
      <c r="CR307" s="14"/>
      <c r="CS307" s="14"/>
      <c r="CT307" s="14"/>
      <c r="CU307" s="14"/>
      <c r="CV307" s="180"/>
      <c r="CW307" s="189"/>
      <c r="CX307" s="189"/>
      <c r="CY307" s="14"/>
      <c r="CZ307" s="14"/>
      <c r="DA307" s="14"/>
      <c r="DB307" s="14"/>
      <c r="DC307" s="14"/>
      <c r="DD307" s="14"/>
      <c r="DE307" s="14"/>
      <c r="DF307" s="14"/>
      <c r="DG307" s="129"/>
      <c r="DH307" s="14"/>
      <c r="DI307" s="47"/>
      <c r="DJ307" s="14"/>
      <c r="DK307" s="19"/>
      <c r="DL307" s="40"/>
      <c r="DM307" s="41"/>
      <c r="DN307" s="40"/>
      <c r="DO307" s="40"/>
      <c r="DP307" s="40"/>
      <c r="DQ307" s="41"/>
      <c r="DR307" s="72"/>
      <c r="DS307" s="14"/>
      <c r="DT307" s="14"/>
      <c r="DU307" s="14"/>
      <c r="DV307" s="14"/>
      <c r="DW307" s="14"/>
      <c r="DX307" s="14"/>
      <c r="DY307" s="14"/>
      <c r="DZ307" s="14"/>
      <c r="EA307" s="14"/>
      <c r="EB307" s="14"/>
      <c r="EC307" s="14"/>
      <c r="ED307" s="14"/>
      <c r="EE307" s="14"/>
      <c r="EF307" s="14"/>
      <c r="EG307" s="14"/>
      <c r="EH307" s="14"/>
      <c r="EI307" s="14"/>
      <c r="EJ307" s="14"/>
      <c r="EK307" s="14"/>
      <c r="EL307" s="14"/>
    </row>
    <row r="308" spans="1:142" x14ac:dyDescent="0.25">
      <c r="A308" s="14"/>
      <c r="B308" s="19"/>
      <c r="C308" s="40"/>
      <c r="D308" s="41"/>
      <c r="E308" s="40"/>
      <c r="F308" s="40"/>
      <c r="G308" s="40"/>
      <c r="H308" s="41"/>
      <c r="I308" s="72"/>
      <c r="J308" s="14"/>
      <c r="K308" s="14"/>
      <c r="L308" s="14"/>
      <c r="M308" s="14"/>
      <c r="N308" s="14"/>
      <c r="O308" s="14"/>
      <c r="P308" s="14"/>
      <c r="Q308" s="47"/>
      <c r="R308" s="14"/>
      <c r="S308" s="19"/>
      <c r="T308" s="14"/>
      <c r="U308" s="14"/>
      <c r="V308" s="14"/>
      <c r="W308" s="14"/>
      <c r="X308" s="14"/>
      <c r="Y308" s="14"/>
      <c r="Z308" s="14"/>
      <c r="AA308" s="14"/>
      <c r="AB308" s="14"/>
      <c r="AC308" s="14"/>
      <c r="AD308" s="65"/>
      <c r="AE308" s="63"/>
      <c r="AF308" s="47"/>
      <c r="AG308" s="14"/>
      <c r="AH308" s="19"/>
      <c r="AI308" s="14"/>
      <c r="AJ308" s="14"/>
      <c r="AK308" s="14"/>
      <c r="AL308" s="14"/>
      <c r="AM308" s="14"/>
      <c r="AN308" s="14"/>
      <c r="AO308" s="14"/>
      <c r="AP308" s="14"/>
      <c r="AQ308" s="14"/>
      <c r="AR308" s="14"/>
      <c r="AS308" s="65"/>
      <c r="AT308" s="63"/>
      <c r="AU308" s="47"/>
      <c r="AV308" s="14"/>
      <c r="AW308" s="19"/>
      <c r="AX308" s="14"/>
      <c r="AY308" s="14"/>
      <c r="AZ308" s="14"/>
      <c r="BA308" s="14"/>
      <c r="BB308" s="14"/>
      <c r="BC308" s="14"/>
      <c r="BD308" s="14"/>
      <c r="BE308" s="14"/>
      <c r="BF308" s="14"/>
      <c r="BG308" s="14"/>
      <c r="BH308" s="65"/>
      <c r="BI308" s="63"/>
      <c r="BJ308" s="352"/>
      <c r="BK308" s="14"/>
      <c r="BL308" s="19"/>
      <c r="BM308" s="14"/>
      <c r="BN308" s="14"/>
      <c r="BO308" s="14"/>
      <c r="BP308" s="14"/>
      <c r="BQ308" s="14"/>
      <c r="BR308" s="14"/>
      <c r="BS308" s="14"/>
      <c r="BT308" s="14"/>
      <c r="BU308" s="14"/>
      <c r="BV308" s="14"/>
      <c r="BW308" s="65"/>
      <c r="BX308" s="63"/>
      <c r="BY308" s="352"/>
      <c r="BZ308" s="14"/>
      <c r="CA308" s="14"/>
      <c r="CB308" s="21"/>
      <c r="CC308" s="21"/>
      <c r="CD308" s="21"/>
      <c r="CE308" s="21"/>
      <c r="CF308" s="21"/>
      <c r="CG308" s="14"/>
      <c r="CH308" s="14"/>
      <c r="CI308" s="14"/>
      <c r="CJ308" s="14"/>
      <c r="CK308" s="14"/>
      <c r="CL308" s="14"/>
      <c r="CM308" s="14"/>
      <c r="CN308" s="14"/>
      <c r="CO308" s="129"/>
      <c r="CP308" s="14"/>
      <c r="CQ308" s="47"/>
      <c r="CR308" s="14"/>
      <c r="CS308" s="14"/>
      <c r="CT308" s="14"/>
      <c r="CU308" s="14"/>
      <c r="CV308" s="180"/>
      <c r="CW308" s="189"/>
      <c r="CX308" s="189"/>
      <c r="CY308" s="14"/>
      <c r="CZ308" s="14"/>
      <c r="DA308" s="14"/>
      <c r="DB308" s="14"/>
      <c r="DC308" s="14"/>
      <c r="DD308" s="14"/>
      <c r="DE308" s="14"/>
      <c r="DF308" s="14"/>
      <c r="DG308" s="129"/>
      <c r="DH308" s="14"/>
      <c r="DI308" s="47"/>
      <c r="DJ308" s="14"/>
      <c r="DK308" s="19"/>
      <c r="DL308" s="40"/>
      <c r="DM308" s="41"/>
      <c r="DN308" s="40"/>
      <c r="DO308" s="40"/>
      <c r="DP308" s="40"/>
      <c r="DQ308" s="41"/>
      <c r="DR308" s="72"/>
      <c r="DS308" s="14"/>
      <c r="DT308" s="14"/>
      <c r="DU308" s="14"/>
      <c r="DV308" s="14"/>
      <c r="DW308" s="14"/>
      <c r="DX308" s="14"/>
      <c r="DY308" s="14"/>
      <c r="DZ308" s="14"/>
      <c r="EA308" s="14"/>
      <c r="EB308" s="14"/>
      <c r="EC308" s="14"/>
      <c r="ED308" s="14"/>
      <c r="EE308" s="14"/>
      <c r="EF308" s="14"/>
      <c r="EG308" s="14"/>
      <c r="EH308" s="14"/>
      <c r="EI308" s="14"/>
      <c r="EJ308" s="14"/>
      <c r="EK308" s="14"/>
      <c r="EL308" s="14"/>
    </row>
    <row r="309" spans="1:142" x14ac:dyDescent="0.25">
      <c r="A309" s="14"/>
      <c r="B309" s="19"/>
      <c r="C309" s="40"/>
      <c r="D309" s="41"/>
      <c r="E309" s="40"/>
      <c r="F309" s="40"/>
      <c r="G309" s="40"/>
      <c r="H309" s="41"/>
      <c r="I309" s="72"/>
      <c r="J309" s="14"/>
      <c r="K309" s="14"/>
      <c r="L309" s="14"/>
      <c r="M309" s="14"/>
      <c r="N309" s="14"/>
      <c r="O309" s="14"/>
      <c r="P309" s="14"/>
      <c r="Q309" s="47"/>
      <c r="R309" s="14"/>
      <c r="S309" s="19"/>
      <c r="T309" s="14"/>
      <c r="U309" s="14"/>
      <c r="V309" s="14"/>
      <c r="W309" s="14"/>
      <c r="X309" s="14"/>
      <c r="Y309" s="14"/>
      <c r="Z309" s="14"/>
      <c r="AA309" s="14"/>
      <c r="AB309" s="14"/>
      <c r="AC309" s="14"/>
      <c r="AD309" s="65"/>
      <c r="AE309" s="63"/>
      <c r="AF309" s="47"/>
      <c r="AG309" s="14"/>
      <c r="AH309" s="19"/>
      <c r="AI309" s="14"/>
      <c r="AJ309" s="14"/>
      <c r="AK309" s="14"/>
      <c r="AL309" s="14"/>
      <c r="AM309" s="14"/>
      <c r="AN309" s="14"/>
      <c r="AO309" s="14"/>
      <c r="AP309" s="14"/>
      <c r="AQ309" s="14"/>
      <c r="AR309" s="14"/>
      <c r="AS309" s="65"/>
      <c r="AT309" s="63"/>
      <c r="AU309" s="47"/>
      <c r="AV309" s="14"/>
      <c r="AW309" s="19"/>
      <c r="AX309" s="14"/>
      <c r="AY309" s="14"/>
      <c r="AZ309" s="14"/>
      <c r="BA309" s="14"/>
      <c r="BB309" s="14"/>
      <c r="BC309" s="14"/>
      <c r="BD309" s="14"/>
      <c r="BE309" s="14"/>
      <c r="BF309" s="14"/>
      <c r="BG309" s="14"/>
      <c r="BH309" s="65"/>
      <c r="BI309" s="63"/>
      <c r="BJ309" s="352"/>
      <c r="BK309" s="14"/>
      <c r="BL309" s="19"/>
      <c r="BM309" s="14"/>
      <c r="BN309" s="14"/>
      <c r="BO309" s="14"/>
      <c r="BP309" s="14"/>
      <c r="BQ309" s="14"/>
      <c r="BR309" s="14"/>
      <c r="BS309" s="14"/>
      <c r="BT309" s="14"/>
      <c r="BU309" s="14"/>
      <c r="BV309" s="14"/>
      <c r="BW309" s="65"/>
      <c r="BX309" s="63"/>
      <c r="BY309" s="352"/>
      <c r="BZ309" s="14"/>
      <c r="CA309" s="14"/>
      <c r="CB309" s="21"/>
      <c r="CC309" s="21"/>
      <c r="CD309" s="21"/>
      <c r="CE309" s="21"/>
      <c r="CF309" s="21"/>
      <c r="CG309" s="14"/>
      <c r="CH309" s="14"/>
      <c r="CI309" s="14"/>
      <c r="CJ309" s="14"/>
      <c r="CK309" s="14"/>
      <c r="CL309" s="14"/>
      <c r="CM309" s="14"/>
      <c r="CN309" s="14"/>
      <c r="CO309" s="129"/>
      <c r="CP309" s="14"/>
      <c r="CQ309" s="47"/>
      <c r="CR309" s="14"/>
      <c r="CS309" s="14"/>
      <c r="CT309" s="14"/>
      <c r="CU309" s="14"/>
      <c r="CV309" s="180"/>
      <c r="CW309" s="189"/>
      <c r="CX309" s="189"/>
      <c r="CY309" s="14"/>
      <c r="CZ309" s="14"/>
      <c r="DA309" s="14"/>
      <c r="DB309" s="14"/>
      <c r="DC309" s="14"/>
      <c r="DD309" s="14"/>
      <c r="DE309" s="14"/>
      <c r="DF309" s="14"/>
      <c r="DG309" s="129"/>
      <c r="DH309" s="14"/>
      <c r="DI309" s="47"/>
      <c r="DJ309" s="14"/>
      <c r="DK309" s="19"/>
      <c r="DL309" s="40"/>
      <c r="DM309" s="41"/>
      <c r="DN309" s="40"/>
      <c r="DO309" s="40"/>
      <c r="DP309" s="40"/>
      <c r="DQ309" s="41"/>
      <c r="DR309" s="72"/>
      <c r="DS309" s="14"/>
      <c r="DT309" s="14"/>
      <c r="DU309" s="14"/>
      <c r="DV309" s="14"/>
      <c r="DW309" s="14"/>
      <c r="DX309" s="14"/>
      <c r="DY309" s="14"/>
      <c r="DZ309" s="14"/>
      <c r="EA309" s="14"/>
      <c r="EB309" s="14"/>
      <c r="EC309" s="14"/>
      <c r="ED309" s="14"/>
      <c r="EE309" s="14"/>
      <c r="EF309" s="14"/>
      <c r="EG309" s="14"/>
      <c r="EH309" s="14"/>
      <c r="EI309" s="14"/>
      <c r="EJ309" s="14"/>
      <c r="EK309" s="14"/>
      <c r="EL309" s="14"/>
    </row>
    <row r="310" spans="1:142" x14ac:dyDescent="0.25">
      <c r="A310" s="14"/>
      <c r="B310" s="19"/>
      <c r="C310" s="40"/>
      <c r="D310" s="41"/>
      <c r="E310" s="40"/>
      <c r="F310" s="40"/>
      <c r="G310" s="40"/>
      <c r="H310" s="41"/>
      <c r="I310" s="72"/>
      <c r="J310" s="14"/>
      <c r="K310" s="14"/>
      <c r="L310" s="14"/>
      <c r="M310" s="14"/>
      <c r="N310" s="14"/>
      <c r="O310" s="14"/>
      <c r="P310" s="14"/>
      <c r="Q310" s="47"/>
      <c r="R310" s="14"/>
      <c r="S310" s="19"/>
      <c r="T310" s="14"/>
      <c r="U310" s="14"/>
      <c r="V310" s="14"/>
      <c r="W310" s="14"/>
      <c r="X310" s="14"/>
      <c r="Y310" s="14"/>
      <c r="Z310" s="14"/>
      <c r="AA310" s="14"/>
      <c r="AB310" s="14"/>
      <c r="AC310" s="14"/>
      <c r="AD310" s="65"/>
      <c r="AE310" s="63"/>
      <c r="AF310" s="47"/>
      <c r="AG310" s="14"/>
      <c r="AH310" s="19"/>
      <c r="AI310" s="14"/>
      <c r="AJ310" s="14"/>
      <c r="AK310" s="14"/>
      <c r="AL310" s="14"/>
      <c r="AM310" s="14"/>
      <c r="AN310" s="14"/>
      <c r="AO310" s="14"/>
      <c r="AP310" s="14"/>
      <c r="AQ310" s="14"/>
      <c r="AR310" s="14"/>
      <c r="AS310" s="65"/>
      <c r="AT310" s="63"/>
      <c r="AU310" s="47"/>
      <c r="AV310" s="14"/>
      <c r="AW310" s="19"/>
      <c r="AX310" s="14"/>
      <c r="AY310" s="14"/>
      <c r="AZ310" s="14"/>
      <c r="BA310" s="14"/>
      <c r="BB310" s="14"/>
      <c r="BC310" s="14"/>
      <c r="BD310" s="14"/>
      <c r="BE310" s="14"/>
      <c r="BF310" s="14"/>
      <c r="BG310" s="14"/>
      <c r="BH310" s="65"/>
      <c r="BI310" s="63"/>
      <c r="BJ310" s="352"/>
      <c r="BK310" s="14"/>
      <c r="BL310" s="19"/>
      <c r="BM310" s="14"/>
      <c r="BN310" s="14"/>
      <c r="BO310" s="14"/>
      <c r="BP310" s="14"/>
      <c r="BQ310" s="14"/>
      <c r="BR310" s="14"/>
      <c r="BS310" s="14"/>
      <c r="BT310" s="14"/>
      <c r="BU310" s="14"/>
      <c r="BV310" s="14"/>
      <c r="BW310" s="65"/>
      <c r="BX310" s="63"/>
      <c r="BY310" s="352"/>
      <c r="BZ310" s="14"/>
      <c r="CA310" s="14"/>
      <c r="CB310" s="21"/>
      <c r="CC310" s="21"/>
      <c r="CD310" s="21"/>
      <c r="CE310" s="21"/>
      <c r="CF310" s="21"/>
      <c r="CG310" s="14"/>
      <c r="CH310" s="14"/>
      <c r="CI310" s="14"/>
      <c r="CJ310" s="14"/>
      <c r="CK310" s="14"/>
      <c r="CL310" s="14"/>
      <c r="CM310" s="14"/>
      <c r="CN310" s="14"/>
      <c r="CO310" s="129"/>
      <c r="CP310" s="14"/>
      <c r="CQ310" s="47"/>
      <c r="CR310" s="14"/>
      <c r="CS310" s="14"/>
      <c r="CT310" s="14"/>
      <c r="CU310" s="14"/>
      <c r="CV310" s="180"/>
      <c r="CW310" s="189"/>
      <c r="CX310" s="189"/>
      <c r="CY310" s="14"/>
      <c r="CZ310" s="14"/>
      <c r="DA310" s="14"/>
      <c r="DB310" s="14"/>
      <c r="DC310" s="14"/>
      <c r="DD310" s="14"/>
      <c r="DE310" s="14"/>
      <c r="DF310" s="14"/>
      <c r="DG310" s="129"/>
      <c r="DH310" s="14"/>
      <c r="DI310" s="47"/>
      <c r="DJ310" s="14"/>
      <c r="DK310" s="19"/>
      <c r="DL310" s="40"/>
      <c r="DM310" s="41"/>
      <c r="DN310" s="40"/>
      <c r="DO310" s="40"/>
      <c r="DP310" s="40"/>
      <c r="DQ310" s="41"/>
      <c r="DR310" s="72"/>
      <c r="DS310" s="14"/>
      <c r="DT310" s="14"/>
      <c r="DU310" s="14"/>
      <c r="DV310" s="14"/>
      <c r="DW310" s="14"/>
      <c r="DX310" s="14"/>
      <c r="DY310" s="14"/>
      <c r="DZ310" s="14"/>
      <c r="EA310" s="14"/>
      <c r="EB310" s="14"/>
      <c r="EC310" s="14"/>
      <c r="ED310" s="14"/>
      <c r="EE310" s="14"/>
      <c r="EF310" s="14"/>
      <c r="EG310" s="14"/>
      <c r="EH310" s="14"/>
      <c r="EI310" s="14"/>
      <c r="EJ310" s="14"/>
      <c r="EK310" s="14"/>
      <c r="EL310" s="14"/>
    </row>
    <row r="311" spans="1:142" x14ac:dyDescent="0.25">
      <c r="A311" s="14"/>
      <c r="B311" s="19"/>
      <c r="C311" s="40"/>
      <c r="D311" s="41"/>
      <c r="E311" s="40"/>
      <c r="F311" s="40"/>
      <c r="G311" s="40"/>
      <c r="H311" s="41"/>
      <c r="I311" s="72"/>
      <c r="J311" s="14"/>
      <c r="K311" s="14"/>
      <c r="L311" s="14"/>
      <c r="M311" s="14"/>
      <c r="N311" s="14"/>
      <c r="O311" s="14"/>
      <c r="P311" s="14"/>
      <c r="Q311" s="47"/>
      <c r="R311" s="14"/>
      <c r="S311" s="19"/>
      <c r="T311" s="14"/>
      <c r="U311" s="14"/>
      <c r="V311" s="14"/>
      <c r="W311" s="14"/>
      <c r="X311" s="14"/>
      <c r="Y311" s="14"/>
      <c r="Z311" s="14"/>
      <c r="AA311" s="14"/>
      <c r="AB311" s="14"/>
      <c r="AC311" s="14"/>
      <c r="AD311" s="65"/>
      <c r="AE311" s="63"/>
      <c r="AF311" s="47"/>
      <c r="AG311" s="14"/>
      <c r="AH311" s="19"/>
      <c r="AI311" s="14"/>
      <c r="AJ311" s="14"/>
      <c r="AK311" s="14"/>
      <c r="AL311" s="14"/>
      <c r="AM311" s="14"/>
      <c r="AN311" s="14"/>
      <c r="AO311" s="14"/>
      <c r="AP311" s="14"/>
      <c r="AQ311" s="14"/>
      <c r="AR311" s="14"/>
      <c r="AS311" s="65"/>
      <c r="AT311" s="63"/>
      <c r="AU311" s="47"/>
      <c r="AV311" s="14"/>
      <c r="AW311" s="19"/>
      <c r="AX311" s="14"/>
      <c r="AY311" s="14"/>
      <c r="AZ311" s="14"/>
      <c r="BA311" s="14"/>
      <c r="BB311" s="14"/>
      <c r="BC311" s="14"/>
      <c r="BD311" s="14"/>
      <c r="BE311" s="14"/>
      <c r="BF311" s="14"/>
      <c r="BG311" s="14"/>
      <c r="BH311" s="65"/>
      <c r="BI311" s="63"/>
      <c r="BJ311" s="352"/>
      <c r="BK311" s="14"/>
      <c r="BL311" s="19"/>
      <c r="BM311" s="14"/>
      <c r="BN311" s="14"/>
      <c r="BO311" s="14"/>
      <c r="BP311" s="14"/>
      <c r="BQ311" s="14"/>
      <c r="BR311" s="14"/>
      <c r="BS311" s="14"/>
      <c r="BT311" s="14"/>
      <c r="BU311" s="14"/>
      <c r="BV311" s="14"/>
      <c r="BW311" s="65"/>
      <c r="BX311" s="63"/>
      <c r="BY311" s="352"/>
      <c r="BZ311" s="14"/>
      <c r="CA311" s="14"/>
      <c r="CB311" s="21"/>
      <c r="CC311" s="21"/>
      <c r="CD311" s="21"/>
      <c r="CE311" s="21"/>
      <c r="CF311" s="21"/>
      <c r="CG311" s="14"/>
      <c r="CH311" s="14"/>
      <c r="CI311" s="14"/>
      <c r="CJ311" s="14"/>
      <c r="CK311" s="14"/>
      <c r="CL311" s="14"/>
      <c r="CM311" s="14"/>
      <c r="CN311" s="14"/>
      <c r="CO311" s="129"/>
      <c r="CP311" s="14"/>
      <c r="CQ311" s="47"/>
      <c r="CR311" s="14"/>
      <c r="CS311" s="14"/>
      <c r="CT311" s="14"/>
      <c r="CU311" s="14"/>
      <c r="CV311" s="180"/>
      <c r="CW311" s="189"/>
      <c r="CX311" s="189"/>
      <c r="CY311" s="14"/>
      <c r="CZ311" s="14"/>
      <c r="DA311" s="14"/>
      <c r="DB311" s="14"/>
      <c r="DC311" s="14"/>
      <c r="DD311" s="14"/>
      <c r="DE311" s="14"/>
      <c r="DF311" s="14"/>
      <c r="DG311" s="129"/>
      <c r="DH311" s="14"/>
      <c r="DI311" s="47"/>
      <c r="DJ311" s="14"/>
      <c r="DK311" s="19"/>
      <c r="DL311" s="40"/>
      <c r="DM311" s="41"/>
      <c r="DN311" s="40"/>
      <c r="DO311" s="40"/>
      <c r="DP311" s="40"/>
      <c r="DQ311" s="41"/>
      <c r="DR311" s="72"/>
      <c r="DS311" s="14"/>
      <c r="DT311" s="19"/>
      <c r="DU311" s="19"/>
      <c r="DV311" s="19"/>
      <c r="DW311" s="19"/>
      <c r="DX311" s="19"/>
      <c r="DY311" s="19"/>
      <c r="DZ311" s="19"/>
      <c r="EA311" s="19"/>
      <c r="EB311" s="19"/>
      <c r="EC311" s="19"/>
      <c r="ED311" s="14"/>
      <c r="EE311" s="14"/>
      <c r="EF311" s="14"/>
      <c r="EG311" s="14"/>
      <c r="EH311" s="14"/>
      <c r="EI311" s="14"/>
      <c r="EJ311" s="14"/>
      <c r="EK311" s="14"/>
      <c r="EL311" s="14"/>
    </row>
    <row r="312" spans="1:142" x14ac:dyDescent="0.25">
      <c r="A312" s="14"/>
      <c r="B312" s="524" t="s">
        <v>755</v>
      </c>
      <c r="C312" s="542"/>
      <c r="D312" s="542"/>
      <c r="E312" s="542"/>
      <c r="F312" s="542"/>
      <c r="G312" s="542"/>
      <c r="H312" s="542"/>
      <c r="I312" s="525"/>
      <c r="J312" s="14"/>
      <c r="K312" s="14"/>
      <c r="L312" s="14"/>
      <c r="M312" s="14"/>
      <c r="N312" s="14"/>
      <c r="O312" s="14"/>
      <c r="P312" s="14"/>
      <c r="Q312" s="47"/>
      <c r="R312" s="14"/>
      <c r="S312" s="524" t="s">
        <v>755</v>
      </c>
      <c r="T312" s="542"/>
      <c r="U312" s="542"/>
      <c r="V312" s="542"/>
      <c r="W312" s="542"/>
      <c r="X312" s="542"/>
      <c r="Y312" s="542"/>
      <c r="Z312" s="525"/>
      <c r="AA312" s="14"/>
      <c r="AB312" s="14"/>
      <c r="AC312" s="14"/>
      <c r="AD312" s="65"/>
      <c r="AE312" s="63"/>
      <c r="AF312" s="47"/>
      <c r="AG312" s="14"/>
      <c r="AH312" s="524" t="s">
        <v>755</v>
      </c>
      <c r="AI312" s="542"/>
      <c r="AJ312" s="542"/>
      <c r="AK312" s="542"/>
      <c r="AL312" s="542"/>
      <c r="AM312" s="542"/>
      <c r="AN312" s="542"/>
      <c r="AO312" s="525"/>
      <c r="AP312" s="14"/>
      <c r="AQ312" s="14"/>
      <c r="AR312" s="14"/>
      <c r="AS312" s="65"/>
      <c r="AT312" s="63"/>
      <c r="AU312" s="47"/>
      <c r="AV312" s="14"/>
      <c r="AW312" s="524" t="s">
        <v>755</v>
      </c>
      <c r="AX312" s="542"/>
      <c r="AY312" s="542"/>
      <c r="AZ312" s="542"/>
      <c r="BA312" s="542"/>
      <c r="BB312" s="542"/>
      <c r="BC312" s="542"/>
      <c r="BD312" s="525"/>
      <c r="BE312" s="14"/>
      <c r="BF312" s="14"/>
      <c r="BG312" s="14"/>
      <c r="BH312" s="65"/>
      <c r="BI312" s="63"/>
      <c r="BJ312" s="352"/>
      <c r="BK312" s="14"/>
      <c r="BL312" s="524" t="s">
        <v>755</v>
      </c>
      <c r="BM312" s="542"/>
      <c r="BN312" s="542"/>
      <c r="BO312" s="542"/>
      <c r="BP312" s="542"/>
      <c r="BQ312" s="542"/>
      <c r="BR312" s="542"/>
      <c r="BS312" s="525"/>
      <c r="BT312" s="14"/>
      <c r="BU312" s="14"/>
      <c r="BV312" s="14"/>
      <c r="BW312" s="65"/>
      <c r="BX312" s="63"/>
      <c r="BY312" s="352"/>
      <c r="BZ312" s="14"/>
      <c r="CA312" s="14"/>
      <c r="CB312" s="21"/>
      <c r="CC312" s="21"/>
      <c r="CD312" s="21"/>
      <c r="CE312" s="21"/>
      <c r="CF312" s="21"/>
      <c r="CG312" s="14"/>
      <c r="CH312" s="14"/>
      <c r="CI312" s="14"/>
      <c r="CJ312" s="14"/>
      <c r="CK312" s="14"/>
      <c r="CL312" s="14"/>
      <c r="CM312" s="14"/>
      <c r="CN312" s="14"/>
      <c r="CO312" s="129"/>
      <c r="CP312" s="14"/>
      <c r="CQ312" s="47"/>
      <c r="CR312" s="14"/>
      <c r="CS312" s="14"/>
      <c r="CT312" s="14"/>
      <c r="CU312" s="14"/>
      <c r="CV312" s="180"/>
      <c r="CW312" s="189"/>
      <c r="CX312" s="189"/>
      <c r="CY312" s="14"/>
      <c r="CZ312" s="14"/>
      <c r="DA312" s="14"/>
      <c r="DB312" s="14"/>
      <c r="DC312" s="14"/>
      <c r="DD312" s="14"/>
      <c r="DE312" s="14"/>
      <c r="DF312" s="14"/>
      <c r="DG312" s="129"/>
      <c r="DH312" s="14"/>
      <c r="DI312" s="47"/>
      <c r="DJ312" s="14"/>
      <c r="DK312" s="14"/>
      <c r="DL312" s="14"/>
      <c r="DM312" s="14"/>
      <c r="DN312" s="14"/>
      <c r="DO312" s="14"/>
      <c r="DP312" s="14"/>
      <c r="DQ312" s="14"/>
      <c r="DR312" s="14"/>
      <c r="DS312" s="14"/>
      <c r="DT312" s="19"/>
      <c r="DU312" s="19"/>
      <c r="DV312" s="19"/>
      <c r="DW312" s="19"/>
      <c r="DX312" s="19"/>
      <c r="DY312" s="19"/>
      <c r="DZ312" s="19"/>
      <c r="EA312" s="19"/>
      <c r="EB312" s="19"/>
      <c r="EC312" s="19"/>
      <c r="ED312" s="14"/>
      <c r="EE312" s="14"/>
      <c r="EF312" s="14"/>
      <c r="EG312" s="14"/>
      <c r="EH312" s="14"/>
      <c r="EI312" s="14"/>
      <c r="EJ312" s="14"/>
      <c r="EK312" s="14"/>
      <c r="EL312" s="14"/>
    </row>
    <row r="313" spans="1:142" x14ac:dyDescent="0.25">
      <c r="A313" s="14"/>
      <c r="B313" s="526"/>
      <c r="C313" s="543"/>
      <c r="D313" s="543"/>
      <c r="E313" s="543"/>
      <c r="F313" s="543"/>
      <c r="G313" s="543"/>
      <c r="H313" s="543"/>
      <c r="I313" s="527"/>
      <c r="J313" s="14"/>
      <c r="K313" s="14"/>
      <c r="L313" s="14"/>
      <c r="M313" s="14"/>
      <c r="N313" s="14"/>
      <c r="O313" s="14"/>
      <c r="P313" s="14"/>
      <c r="Q313" s="47"/>
      <c r="R313" s="14"/>
      <c r="S313" s="526"/>
      <c r="T313" s="543"/>
      <c r="U313" s="543"/>
      <c r="V313" s="543"/>
      <c r="W313" s="543"/>
      <c r="X313" s="543"/>
      <c r="Y313" s="543"/>
      <c r="Z313" s="527"/>
      <c r="AA313" s="14"/>
      <c r="AB313" s="14"/>
      <c r="AC313" s="14"/>
      <c r="AD313" s="65"/>
      <c r="AE313" s="63"/>
      <c r="AF313" s="47"/>
      <c r="AG313" s="14"/>
      <c r="AH313" s="526"/>
      <c r="AI313" s="543"/>
      <c r="AJ313" s="543"/>
      <c r="AK313" s="543"/>
      <c r="AL313" s="543"/>
      <c r="AM313" s="543"/>
      <c r="AN313" s="543"/>
      <c r="AO313" s="527"/>
      <c r="AP313" s="14"/>
      <c r="AQ313" s="14"/>
      <c r="AR313" s="14"/>
      <c r="AS313" s="65"/>
      <c r="AT313" s="63"/>
      <c r="AU313" s="47"/>
      <c r="AV313" s="14"/>
      <c r="AW313" s="526"/>
      <c r="AX313" s="543"/>
      <c r="AY313" s="543"/>
      <c r="AZ313" s="543"/>
      <c r="BA313" s="543"/>
      <c r="BB313" s="543"/>
      <c r="BC313" s="543"/>
      <c r="BD313" s="527"/>
      <c r="BE313" s="14"/>
      <c r="BF313" s="14"/>
      <c r="BG313" s="14"/>
      <c r="BH313" s="65"/>
      <c r="BI313" s="63"/>
      <c r="BJ313" s="352"/>
      <c r="BK313" s="14"/>
      <c r="BL313" s="526"/>
      <c r="BM313" s="543"/>
      <c r="BN313" s="543"/>
      <c r="BO313" s="543"/>
      <c r="BP313" s="543"/>
      <c r="BQ313" s="543"/>
      <c r="BR313" s="543"/>
      <c r="BS313" s="527"/>
      <c r="BT313" s="14"/>
      <c r="BU313" s="14"/>
      <c r="BV313" s="14"/>
      <c r="BW313" s="65"/>
      <c r="BX313" s="63"/>
      <c r="BY313" s="352"/>
      <c r="BZ313" s="14"/>
      <c r="CA313" s="14"/>
      <c r="CB313" s="21"/>
      <c r="CC313" s="21"/>
      <c r="CD313" s="21"/>
      <c r="CE313" s="21"/>
      <c r="CF313" s="21"/>
      <c r="CG313" s="14"/>
      <c r="CH313" s="14"/>
      <c r="CI313" s="14"/>
      <c r="CJ313" s="14"/>
      <c r="CK313" s="14"/>
      <c r="CL313" s="14"/>
      <c r="CM313" s="14"/>
      <c r="CN313" s="14"/>
      <c r="CO313" s="129"/>
      <c r="CP313" s="14"/>
      <c r="CQ313" s="47"/>
      <c r="CR313" s="14"/>
      <c r="CS313" s="14"/>
      <c r="CT313" s="14"/>
      <c r="CU313" s="14"/>
      <c r="CV313" s="180"/>
      <c r="CW313" s="189"/>
      <c r="CX313" s="189"/>
      <c r="CY313" s="14"/>
      <c r="CZ313" s="14"/>
      <c r="DA313" s="14"/>
      <c r="DB313" s="14"/>
      <c r="DC313" s="14"/>
      <c r="DD313" s="14"/>
      <c r="DE313" s="14"/>
      <c r="DF313" s="14"/>
      <c r="DG313" s="129"/>
      <c r="DH313" s="14"/>
      <c r="DI313" s="47"/>
      <c r="DJ313" s="14"/>
      <c r="DK313" s="14"/>
      <c r="DL313" s="14"/>
      <c r="DM313" s="14"/>
      <c r="DN313" s="14"/>
      <c r="DO313" s="14"/>
      <c r="DP313" s="14"/>
      <c r="DQ313" s="14"/>
      <c r="DR313" s="14"/>
      <c r="DS313" s="14"/>
      <c r="DT313" s="19"/>
      <c r="DU313" s="17"/>
      <c r="DV313" s="51"/>
      <c r="DW313" s="51"/>
      <c r="DX313" s="51"/>
      <c r="DY313" s="51"/>
      <c r="DZ313" s="51"/>
      <c r="EA313" s="51"/>
      <c r="EB313" s="51"/>
      <c r="EC313" s="19"/>
      <c r="ED313" s="14"/>
      <c r="EE313" s="14"/>
      <c r="EF313" s="14"/>
      <c r="EG313" s="14"/>
      <c r="EH313" s="14"/>
      <c r="EI313" s="14"/>
      <c r="EJ313" s="14"/>
      <c r="EK313" s="14"/>
      <c r="EL313" s="14"/>
    </row>
    <row r="314" spans="1:142" x14ac:dyDescent="0.25">
      <c r="A314" s="14"/>
      <c r="B314" s="526"/>
      <c r="C314" s="543"/>
      <c r="D314" s="543"/>
      <c r="E314" s="543"/>
      <c r="F314" s="543"/>
      <c r="G314" s="543"/>
      <c r="H314" s="543"/>
      <c r="I314" s="527"/>
      <c r="J314" s="14"/>
      <c r="K314" s="14"/>
      <c r="L314" s="14"/>
      <c r="M314" s="14"/>
      <c r="N314" s="14"/>
      <c r="O314" s="14"/>
      <c r="P314" s="14"/>
      <c r="Q314" s="47"/>
      <c r="R314" s="14"/>
      <c r="S314" s="526"/>
      <c r="T314" s="543"/>
      <c r="U314" s="543"/>
      <c r="V314" s="543"/>
      <c r="W314" s="543"/>
      <c r="X314" s="543"/>
      <c r="Y314" s="543"/>
      <c r="Z314" s="527"/>
      <c r="AA314" s="14"/>
      <c r="AB314" s="14"/>
      <c r="AC314" s="14"/>
      <c r="AD314" s="65"/>
      <c r="AE314" s="63"/>
      <c r="AF314" s="47"/>
      <c r="AG314" s="14"/>
      <c r="AH314" s="526"/>
      <c r="AI314" s="543"/>
      <c r="AJ314" s="543"/>
      <c r="AK314" s="543"/>
      <c r="AL314" s="543"/>
      <c r="AM314" s="543"/>
      <c r="AN314" s="543"/>
      <c r="AO314" s="527"/>
      <c r="AP314" s="14"/>
      <c r="AQ314" s="14"/>
      <c r="AR314" s="14"/>
      <c r="AS314" s="65"/>
      <c r="AT314" s="63"/>
      <c r="AU314" s="47"/>
      <c r="AV314" s="14"/>
      <c r="AW314" s="526"/>
      <c r="AX314" s="543"/>
      <c r="AY314" s="543"/>
      <c r="AZ314" s="543"/>
      <c r="BA314" s="543"/>
      <c r="BB314" s="543"/>
      <c r="BC314" s="543"/>
      <c r="BD314" s="527"/>
      <c r="BE314" s="14"/>
      <c r="BF314" s="14"/>
      <c r="BG314" s="14"/>
      <c r="BH314" s="65"/>
      <c r="BI314" s="63"/>
      <c r="BJ314" s="352"/>
      <c r="BK314" s="14"/>
      <c r="BL314" s="526"/>
      <c r="BM314" s="543"/>
      <c r="BN314" s="543"/>
      <c r="BO314" s="543"/>
      <c r="BP314" s="543"/>
      <c r="BQ314" s="543"/>
      <c r="BR314" s="543"/>
      <c r="BS314" s="527"/>
      <c r="BT314" s="14"/>
      <c r="BU314" s="14"/>
      <c r="BV314" s="14"/>
      <c r="BW314" s="65"/>
      <c r="BX314" s="63"/>
      <c r="BY314" s="352"/>
      <c r="BZ314" s="14"/>
      <c r="CA314" s="14"/>
      <c r="CB314" s="21"/>
      <c r="CC314" s="21"/>
      <c r="CD314" s="21"/>
      <c r="CE314" s="21"/>
      <c r="CF314" s="21"/>
      <c r="CG314" s="14"/>
      <c r="CH314" s="14"/>
      <c r="CI314" s="14"/>
      <c r="CJ314" s="14"/>
      <c r="CK314" s="14"/>
      <c r="CL314" s="14"/>
      <c r="CM314" s="14"/>
      <c r="CN314" s="14"/>
      <c r="CO314" s="129"/>
      <c r="CP314" s="14"/>
      <c r="CQ314" s="47"/>
      <c r="CR314" s="14"/>
      <c r="CS314" s="14"/>
      <c r="CT314" s="14"/>
      <c r="CU314" s="14"/>
      <c r="CV314" s="180"/>
      <c r="CW314" s="189"/>
      <c r="CX314" s="189"/>
      <c r="CY314" s="14"/>
      <c r="CZ314" s="14"/>
      <c r="DA314" s="14"/>
      <c r="DB314" s="14"/>
      <c r="DC314" s="14"/>
      <c r="DD314" s="14"/>
      <c r="DE314" s="14"/>
      <c r="DF314" s="14"/>
      <c r="DG314" s="129"/>
      <c r="DH314" s="14"/>
      <c r="DI314" s="47"/>
      <c r="DJ314" s="14"/>
      <c r="DK314" s="14"/>
      <c r="DL314" s="14"/>
      <c r="DM314" s="14"/>
      <c r="DN314" s="14"/>
      <c r="DO314" s="14"/>
      <c r="DP314" s="14"/>
      <c r="DQ314" s="14"/>
      <c r="DR314" s="14"/>
      <c r="DS314" s="14"/>
      <c r="DT314" s="19"/>
      <c r="DU314" s="107"/>
      <c r="DV314" s="105"/>
      <c r="DW314" s="105"/>
      <c r="DX314" s="105"/>
      <c r="DY314" s="105"/>
      <c r="DZ314" s="105"/>
      <c r="EA314" s="105"/>
      <c r="EB314" s="105"/>
      <c r="EC314" s="19"/>
      <c r="ED314" s="14"/>
      <c r="EE314" s="14"/>
      <c r="EF314" s="14"/>
      <c r="EG314" s="14"/>
      <c r="EH314" s="14"/>
      <c r="EI314" s="14"/>
      <c r="EJ314" s="14"/>
      <c r="EK314" s="14"/>
      <c r="EL314" s="14"/>
    </row>
    <row r="315" spans="1:142" x14ac:dyDescent="0.25">
      <c r="A315" s="14"/>
      <c r="B315" s="528"/>
      <c r="C315" s="544"/>
      <c r="D315" s="544"/>
      <c r="E315" s="544"/>
      <c r="F315" s="544"/>
      <c r="G315" s="544"/>
      <c r="H315" s="544"/>
      <c r="I315" s="529"/>
      <c r="J315" s="14"/>
      <c r="K315" s="14"/>
      <c r="L315" s="14"/>
      <c r="M315" s="14"/>
      <c r="N315" s="14"/>
      <c r="O315" s="14"/>
      <c r="P315" s="14"/>
      <c r="Q315" s="47"/>
      <c r="R315" s="14"/>
      <c r="S315" s="528"/>
      <c r="T315" s="544"/>
      <c r="U315" s="544"/>
      <c r="V315" s="544"/>
      <c r="W315" s="544"/>
      <c r="X315" s="544"/>
      <c r="Y315" s="544"/>
      <c r="Z315" s="529"/>
      <c r="AA315" s="14"/>
      <c r="AB315" s="14"/>
      <c r="AC315" s="14"/>
      <c r="AD315" s="65"/>
      <c r="AE315" s="63"/>
      <c r="AF315" s="47"/>
      <c r="AG315" s="14"/>
      <c r="AH315" s="528"/>
      <c r="AI315" s="544"/>
      <c r="AJ315" s="544"/>
      <c r="AK315" s="544"/>
      <c r="AL315" s="544"/>
      <c r="AM315" s="544"/>
      <c r="AN315" s="544"/>
      <c r="AO315" s="529"/>
      <c r="AP315" s="14"/>
      <c r="AQ315" s="14"/>
      <c r="AR315" s="14"/>
      <c r="AS315" s="65"/>
      <c r="AT315" s="63"/>
      <c r="AU315" s="47"/>
      <c r="AV315" s="14"/>
      <c r="AW315" s="528"/>
      <c r="AX315" s="544"/>
      <c r="AY315" s="544"/>
      <c r="AZ315" s="544"/>
      <c r="BA315" s="544"/>
      <c r="BB315" s="544"/>
      <c r="BC315" s="544"/>
      <c r="BD315" s="529"/>
      <c r="BE315" s="14"/>
      <c r="BF315" s="14"/>
      <c r="BG315" s="14"/>
      <c r="BH315" s="65"/>
      <c r="BI315" s="63"/>
      <c r="BJ315" s="352"/>
      <c r="BK315" s="14"/>
      <c r="BL315" s="528"/>
      <c r="BM315" s="544"/>
      <c r="BN315" s="544"/>
      <c r="BO315" s="544"/>
      <c r="BP315" s="544"/>
      <c r="BQ315" s="544"/>
      <c r="BR315" s="544"/>
      <c r="BS315" s="529"/>
      <c r="BT315" s="14"/>
      <c r="BU315" s="14"/>
      <c r="BV315" s="14"/>
      <c r="BW315" s="65"/>
      <c r="BX315" s="63"/>
      <c r="BY315" s="352"/>
      <c r="BZ315" s="14"/>
      <c r="CA315" s="14"/>
      <c r="CB315" s="21"/>
      <c r="CC315" s="21"/>
      <c r="CD315" s="21"/>
      <c r="CE315" s="21"/>
      <c r="CF315" s="21"/>
      <c r="CG315" s="14"/>
      <c r="CH315" s="14"/>
      <c r="CI315" s="14"/>
      <c r="CJ315" s="14"/>
      <c r="CK315" s="14"/>
      <c r="CL315" s="14"/>
      <c r="CM315" s="14"/>
      <c r="CN315" s="14"/>
      <c r="CO315" s="129"/>
      <c r="CP315" s="14"/>
      <c r="CQ315" s="47"/>
      <c r="CR315" s="14"/>
      <c r="CS315" s="14"/>
      <c r="CT315" s="14"/>
      <c r="CU315" s="14"/>
      <c r="CV315" s="180"/>
      <c r="CW315" s="189"/>
      <c r="CX315" s="189"/>
      <c r="CY315" s="14"/>
      <c r="CZ315" s="14"/>
      <c r="DA315" s="14"/>
      <c r="DB315" s="14"/>
      <c r="DC315" s="14"/>
      <c r="DD315" s="14"/>
      <c r="DE315" s="14"/>
      <c r="DF315" s="14"/>
      <c r="DG315" s="129"/>
      <c r="DH315" s="14"/>
      <c r="DI315" s="47"/>
      <c r="DJ315" s="14"/>
      <c r="DK315" s="14"/>
      <c r="DL315" s="14"/>
      <c r="DM315" s="14"/>
      <c r="DN315" s="14"/>
      <c r="DO315" s="14"/>
      <c r="DP315" s="14"/>
      <c r="DQ315" s="14"/>
      <c r="DR315" s="14"/>
      <c r="DS315" s="14"/>
      <c r="DT315" s="19"/>
      <c r="DU315" s="107"/>
      <c r="DV315" s="105"/>
      <c r="DW315" s="105"/>
      <c r="DX315" s="105"/>
      <c r="DY315" s="105"/>
      <c r="DZ315" s="105"/>
      <c r="EA315" s="105"/>
      <c r="EB315" s="105"/>
      <c r="EC315" s="19"/>
      <c r="ED315" s="14"/>
      <c r="EE315" s="14"/>
      <c r="EF315" s="14"/>
      <c r="EG315" s="14"/>
      <c r="EH315" s="14"/>
      <c r="EI315" s="14"/>
      <c r="EJ315" s="14"/>
      <c r="EK315" s="14"/>
      <c r="EL315" s="14"/>
    </row>
    <row r="316" spans="1:142" x14ac:dyDescent="0.25">
      <c r="A316" s="14"/>
      <c r="B316" s="19"/>
      <c r="C316" s="40"/>
      <c r="D316" s="41"/>
      <c r="E316" s="40"/>
      <c r="F316" s="40"/>
      <c r="G316" s="40"/>
      <c r="H316" s="41"/>
      <c r="I316" s="72"/>
      <c r="J316" s="14"/>
      <c r="K316" s="14"/>
      <c r="L316" s="14"/>
      <c r="M316" s="14"/>
      <c r="N316" s="14"/>
      <c r="O316" s="14"/>
      <c r="P316" s="318"/>
      <c r="Q316" s="47"/>
      <c r="R316" s="14"/>
      <c r="S316" s="19"/>
      <c r="T316" s="14"/>
      <c r="U316" s="14"/>
      <c r="V316" s="14"/>
      <c r="W316" s="14"/>
      <c r="X316" s="14"/>
      <c r="Y316" s="14"/>
      <c r="Z316" s="14"/>
      <c r="AA316" s="14"/>
      <c r="AB316" s="14"/>
      <c r="AC316" s="14"/>
      <c r="AD316" s="65"/>
      <c r="AE316" s="63"/>
      <c r="AF316" s="47"/>
      <c r="AG316" s="14"/>
      <c r="AH316" s="19"/>
      <c r="AI316" s="14"/>
      <c r="AJ316" s="14"/>
      <c r="AK316" s="14"/>
      <c r="AL316" s="14"/>
      <c r="AM316" s="14"/>
      <c r="AN316" s="14"/>
      <c r="AO316" s="14"/>
      <c r="AP316" s="14"/>
      <c r="AQ316" s="14"/>
      <c r="AR316" s="14"/>
      <c r="AS316" s="65"/>
      <c r="AT316" s="63"/>
      <c r="AU316" s="47"/>
      <c r="AV316" s="14"/>
      <c r="AW316" s="19"/>
      <c r="AX316" s="14"/>
      <c r="AY316" s="14"/>
      <c r="AZ316" s="14"/>
      <c r="BA316" s="14"/>
      <c r="BB316" s="14"/>
      <c r="BC316" s="14"/>
      <c r="BD316" s="14"/>
      <c r="BE316" s="14"/>
      <c r="BF316" s="14"/>
      <c r="BG316" s="14"/>
      <c r="BH316" s="65"/>
      <c r="BI316" s="63"/>
      <c r="BJ316" s="352"/>
      <c r="BK316" s="14"/>
      <c r="BL316" s="19"/>
      <c r="BM316" s="14"/>
      <c r="BN316" s="14"/>
      <c r="BO316" s="14"/>
      <c r="BP316" s="14"/>
      <c r="BQ316" s="14"/>
      <c r="BR316" s="14"/>
      <c r="BS316" s="14"/>
      <c r="BT316" s="14"/>
      <c r="BU316" s="14"/>
      <c r="BV316" s="14"/>
      <c r="BW316" s="65"/>
      <c r="BX316" s="63"/>
      <c r="BY316" s="352"/>
      <c r="BZ316" s="14"/>
      <c r="CA316" s="14"/>
      <c r="CB316" s="21"/>
      <c r="CC316" s="21"/>
      <c r="CD316" s="21"/>
      <c r="CE316" s="21"/>
      <c r="CF316" s="21"/>
      <c r="CG316" s="14"/>
      <c r="CH316" s="14"/>
      <c r="CI316" s="14"/>
      <c r="CJ316" s="14"/>
      <c r="CK316" s="14"/>
      <c r="CL316" s="14"/>
      <c r="CM316" s="14"/>
      <c r="CN316" s="14"/>
      <c r="CO316" s="129"/>
      <c r="CP316" s="14"/>
      <c r="CQ316" s="49"/>
      <c r="CR316" s="14"/>
      <c r="CS316" s="14"/>
      <c r="CT316" s="14"/>
      <c r="CU316" s="14"/>
      <c r="CV316" s="180"/>
      <c r="CW316" s="189"/>
      <c r="CX316" s="189"/>
      <c r="CY316" s="14"/>
      <c r="CZ316" s="14"/>
      <c r="DA316" s="14"/>
      <c r="DB316" s="14"/>
      <c r="DC316" s="14"/>
      <c r="DD316" s="14"/>
      <c r="DE316" s="14"/>
      <c r="DF316" s="14"/>
      <c r="DG316" s="129"/>
      <c r="DH316" s="14"/>
      <c r="DI316" s="49"/>
      <c r="DJ316" s="14"/>
      <c r="DK316" s="14"/>
      <c r="DL316" s="14"/>
      <c r="DM316" s="14"/>
      <c r="DN316" s="14"/>
      <c r="DO316" s="14"/>
      <c r="DP316" s="14"/>
      <c r="DQ316" s="14"/>
      <c r="DR316" s="14"/>
      <c r="DS316" s="14"/>
      <c r="DT316" s="19"/>
      <c r="DU316" s="107"/>
      <c r="DV316" s="105"/>
      <c r="DW316" s="105"/>
      <c r="DX316" s="105"/>
      <c r="DY316" s="105"/>
      <c r="DZ316" s="105"/>
      <c r="EA316" s="105"/>
      <c r="EB316" s="105"/>
      <c r="EC316" s="19"/>
      <c r="ED316" s="14"/>
      <c r="EE316" s="14"/>
      <c r="EF316" s="14"/>
      <c r="EG316" s="14"/>
      <c r="EH316" s="14"/>
      <c r="EI316" s="14"/>
      <c r="EJ316" s="14"/>
      <c r="EK316" s="14"/>
      <c r="EL316" s="14"/>
    </row>
    <row r="317" spans="1:142" x14ac:dyDescent="0.25">
      <c r="A317" s="78"/>
      <c r="B317" s="87" t="s">
        <v>764</v>
      </c>
      <c r="C317" s="78"/>
      <c r="D317" s="79"/>
      <c r="E317" s="78"/>
      <c r="F317" s="78"/>
      <c r="G317" s="78"/>
      <c r="H317" s="79"/>
      <c r="I317" s="79"/>
      <c r="J317" s="78"/>
      <c r="K317" s="78"/>
      <c r="L317" s="78"/>
      <c r="M317" s="78"/>
      <c r="N317" s="78"/>
      <c r="O317" s="78"/>
      <c r="P317" s="78"/>
      <c r="Q317" s="47"/>
      <c r="R317" s="19"/>
      <c r="S317" s="44"/>
      <c r="T317" s="44"/>
      <c r="U317" s="44"/>
      <c r="V317" s="44"/>
      <c r="W317" s="19"/>
      <c r="X317" s="14"/>
      <c r="Y317" s="14"/>
      <c r="Z317" s="14"/>
      <c r="AA317" s="14"/>
      <c r="AB317" s="14"/>
      <c r="AC317" s="14"/>
      <c r="AD317" s="42"/>
      <c r="AE317" s="19"/>
      <c r="AF317" s="47"/>
      <c r="AG317" s="19"/>
      <c r="AH317" s="19"/>
      <c r="AI317" s="14"/>
      <c r="AJ317" s="14"/>
      <c r="AK317" s="14"/>
      <c r="AL317" s="14"/>
      <c r="AM317" s="14"/>
      <c r="AN317" s="14"/>
      <c r="AO317" s="14"/>
      <c r="AP317" s="14"/>
      <c r="AQ317" s="14"/>
      <c r="AR317" s="14"/>
      <c r="AS317" s="42"/>
      <c r="AT317" s="19"/>
      <c r="AU317" s="16"/>
      <c r="AV317" s="14"/>
      <c r="AW317" s="19"/>
      <c r="AX317" s="14"/>
      <c r="AY317" s="14"/>
      <c r="AZ317" s="14"/>
      <c r="BA317" s="14"/>
      <c r="BB317" s="14"/>
      <c r="BC317" s="14"/>
      <c r="BD317" s="14"/>
      <c r="BE317" s="14"/>
      <c r="BF317" s="14"/>
      <c r="BG317" s="14"/>
      <c r="BH317" s="65"/>
      <c r="BI317" s="63"/>
      <c r="BJ317" s="352"/>
      <c r="BK317" s="19"/>
      <c r="BL317" s="19"/>
      <c r="BM317" s="14"/>
      <c r="BN317" s="14"/>
      <c r="BO317" s="14"/>
      <c r="BP317" s="14"/>
      <c r="BQ317" s="14"/>
      <c r="BR317" s="14"/>
      <c r="BS317" s="14"/>
      <c r="BT317" s="14"/>
      <c r="BU317" s="14"/>
      <c r="BV317" s="14"/>
      <c r="BW317" s="65"/>
      <c r="BX317" s="63"/>
      <c r="BY317" s="352"/>
      <c r="BZ317" s="14"/>
      <c r="CA317" s="14"/>
      <c r="CB317" s="21"/>
      <c r="CC317" s="21"/>
      <c r="CD317" s="21"/>
      <c r="CE317" s="21"/>
      <c r="CF317" s="21"/>
      <c r="CG317" s="14"/>
      <c r="CH317" s="14"/>
      <c r="CI317" s="14"/>
      <c r="CJ317" s="14"/>
      <c r="CK317" s="14"/>
      <c r="CL317" s="14"/>
      <c r="CM317" s="14"/>
      <c r="CN317" s="14"/>
      <c r="CO317" s="129"/>
      <c r="CP317" s="14"/>
      <c r="CQ317" s="16"/>
      <c r="CR317" s="14"/>
      <c r="CS317" s="14"/>
      <c r="CT317" s="14"/>
      <c r="CU317" s="14"/>
      <c r="CV317" s="180"/>
      <c r="CW317" s="189"/>
      <c r="CX317" s="189"/>
      <c r="CY317" s="14"/>
      <c r="CZ317" s="14"/>
      <c r="DA317" s="14"/>
      <c r="DB317" s="14"/>
      <c r="DC317" s="14"/>
      <c r="DD317" s="14"/>
      <c r="DE317" s="14"/>
      <c r="DF317" s="14"/>
      <c r="DG317" s="129"/>
      <c r="DH317" s="14"/>
      <c r="DI317" s="16"/>
      <c r="DJ317" s="14"/>
      <c r="DK317" s="14"/>
      <c r="DL317" s="14"/>
      <c r="DM317" s="14"/>
      <c r="DN317" s="14"/>
      <c r="DO317" s="14"/>
      <c r="DP317" s="14"/>
      <c r="DQ317" s="14"/>
      <c r="DR317" s="14"/>
      <c r="DS317" s="14"/>
      <c r="DT317" s="19"/>
      <c r="DU317" s="107"/>
      <c r="DV317" s="105"/>
      <c r="DW317" s="105"/>
      <c r="DX317" s="105"/>
      <c r="DY317" s="105"/>
      <c r="DZ317" s="105"/>
      <c r="EA317" s="105"/>
      <c r="EB317" s="105"/>
      <c r="EC317" s="19"/>
      <c r="ED317" s="14"/>
      <c r="EE317" s="14"/>
      <c r="EF317" s="14"/>
      <c r="EG317" s="14"/>
      <c r="EH317" s="14"/>
      <c r="EI317" s="14"/>
      <c r="EJ317" s="14"/>
      <c r="EK317" s="14"/>
      <c r="EL317" s="14"/>
    </row>
    <row r="318" spans="1:142" x14ac:dyDescent="0.25">
      <c r="A318" s="14"/>
      <c r="B318" s="19" t="s">
        <v>772</v>
      </c>
      <c r="C318" s="40"/>
      <c r="D318" s="41"/>
      <c r="E318" s="40"/>
      <c r="F318" s="14"/>
      <c r="G318" s="14"/>
      <c r="H318" s="21"/>
      <c r="I318" s="21"/>
      <c r="J318" s="14"/>
      <c r="K318" s="14"/>
      <c r="L318" s="14"/>
      <c r="M318" s="14"/>
      <c r="N318" s="14"/>
      <c r="O318" s="14"/>
      <c r="P318" s="14"/>
      <c r="Q318" s="47"/>
      <c r="R318" s="19"/>
      <c r="S318" s="14"/>
      <c r="T318" s="14"/>
      <c r="U318" s="14"/>
      <c r="V318" s="14"/>
      <c r="W318" s="14"/>
      <c r="X318" s="14"/>
      <c r="Y318" s="14"/>
      <c r="Z318" s="14"/>
      <c r="AA318" s="14"/>
      <c r="AB318" s="14"/>
      <c r="AC318" s="14"/>
      <c r="AD318" s="42"/>
      <c r="AE318" s="19"/>
      <c r="AF318" s="47"/>
      <c r="AG318" s="19"/>
      <c r="AH318" s="14"/>
      <c r="AI318" s="14"/>
      <c r="AJ318" s="14"/>
      <c r="AK318" s="14"/>
      <c r="AL318" s="14"/>
      <c r="AM318" s="14"/>
      <c r="AN318" s="14"/>
      <c r="AO318" s="14"/>
      <c r="AP318" s="14"/>
      <c r="AQ318" s="14"/>
      <c r="AR318" s="14"/>
      <c r="AS318" s="42"/>
      <c r="AT318" s="19"/>
      <c r="AU318" s="16"/>
      <c r="AV318" s="14"/>
      <c r="AW318" s="14"/>
      <c r="AX318" s="14"/>
      <c r="AY318" s="14"/>
      <c r="AZ318" s="14"/>
      <c r="BA318" s="14"/>
      <c r="BB318" s="14"/>
      <c r="BC318" s="14"/>
      <c r="BD318" s="14"/>
      <c r="BE318" s="14"/>
      <c r="BF318" s="14"/>
      <c r="BG318" s="14"/>
      <c r="BH318" s="65"/>
      <c r="BI318" s="63"/>
      <c r="BJ318" s="352"/>
      <c r="BK318" s="19"/>
      <c r="BL318" s="14"/>
      <c r="BM318" s="14"/>
      <c r="BN318" s="14"/>
      <c r="BO318" s="14"/>
      <c r="BP318" s="14"/>
      <c r="BQ318" s="14"/>
      <c r="BR318" s="14"/>
      <c r="BS318" s="14"/>
      <c r="BT318" s="14"/>
      <c r="BU318" s="14"/>
      <c r="BV318" s="14"/>
      <c r="BW318" s="65"/>
      <c r="BX318" s="63"/>
      <c r="BY318" s="352"/>
      <c r="BZ318" s="14"/>
      <c r="CA318" s="14"/>
      <c r="CB318" s="21"/>
      <c r="CC318" s="21"/>
      <c r="CD318" s="21"/>
      <c r="CE318" s="21"/>
      <c r="CF318" s="21"/>
      <c r="CG318" s="14"/>
      <c r="CH318" s="14"/>
      <c r="CI318" s="14"/>
      <c r="CJ318" s="14"/>
      <c r="CK318" s="14"/>
      <c r="CL318" s="14"/>
      <c r="CM318" s="14"/>
      <c r="CN318" s="14"/>
      <c r="CO318" s="129"/>
      <c r="CP318" s="14"/>
      <c r="CQ318" s="16"/>
      <c r="CR318" s="14"/>
      <c r="CS318" s="14"/>
      <c r="CT318" s="14"/>
      <c r="CU318" s="14"/>
      <c r="CV318" s="180"/>
      <c r="CW318" s="189"/>
      <c r="CX318" s="189"/>
      <c r="CY318" s="14"/>
      <c r="CZ318" s="14"/>
      <c r="DA318" s="14"/>
      <c r="DB318" s="14"/>
      <c r="DC318" s="14"/>
      <c r="DD318" s="14"/>
      <c r="DE318" s="14"/>
      <c r="DF318" s="14"/>
      <c r="DG318" s="129"/>
      <c r="DH318" s="14"/>
      <c r="DI318" s="16"/>
      <c r="DJ318" s="14"/>
      <c r="DK318" s="14"/>
      <c r="DL318" s="14"/>
      <c r="DM318" s="14"/>
      <c r="DN318" s="14"/>
      <c r="DO318" s="14"/>
      <c r="DP318" s="14"/>
      <c r="DQ318" s="14"/>
      <c r="DR318" s="14"/>
      <c r="DS318" s="14"/>
      <c r="DT318" s="19"/>
      <c r="DU318" s="107"/>
      <c r="DV318" s="105"/>
      <c r="DW318" s="105"/>
      <c r="DX318" s="105"/>
      <c r="DY318" s="105"/>
      <c r="DZ318" s="105"/>
      <c r="EA318" s="105"/>
      <c r="EB318" s="105"/>
      <c r="EC318" s="19"/>
      <c r="ED318" s="14"/>
      <c r="EE318" s="14"/>
      <c r="EF318" s="14"/>
      <c r="EG318" s="14"/>
      <c r="EH318" s="14"/>
      <c r="EI318" s="14"/>
      <c r="EJ318" s="14"/>
      <c r="EK318" s="14"/>
      <c r="EL318" s="14"/>
    </row>
    <row r="319" spans="1:142" x14ac:dyDescent="0.25">
      <c r="A319" s="14"/>
      <c r="B319" s="19"/>
      <c r="C319" s="40"/>
      <c r="D319" s="41"/>
      <c r="E319" s="40"/>
      <c r="F319" s="14"/>
      <c r="G319" s="14"/>
      <c r="H319" s="21"/>
      <c r="I319" s="21"/>
      <c r="J319" s="14"/>
      <c r="K319" s="14"/>
      <c r="L319" s="14"/>
      <c r="M319" s="14"/>
      <c r="N319" s="14"/>
      <c r="O319" s="14"/>
      <c r="P319" s="14"/>
      <c r="Q319" s="47"/>
      <c r="R319" s="19"/>
      <c r="S319" s="14"/>
      <c r="T319" s="14"/>
      <c r="U319" s="14"/>
      <c r="V319" s="14"/>
      <c r="W319" s="14"/>
      <c r="X319" s="14"/>
      <c r="Y319" s="14"/>
      <c r="Z319" s="14"/>
      <c r="AA319" s="14"/>
      <c r="AB319" s="14"/>
      <c r="AC319" s="14"/>
      <c r="AD319" s="42"/>
      <c r="AE319" s="19"/>
      <c r="AF319" s="47"/>
      <c r="AG319" s="19"/>
      <c r="AH319" s="14"/>
      <c r="AI319" s="14"/>
      <c r="AJ319" s="14"/>
      <c r="AK319" s="14"/>
      <c r="AL319" s="14"/>
      <c r="AM319" s="14"/>
      <c r="AN319" s="14"/>
      <c r="AO319" s="14"/>
      <c r="AP319" s="14"/>
      <c r="AQ319" s="14"/>
      <c r="AR319" s="14"/>
      <c r="AS319" s="42"/>
      <c r="AT319" s="19"/>
      <c r="AU319" s="16"/>
      <c r="AV319" s="14"/>
      <c r="AW319" s="14"/>
      <c r="AX319" s="14"/>
      <c r="AY319" s="14"/>
      <c r="AZ319" s="14"/>
      <c r="BA319" s="14"/>
      <c r="BB319" s="14"/>
      <c r="BC319" s="14"/>
      <c r="BD319" s="14"/>
      <c r="BE319" s="14"/>
      <c r="BF319" s="14"/>
      <c r="BG319" s="14"/>
      <c r="BH319" s="65"/>
      <c r="BI319" s="63"/>
      <c r="BJ319" s="352"/>
      <c r="BK319" s="19"/>
      <c r="BL319" s="14"/>
      <c r="BM319" s="14"/>
      <c r="BN319" s="14"/>
      <c r="BO319" s="14"/>
      <c r="BP319" s="14"/>
      <c r="BQ319" s="14"/>
      <c r="BR319" s="14"/>
      <c r="BS319" s="14"/>
      <c r="BT319" s="14"/>
      <c r="BU319" s="14"/>
      <c r="BV319" s="14"/>
      <c r="BW319" s="65"/>
      <c r="BX319" s="63"/>
      <c r="BY319" s="352"/>
      <c r="BZ319" s="14"/>
      <c r="CA319" s="14"/>
      <c r="CB319" s="21"/>
      <c r="CC319" s="21"/>
      <c r="CD319" s="21"/>
      <c r="CE319" s="21"/>
      <c r="CF319" s="21"/>
      <c r="CG319" s="14"/>
      <c r="CH319" s="14"/>
      <c r="CI319" s="14"/>
      <c r="CJ319" s="14"/>
      <c r="CK319" s="14"/>
      <c r="CL319" s="14"/>
      <c r="CM319" s="14"/>
      <c r="CN319" s="14"/>
      <c r="CO319" s="129"/>
      <c r="CP319" s="14"/>
      <c r="CQ319" s="16"/>
      <c r="CR319" s="14"/>
      <c r="CS319" s="14"/>
      <c r="CT319" s="14"/>
      <c r="CU319" s="14"/>
      <c r="CV319" s="180"/>
      <c r="CW319" s="189"/>
      <c r="CX319" s="189"/>
      <c r="CY319" s="14"/>
      <c r="CZ319" s="14"/>
      <c r="DA319" s="14"/>
      <c r="DB319" s="14"/>
      <c r="DC319" s="14"/>
      <c r="DD319" s="14"/>
      <c r="DE319" s="14"/>
      <c r="DF319" s="14"/>
      <c r="DG319" s="129"/>
      <c r="DH319" s="14"/>
      <c r="DI319" s="16"/>
      <c r="DJ319" s="14"/>
      <c r="DK319" s="14"/>
      <c r="DL319" s="14"/>
      <c r="DM319" s="14"/>
      <c r="DN319" s="14"/>
      <c r="DO319" s="14"/>
      <c r="DP319" s="14"/>
      <c r="DQ319" s="14"/>
      <c r="DR319" s="14"/>
      <c r="DS319" s="14"/>
      <c r="DT319" s="19"/>
      <c r="DU319" s="199"/>
      <c r="DV319" s="200"/>
      <c r="DW319" s="200"/>
      <c r="DX319" s="200"/>
      <c r="DY319" s="200"/>
      <c r="DZ319" s="200"/>
      <c r="EA319" s="200"/>
      <c r="EB319" s="200"/>
      <c r="EC319" s="19"/>
      <c r="ED319" s="14"/>
      <c r="EE319" s="14"/>
      <c r="EF319" s="14"/>
      <c r="EG319" s="14"/>
      <c r="EH319" s="14"/>
      <c r="EI319" s="14"/>
      <c r="EJ319" s="14"/>
      <c r="EK319" s="14"/>
      <c r="EL319" s="14"/>
    </row>
    <row r="320" spans="1:142" x14ac:dyDescent="0.25">
      <c r="A320" s="14"/>
      <c r="B320" s="379" t="s">
        <v>765</v>
      </c>
      <c r="C320" s="354"/>
      <c r="D320" s="380"/>
      <c r="E320" s="354"/>
      <c r="F320" s="382">
        <f>COUNTIFS(Response_Q181_1,"Somewhat Confident",Response_Q173_3,"I don’t know",Response_Q172_1,"I don’t know",Response_Q176_2,"I don’t know",Response_30b_CaseA,"I don’t know",Response_30b_CaseB,"I don’t know",Response_30b_CaseC,"I don’t know",Response_Q177_2,"I don’t know",Response_Q177_4,"I don’t know",Response_Q177_6,"I don’t know",Response_Q177_8,"I don’t know",Response_Q177_10,"I don’t know",Response_Q177_12,"I don’t know",Response_Q177_14,"I don’t know",Response_Q178_2,"I don’t know",Response_Q178_4,"I don’t know",Response_Q178_6,"I don’t know",Response_Q178_8,"I don’t know",Response_Q178_10,"I don’t know",Response_Q178_12,"I don’t know")</f>
        <v>0</v>
      </c>
      <c r="G320" s="14"/>
      <c r="H320" s="21"/>
      <c r="I320" s="21"/>
      <c r="J320" s="14"/>
      <c r="K320" s="14"/>
      <c r="L320" s="14"/>
      <c r="M320" s="14"/>
      <c r="N320" s="14"/>
      <c r="O320" s="14"/>
      <c r="P320" s="14"/>
      <c r="Q320" s="47"/>
      <c r="R320" s="19"/>
      <c r="S320" s="14"/>
      <c r="T320" s="14"/>
      <c r="U320" s="14"/>
      <c r="V320" s="14"/>
      <c r="W320" s="14"/>
      <c r="X320" s="14"/>
      <c r="Y320" s="14"/>
      <c r="Z320" s="14"/>
      <c r="AA320" s="14"/>
      <c r="AB320" s="14"/>
      <c r="AC320" s="14"/>
      <c r="AD320" s="42"/>
      <c r="AE320" s="19"/>
      <c r="AF320" s="47"/>
      <c r="AG320" s="19"/>
      <c r="AH320" s="14"/>
      <c r="AI320" s="14"/>
      <c r="AJ320" s="14"/>
      <c r="AK320" s="14"/>
      <c r="AL320" s="14"/>
      <c r="AM320" s="14"/>
      <c r="AN320" s="14"/>
      <c r="AO320" s="14"/>
      <c r="AP320" s="14"/>
      <c r="AQ320" s="14"/>
      <c r="AR320" s="14"/>
      <c r="AS320" s="42"/>
      <c r="AT320" s="19"/>
      <c r="AU320" s="16"/>
      <c r="AV320" s="14"/>
      <c r="AW320" s="14"/>
      <c r="AX320" s="14"/>
      <c r="AY320" s="14"/>
      <c r="AZ320" s="14"/>
      <c r="BA320" s="14"/>
      <c r="BB320" s="14"/>
      <c r="BC320" s="14"/>
      <c r="BD320" s="14"/>
      <c r="BE320" s="14"/>
      <c r="BF320" s="14"/>
      <c r="BG320" s="14"/>
      <c r="BH320" s="65"/>
      <c r="BI320" s="63"/>
      <c r="BJ320" s="352"/>
      <c r="BK320" s="19"/>
      <c r="BL320" s="14"/>
      <c r="BM320" s="14"/>
      <c r="BN320" s="14"/>
      <c r="BO320" s="14"/>
      <c r="BP320" s="14"/>
      <c r="BQ320" s="14"/>
      <c r="BR320" s="14"/>
      <c r="BS320" s="14"/>
      <c r="BT320" s="14"/>
      <c r="BU320" s="14"/>
      <c r="BV320" s="14"/>
      <c r="BW320" s="65"/>
      <c r="BX320" s="63"/>
      <c r="BY320" s="352"/>
      <c r="BZ320" s="14"/>
      <c r="CA320" s="14"/>
      <c r="CB320" s="21"/>
      <c r="CC320" s="21"/>
      <c r="CD320" s="21"/>
      <c r="CE320" s="21"/>
      <c r="CF320" s="21"/>
      <c r="CG320" s="14"/>
      <c r="CH320" s="14"/>
      <c r="CI320" s="14"/>
      <c r="CJ320" s="14"/>
      <c r="CK320" s="14"/>
      <c r="CL320" s="14"/>
      <c r="CM320" s="14"/>
      <c r="CN320" s="14"/>
      <c r="CO320" s="129"/>
      <c r="CP320" s="14"/>
      <c r="CQ320" s="16"/>
      <c r="CR320" s="14"/>
      <c r="CS320" s="14"/>
      <c r="CT320" s="14"/>
      <c r="CU320" s="14"/>
      <c r="CV320" s="180"/>
      <c r="CW320" s="189"/>
      <c r="CX320" s="189"/>
      <c r="CY320" s="14"/>
      <c r="CZ320" s="14"/>
      <c r="DA320" s="14"/>
      <c r="DB320" s="14"/>
      <c r="DC320" s="14"/>
      <c r="DD320" s="14"/>
      <c r="DE320" s="14"/>
      <c r="DF320" s="14"/>
      <c r="DG320" s="129"/>
      <c r="DH320" s="14"/>
      <c r="DI320" s="16"/>
      <c r="DJ320" s="14"/>
      <c r="DK320" s="14"/>
      <c r="DL320" s="14"/>
      <c r="DM320" s="14"/>
      <c r="DN320" s="14"/>
      <c r="DO320" s="14"/>
      <c r="DP320" s="14"/>
      <c r="DQ320" s="14"/>
      <c r="DR320" s="14"/>
      <c r="DS320" s="14"/>
      <c r="DT320" s="19"/>
      <c r="DU320" s="19"/>
      <c r="DV320" s="19"/>
      <c r="DW320" s="19"/>
      <c r="DX320" s="19"/>
      <c r="DY320" s="19"/>
      <c r="DZ320" s="19"/>
      <c r="EA320" s="19"/>
      <c r="EB320" s="19"/>
      <c r="EC320" s="19"/>
      <c r="ED320" s="14"/>
      <c r="EE320" s="14"/>
      <c r="EF320" s="14"/>
      <c r="EG320" s="14"/>
      <c r="EH320" s="14"/>
      <c r="EI320" s="14"/>
      <c r="EJ320" s="14"/>
      <c r="EK320" s="14"/>
      <c r="EL320" s="14"/>
    </row>
    <row r="321" spans="1:142" x14ac:dyDescent="0.25">
      <c r="A321" s="14"/>
      <c r="B321" s="203" t="s">
        <v>766</v>
      </c>
      <c r="C321" s="19"/>
      <c r="D321" s="27"/>
      <c r="E321" s="19"/>
      <c r="F321" s="383">
        <f>COUNTIFS(Response_Q181_1,"Confident",Response_Q173_3,"I don’t know",Response_Q172_1,"I don’t know",Response_Q176_2,"I don’t know",Response_30b_CaseA,"I don’t know",Response_30b_CaseB,"I don’t know",Response_30b_CaseC,"I don’t know",Response_Q177_2,"I don’t know",Response_Q177_4,"I don’t know",Response_Q177_6,"I don’t know",Response_Q177_8,"I don’t know",Response_Q177_10,"I don’t know",Response_Q177_12,"I don’t know",Response_Q177_14,"I don’t know",Response_Q178_2,"I don’t know",Response_Q178_4,"I don’t know",Response_Q178_6,"I don’t know",Response_Q178_8,"I don’t know",Response_Q178_10,"I don’t know",Response_Q178_12,"I don’t know")</f>
        <v>0</v>
      </c>
      <c r="G321" s="14"/>
      <c r="H321" s="21"/>
      <c r="I321" s="21"/>
      <c r="J321" s="14"/>
      <c r="K321" s="14"/>
      <c r="L321" s="14"/>
      <c r="M321" s="14"/>
      <c r="N321" s="14"/>
      <c r="O321" s="14"/>
      <c r="P321" s="14"/>
      <c r="Q321" s="47"/>
      <c r="R321" s="19"/>
      <c r="S321" s="14"/>
      <c r="T321" s="14"/>
      <c r="U321" s="14"/>
      <c r="V321" s="14"/>
      <c r="W321" s="14"/>
      <c r="X321" s="14"/>
      <c r="Y321" s="14"/>
      <c r="Z321" s="14"/>
      <c r="AA321" s="14"/>
      <c r="AB321" s="14"/>
      <c r="AC321" s="14"/>
      <c r="AD321" s="42"/>
      <c r="AE321" s="19"/>
      <c r="AF321" s="47"/>
      <c r="AG321" s="19"/>
      <c r="AH321" s="14"/>
      <c r="AI321" s="14"/>
      <c r="AJ321" s="14"/>
      <c r="AK321" s="14"/>
      <c r="AL321" s="14"/>
      <c r="AM321" s="14"/>
      <c r="AN321" s="14"/>
      <c r="AO321" s="14"/>
      <c r="AP321" s="14"/>
      <c r="AQ321" s="14"/>
      <c r="AR321" s="14"/>
      <c r="AS321" s="42"/>
      <c r="AT321" s="19"/>
      <c r="AU321" s="16"/>
      <c r="AV321" s="14"/>
      <c r="AW321" s="14"/>
      <c r="AX321" s="14"/>
      <c r="AY321" s="14"/>
      <c r="AZ321" s="14"/>
      <c r="BA321" s="14"/>
      <c r="BB321" s="14"/>
      <c r="BC321" s="14"/>
      <c r="BD321" s="14"/>
      <c r="BE321" s="14"/>
      <c r="BF321" s="14"/>
      <c r="BG321" s="14"/>
      <c r="BH321" s="65"/>
      <c r="BI321" s="63"/>
      <c r="BJ321" s="352"/>
      <c r="BK321" s="19"/>
      <c r="BL321" s="14"/>
      <c r="BM321" s="14"/>
      <c r="BN321" s="14"/>
      <c r="BO321" s="14"/>
      <c r="BP321" s="14"/>
      <c r="BQ321" s="14"/>
      <c r="BR321" s="14"/>
      <c r="BS321" s="14"/>
      <c r="BT321" s="14"/>
      <c r="BU321" s="14"/>
      <c r="BV321" s="14"/>
      <c r="BW321" s="65"/>
      <c r="BX321" s="63"/>
      <c r="BY321" s="352"/>
      <c r="BZ321" s="14"/>
      <c r="CA321" s="14"/>
      <c r="CB321" s="21"/>
      <c r="CC321" s="21"/>
      <c r="CD321" s="21"/>
      <c r="CE321" s="21"/>
      <c r="CF321" s="21"/>
      <c r="CG321" s="14"/>
      <c r="CH321" s="14"/>
      <c r="CI321" s="14"/>
      <c r="CJ321" s="14"/>
      <c r="CK321" s="14"/>
      <c r="CL321" s="14"/>
      <c r="CM321" s="14"/>
      <c r="CN321" s="14"/>
      <c r="CO321" s="129"/>
      <c r="CP321" s="14"/>
      <c r="CQ321" s="16"/>
      <c r="CR321" s="14"/>
      <c r="CS321" s="14"/>
      <c r="CT321" s="14"/>
      <c r="CU321" s="14"/>
      <c r="CV321" s="180"/>
      <c r="CW321" s="189"/>
      <c r="CX321" s="189"/>
      <c r="CY321" s="14"/>
      <c r="CZ321" s="14"/>
      <c r="DA321" s="14"/>
      <c r="DB321" s="14"/>
      <c r="DC321" s="14"/>
      <c r="DD321" s="14"/>
      <c r="DE321" s="14"/>
      <c r="DF321" s="14"/>
      <c r="DG321" s="129"/>
      <c r="DH321" s="14"/>
      <c r="DI321" s="16"/>
      <c r="DJ321" s="14"/>
      <c r="DK321" s="14"/>
      <c r="DL321" s="14"/>
      <c r="DM321" s="14"/>
      <c r="DN321" s="14"/>
      <c r="DO321" s="14"/>
      <c r="DP321" s="14"/>
      <c r="DQ321" s="14"/>
      <c r="DR321" s="14"/>
      <c r="DS321" s="14"/>
      <c r="DT321" s="19"/>
      <c r="DU321" s="19"/>
      <c r="DV321" s="19"/>
      <c r="DW321" s="19"/>
      <c r="DX321" s="19"/>
      <c r="DY321" s="19"/>
      <c r="DZ321" s="19"/>
      <c r="EA321" s="19"/>
      <c r="EB321" s="19"/>
      <c r="EC321" s="19"/>
      <c r="ED321" s="14"/>
      <c r="EE321" s="14"/>
      <c r="EF321" s="14"/>
      <c r="EG321" s="14"/>
      <c r="EH321" s="14"/>
      <c r="EI321" s="14"/>
      <c r="EJ321" s="14"/>
      <c r="EK321" s="14"/>
      <c r="EL321" s="14"/>
    </row>
    <row r="322" spans="1:142" x14ac:dyDescent="0.25">
      <c r="A322" s="14"/>
      <c r="B322" s="319" t="s">
        <v>767</v>
      </c>
      <c r="C322" s="321"/>
      <c r="D322" s="381"/>
      <c r="E322" s="321"/>
      <c r="F322" s="384">
        <f>COUNTIFS(Response_Q181_1,"Very Confident",Response_Q173_3,"I don’t know",Response_Q172_1,"I don’t know",Response_Q176_2,"I don’t know",Response_30b_CaseA,"I don’t know",Response_30b_CaseB,"I don’t know",Response_30b_CaseC,"I don’t know",Response_Q177_2,"I don’t know",Response_Q177_4,"I don’t know",Response_Q177_6,"I don’t know",Response_Q177_8,"I don’t know",Response_Q177_10,"I don’t know",Response_Q177_12,"I don’t know",Response_Q177_14,"I don’t know",Response_Q178_2,"I don’t know",Response_Q178_4,"I don’t know",Response_Q178_6,"I don’t know",Response_Q178_8,"I don’t know",Response_Q178_10,"I don’t know",Response_Q178_12,"I don’t know")</f>
        <v>0</v>
      </c>
      <c r="G322" s="14"/>
      <c r="H322" s="21"/>
      <c r="I322" s="21"/>
      <c r="J322" s="14"/>
      <c r="K322" s="14"/>
      <c r="L322" s="14"/>
      <c r="M322" s="14"/>
      <c r="N322" s="14"/>
      <c r="O322" s="14"/>
      <c r="P322" s="14"/>
      <c r="Q322" s="47"/>
      <c r="R322" s="19"/>
      <c r="S322" s="14"/>
      <c r="T322" s="14"/>
      <c r="U322" s="14"/>
      <c r="V322" s="14"/>
      <c r="W322" s="14"/>
      <c r="X322" s="14"/>
      <c r="Y322" s="14"/>
      <c r="Z322" s="14"/>
      <c r="AA322" s="14"/>
      <c r="AB322" s="14"/>
      <c r="AC322" s="14"/>
      <c r="AD322" s="42"/>
      <c r="AE322" s="19"/>
      <c r="AF322" s="47"/>
      <c r="AG322" s="19"/>
      <c r="AH322" s="14"/>
      <c r="AI322" s="14"/>
      <c r="AJ322" s="14"/>
      <c r="AK322" s="14"/>
      <c r="AL322" s="14"/>
      <c r="AM322" s="14"/>
      <c r="AN322" s="14"/>
      <c r="AO322" s="14"/>
      <c r="AP322" s="14"/>
      <c r="AQ322" s="14"/>
      <c r="AR322" s="14"/>
      <c r="AS322" s="42"/>
      <c r="AT322" s="19"/>
      <c r="AU322" s="16"/>
      <c r="AV322" s="14"/>
      <c r="AW322" s="14"/>
      <c r="AX322" s="14"/>
      <c r="AY322" s="14"/>
      <c r="AZ322" s="14"/>
      <c r="BA322" s="14"/>
      <c r="BB322" s="14"/>
      <c r="BC322" s="14"/>
      <c r="BD322" s="14"/>
      <c r="BE322" s="14"/>
      <c r="BF322" s="14"/>
      <c r="BG322" s="14"/>
      <c r="BH322" s="65"/>
      <c r="BI322" s="63"/>
      <c r="BJ322" s="352"/>
      <c r="BK322" s="19"/>
      <c r="BL322" s="14"/>
      <c r="BM322" s="14"/>
      <c r="BN322" s="14"/>
      <c r="BO322" s="14"/>
      <c r="BP322" s="14"/>
      <c r="BQ322" s="14"/>
      <c r="BR322" s="14"/>
      <c r="BS322" s="14"/>
      <c r="BT322" s="14"/>
      <c r="BU322" s="14"/>
      <c r="BV322" s="14"/>
      <c r="BW322" s="65"/>
      <c r="BX322" s="63"/>
      <c r="BY322" s="352"/>
      <c r="BZ322" s="14"/>
      <c r="CA322" s="14"/>
      <c r="CB322" s="21"/>
      <c r="CC322" s="21"/>
      <c r="CD322" s="21"/>
      <c r="CE322" s="21"/>
      <c r="CF322" s="21"/>
      <c r="CG322" s="14"/>
      <c r="CH322" s="14"/>
      <c r="CI322" s="14"/>
      <c r="CJ322" s="14"/>
      <c r="CK322" s="14"/>
      <c r="CL322" s="14"/>
      <c r="CM322" s="14"/>
      <c r="CN322" s="14"/>
      <c r="CO322" s="129"/>
      <c r="CP322" s="14"/>
      <c r="CQ322" s="16"/>
      <c r="CR322" s="14"/>
      <c r="CS322" s="14"/>
      <c r="CT322" s="14"/>
      <c r="CU322" s="14"/>
      <c r="CV322" s="180"/>
      <c r="CW322" s="189"/>
      <c r="CX322" s="189"/>
      <c r="CY322" s="14"/>
      <c r="CZ322" s="14"/>
      <c r="DA322" s="14"/>
      <c r="DB322" s="14"/>
      <c r="DC322" s="14"/>
      <c r="DD322" s="14"/>
      <c r="DE322" s="14"/>
      <c r="DF322" s="14"/>
      <c r="DG322" s="129"/>
      <c r="DH322" s="14"/>
      <c r="DI322" s="16"/>
      <c r="DJ322" s="14"/>
      <c r="DK322" s="14"/>
      <c r="DL322" s="14"/>
      <c r="DM322" s="14"/>
      <c r="DN322" s="14"/>
      <c r="DO322" s="14"/>
      <c r="DP322" s="14"/>
      <c r="DQ322" s="14"/>
      <c r="DR322" s="14"/>
      <c r="DS322" s="14"/>
      <c r="DT322" s="19"/>
      <c r="DU322" s="6"/>
      <c r="DV322" s="6"/>
      <c r="DW322" s="6"/>
      <c r="DX322" s="6"/>
      <c r="DY322" s="6"/>
      <c r="DZ322" s="6"/>
      <c r="EA322" s="6"/>
      <c r="EB322" s="6"/>
      <c r="EC322" s="19"/>
      <c r="ED322" s="14"/>
      <c r="EE322" s="14"/>
      <c r="EF322" s="14"/>
      <c r="EG322" s="14"/>
      <c r="EH322" s="14"/>
      <c r="EI322" s="14"/>
      <c r="EJ322" s="14"/>
      <c r="EK322" s="14"/>
      <c r="EL322" s="14"/>
    </row>
    <row r="323" spans="1:142" x14ac:dyDescent="0.25">
      <c r="A323" s="14"/>
      <c r="B323" s="14"/>
      <c r="C323" s="14"/>
      <c r="D323" s="21"/>
      <c r="E323" s="14"/>
      <c r="F323" s="14"/>
      <c r="G323" s="14"/>
      <c r="H323" s="21"/>
      <c r="I323" s="21"/>
      <c r="J323" s="14"/>
      <c r="K323" s="14"/>
      <c r="L323" s="14"/>
      <c r="M323" s="14"/>
      <c r="N323" s="14"/>
      <c r="O323" s="14"/>
      <c r="P323" s="14"/>
      <c r="Q323" s="47"/>
      <c r="R323" s="19"/>
      <c r="S323" s="14"/>
      <c r="T323" s="14"/>
      <c r="U323" s="14"/>
      <c r="V323" s="14"/>
      <c r="W323" s="14"/>
      <c r="X323" s="14"/>
      <c r="Y323" s="14"/>
      <c r="Z323" s="14"/>
      <c r="AA323" s="14"/>
      <c r="AB323" s="14"/>
      <c r="AC323" s="14"/>
      <c r="AD323" s="42"/>
      <c r="AE323" s="19"/>
      <c r="AF323" s="47"/>
      <c r="AG323" s="19"/>
      <c r="AH323" s="14"/>
      <c r="AI323" s="14"/>
      <c r="AJ323" s="14"/>
      <c r="AK323" s="14"/>
      <c r="AL323" s="14"/>
      <c r="AM323" s="14"/>
      <c r="AN323" s="14"/>
      <c r="AO323" s="14"/>
      <c r="AP323" s="14"/>
      <c r="AQ323" s="14"/>
      <c r="AR323" s="14"/>
      <c r="AS323" s="42"/>
      <c r="AT323" s="19"/>
      <c r="AU323" s="16"/>
      <c r="AV323" s="14"/>
      <c r="AW323" s="14"/>
      <c r="AX323" s="14"/>
      <c r="AY323" s="14"/>
      <c r="AZ323" s="14"/>
      <c r="BA323" s="14"/>
      <c r="BB323" s="14"/>
      <c r="BC323" s="14"/>
      <c r="BD323" s="14"/>
      <c r="BE323" s="14"/>
      <c r="BF323" s="14"/>
      <c r="BG323" s="14"/>
      <c r="BH323" s="65"/>
      <c r="BI323" s="63"/>
      <c r="BJ323" s="352"/>
      <c r="BK323" s="19"/>
      <c r="BL323" s="14"/>
      <c r="BM323" s="14"/>
      <c r="BN323" s="14"/>
      <c r="BO323" s="14"/>
      <c r="BP323" s="14"/>
      <c r="BQ323" s="14"/>
      <c r="BR323" s="14"/>
      <c r="BS323" s="14"/>
      <c r="BT323" s="14"/>
      <c r="BU323" s="14"/>
      <c r="BV323" s="14"/>
      <c r="BW323" s="65"/>
      <c r="BX323" s="63"/>
      <c r="BY323" s="352"/>
      <c r="BZ323" s="14"/>
      <c r="CA323" s="14"/>
      <c r="CB323" s="21"/>
      <c r="CC323" s="21"/>
      <c r="CD323" s="21"/>
      <c r="CE323" s="21"/>
      <c r="CF323" s="21"/>
      <c r="CG323" s="14"/>
      <c r="CH323" s="14"/>
      <c r="CI323" s="14"/>
      <c r="CJ323" s="14"/>
      <c r="CK323" s="14"/>
      <c r="CL323" s="14"/>
      <c r="CM323" s="14"/>
      <c r="CN323" s="14"/>
      <c r="CO323" s="129"/>
      <c r="CP323" s="14"/>
      <c r="CQ323" s="16"/>
      <c r="CR323" s="14"/>
      <c r="CS323" s="14"/>
      <c r="CT323" s="14"/>
      <c r="CU323" s="14"/>
      <c r="CV323" s="180"/>
      <c r="CW323" s="189"/>
      <c r="CX323" s="189"/>
      <c r="CY323" s="14"/>
      <c r="CZ323" s="14"/>
      <c r="DA323" s="14"/>
      <c r="DB323" s="14"/>
      <c r="DC323" s="14"/>
      <c r="DD323" s="14"/>
      <c r="DE323" s="14"/>
      <c r="DF323" s="14"/>
      <c r="DG323" s="129"/>
      <c r="DH323" s="14"/>
      <c r="DI323" s="16"/>
      <c r="DJ323" s="14"/>
      <c r="DK323" s="14"/>
      <c r="DL323" s="14"/>
      <c r="DM323" s="14"/>
      <c r="DN323" s="14"/>
      <c r="DO323" s="14"/>
      <c r="DP323" s="14"/>
      <c r="DQ323" s="14"/>
      <c r="DR323" s="14"/>
      <c r="DS323" s="14"/>
      <c r="DT323" s="19"/>
      <c r="DU323" s="6"/>
      <c r="DV323" s="6"/>
      <c r="DW323" s="6"/>
      <c r="DX323" s="6"/>
      <c r="DY323" s="6"/>
      <c r="DZ323" s="6"/>
      <c r="EA323" s="6"/>
      <c r="EB323" s="6"/>
      <c r="EC323" s="19"/>
      <c r="ED323" s="14"/>
      <c r="EE323" s="14"/>
      <c r="EF323" s="14"/>
      <c r="EG323" s="14"/>
      <c r="EH323" s="14"/>
      <c r="EI323" s="14"/>
      <c r="EJ323" s="14"/>
      <c r="EK323" s="14"/>
      <c r="EL323" s="14"/>
    </row>
    <row r="324" spans="1:142" x14ac:dyDescent="0.25">
      <c r="L324" s="22"/>
      <c r="M324" s="22"/>
      <c r="N324" s="22"/>
      <c r="O324" s="22"/>
      <c r="P324" s="22"/>
      <c r="Q324" s="388"/>
      <c r="R324" s="70"/>
      <c r="AC324" s="22"/>
      <c r="AD324" s="393"/>
      <c r="AE324" s="70"/>
      <c r="AF324" s="388"/>
      <c r="AR324" s="22"/>
      <c r="AS324" s="393"/>
      <c r="AT324" s="70"/>
      <c r="AU324" s="388"/>
      <c r="BG324" s="22"/>
      <c r="BH324" s="393"/>
      <c r="BI324" s="70"/>
      <c r="BJ324" s="394"/>
      <c r="BV324" s="22"/>
      <c r="BW324" s="393"/>
      <c r="BX324" s="70"/>
      <c r="BY324" s="394"/>
      <c r="CV324" s="389"/>
      <c r="CW324" s="390"/>
      <c r="CX324" s="390"/>
      <c r="DT324" s="70"/>
      <c r="DU324" s="391"/>
      <c r="DV324" s="392"/>
      <c r="DW324" s="392"/>
      <c r="DX324" s="392"/>
      <c r="DY324" s="392"/>
      <c r="DZ324" s="392"/>
      <c r="EA324" s="392"/>
      <c r="EB324" s="392"/>
      <c r="EC324" s="70"/>
    </row>
    <row r="325" spans="1:142" x14ac:dyDescent="0.25">
      <c r="AD325" s="395"/>
      <c r="AE325" s="396"/>
      <c r="AF325" s="397"/>
      <c r="BH325" s="395"/>
      <c r="BJ325" s="397"/>
      <c r="BW325" s="395"/>
      <c r="BX325" s="396"/>
      <c r="BY325" s="397"/>
      <c r="DT325" s="70"/>
      <c r="DU325" s="391"/>
      <c r="DV325" s="392"/>
      <c r="DW325" s="392"/>
      <c r="DX325" s="392"/>
      <c r="DY325" s="392"/>
      <c r="DZ325" s="392"/>
      <c r="EA325" s="392"/>
      <c r="EB325" s="392"/>
      <c r="EC325" s="70"/>
    </row>
    <row r="326" spans="1:142" x14ac:dyDescent="0.25">
      <c r="DT326" s="70"/>
      <c r="DU326" s="391"/>
      <c r="DV326" s="392"/>
      <c r="DW326" s="392"/>
      <c r="DX326" s="392"/>
      <c r="DY326" s="392"/>
      <c r="DZ326" s="392"/>
      <c r="EA326" s="392"/>
      <c r="EB326" s="392"/>
      <c r="EC326" s="70"/>
    </row>
    <row r="327" spans="1:142" x14ac:dyDescent="0.25">
      <c r="DT327" s="70"/>
      <c r="DU327" s="391"/>
      <c r="DV327" s="392"/>
      <c r="DW327" s="392"/>
      <c r="DX327" s="392"/>
      <c r="DY327" s="392"/>
      <c r="DZ327" s="392"/>
      <c r="EA327" s="392"/>
      <c r="EB327" s="392"/>
      <c r="EC327" s="70"/>
    </row>
    <row r="328" spans="1:142" x14ac:dyDescent="0.25">
      <c r="DT328" s="70"/>
      <c r="DU328" s="70"/>
      <c r="DV328" s="70"/>
      <c r="DW328" s="70"/>
      <c r="DX328" s="70"/>
      <c r="DY328" s="70"/>
      <c r="DZ328" s="70"/>
      <c r="EA328" s="70"/>
      <c r="EB328" s="70"/>
      <c r="EC328" s="70"/>
    </row>
    <row r="329" spans="1:142" x14ac:dyDescent="0.25">
      <c r="DT329" s="70"/>
      <c r="DU329" s="70"/>
      <c r="DV329" s="70"/>
      <c r="DW329" s="70"/>
      <c r="DX329" s="70"/>
      <c r="DY329" s="70"/>
      <c r="DZ329" s="70"/>
      <c r="EA329" s="70"/>
      <c r="EB329" s="70"/>
      <c r="EC329" s="70"/>
    </row>
    <row r="330" spans="1:142" x14ac:dyDescent="0.25">
      <c r="DT330" s="70"/>
      <c r="DU330" s="70"/>
      <c r="DV330" s="70"/>
      <c r="DW330" s="70"/>
      <c r="DX330" s="70"/>
      <c r="DY330" s="70"/>
      <c r="DZ330" s="70"/>
      <c r="EA330" s="70"/>
      <c r="EB330" s="70"/>
      <c r="EC330" s="70"/>
    </row>
    <row r="331" spans="1:142" x14ac:dyDescent="0.25">
      <c r="DT331" s="70"/>
      <c r="DU331" s="70"/>
      <c r="DV331" s="70"/>
      <c r="DW331" s="70"/>
      <c r="DX331" s="70"/>
      <c r="DY331" s="70"/>
      <c r="DZ331" s="70"/>
      <c r="EA331" s="70"/>
      <c r="EB331" s="70"/>
      <c r="EC331" s="70"/>
    </row>
  </sheetData>
  <mergeCells count="85">
    <mergeCell ref="B312:I315"/>
    <mergeCell ref="S312:Z315"/>
    <mergeCell ref="AH312:AO315"/>
    <mergeCell ref="AW312:BD315"/>
    <mergeCell ref="BL312:BS315"/>
    <mergeCell ref="DP44:DS47"/>
    <mergeCell ref="S33:U35"/>
    <mergeCell ref="AH33:AJ35"/>
    <mergeCell ref="AW33:AY35"/>
    <mergeCell ref="BL33:BN35"/>
    <mergeCell ref="CC34:CO34"/>
    <mergeCell ref="CU34:DG34"/>
    <mergeCell ref="CC35:CO35"/>
    <mergeCell ref="CU35:DG35"/>
    <mergeCell ref="CC36:CO36"/>
    <mergeCell ref="CU36:DG36"/>
    <mergeCell ref="CC37:CO37"/>
    <mergeCell ref="CU37:DG37"/>
    <mergeCell ref="CC38:CO38"/>
    <mergeCell ref="CU38:DG38"/>
    <mergeCell ref="CC39:CO39"/>
    <mergeCell ref="G44:J47"/>
    <mergeCell ref="X44:AA47"/>
    <mergeCell ref="AM44:AP47"/>
    <mergeCell ref="BA44:BD47"/>
    <mergeCell ref="BQ44:BT47"/>
    <mergeCell ref="DS10:DT13"/>
    <mergeCell ref="G21:I25"/>
    <mergeCell ref="Y21:AA25"/>
    <mergeCell ref="AM21:AO25"/>
    <mergeCell ref="BB21:BD25"/>
    <mergeCell ref="BQ21:BS25"/>
    <mergeCell ref="DQ21:DS25"/>
    <mergeCell ref="BL10:BN10"/>
    <mergeCell ref="DK10:DM10"/>
    <mergeCell ref="AW11:BC17"/>
    <mergeCell ref="BL11:BR17"/>
    <mergeCell ref="DK11:DQ17"/>
    <mergeCell ref="AW10:AY10"/>
    <mergeCell ref="AP10:AQ13"/>
    <mergeCell ref="BE10:BF13"/>
    <mergeCell ref="BT10:BU13"/>
    <mergeCell ref="A4:C4"/>
    <mergeCell ref="E4:G4"/>
    <mergeCell ref="A5:F5"/>
    <mergeCell ref="S10:U10"/>
    <mergeCell ref="AH10:AJ10"/>
    <mergeCell ref="J10:K13"/>
    <mergeCell ref="AA10:AB13"/>
    <mergeCell ref="B11:H17"/>
    <mergeCell ref="S11:Y17"/>
    <mergeCell ref="AH11:AN17"/>
    <mergeCell ref="CC31:CO31"/>
    <mergeCell ref="CU31:DG31"/>
    <mergeCell ref="CC32:CO32"/>
    <mergeCell ref="CU32:DG32"/>
    <mergeCell ref="CC33:CO33"/>
    <mergeCell ref="CU33:DG33"/>
    <mergeCell ref="CU39:DG39"/>
    <mergeCell ref="CC40:CO40"/>
    <mergeCell ref="CU40:DG40"/>
    <mergeCell ref="CC41:CO41"/>
    <mergeCell ref="CU41:DG41"/>
    <mergeCell ref="CC42:CO42"/>
    <mergeCell ref="CU42:DG42"/>
    <mergeCell ref="CC43:CO43"/>
    <mergeCell ref="CU43:DG43"/>
    <mergeCell ref="CC44:CO44"/>
    <mergeCell ref="CU44:DG44"/>
    <mergeCell ref="CC45:CO45"/>
    <mergeCell ref="CU45:DG45"/>
    <mergeCell ref="CC46:CO46"/>
    <mergeCell ref="CU46:DG46"/>
    <mergeCell ref="U47:V47"/>
    <mergeCell ref="AJ47:AK47"/>
    <mergeCell ref="AY47:AZ47"/>
    <mergeCell ref="BN47:BO47"/>
    <mergeCell ref="CC47:CO47"/>
    <mergeCell ref="CU47:DG47"/>
    <mergeCell ref="CC48:CO48"/>
    <mergeCell ref="CU48:DG48"/>
    <mergeCell ref="CC49:CO49"/>
    <mergeCell ref="CU49:DG49"/>
    <mergeCell ref="CC50:CO50"/>
    <mergeCell ref="CU50:DG50"/>
  </mergeCells>
  <conditionalFormatting sqref="CP193:CP199">
    <cfRule type="colorScale" priority="161">
      <colorScale>
        <cfvo type="min"/>
        <cfvo type="percentile" val="50"/>
        <cfvo type="max"/>
        <color rgb="FFF8696B"/>
        <color rgb="FFFFEB84"/>
        <color rgb="FF63BE7B"/>
      </colorScale>
    </cfRule>
  </conditionalFormatting>
  <conditionalFormatting sqref="CP166:CP172">
    <cfRule type="colorScale" priority="160">
      <colorScale>
        <cfvo type="min"/>
        <cfvo type="percentile" val="50"/>
        <cfvo type="max"/>
        <color rgb="FFF8696B"/>
        <color rgb="FFFFEB84"/>
        <color rgb="FF63BE7B"/>
      </colorScale>
    </cfRule>
  </conditionalFormatting>
  <conditionalFormatting sqref="CP139:CP145">
    <cfRule type="colorScale" priority="159">
      <colorScale>
        <cfvo type="min"/>
        <cfvo type="percentile" val="50"/>
        <cfvo type="max"/>
        <color rgb="FFF8696B"/>
        <color rgb="FFFFEB84"/>
        <color rgb="FF63BE7B"/>
      </colorScale>
    </cfRule>
  </conditionalFormatting>
  <conditionalFormatting sqref="CP112:CP118">
    <cfRule type="colorScale" priority="158">
      <colorScale>
        <cfvo type="min"/>
        <cfvo type="percentile" val="50"/>
        <cfvo type="max"/>
        <color rgb="FFF8696B"/>
        <color rgb="FFFFEB84"/>
        <color rgb="FF63BE7B"/>
      </colorScale>
    </cfRule>
  </conditionalFormatting>
  <conditionalFormatting sqref="CP85:CP91">
    <cfRule type="colorScale" priority="157">
      <colorScale>
        <cfvo type="min"/>
        <cfvo type="percentile" val="50"/>
        <cfvo type="max"/>
        <color rgb="FFF8696B"/>
        <color rgb="FFFFEB84"/>
        <color rgb="FF63BE7B"/>
      </colorScale>
    </cfRule>
  </conditionalFormatting>
  <conditionalFormatting sqref="CI220:CP226">
    <cfRule type="colorScale" priority="156">
      <colorScale>
        <cfvo type="min"/>
        <cfvo type="percentile" val="50"/>
        <cfvo type="max"/>
        <color rgb="FFF8696B"/>
        <color rgb="FFFFEB84"/>
        <color rgb="FF63BE7B"/>
      </colorScale>
    </cfRule>
  </conditionalFormatting>
  <conditionalFormatting sqref="CY220:CZ224 CZ225:CZ227">
    <cfRule type="colorScale" priority="155">
      <colorScale>
        <cfvo type="min"/>
        <cfvo type="percentile" val="50"/>
        <cfvo type="max"/>
        <color rgb="FFF8696B"/>
        <color rgb="FFFFEB84"/>
        <color rgb="FF63BE7B"/>
      </colorScale>
    </cfRule>
  </conditionalFormatting>
  <conditionalFormatting sqref="DG11:DG18">
    <cfRule type="colorScale" priority="154">
      <colorScale>
        <cfvo type="min"/>
        <cfvo type="max"/>
        <color rgb="FFFCFCFF"/>
        <color theme="4" tint="-0.249977111117893"/>
      </colorScale>
    </cfRule>
  </conditionalFormatting>
  <conditionalFormatting sqref="CP30">
    <cfRule type="colorScale" priority="151">
      <colorScale>
        <cfvo type="min"/>
        <cfvo type="percentile" val="50"/>
        <cfvo type="max"/>
        <color rgb="FFF8696B"/>
        <color rgb="FFFFEB84"/>
        <color rgb="FF63BE7B"/>
      </colorScale>
    </cfRule>
  </conditionalFormatting>
  <conditionalFormatting sqref="CP30">
    <cfRule type="colorScale" priority="150">
      <colorScale>
        <cfvo type="min"/>
        <cfvo type="max"/>
        <color rgb="FFFCFCFF"/>
        <color rgb="FF63BE7B"/>
      </colorScale>
    </cfRule>
  </conditionalFormatting>
  <conditionalFormatting sqref="CY17:CY20">
    <cfRule type="colorScale" priority="149">
      <colorScale>
        <cfvo type="min"/>
        <cfvo type="max"/>
        <color rgb="FFFCFCFF"/>
        <color rgb="FF63BE7B"/>
      </colorScale>
    </cfRule>
  </conditionalFormatting>
  <conditionalFormatting sqref="DJ193:DJ199">
    <cfRule type="colorScale" priority="148">
      <colorScale>
        <cfvo type="min"/>
        <cfvo type="percentile" val="50"/>
        <cfvo type="max"/>
        <color rgb="FFF8696B"/>
        <color rgb="FFFFEB84"/>
        <color rgb="FF63BE7B"/>
      </colorScale>
    </cfRule>
  </conditionalFormatting>
  <conditionalFormatting sqref="DJ166:DJ172">
    <cfRule type="colorScale" priority="147">
      <colorScale>
        <cfvo type="min"/>
        <cfvo type="percentile" val="50"/>
        <cfvo type="max"/>
        <color rgb="FFF8696B"/>
        <color rgb="FFFFEB84"/>
        <color rgb="FF63BE7B"/>
      </colorScale>
    </cfRule>
  </conditionalFormatting>
  <conditionalFormatting sqref="DJ139:DJ145">
    <cfRule type="colorScale" priority="146">
      <colorScale>
        <cfvo type="min"/>
        <cfvo type="percentile" val="50"/>
        <cfvo type="max"/>
        <color rgb="FFF8696B"/>
        <color rgb="FFFFEB84"/>
        <color rgb="FF63BE7B"/>
      </colorScale>
    </cfRule>
  </conditionalFormatting>
  <conditionalFormatting sqref="DJ112:DJ118">
    <cfRule type="colorScale" priority="145">
      <colorScale>
        <cfvo type="min"/>
        <cfvo type="percentile" val="50"/>
        <cfvo type="max"/>
        <color rgb="FFF8696B"/>
        <color rgb="FFFFEB84"/>
        <color rgb="FF63BE7B"/>
      </colorScale>
    </cfRule>
  </conditionalFormatting>
  <conditionalFormatting sqref="DJ85:DJ91">
    <cfRule type="colorScale" priority="144">
      <colorScale>
        <cfvo type="min"/>
        <cfvo type="percentile" val="50"/>
        <cfvo type="max"/>
        <color rgb="FFF8696B"/>
        <color rgb="FFFFEB84"/>
        <color rgb="FF63BE7B"/>
      </colorScale>
    </cfRule>
  </conditionalFormatting>
  <conditionalFormatting sqref="DJ58:DJ64">
    <cfRule type="colorScale" priority="143">
      <colorScale>
        <cfvo type="min"/>
        <cfvo type="percentile" val="50"/>
        <cfvo type="max"/>
        <color rgb="FFF8696B"/>
        <color rgb="FFFFEB84"/>
        <color rgb="FF63BE7B"/>
      </colorScale>
    </cfRule>
  </conditionalFormatting>
  <conditionalFormatting sqref="DJ17:DJ23">
    <cfRule type="colorScale" priority="142">
      <colorScale>
        <cfvo type="min"/>
        <cfvo type="percentile" val="50"/>
        <cfvo type="max"/>
        <color rgb="FFF8696B"/>
        <color rgb="FFFFEB84"/>
        <color rgb="FF63BE7B"/>
      </colorScale>
    </cfRule>
  </conditionalFormatting>
  <conditionalFormatting sqref="DJ220:DJ226">
    <cfRule type="colorScale" priority="141">
      <colorScale>
        <cfvo type="min"/>
        <cfvo type="percentile" val="50"/>
        <cfvo type="max"/>
        <color rgb="FFF8696B"/>
        <color rgb="FFFFEB84"/>
        <color rgb="FF63BE7B"/>
      </colorScale>
    </cfRule>
  </conditionalFormatting>
  <conditionalFormatting sqref="DJ17:DJ24">
    <cfRule type="colorScale" priority="140">
      <colorScale>
        <cfvo type="min"/>
        <cfvo type="max"/>
        <color rgb="FFFCFCFF"/>
        <color rgb="FF63BE7B"/>
      </colorScale>
    </cfRule>
  </conditionalFormatting>
  <conditionalFormatting sqref="CY70:CY72">
    <cfRule type="colorScale" priority="138">
      <colorScale>
        <cfvo type="min"/>
        <cfvo type="max"/>
        <color rgb="FFFCFCFF"/>
        <color rgb="FF63BE7B"/>
      </colorScale>
    </cfRule>
  </conditionalFormatting>
  <conditionalFormatting sqref="CY97:CY99">
    <cfRule type="colorScale" priority="136">
      <colorScale>
        <cfvo type="min"/>
        <cfvo type="max"/>
        <color rgb="FFFCFCFF"/>
        <color rgb="FF63BE7B"/>
      </colorScale>
    </cfRule>
  </conditionalFormatting>
  <conditionalFormatting sqref="CY124:CY126">
    <cfRule type="colorScale" priority="134">
      <colorScale>
        <cfvo type="min"/>
        <cfvo type="max"/>
        <color rgb="FFFCFCFF"/>
        <color rgb="FF63BE7B"/>
      </colorScale>
    </cfRule>
  </conditionalFormatting>
  <conditionalFormatting sqref="CY151:CY153">
    <cfRule type="colorScale" priority="132">
      <colorScale>
        <cfvo type="min"/>
        <cfvo type="max"/>
        <color rgb="FFFCFCFF"/>
        <color rgb="FF63BE7B"/>
      </colorScale>
    </cfRule>
  </conditionalFormatting>
  <conditionalFormatting sqref="CY178:CY180">
    <cfRule type="colorScale" priority="130">
      <colorScale>
        <cfvo type="min"/>
        <cfvo type="max"/>
        <color rgb="FFFCFCFF"/>
        <color rgb="FF63BE7B"/>
      </colorScale>
    </cfRule>
  </conditionalFormatting>
  <conditionalFormatting sqref="CY205:CY207">
    <cfRule type="colorScale" priority="128">
      <colorScale>
        <cfvo type="min"/>
        <cfvo type="max"/>
        <color rgb="FFFCFCFF"/>
        <color rgb="FF63BE7B"/>
      </colorScale>
    </cfRule>
  </conditionalFormatting>
  <conditionalFormatting sqref="CO11:CO17">
    <cfRule type="colorScale" priority="124">
      <colorScale>
        <cfvo type="min"/>
        <cfvo type="max"/>
        <color rgb="FFFCFCFF"/>
        <color theme="4" tint="-0.249977111117893"/>
      </colorScale>
    </cfRule>
  </conditionalFormatting>
  <conditionalFormatting sqref="CG20">
    <cfRule type="colorScale" priority="121">
      <colorScale>
        <cfvo type="min"/>
        <cfvo type="max"/>
        <color rgb="FFFCFCFF"/>
        <color rgb="FF63BE7B"/>
      </colorScale>
    </cfRule>
  </conditionalFormatting>
  <conditionalFormatting sqref="CG151">
    <cfRule type="colorScale" priority="118">
      <colorScale>
        <cfvo type="min"/>
        <cfvo type="max"/>
        <color rgb="FFFCFCFF"/>
        <color rgb="FF63BE7B"/>
      </colorScale>
    </cfRule>
  </conditionalFormatting>
  <conditionalFormatting sqref="CG152">
    <cfRule type="colorScale" priority="117">
      <colorScale>
        <cfvo type="min"/>
        <cfvo type="max"/>
        <color rgb="FFFCFCFF"/>
        <color rgb="FF63BE7B"/>
      </colorScale>
    </cfRule>
  </conditionalFormatting>
  <conditionalFormatting sqref="CF145:CF151">
    <cfRule type="colorScale" priority="116">
      <colorScale>
        <cfvo type="min"/>
        <cfvo type="percentile" val="50"/>
        <cfvo type="max"/>
        <color rgb="FFF8696B"/>
        <color rgb="FFFFEB84"/>
        <color rgb="FF63BE7B"/>
      </colorScale>
    </cfRule>
  </conditionalFormatting>
  <conditionalFormatting sqref="CG178">
    <cfRule type="colorScale" priority="114">
      <colorScale>
        <cfvo type="min"/>
        <cfvo type="max"/>
        <color rgb="FFFCFCFF"/>
        <color rgb="FF63BE7B"/>
      </colorScale>
    </cfRule>
  </conditionalFormatting>
  <conditionalFormatting sqref="CG179">
    <cfRule type="colorScale" priority="113">
      <colorScale>
        <cfvo type="min"/>
        <cfvo type="max"/>
        <color rgb="FFFCFCFF"/>
        <color rgb="FF63BE7B"/>
      </colorScale>
    </cfRule>
  </conditionalFormatting>
  <conditionalFormatting sqref="CF172:CF178">
    <cfRule type="colorScale" priority="112">
      <colorScale>
        <cfvo type="min"/>
        <cfvo type="percentile" val="50"/>
        <cfvo type="max"/>
        <color rgb="FFF8696B"/>
        <color rgb="FFFFEB84"/>
        <color rgb="FF63BE7B"/>
      </colorScale>
    </cfRule>
  </conditionalFormatting>
  <conditionalFormatting sqref="CG205">
    <cfRule type="colorScale" priority="110">
      <colorScale>
        <cfvo type="min"/>
        <cfvo type="max"/>
        <color rgb="FFFCFCFF"/>
        <color rgb="FF63BE7B"/>
      </colorScale>
    </cfRule>
  </conditionalFormatting>
  <conditionalFormatting sqref="CG206">
    <cfRule type="colorScale" priority="109">
      <colorScale>
        <cfvo type="min"/>
        <cfvo type="max"/>
        <color rgb="FFFCFCFF"/>
        <color rgb="FF63BE7B"/>
      </colorScale>
    </cfRule>
  </conditionalFormatting>
  <conditionalFormatting sqref="CF199:CF205">
    <cfRule type="colorScale" priority="108">
      <colorScale>
        <cfvo type="min"/>
        <cfvo type="percentile" val="50"/>
        <cfvo type="max"/>
        <color rgb="FFF8696B"/>
        <color rgb="FFFFEB84"/>
        <color rgb="FF63BE7B"/>
      </colorScale>
    </cfRule>
  </conditionalFormatting>
  <conditionalFormatting sqref="CF226:CF232">
    <cfRule type="colorScale" priority="107">
      <colorScale>
        <cfvo type="min"/>
        <cfvo type="percentile" val="50"/>
        <cfvo type="max"/>
        <color rgb="FFF8696B"/>
        <color rgb="FFFFEB84"/>
        <color rgb="FF63BE7B"/>
      </colorScale>
    </cfRule>
  </conditionalFormatting>
  <conditionalFormatting sqref="CG124">
    <cfRule type="colorScale" priority="105">
      <colorScale>
        <cfvo type="min"/>
        <cfvo type="max"/>
        <color rgb="FFFCFCFF"/>
        <color rgb="FF63BE7B"/>
      </colorScale>
    </cfRule>
  </conditionalFormatting>
  <conditionalFormatting sqref="CG125">
    <cfRule type="colorScale" priority="104">
      <colorScale>
        <cfvo type="min"/>
        <cfvo type="max"/>
        <color rgb="FFFCFCFF"/>
        <color rgb="FF63BE7B"/>
      </colorScale>
    </cfRule>
  </conditionalFormatting>
  <conditionalFormatting sqref="CF118:CF124">
    <cfRule type="colorScale" priority="103">
      <colorScale>
        <cfvo type="min"/>
        <cfvo type="percentile" val="50"/>
        <cfvo type="max"/>
        <color rgb="FFF8696B"/>
        <color rgb="FFFFEB84"/>
        <color rgb="FF63BE7B"/>
      </colorScale>
    </cfRule>
  </conditionalFormatting>
  <conditionalFormatting sqref="CG97">
    <cfRule type="colorScale" priority="101">
      <colorScale>
        <cfvo type="min"/>
        <cfvo type="max"/>
        <color rgb="FFFCFCFF"/>
        <color rgb="FF63BE7B"/>
      </colorScale>
    </cfRule>
  </conditionalFormatting>
  <conditionalFormatting sqref="CG98">
    <cfRule type="colorScale" priority="100">
      <colorScale>
        <cfvo type="min"/>
        <cfvo type="max"/>
        <color rgb="FFFCFCFF"/>
        <color rgb="FF63BE7B"/>
      </colorScale>
    </cfRule>
  </conditionalFormatting>
  <conditionalFormatting sqref="CF91:CF97">
    <cfRule type="colorScale" priority="99">
      <colorScale>
        <cfvo type="min"/>
        <cfvo type="percentile" val="50"/>
        <cfvo type="max"/>
        <color rgb="FFF8696B"/>
        <color rgb="FFFFEB84"/>
        <color rgb="FF63BE7B"/>
      </colorScale>
    </cfRule>
  </conditionalFormatting>
  <conditionalFormatting sqref="CO64:CO70">
    <cfRule type="colorScale" priority="98">
      <colorScale>
        <cfvo type="min"/>
        <cfvo type="max"/>
        <color rgb="FFFCFCFF"/>
        <color theme="4" tint="-0.249977111117893"/>
      </colorScale>
    </cfRule>
  </conditionalFormatting>
  <conditionalFormatting sqref="CG70">
    <cfRule type="colorScale" priority="97">
      <colorScale>
        <cfvo type="min"/>
        <cfvo type="max"/>
        <color rgb="FFFCFCFF"/>
        <color rgb="FF63BE7B"/>
      </colorScale>
    </cfRule>
  </conditionalFormatting>
  <conditionalFormatting sqref="CG71">
    <cfRule type="colorScale" priority="96">
      <colorScale>
        <cfvo type="min"/>
        <cfvo type="max"/>
        <color rgb="FFFCFCFF"/>
        <color rgb="FF63BE7B"/>
      </colorScale>
    </cfRule>
  </conditionalFormatting>
  <conditionalFormatting sqref="CF64:CF70">
    <cfRule type="colorScale" priority="95">
      <colorScale>
        <cfvo type="min"/>
        <cfvo type="percentile" val="50"/>
        <cfvo type="max"/>
        <color rgb="FFF8696B"/>
        <color rgb="FFFFEB84"/>
        <color rgb="FF63BE7B"/>
      </colorScale>
    </cfRule>
  </conditionalFormatting>
  <conditionalFormatting sqref="DH193:DH199">
    <cfRule type="colorScale" priority="165">
      <colorScale>
        <cfvo type="min"/>
        <cfvo type="percentile" val="50"/>
        <cfvo type="max"/>
        <color rgb="FFF8696B"/>
        <color rgb="FFFFEB84"/>
        <color rgb="FF63BE7B"/>
      </colorScale>
    </cfRule>
  </conditionalFormatting>
  <conditionalFormatting sqref="DH166:DH172">
    <cfRule type="colorScale" priority="166">
      <colorScale>
        <cfvo type="min"/>
        <cfvo type="percentile" val="50"/>
        <cfvo type="max"/>
        <color rgb="FFF8696B"/>
        <color rgb="FFFFEB84"/>
        <color rgb="FF63BE7B"/>
      </colorScale>
    </cfRule>
  </conditionalFormatting>
  <conditionalFormatting sqref="DH139:DH145">
    <cfRule type="colorScale" priority="167">
      <colorScale>
        <cfvo type="min"/>
        <cfvo type="percentile" val="50"/>
        <cfvo type="max"/>
        <color rgb="FFF8696B"/>
        <color rgb="FFFFEB84"/>
        <color rgb="FF63BE7B"/>
      </colorScale>
    </cfRule>
  </conditionalFormatting>
  <conditionalFormatting sqref="DH112:DH118">
    <cfRule type="colorScale" priority="168">
      <colorScale>
        <cfvo type="min"/>
        <cfvo type="percentile" val="50"/>
        <cfvo type="max"/>
        <color rgb="FFF8696B"/>
        <color rgb="FFFFEB84"/>
        <color rgb="FF63BE7B"/>
      </colorScale>
    </cfRule>
  </conditionalFormatting>
  <conditionalFormatting sqref="DH85:DH91">
    <cfRule type="colorScale" priority="169">
      <colorScale>
        <cfvo type="min"/>
        <cfvo type="percentile" val="50"/>
        <cfvo type="max"/>
        <color rgb="FFF8696B"/>
        <color rgb="FFFFEB84"/>
        <color rgb="FF63BE7B"/>
      </colorScale>
    </cfRule>
  </conditionalFormatting>
  <conditionalFormatting sqref="DH58:DH64">
    <cfRule type="colorScale" priority="170">
      <colorScale>
        <cfvo type="min"/>
        <cfvo type="percentile" val="50"/>
        <cfvo type="max"/>
        <color rgb="FFF8696B"/>
        <color rgb="FFFFEB84"/>
        <color rgb="FF63BE7B"/>
      </colorScale>
    </cfRule>
  </conditionalFormatting>
  <conditionalFormatting sqref="DH17:DH23">
    <cfRule type="colorScale" priority="171">
      <colorScale>
        <cfvo type="min"/>
        <cfvo type="percentile" val="50"/>
        <cfvo type="max"/>
        <color rgb="FFF8696B"/>
        <color rgb="FFFFEB84"/>
        <color rgb="FF63BE7B"/>
      </colorScale>
    </cfRule>
  </conditionalFormatting>
  <conditionalFormatting sqref="DA220:DH226">
    <cfRule type="colorScale" priority="172">
      <colorScale>
        <cfvo type="min"/>
        <cfvo type="percentile" val="50"/>
        <cfvo type="max"/>
        <color rgb="FFF8696B"/>
        <color rgb="FFFFEB84"/>
        <color rgb="FF63BE7B"/>
      </colorScale>
    </cfRule>
  </conditionalFormatting>
  <conditionalFormatting sqref="DH17:DH24">
    <cfRule type="colorScale" priority="173">
      <colorScale>
        <cfvo type="min"/>
        <cfvo type="max"/>
        <color rgb="FFFCFCFF"/>
        <color rgb="FF63BE7B"/>
      </colorScale>
    </cfRule>
  </conditionalFormatting>
  <conditionalFormatting sqref="CZ21:CZ23">
    <cfRule type="colorScale" priority="58">
      <colorScale>
        <cfvo type="min"/>
        <cfvo type="percentile" val="50"/>
        <cfvo type="max"/>
        <color rgb="FFF8696B"/>
        <color rgb="FFFFEB84"/>
        <color rgb="FF63BE7B"/>
      </colorScale>
    </cfRule>
  </conditionalFormatting>
  <conditionalFormatting sqref="CZ21:CZ23">
    <cfRule type="colorScale" priority="57">
      <colorScale>
        <cfvo type="min"/>
        <cfvo type="max"/>
        <color rgb="FFFCFCFF"/>
        <color rgb="FF63BE7B"/>
      </colorScale>
    </cfRule>
  </conditionalFormatting>
  <conditionalFormatting sqref="CZ21:CZ23">
    <cfRule type="colorScale" priority="59">
      <colorScale>
        <cfvo type="min"/>
        <cfvo type="percentile" val="50"/>
        <cfvo type="max"/>
        <color rgb="FFF8696B"/>
        <color rgb="FFFFEB84"/>
        <color rgb="FF63BE7B"/>
      </colorScale>
    </cfRule>
  </conditionalFormatting>
  <conditionalFormatting sqref="CZ21:CZ23">
    <cfRule type="colorScale" priority="61">
      <colorScale>
        <cfvo type="min"/>
        <cfvo type="max"/>
        <color rgb="FFFCFCFF"/>
        <color rgb="FF63BE7B"/>
      </colorScale>
    </cfRule>
  </conditionalFormatting>
  <conditionalFormatting sqref="CY21:CY23">
    <cfRule type="colorScale" priority="56">
      <colorScale>
        <cfvo type="min"/>
        <cfvo type="max"/>
        <color rgb="FFFCFCFF"/>
        <color rgb="FF63BE7B"/>
      </colorScale>
    </cfRule>
  </conditionalFormatting>
  <conditionalFormatting sqref="DB21">
    <cfRule type="colorScale" priority="55">
      <colorScale>
        <cfvo type="min"/>
        <cfvo type="max"/>
        <color rgb="FFFCFCFF"/>
        <color rgb="FF63BE7B"/>
      </colorScale>
    </cfRule>
  </conditionalFormatting>
  <conditionalFormatting sqref="DC21">
    <cfRule type="colorScale" priority="52">
      <colorScale>
        <cfvo type="min"/>
        <cfvo type="percentile" val="50"/>
        <cfvo type="max"/>
        <color rgb="FFF8696B"/>
        <color rgb="FFFFEB84"/>
        <color rgb="FF63BE7B"/>
      </colorScale>
    </cfRule>
  </conditionalFormatting>
  <conditionalFormatting sqref="DC21">
    <cfRule type="colorScale" priority="51">
      <colorScale>
        <cfvo type="min"/>
        <cfvo type="max"/>
        <color rgb="FFFCFCFF"/>
        <color rgb="FF63BE7B"/>
      </colorScale>
    </cfRule>
  </conditionalFormatting>
  <conditionalFormatting sqref="DC21">
    <cfRule type="colorScale" priority="53">
      <colorScale>
        <cfvo type="min"/>
        <cfvo type="percentile" val="50"/>
        <cfvo type="max"/>
        <color rgb="FFF8696B"/>
        <color rgb="FFFFEB84"/>
        <color rgb="FF63BE7B"/>
      </colorScale>
    </cfRule>
  </conditionalFormatting>
  <conditionalFormatting sqref="DC21">
    <cfRule type="colorScale" priority="54">
      <colorScale>
        <cfvo type="min"/>
        <cfvo type="max"/>
        <color rgb="FFFCFCFF"/>
        <color rgb="FF63BE7B"/>
      </colorScale>
    </cfRule>
  </conditionalFormatting>
  <conditionalFormatting sqref="CH21:CH23">
    <cfRule type="colorScale" priority="25">
      <colorScale>
        <cfvo type="min"/>
        <cfvo type="percentile" val="50"/>
        <cfvo type="max"/>
        <color rgb="FFF8696B"/>
        <color rgb="FFFFEB84"/>
        <color rgb="FF63BE7B"/>
      </colorScale>
    </cfRule>
  </conditionalFormatting>
  <conditionalFormatting sqref="CH21:CH23">
    <cfRule type="colorScale" priority="24">
      <colorScale>
        <cfvo type="min"/>
        <cfvo type="max"/>
        <color rgb="FFFCFCFF"/>
        <color rgb="FF63BE7B"/>
      </colorScale>
    </cfRule>
  </conditionalFormatting>
  <conditionalFormatting sqref="CH21:CH23">
    <cfRule type="colorScale" priority="26">
      <colorScale>
        <cfvo type="min"/>
        <cfvo type="percentile" val="50"/>
        <cfvo type="max"/>
        <color rgb="FFF8696B"/>
        <color rgb="FFFFEB84"/>
        <color rgb="FF63BE7B"/>
      </colorScale>
    </cfRule>
  </conditionalFormatting>
  <conditionalFormatting sqref="CH21:CH23">
    <cfRule type="colorScale" priority="28">
      <colorScale>
        <cfvo type="min"/>
        <cfvo type="max"/>
        <color rgb="FFFCFCFF"/>
        <color rgb="FF63BE7B"/>
      </colorScale>
    </cfRule>
  </conditionalFormatting>
  <conditionalFormatting sqref="CG21:CG23">
    <cfRule type="colorScale" priority="23">
      <colorScale>
        <cfvo type="min"/>
        <cfvo type="max"/>
        <color rgb="FFFCFCFF"/>
        <color rgb="FF63BE7B"/>
      </colorScale>
    </cfRule>
  </conditionalFormatting>
  <conditionalFormatting sqref="CJ21">
    <cfRule type="colorScale" priority="22">
      <colorScale>
        <cfvo type="min"/>
        <cfvo type="max"/>
        <color rgb="FFFCFCFF"/>
        <color rgb="FF63BE7B"/>
      </colorScale>
    </cfRule>
  </conditionalFormatting>
  <conditionalFormatting sqref="CK21">
    <cfRule type="colorScale" priority="19">
      <colorScale>
        <cfvo type="min"/>
        <cfvo type="percentile" val="50"/>
        <cfvo type="max"/>
        <color rgb="FFF8696B"/>
        <color rgb="FFFFEB84"/>
        <color rgb="FF63BE7B"/>
      </colorScale>
    </cfRule>
  </conditionalFormatting>
  <conditionalFormatting sqref="CK21">
    <cfRule type="colorScale" priority="18">
      <colorScale>
        <cfvo type="min"/>
        <cfvo type="max"/>
        <color rgb="FFFCFCFF"/>
        <color rgb="FF63BE7B"/>
      </colorScale>
    </cfRule>
  </conditionalFormatting>
  <conditionalFormatting sqref="CK21">
    <cfRule type="colorScale" priority="20">
      <colorScale>
        <cfvo type="min"/>
        <cfvo type="percentile" val="50"/>
        <cfvo type="max"/>
        <color rgb="FFF8696B"/>
        <color rgb="FFFFEB84"/>
        <color rgb="FF63BE7B"/>
      </colorScale>
    </cfRule>
  </conditionalFormatting>
  <conditionalFormatting sqref="CK21">
    <cfRule type="colorScale" priority="21">
      <colorScale>
        <cfvo type="min"/>
        <cfvo type="max"/>
        <color rgb="FFFCFCFF"/>
        <color rgb="FF63BE7B"/>
      </colorScale>
    </cfRule>
  </conditionalFormatting>
  <conditionalFormatting sqref="CZ24">
    <cfRule type="colorScale" priority="15">
      <colorScale>
        <cfvo type="min"/>
        <cfvo type="percentile" val="50"/>
        <cfvo type="max"/>
        <color rgb="FFF8696B"/>
        <color rgb="FFFFEB84"/>
        <color rgb="FF63BE7B"/>
      </colorScale>
    </cfRule>
  </conditionalFormatting>
  <conditionalFormatting sqref="CZ24">
    <cfRule type="colorScale" priority="16">
      <colorScale>
        <cfvo type="min"/>
        <cfvo type="percentile" val="50"/>
        <cfvo type="max"/>
        <color rgb="FFF8696B"/>
        <color rgb="FFFFEB84"/>
        <color rgb="FF63BE7B"/>
      </colorScale>
    </cfRule>
  </conditionalFormatting>
  <conditionalFormatting sqref="CZ24">
    <cfRule type="colorScale" priority="17">
      <colorScale>
        <cfvo type="min"/>
        <cfvo type="max"/>
        <color rgb="FFFCFCFF"/>
        <color rgb="FF63BE7B"/>
      </colorScale>
    </cfRule>
  </conditionalFormatting>
  <conditionalFormatting sqref="CY24">
    <cfRule type="colorScale" priority="14">
      <colorScale>
        <cfvo type="min"/>
        <cfvo type="max"/>
        <color rgb="FFFCFCFF"/>
        <color rgb="FF63BE7B"/>
      </colorScale>
    </cfRule>
  </conditionalFormatting>
  <conditionalFormatting sqref="CH24">
    <cfRule type="colorScale" priority="11">
      <colorScale>
        <cfvo type="min"/>
        <cfvo type="percentile" val="50"/>
        <cfvo type="max"/>
        <color rgb="FFF8696B"/>
        <color rgb="FFFFEB84"/>
        <color rgb="FF63BE7B"/>
      </colorScale>
    </cfRule>
  </conditionalFormatting>
  <conditionalFormatting sqref="CH24">
    <cfRule type="colorScale" priority="12">
      <colorScale>
        <cfvo type="min"/>
        <cfvo type="percentile" val="50"/>
        <cfvo type="max"/>
        <color rgb="FFF8696B"/>
        <color rgb="FFFFEB84"/>
        <color rgb="FF63BE7B"/>
      </colorScale>
    </cfRule>
  </conditionalFormatting>
  <conditionalFormatting sqref="CH24">
    <cfRule type="colorScale" priority="13">
      <colorScale>
        <cfvo type="min"/>
        <cfvo type="max"/>
        <color rgb="FFFCFCFF"/>
        <color rgb="FF63BE7B"/>
      </colorScale>
    </cfRule>
  </conditionalFormatting>
  <conditionalFormatting sqref="CG24">
    <cfRule type="colorScale" priority="10">
      <colorScale>
        <cfvo type="min"/>
        <cfvo type="max"/>
        <color rgb="FFFCFCFF"/>
        <color rgb="FF63BE7B"/>
      </colorScale>
    </cfRule>
  </conditionalFormatting>
  <conditionalFormatting sqref="CG17:CG19">
    <cfRule type="colorScale" priority="9">
      <colorScale>
        <cfvo type="min"/>
        <cfvo type="max"/>
        <color rgb="FFFCFCFF"/>
        <color rgb="FF63BE7B"/>
      </colorScale>
    </cfRule>
  </conditionalFormatting>
  <conditionalFormatting sqref="DG199:DG206 DG172:DG179 DG145:DG152 DG118:DG125 DG91:DG98 DG64:DG71 CO199:CO205 CO172:CO178 CO145:CO151 CO118:CO124 CO91:CO97">
    <cfRule type="colorScale" priority="1">
      <colorScale>
        <cfvo type="min"/>
        <cfvo type="max"/>
        <color rgb="FFFCFCFF"/>
        <color theme="4" tint="-0.249977111117893"/>
      </colorScale>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tint="0.39997558519241921"/>
  </sheetPr>
  <dimension ref="A1:EL331"/>
  <sheetViews>
    <sheetView zoomScale="60" zoomScaleNormal="60" workbookViewId="0">
      <selection activeCell="B318" sqref="B318"/>
    </sheetView>
  </sheetViews>
  <sheetFormatPr defaultColWidth="9" defaultRowHeight="13.8" x14ac:dyDescent="0.25"/>
  <cols>
    <col min="1" max="1" width="11.09765625" style="22" customWidth="1"/>
    <col min="2" max="2" width="26.09765625" style="22" customWidth="1"/>
    <col min="3" max="3" width="31.59765625" style="22" customWidth="1"/>
    <col min="4" max="4" width="25.09765625" style="385" customWidth="1"/>
    <col min="5" max="5" width="26.59765625" style="22" bestFit="1" customWidth="1"/>
    <col min="6" max="6" width="22" style="22" customWidth="1"/>
    <col min="7" max="7" width="20.8984375" style="22" customWidth="1"/>
    <col min="8" max="8" width="8" style="385" bestFit="1" customWidth="1"/>
    <col min="9" max="9" width="8" style="385" customWidth="1"/>
    <col min="10" max="10" width="25.5" style="22" customWidth="1"/>
    <col min="11" max="11" width="15.3984375" style="22" customWidth="1"/>
    <col min="12" max="16" width="7.69921875" style="386" customWidth="1"/>
    <col min="17" max="18" width="3.09765625" style="386" customWidth="1"/>
    <col min="19" max="19" width="26.09765625" style="22" customWidth="1"/>
    <col min="20" max="20" width="23.09765625" style="22" customWidth="1"/>
    <col min="21" max="21" width="19.8984375" style="22" customWidth="1"/>
    <col min="22" max="22" width="21.09765625" style="22" customWidth="1"/>
    <col min="23" max="23" width="22.8984375" style="22" customWidth="1"/>
    <col min="24" max="24" width="18.3984375" style="22" customWidth="1"/>
    <col min="25" max="25" width="10.8984375" style="22" customWidth="1"/>
    <col min="26" max="28" width="20.59765625" style="22" customWidth="1"/>
    <col min="29" max="29" width="20.59765625" style="386" customWidth="1"/>
    <col min="30" max="30" width="35.09765625" style="386" hidden="1" customWidth="1"/>
    <col min="31" max="31" width="2.3984375" style="386" hidden="1" customWidth="1"/>
    <col min="32" max="32" width="4.8984375" style="386" customWidth="1"/>
    <col min="33" max="33" width="3.09765625" style="70" customWidth="1"/>
    <col min="34" max="34" width="26.09765625" style="22" customWidth="1"/>
    <col min="35" max="35" width="23.09765625" style="22" customWidth="1"/>
    <col min="36" max="36" width="19.8984375" style="22" customWidth="1"/>
    <col min="37" max="37" width="21.09765625" style="22" customWidth="1"/>
    <col min="38" max="38" width="35.69921875" style="22" customWidth="1"/>
    <col min="39" max="39" width="18.3984375" style="22" customWidth="1"/>
    <col min="40" max="40" width="10.8984375" style="22" customWidth="1"/>
    <col min="41" max="42" width="15" style="22" customWidth="1"/>
    <col min="43" max="43" width="20" style="22" customWidth="1"/>
    <col min="44" max="44" width="21" style="386" customWidth="1"/>
    <col min="45" max="45" width="28.3984375" style="386" hidden="1" customWidth="1"/>
    <col min="46" max="46" width="2.19921875" style="386" hidden="1" customWidth="1"/>
    <col min="47" max="47" width="3.59765625" style="386" customWidth="1"/>
    <col min="48" max="48" width="4.59765625" style="22" customWidth="1"/>
    <col min="49" max="49" width="26.09765625" style="22" customWidth="1"/>
    <col min="50" max="50" width="23.09765625" style="22" customWidth="1"/>
    <col min="51" max="51" width="19.8984375" style="22" customWidth="1"/>
    <col min="52" max="52" width="21.09765625" style="22" customWidth="1"/>
    <col min="53" max="53" width="22.59765625" style="22" customWidth="1"/>
    <col min="54" max="54" width="18.3984375" style="22" customWidth="1"/>
    <col min="55" max="55" width="10.8984375" style="22" customWidth="1"/>
    <col min="56" max="57" width="15" style="22" customWidth="1"/>
    <col min="58" max="58" width="20" style="22" customWidth="1"/>
    <col min="59" max="59" width="21" style="386" customWidth="1"/>
    <col min="60" max="62" width="2.09765625" style="386" customWidth="1"/>
    <col min="63" max="63" width="3.09765625" style="70" customWidth="1"/>
    <col min="64" max="64" width="26.09765625" style="22" customWidth="1"/>
    <col min="65" max="65" width="23" style="22" customWidth="1"/>
    <col min="66" max="66" width="19.8984375" style="22" customWidth="1"/>
    <col min="67" max="67" width="21.09765625" style="22" customWidth="1"/>
    <col min="68" max="68" width="23.19921875" style="22" customWidth="1"/>
    <col min="69" max="69" width="18.3984375" style="22" customWidth="1"/>
    <col min="70" max="70" width="10.8984375" style="22" customWidth="1"/>
    <col min="71" max="71" width="17.09765625" style="22" customWidth="1"/>
    <col min="72" max="72" width="16.8984375" style="22" customWidth="1"/>
    <col min="73" max="73" width="22.09765625" style="22" customWidth="1"/>
    <col min="74" max="74" width="27.5" style="386" customWidth="1"/>
    <col min="75" max="77" width="2.09765625" style="386" customWidth="1"/>
    <col min="78" max="78" width="5.59765625" style="22" customWidth="1"/>
    <col min="79" max="79" width="34.8984375" style="22" customWidth="1"/>
    <col min="80" max="80" width="17.19921875" style="385" customWidth="1"/>
    <col min="81" max="81" width="11.5" style="385" customWidth="1"/>
    <col min="82" max="82" width="12.09765625" style="385" customWidth="1"/>
    <col min="83" max="83" width="16.8984375" style="385" customWidth="1"/>
    <col min="84" max="84" width="16.09765625" style="385" customWidth="1"/>
    <col min="85" max="85" width="5.8984375" style="22" customWidth="1"/>
    <col min="86" max="86" width="37.09765625" style="22" customWidth="1"/>
    <col min="87" max="87" width="35.8984375" style="22" customWidth="1"/>
    <col min="88" max="88" width="11.09765625" style="22" customWidth="1"/>
    <col min="89" max="89" width="13.19921875" style="22" customWidth="1"/>
    <col min="90" max="90" width="12.59765625" style="22" customWidth="1"/>
    <col min="91" max="92" width="11.09765625" style="22" customWidth="1"/>
    <col min="93" max="93" width="35.69921875" style="387" customWidth="1"/>
    <col min="94" max="94" width="6.59765625" style="22" customWidth="1"/>
    <col min="95" max="95" width="2.8984375" style="388" customWidth="1"/>
    <col min="96" max="96" width="6" style="22" customWidth="1"/>
    <col min="97" max="97" width="34.8984375" style="22" customWidth="1"/>
    <col min="98" max="98" width="16.09765625" style="22" customWidth="1"/>
    <col min="99" max="99" width="10.09765625" style="22" customWidth="1"/>
    <col min="100" max="100" width="10.09765625" style="385" customWidth="1"/>
    <col min="101" max="101" width="18.3984375" style="22" customWidth="1"/>
    <col min="102" max="103" width="11.09765625" style="22" customWidth="1"/>
    <col min="104" max="104" width="38.09765625" style="22" customWidth="1"/>
    <col min="105" max="105" width="35.69921875" style="22" customWidth="1"/>
    <col min="106" max="106" width="11.09765625" style="22" customWidth="1"/>
    <col min="107" max="107" width="12.59765625" style="22" customWidth="1"/>
    <col min="108" max="108" width="14" style="22" customWidth="1"/>
    <col min="109" max="110" width="11.09765625" style="22" customWidth="1"/>
    <col min="111" max="111" width="35.8984375" style="387" customWidth="1"/>
    <col min="112" max="112" width="9.8984375" style="22" customWidth="1"/>
    <col min="113" max="113" width="3" style="388" customWidth="1"/>
    <col min="114" max="114" width="3" style="22" customWidth="1"/>
    <col min="115" max="115" width="27" style="22" customWidth="1"/>
    <col min="116" max="116" width="42.8984375" style="22" customWidth="1"/>
    <col min="117" max="117" width="12.3984375" style="22" customWidth="1"/>
    <col min="118" max="118" width="30.59765625" style="22" customWidth="1"/>
    <col min="119" max="119" width="26" style="22" customWidth="1"/>
    <col min="120" max="120" width="22.5" style="22" customWidth="1"/>
    <col min="121" max="121" width="31.19921875" style="22" customWidth="1"/>
    <col min="122" max="122" width="14.19921875" style="22" customWidth="1"/>
    <col min="123" max="123" width="28.8984375" style="22" customWidth="1"/>
    <col min="124" max="124" width="8.59765625" style="22" customWidth="1"/>
    <col min="125" max="125" width="30.69921875" style="22" customWidth="1"/>
    <col min="126" max="126" width="19.69921875" style="22" customWidth="1"/>
    <col min="127" max="127" width="14.69921875" style="22" customWidth="1"/>
    <col min="128" max="128" width="29.5" style="22" customWidth="1"/>
    <col min="129" max="129" width="14.5" style="22" bestFit="1" customWidth="1"/>
    <col min="130" max="142" width="9" style="22"/>
    <col min="143" max="16384" width="9" style="70"/>
  </cols>
  <sheetData>
    <row r="1" spans="1:142" x14ac:dyDescent="0.25">
      <c r="A1" s="14"/>
      <c r="B1" s="14"/>
      <c r="C1" s="14"/>
      <c r="D1" s="21"/>
      <c r="E1" s="14"/>
      <c r="F1" s="14"/>
      <c r="G1" s="14"/>
      <c r="H1" s="21"/>
      <c r="I1" s="21"/>
      <c r="J1" s="14"/>
      <c r="K1" s="14"/>
      <c r="L1" s="14"/>
      <c r="M1" s="14"/>
      <c r="N1" s="14"/>
      <c r="O1" s="14"/>
      <c r="P1" s="14"/>
      <c r="Q1" s="45"/>
      <c r="R1" s="19"/>
      <c r="S1" s="14"/>
      <c r="T1" s="14"/>
      <c r="U1" s="14"/>
      <c r="V1" s="14"/>
      <c r="W1" s="14"/>
      <c r="X1" s="14"/>
      <c r="Y1" s="14"/>
      <c r="Z1" s="14"/>
      <c r="AA1" s="14"/>
      <c r="AB1" s="14"/>
      <c r="AC1" s="14"/>
      <c r="AD1" s="64"/>
      <c r="AE1" s="67"/>
      <c r="AF1" s="45"/>
      <c r="AG1" s="19"/>
      <c r="AH1" s="14"/>
      <c r="AI1" s="14"/>
      <c r="AJ1" s="14"/>
      <c r="AK1" s="14"/>
      <c r="AL1" s="14"/>
      <c r="AM1" s="14"/>
      <c r="AN1" s="14"/>
      <c r="AO1" s="14"/>
      <c r="AP1" s="14"/>
      <c r="AQ1" s="14"/>
      <c r="AR1" s="14"/>
      <c r="AS1" s="64"/>
      <c r="AT1" s="67"/>
      <c r="AU1" s="45"/>
      <c r="AV1" s="14"/>
      <c r="AW1" s="14"/>
      <c r="AX1" s="14"/>
      <c r="AY1" s="14"/>
      <c r="AZ1" s="14"/>
      <c r="BA1" s="14"/>
      <c r="BB1" s="14"/>
      <c r="BC1" s="14"/>
      <c r="BD1" s="14"/>
      <c r="BE1" s="14"/>
      <c r="BF1" s="14"/>
      <c r="BG1" s="14"/>
      <c r="BH1" s="64"/>
      <c r="BI1" s="67"/>
      <c r="BJ1" s="370"/>
      <c r="BK1" s="19"/>
      <c r="BL1" s="14"/>
      <c r="BM1" s="14"/>
      <c r="BN1" s="14"/>
      <c r="BO1" s="14"/>
      <c r="BP1" s="14"/>
      <c r="BQ1" s="14"/>
      <c r="BR1" s="14"/>
      <c r="BS1" s="14"/>
      <c r="BT1" s="14"/>
      <c r="BU1" s="14"/>
      <c r="BV1" s="14"/>
      <c r="BW1" s="65"/>
      <c r="BX1" s="63"/>
      <c r="BY1" s="352"/>
      <c r="BZ1" s="14"/>
      <c r="CA1" s="14"/>
      <c r="CB1" s="21"/>
      <c r="CC1" s="21"/>
      <c r="CD1" s="21"/>
      <c r="CE1" s="21"/>
      <c r="CF1" s="21"/>
      <c r="CG1" s="14"/>
      <c r="CH1" s="14"/>
      <c r="CI1" s="14"/>
      <c r="CJ1" s="14"/>
      <c r="CK1" s="14"/>
      <c r="CL1" s="14"/>
      <c r="CM1" s="14"/>
      <c r="CN1" s="14"/>
      <c r="CO1" s="129"/>
      <c r="CP1" s="14"/>
      <c r="CQ1" s="45"/>
      <c r="CR1" s="14"/>
      <c r="CS1" s="14"/>
      <c r="CT1" s="14"/>
      <c r="CU1" s="14"/>
      <c r="CV1" s="21"/>
      <c r="CW1" s="14"/>
      <c r="CX1" s="14"/>
      <c r="CY1" s="14"/>
      <c r="CZ1" s="14"/>
      <c r="DA1" s="14"/>
      <c r="DB1" s="14"/>
      <c r="DC1" s="14"/>
      <c r="DD1" s="14"/>
      <c r="DE1" s="14"/>
      <c r="DF1" s="14"/>
      <c r="DG1" s="129"/>
      <c r="DH1" s="14"/>
      <c r="DI1" s="45"/>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row>
    <row r="2" spans="1:142" s="130" customFormat="1" x14ac:dyDescent="0.25">
      <c r="A2" s="87" t="s">
        <v>0</v>
      </c>
      <c r="B2" s="146" t="s">
        <v>380</v>
      </c>
      <c r="C2" s="146" t="str">
        <f ca="1">INDIRECT("Title_"&amp;B2)</f>
        <v>Additional wood (in comparison to the counterfactual) from the conversion of unmanaged forest into production in Pacific Canada</v>
      </c>
      <c r="D2" s="146"/>
      <c r="E2" s="146"/>
      <c r="F2" s="146"/>
      <c r="G2" s="146"/>
      <c r="H2" s="146"/>
      <c r="I2" s="146"/>
      <c r="J2" s="146"/>
      <c r="K2" s="146"/>
      <c r="L2" s="90"/>
      <c r="M2" s="90"/>
      <c r="N2" s="90"/>
      <c r="O2" s="90"/>
      <c r="P2" s="90"/>
      <c r="Q2" s="93"/>
      <c r="R2" s="94"/>
      <c r="S2" s="146"/>
      <c r="T2" s="90"/>
      <c r="U2" s="90"/>
      <c r="V2" s="90"/>
      <c r="W2" s="90"/>
      <c r="X2" s="90"/>
      <c r="Y2" s="90"/>
      <c r="Z2" s="90"/>
      <c r="AA2" s="90"/>
      <c r="AB2" s="90"/>
      <c r="AC2" s="90"/>
      <c r="AD2" s="91"/>
      <c r="AE2" s="92"/>
      <c r="AF2" s="93"/>
      <c r="AG2" s="94"/>
      <c r="AH2" s="90"/>
      <c r="AI2" s="90"/>
      <c r="AJ2" s="90"/>
      <c r="AK2" s="90"/>
      <c r="AL2" s="90"/>
      <c r="AM2" s="90"/>
      <c r="AN2" s="90"/>
      <c r="AO2" s="90"/>
      <c r="AP2" s="90"/>
      <c r="AQ2" s="90"/>
      <c r="AR2" s="90"/>
      <c r="AS2" s="91"/>
      <c r="AT2" s="92"/>
      <c r="AU2" s="93"/>
      <c r="AV2" s="90"/>
      <c r="AW2" s="90"/>
      <c r="AX2" s="90"/>
      <c r="AY2" s="90"/>
      <c r="AZ2" s="90"/>
      <c r="BA2" s="90"/>
      <c r="BB2" s="90"/>
      <c r="BC2" s="90"/>
      <c r="BD2" s="90"/>
      <c r="BE2" s="90"/>
      <c r="BF2" s="90"/>
      <c r="BG2" s="90"/>
      <c r="BH2" s="91"/>
      <c r="BI2" s="92"/>
      <c r="BJ2" s="351"/>
      <c r="BK2" s="94"/>
      <c r="BL2" s="90"/>
      <c r="BM2" s="90"/>
      <c r="BN2" s="90"/>
      <c r="BO2" s="90"/>
      <c r="BP2" s="90"/>
      <c r="BQ2" s="90"/>
      <c r="BR2" s="90"/>
      <c r="BS2" s="90"/>
      <c r="BT2" s="90"/>
      <c r="BU2" s="90"/>
      <c r="BV2" s="90"/>
      <c r="BW2" s="91"/>
      <c r="BX2" s="92"/>
      <c r="BY2" s="351"/>
      <c r="BZ2" s="90"/>
      <c r="CA2" s="90"/>
      <c r="CB2" s="89"/>
      <c r="CC2" s="89"/>
      <c r="CD2" s="89"/>
      <c r="CE2" s="89"/>
      <c r="CF2" s="89"/>
      <c r="CG2" s="90"/>
      <c r="CH2" s="90"/>
      <c r="CI2" s="90"/>
      <c r="CJ2" s="90"/>
      <c r="CK2" s="90"/>
      <c r="CL2" s="90"/>
      <c r="CM2" s="90"/>
      <c r="CN2" s="90"/>
      <c r="CO2" s="90"/>
      <c r="CP2" s="90"/>
      <c r="CQ2" s="93"/>
      <c r="CR2" s="90"/>
      <c r="CS2" s="90"/>
      <c r="CT2" s="90"/>
      <c r="CU2" s="90"/>
      <c r="CV2" s="89"/>
      <c r="CW2" s="90"/>
      <c r="CX2" s="90"/>
      <c r="CY2" s="90"/>
      <c r="CZ2" s="90"/>
      <c r="DA2" s="90"/>
      <c r="DB2" s="90"/>
      <c r="DC2" s="90"/>
      <c r="DD2" s="90"/>
      <c r="DE2" s="90"/>
      <c r="DF2" s="90"/>
      <c r="DG2" s="90"/>
      <c r="DH2" s="90"/>
      <c r="DI2" s="93"/>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row>
    <row r="3" spans="1:142" x14ac:dyDescent="0.25">
      <c r="A3" s="14"/>
      <c r="B3" s="14"/>
      <c r="C3" s="14"/>
      <c r="D3" s="21"/>
      <c r="E3" s="14"/>
      <c r="F3" s="14"/>
      <c r="G3" s="14"/>
      <c r="H3" s="21"/>
      <c r="I3" s="21"/>
      <c r="J3" s="14"/>
      <c r="K3" s="14"/>
      <c r="L3" s="14"/>
      <c r="M3" s="14"/>
      <c r="N3" s="14"/>
      <c r="O3" s="14"/>
      <c r="P3" s="14"/>
      <c r="Q3" s="47"/>
      <c r="R3" s="19"/>
      <c r="S3" s="8"/>
      <c r="T3" s="14"/>
      <c r="U3" s="14"/>
      <c r="V3" s="14"/>
      <c r="W3" s="14"/>
      <c r="X3" s="14"/>
      <c r="Y3" s="14"/>
      <c r="Z3" s="14"/>
      <c r="AA3" s="14"/>
      <c r="AB3" s="14"/>
      <c r="AC3" s="14"/>
      <c r="AD3" s="65"/>
      <c r="AE3" s="63"/>
      <c r="AF3" s="47"/>
      <c r="AG3" s="19"/>
      <c r="AH3" s="14"/>
      <c r="AI3" s="14"/>
      <c r="AJ3" s="14"/>
      <c r="AK3" s="14"/>
      <c r="AL3" s="14"/>
      <c r="AM3" s="14"/>
      <c r="AN3" s="14"/>
      <c r="AO3" s="14"/>
      <c r="AP3" s="14"/>
      <c r="AQ3" s="14"/>
      <c r="AR3" s="14"/>
      <c r="AS3" s="65"/>
      <c r="AT3" s="63"/>
      <c r="AU3" s="47"/>
      <c r="AV3" s="14"/>
      <c r="AW3" s="14"/>
      <c r="AX3" s="14"/>
      <c r="AY3" s="14"/>
      <c r="AZ3" s="14"/>
      <c r="BA3" s="14"/>
      <c r="BB3" s="14"/>
      <c r="BC3" s="14"/>
      <c r="BD3" s="14"/>
      <c r="BE3" s="14"/>
      <c r="BF3" s="14"/>
      <c r="BG3" s="14"/>
      <c r="BH3" s="65"/>
      <c r="BI3" s="63"/>
      <c r="BJ3" s="352"/>
      <c r="BK3" s="19"/>
      <c r="BL3" s="14"/>
      <c r="BM3" s="14"/>
      <c r="BN3" s="14"/>
      <c r="BO3" s="14"/>
      <c r="BP3" s="14"/>
      <c r="BQ3" s="14"/>
      <c r="BR3" s="14"/>
      <c r="BS3" s="14"/>
      <c r="BT3" s="14"/>
      <c r="BU3" s="14"/>
      <c r="BV3" s="14"/>
      <c r="BW3" s="65"/>
      <c r="BX3" s="63"/>
      <c r="BY3" s="352"/>
      <c r="BZ3" s="14"/>
      <c r="CA3" s="14"/>
      <c r="CB3" s="21"/>
      <c r="CC3" s="21"/>
      <c r="CD3" s="21"/>
      <c r="CE3" s="21"/>
      <c r="CF3" s="21"/>
      <c r="CG3" s="14"/>
      <c r="CH3" s="14"/>
      <c r="CI3" s="14"/>
      <c r="CJ3" s="14"/>
      <c r="CK3" s="14"/>
      <c r="CL3" s="14"/>
      <c r="CM3" s="14"/>
      <c r="CN3" s="14"/>
      <c r="CO3" s="129"/>
      <c r="CP3" s="14"/>
      <c r="CQ3" s="47"/>
      <c r="CR3" s="14"/>
      <c r="CS3" s="14"/>
      <c r="CT3" s="14"/>
      <c r="CU3" s="14"/>
      <c r="CV3" s="21"/>
      <c r="CW3" s="14"/>
      <c r="CX3" s="14"/>
      <c r="CY3" s="14"/>
      <c r="CZ3" s="14"/>
      <c r="DA3" s="14"/>
      <c r="DB3" s="14"/>
      <c r="DC3" s="14"/>
      <c r="DD3" s="14"/>
      <c r="DE3" s="14"/>
      <c r="DF3" s="14"/>
      <c r="DG3" s="129"/>
      <c r="DH3" s="14"/>
      <c r="DI3" s="47"/>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row>
    <row r="4" spans="1:142" s="134" customFormat="1" x14ac:dyDescent="0.25">
      <c r="A4" s="520" t="s">
        <v>349</v>
      </c>
      <c r="B4" s="520"/>
      <c r="C4" s="520"/>
      <c r="D4" s="154">
        <f>((COUNTIFS(Response_Q181_1,"Confident")-F321)*2+(COUNTIFS(Response_Q181_1,"Very Confident")-F322)*3+(COUNTIFS(Response_Q181_1,"Somewhat confident")-F320)*1)/(COUNTIFS(Response_Q181_1,"&lt;&gt;0")-SUM(P2:P4))</f>
        <v>0.81666666666666665</v>
      </c>
      <c r="E4" s="521" t="s">
        <v>559</v>
      </c>
      <c r="F4" s="521"/>
      <c r="G4" s="521"/>
      <c r="H4" s="77"/>
      <c r="I4" s="77"/>
      <c r="J4" s="8"/>
      <c r="K4" s="8"/>
      <c r="L4" s="8"/>
      <c r="M4" s="8"/>
      <c r="N4" s="8"/>
      <c r="O4" s="8"/>
      <c r="P4" s="8"/>
      <c r="Q4" s="48"/>
      <c r="R4" s="44"/>
      <c r="S4" s="8"/>
      <c r="T4" s="8"/>
      <c r="U4" s="8"/>
      <c r="V4" s="8"/>
      <c r="W4" s="8"/>
      <c r="X4" s="8"/>
      <c r="Y4" s="8"/>
      <c r="Z4" s="8"/>
      <c r="AA4" s="8"/>
      <c r="AB4" s="8"/>
      <c r="AC4" s="8"/>
      <c r="AD4" s="102"/>
      <c r="AE4" s="101"/>
      <c r="AF4" s="48"/>
      <c r="AG4" s="44"/>
      <c r="AH4" s="8"/>
      <c r="AI4" s="8"/>
      <c r="AJ4" s="8"/>
      <c r="AK4" s="8"/>
      <c r="AL4" s="8"/>
      <c r="AM4" s="8"/>
      <c r="AN4" s="8"/>
      <c r="AO4" s="8"/>
      <c r="AP4" s="8"/>
      <c r="AQ4" s="8"/>
      <c r="AR4" s="8"/>
      <c r="AS4" s="102"/>
      <c r="AT4" s="101"/>
      <c r="AU4" s="48"/>
      <c r="AV4" s="8"/>
      <c r="AW4" s="8"/>
      <c r="AX4" s="8"/>
      <c r="AY4" s="8"/>
      <c r="AZ4" s="8"/>
      <c r="BA4" s="8"/>
      <c r="BB4" s="8"/>
      <c r="BC4" s="8"/>
      <c r="BD4" s="8"/>
      <c r="BE4" s="8"/>
      <c r="BF4" s="8"/>
      <c r="BG4" s="8"/>
      <c r="BH4" s="102"/>
      <c r="BI4" s="101"/>
      <c r="BJ4" s="371"/>
      <c r="BK4" s="44"/>
      <c r="BL4" s="8"/>
      <c r="BM4" s="8"/>
      <c r="BN4" s="8"/>
      <c r="BO4" s="8"/>
      <c r="BP4" s="8"/>
      <c r="BQ4" s="8"/>
      <c r="BR4" s="8"/>
      <c r="BS4" s="8"/>
      <c r="BT4" s="8"/>
      <c r="BU4" s="8"/>
      <c r="BV4" s="8"/>
      <c r="BW4" s="102"/>
      <c r="BX4" s="101"/>
      <c r="BY4" s="371"/>
      <c r="BZ4" s="8"/>
      <c r="CA4" s="8"/>
      <c r="CB4" s="77"/>
      <c r="CC4" s="77"/>
      <c r="CD4" s="77"/>
      <c r="CE4" s="77"/>
      <c r="CF4" s="77"/>
      <c r="CG4" s="8"/>
      <c r="CH4" s="8"/>
      <c r="CI4" s="8"/>
      <c r="CJ4" s="8"/>
      <c r="CK4" s="8"/>
      <c r="CL4" s="8"/>
      <c r="CM4" s="8"/>
      <c r="CN4" s="8"/>
      <c r="CO4" s="315"/>
      <c r="CP4" s="8"/>
      <c r="CQ4" s="48"/>
      <c r="CR4" s="8"/>
      <c r="CS4" s="8"/>
      <c r="CT4" s="8"/>
      <c r="CU4" s="8"/>
      <c r="CV4" s="77"/>
      <c r="CW4" s="8"/>
      <c r="CX4" s="8"/>
      <c r="CY4" s="8"/>
      <c r="CZ4" s="8"/>
      <c r="DA4" s="8"/>
      <c r="DB4" s="8"/>
      <c r="DC4" s="8"/>
      <c r="DD4" s="8"/>
      <c r="DE4" s="8"/>
      <c r="DF4" s="8"/>
      <c r="DG4" s="315"/>
      <c r="DH4" s="8"/>
      <c r="DI4" s="4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row>
    <row r="5" spans="1:142" s="134" customFormat="1" x14ac:dyDescent="0.25">
      <c r="A5" s="520" t="s">
        <v>447</v>
      </c>
      <c r="B5" s="520"/>
      <c r="C5" s="520"/>
      <c r="D5" s="520"/>
      <c r="E5" s="520"/>
      <c r="F5" s="520"/>
      <c r="G5" s="8"/>
      <c r="H5" s="77"/>
      <c r="I5" s="77"/>
      <c r="J5" s="8"/>
      <c r="K5" s="8"/>
      <c r="L5" s="8"/>
      <c r="M5" s="8"/>
      <c r="N5" s="8"/>
      <c r="O5" s="8"/>
      <c r="P5" s="8"/>
      <c r="Q5" s="48"/>
      <c r="R5" s="44"/>
      <c r="S5" s="8"/>
      <c r="T5" s="8"/>
      <c r="U5" s="8"/>
      <c r="V5" s="8"/>
      <c r="W5" s="8"/>
      <c r="X5" s="8"/>
      <c r="Y5" s="8"/>
      <c r="Z5" s="8"/>
      <c r="AA5" s="8"/>
      <c r="AB5" s="8"/>
      <c r="AC5" s="8"/>
      <c r="AD5" s="102"/>
      <c r="AE5" s="101"/>
      <c r="AF5" s="48"/>
      <c r="AG5" s="44"/>
      <c r="AH5" s="8"/>
      <c r="AI5" s="8"/>
      <c r="AJ5" s="8"/>
      <c r="AK5" s="8"/>
      <c r="AL5" s="8"/>
      <c r="AM5" s="8"/>
      <c r="AN5" s="8"/>
      <c r="AO5" s="8"/>
      <c r="AP5" s="8"/>
      <c r="AQ5" s="8"/>
      <c r="AR5" s="8"/>
      <c r="AS5" s="102"/>
      <c r="AT5" s="101"/>
      <c r="AU5" s="48"/>
      <c r="AV5" s="8"/>
      <c r="AW5" s="8"/>
      <c r="AX5" s="8"/>
      <c r="AY5" s="8"/>
      <c r="AZ5" s="8"/>
      <c r="BA5" s="8"/>
      <c r="BB5" s="8"/>
      <c r="BC5" s="8"/>
      <c r="BD5" s="8"/>
      <c r="BE5" s="8"/>
      <c r="BF5" s="8"/>
      <c r="BG5" s="8"/>
      <c r="BH5" s="102"/>
      <c r="BI5" s="101"/>
      <c r="BJ5" s="371"/>
      <c r="BK5" s="44"/>
      <c r="BL5" s="8"/>
      <c r="BM5" s="8"/>
      <c r="BN5" s="8"/>
      <c r="BO5" s="8"/>
      <c r="BP5" s="8"/>
      <c r="BQ5" s="8"/>
      <c r="BR5" s="8"/>
      <c r="BS5" s="8"/>
      <c r="BT5" s="8"/>
      <c r="BU5" s="8"/>
      <c r="BV5" s="8"/>
      <c r="BW5" s="102"/>
      <c r="BX5" s="101"/>
      <c r="BY5" s="371"/>
      <c r="BZ5" s="8"/>
      <c r="CA5" s="8"/>
      <c r="CB5" s="77"/>
      <c r="CC5" s="77"/>
      <c r="CD5" s="77"/>
      <c r="CE5" s="77"/>
      <c r="CF5" s="77"/>
      <c r="CG5" s="8"/>
      <c r="CH5" s="8"/>
      <c r="CI5" s="8"/>
      <c r="CJ5" s="8"/>
      <c r="CK5" s="8"/>
      <c r="CL5" s="8"/>
      <c r="CM5" s="8"/>
      <c r="CN5" s="8"/>
      <c r="CO5" s="315"/>
      <c r="CP5" s="8"/>
      <c r="CQ5" s="48"/>
      <c r="CR5" s="8"/>
      <c r="CS5" s="8"/>
      <c r="CT5" s="8"/>
      <c r="CU5" s="8"/>
      <c r="CV5" s="77"/>
      <c r="CW5" s="8"/>
      <c r="CX5" s="8"/>
      <c r="CY5" s="8"/>
      <c r="CZ5" s="8"/>
      <c r="DA5" s="8"/>
      <c r="DB5" s="8"/>
      <c r="DC5" s="8"/>
      <c r="DD5" s="8"/>
      <c r="DE5" s="8"/>
      <c r="DF5" s="8"/>
      <c r="DG5" s="315"/>
      <c r="DH5" s="8"/>
      <c r="DI5" s="4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row>
    <row r="6" spans="1:142" x14ac:dyDescent="0.25">
      <c r="A6" s="14"/>
      <c r="B6" s="14"/>
      <c r="C6" s="14"/>
      <c r="D6" s="13"/>
      <c r="E6" s="14"/>
      <c r="F6" s="14"/>
      <c r="G6" s="14"/>
      <c r="H6" s="21"/>
      <c r="I6" s="15"/>
      <c r="J6" s="14"/>
      <c r="K6" s="14"/>
      <c r="L6" s="14"/>
      <c r="M6" s="14"/>
      <c r="N6" s="14"/>
      <c r="O6" s="14"/>
      <c r="P6" s="14"/>
      <c r="Q6" s="47"/>
      <c r="R6" s="19"/>
      <c r="S6" s="14"/>
      <c r="T6" s="14"/>
      <c r="U6" s="14"/>
      <c r="V6" s="14"/>
      <c r="W6" s="14"/>
      <c r="X6" s="14"/>
      <c r="Y6" s="14"/>
      <c r="Z6" s="14"/>
      <c r="AA6" s="14"/>
      <c r="AB6" s="14"/>
      <c r="AC6" s="14"/>
      <c r="AD6" s="65"/>
      <c r="AE6" s="63"/>
      <c r="AF6" s="47"/>
      <c r="AG6" s="19"/>
      <c r="AH6" s="14"/>
      <c r="AI6" s="14"/>
      <c r="AJ6" s="14"/>
      <c r="AK6" s="14"/>
      <c r="AL6" s="14"/>
      <c r="AM6" s="14"/>
      <c r="AN6" s="14"/>
      <c r="AO6" s="14"/>
      <c r="AP6" s="14"/>
      <c r="AQ6" s="14"/>
      <c r="AR6" s="14"/>
      <c r="AS6" s="65"/>
      <c r="AT6" s="63"/>
      <c r="AU6" s="47"/>
      <c r="AV6" s="14"/>
      <c r="AW6" s="14"/>
      <c r="AX6" s="14"/>
      <c r="AY6" s="14"/>
      <c r="AZ6" s="14"/>
      <c r="BA6" s="14"/>
      <c r="BB6" s="14"/>
      <c r="BC6" s="14"/>
      <c r="BD6" s="14"/>
      <c r="BE6" s="14"/>
      <c r="BF6" s="14"/>
      <c r="BG6" s="14"/>
      <c r="BH6" s="65"/>
      <c r="BI6" s="63"/>
      <c r="BJ6" s="352"/>
      <c r="BK6" s="19"/>
      <c r="BL6" s="14"/>
      <c r="BM6" s="14"/>
      <c r="BN6" s="14"/>
      <c r="BO6" s="14"/>
      <c r="BP6" s="14"/>
      <c r="BQ6" s="14"/>
      <c r="BR6" s="14"/>
      <c r="BS6" s="14"/>
      <c r="BT6" s="14"/>
      <c r="BU6" s="14"/>
      <c r="BV6" s="14"/>
      <c r="BW6" s="65"/>
      <c r="BX6" s="63"/>
      <c r="BY6" s="352"/>
      <c r="BZ6" s="14"/>
      <c r="CB6" s="21"/>
      <c r="CC6" s="21"/>
      <c r="CD6" s="21"/>
      <c r="CE6" s="21"/>
      <c r="CF6" s="21"/>
      <c r="CG6" s="14"/>
      <c r="CH6" s="14"/>
      <c r="CI6" s="14"/>
      <c r="CJ6" s="14"/>
      <c r="CK6" s="14"/>
      <c r="CL6" s="14"/>
      <c r="CM6" s="14"/>
      <c r="CN6" s="14"/>
      <c r="CO6" s="129"/>
      <c r="CP6" s="14"/>
      <c r="CQ6" s="47"/>
      <c r="CR6" s="14"/>
      <c r="CS6" s="14"/>
      <c r="CT6" s="14"/>
      <c r="CU6" s="14"/>
      <c r="CV6" s="21"/>
      <c r="CW6" s="14"/>
      <c r="CX6" s="14"/>
      <c r="CY6" s="14"/>
      <c r="CZ6" s="14"/>
      <c r="DA6" s="14"/>
      <c r="DB6" s="14"/>
      <c r="DC6" s="14"/>
      <c r="DD6" s="14"/>
      <c r="DE6" s="14"/>
      <c r="DF6" s="14"/>
      <c r="DG6" s="129"/>
      <c r="DH6" s="14"/>
      <c r="DI6" s="47"/>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row>
    <row r="7" spans="1:142" s="130" customFormat="1" x14ac:dyDescent="0.25">
      <c r="A7" s="87"/>
      <c r="B7" s="87" t="s">
        <v>752</v>
      </c>
      <c r="C7" s="87"/>
      <c r="D7" s="88"/>
      <c r="E7" s="87"/>
      <c r="F7" s="87"/>
      <c r="G7" s="87"/>
      <c r="H7" s="88"/>
      <c r="I7" s="88"/>
      <c r="J7" s="87"/>
      <c r="K7" s="87"/>
      <c r="L7" s="87"/>
      <c r="M7" s="87"/>
      <c r="N7" s="87"/>
      <c r="O7" s="87"/>
      <c r="P7" s="87"/>
      <c r="Q7" s="93"/>
      <c r="R7" s="196"/>
      <c r="S7" s="87" t="s">
        <v>752</v>
      </c>
      <c r="T7" s="87"/>
      <c r="U7" s="87"/>
      <c r="V7" s="87"/>
      <c r="W7" s="87"/>
      <c r="X7" s="87"/>
      <c r="Y7" s="87"/>
      <c r="Z7" s="87"/>
      <c r="AA7" s="87"/>
      <c r="AB7" s="87"/>
      <c r="AC7" s="87"/>
      <c r="AD7" s="91"/>
      <c r="AE7" s="92"/>
      <c r="AF7" s="93"/>
      <c r="AG7" s="196"/>
      <c r="AH7" s="87" t="s">
        <v>752</v>
      </c>
      <c r="AI7" s="87"/>
      <c r="AJ7" s="87"/>
      <c r="AK7" s="87"/>
      <c r="AL7" s="87"/>
      <c r="AM7" s="87"/>
      <c r="AN7" s="87"/>
      <c r="AO7" s="87"/>
      <c r="AP7" s="87"/>
      <c r="AQ7" s="87"/>
      <c r="AR7" s="87"/>
      <c r="AS7" s="91"/>
      <c r="AT7" s="92"/>
      <c r="AU7" s="93"/>
      <c r="AV7" s="87"/>
      <c r="AW7" s="87" t="s">
        <v>752</v>
      </c>
      <c r="AX7" s="87"/>
      <c r="AY7" s="87"/>
      <c r="AZ7" s="87"/>
      <c r="BA7" s="87"/>
      <c r="BB7" s="87"/>
      <c r="BC7" s="87"/>
      <c r="BD7" s="87"/>
      <c r="BE7" s="87"/>
      <c r="BF7" s="87"/>
      <c r="BG7" s="87"/>
      <c r="BH7" s="91"/>
      <c r="BI7" s="92"/>
      <c r="BJ7" s="351"/>
      <c r="BK7" s="196"/>
      <c r="BL7" s="87" t="s">
        <v>752</v>
      </c>
      <c r="BM7" s="87"/>
      <c r="BN7" s="87"/>
      <c r="BO7" s="87"/>
      <c r="BP7" s="87"/>
      <c r="BQ7" s="87"/>
      <c r="BR7" s="87"/>
      <c r="BS7" s="87"/>
      <c r="BT7" s="87"/>
      <c r="BU7" s="87"/>
      <c r="BV7" s="87"/>
      <c r="BW7" s="91"/>
      <c r="BX7" s="92"/>
      <c r="BY7" s="351"/>
      <c r="BZ7" s="87"/>
      <c r="CA7" s="87"/>
      <c r="CB7" s="88"/>
      <c r="CC7" s="88"/>
      <c r="CD7" s="88"/>
      <c r="CE7" s="88"/>
      <c r="CF7" s="88"/>
      <c r="CG7" s="87"/>
      <c r="CH7" s="87"/>
      <c r="CI7" s="87"/>
      <c r="CJ7" s="87"/>
      <c r="CK7" s="87"/>
      <c r="CL7" s="87"/>
      <c r="CM7" s="87"/>
      <c r="CN7" s="87"/>
      <c r="CO7" s="87"/>
      <c r="CP7" s="87"/>
      <c r="CQ7" s="93"/>
      <c r="CR7" s="87"/>
      <c r="CS7" s="87"/>
      <c r="CT7" s="87"/>
      <c r="CU7" s="87"/>
      <c r="CV7" s="88"/>
      <c r="CW7" s="87"/>
      <c r="CX7" s="87"/>
      <c r="CY7" s="87"/>
      <c r="CZ7" s="87"/>
      <c r="DA7" s="87"/>
      <c r="DB7" s="87"/>
      <c r="DC7" s="87"/>
      <c r="DD7" s="87"/>
      <c r="DE7" s="87"/>
      <c r="DF7" s="87"/>
      <c r="DG7" s="87"/>
      <c r="DH7" s="87"/>
      <c r="DI7" s="93"/>
      <c r="DJ7" s="87"/>
      <c r="DK7" s="87" t="s">
        <v>28</v>
      </c>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row>
    <row r="8" spans="1:142" s="132" customFormat="1" x14ac:dyDescent="0.25">
      <c r="A8" s="23"/>
      <c r="B8" s="148" t="s">
        <v>301</v>
      </c>
      <c r="C8" s="148"/>
      <c r="D8" s="149"/>
      <c r="E8" s="148"/>
      <c r="F8" s="23"/>
      <c r="G8" s="23"/>
      <c r="H8" s="18"/>
      <c r="I8" s="18"/>
      <c r="J8" s="23"/>
      <c r="K8" s="23"/>
      <c r="L8" s="23"/>
      <c r="M8" s="23"/>
      <c r="N8" s="23"/>
      <c r="O8" s="23"/>
      <c r="P8" s="23"/>
      <c r="Q8" s="73"/>
      <c r="R8" s="56"/>
      <c r="S8" s="148" t="s">
        <v>294</v>
      </c>
      <c r="T8" s="148"/>
      <c r="U8" s="149"/>
      <c r="V8" s="148"/>
      <c r="W8" s="148"/>
      <c r="X8" s="148"/>
      <c r="Y8" s="148"/>
      <c r="Z8" s="148"/>
      <c r="AA8" s="148"/>
      <c r="AB8" s="23"/>
      <c r="AC8" s="23"/>
      <c r="AD8" s="142"/>
      <c r="AE8" s="144"/>
      <c r="AF8" s="73"/>
      <c r="AG8" s="56"/>
      <c r="AH8" s="148" t="s">
        <v>328</v>
      </c>
      <c r="AI8" s="148"/>
      <c r="AJ8" s="149"/>
      <c r="AK8" s="148"/>
      <c r="AL8" s="148"/>
      <c r="AM8" s="23"/>
      <c r="AN8" s="23"/>
      <c r="AO8" s="23"/>
      <c r="AP8" s="23"/>
      <c r="AQ8" s="23"/>
      <c r="AR8" s="23"/>
      <c r="AS8" s="142"/>
      <c r="AT8" s="144"/>
      <c r="AU8" s="73"/>
      <c r="AV8" s="23"/>
      <c r="AW8" s="148" t="s">
        <v>347</v>
      </c>
      <c r="AX8" s="148"/>
      <c r="AY8" s="149"/>
      <c r="AZ8" s="148"/>
      <c r="BA8" s="148"/>
      <c r="BB8" s="23"/>
      <c r="BC8" s="23"/>
      <c r="BD8" s="23"/>
      <c r="BE8" s="23"/>
      <c r="BF8" s="23"/>
      <c r="BG8" s="23"/>
      <c r="BH8" s="142"/>
      <c r="BI8" s="144"/>
      <c r="BJ8" s="372"/>
      <c r="BK8" s="56"/>
      <c r="BL8" s="148" t="s">
        <v>348</v>
      </c>
      <c r="BM8" s="148"/>
      <c r="BN8" s="149"/>
      <c r="BO8" s="148"/>
      <c r="BP8" s="148"/>
      <c r="BQ8" s="23"/>
      <c r="BR8" s="23"/>
      <c r="BS8" s="23"/>
      <c r="BT8" s="23"/>
      <c r="BU8" s="23"/>
      <c r="BV8" s="23"/>
      <c r="BW8" s="142"/>
      <c r="BX8" s="144"/>
      <c r="BY8" s="372"/>
      <c r="BZ8" s="56"/>
      <c r="CA8" s="148" t="s">
        <v>303</v>
      </c>
      <c r="CB8" s="148"/>
      <c r="CC8" s="149"/>
      <c r="CD8" s="148"/>
      <c r="CE8" s="148"/>
      <c r="CF8" s="148"/>
      <c r="CG8" s="23"/>
      <c r="CH8" s="23"/>
      <c r="CI8" s="23"/>
      <c r="CJ8" s="23"/>
      <c r="CK8" s="23"/>
      <c r="CL8" s="23"/>
      <c r="CM8" s="23"/>
      <c r="CN8" s="23"/>
      <c r="CO8" s="90"/>
      <c r="CP8" s="23"/>
      <c r="CQ8" s="73"/>
      <c r="CR8" s="23"/>
      <c r="CS8" s="148" t="s">
        <v>370</v>
      </c>
      <c r="CT8" s="148"/>
      <c r="CU8" s="149"/>
      <c r="CV8" s="149"/>
      <c r="CW8" s="151"/>
      <c r="CX8" s="151"/>
      <c r="CY8" s="23"/>
      <c r="CZ8" s="23"/>
      <c r="DA8" s="23"/>
      <c r="DB8" s="23"/>
      <c r="DC8" s="23"/>
      <c r="DD8" s="23"/>
      <c r="DE8" s="23"/>
      <c r="DF8" s="23"/>
      <c r="DG8" s="90"/>
      <c r="DH8" s="23"/>
      <c r="DI8" s="73"/>
      <c r="DJ8" s="23"/>
      <c r="DK8" s="148" t="s">
        <v>305</v>
      </c>
      <c r="DL8" s="148"/>
      <c r="DM8" s="149"/>
      <c r="DN8" s="148"/>
      <c r="DO8" s="23"/>
      <c r="DP8" s="23"/>
      <c r="DQ8" s="23"/>
      <c r="DR8" s="23"/>
      <c r="DS8" s="23"/>
      <c r="DT8" s="23"/>
      <c r="DU8" s="23"/>
      <c r="DV8" s="23"/>
      <c r="DW8" s="23"/>
      <c r="DX8" s="23"/>
      <c r="DY8" s="23"/>
      <c r="DZ8" s="23"/>
      <c r="EA8" s="23"/>
      <c r="EB8" s="23"/>
      <c r="EC8" s="23"/>
      <c r="ED8" s="23"/>
      <c r="EE8" s="23"/>
      <c r="EF8" s="23"/>
      <c r="EG8" s="23"/>
      <c r="EH8" s="23"/>
      <c r="EI8" s="23"/>
      <c r="EJ8" s="23"/>
      <c r="EK8" s="23"/>
      <c r="EL8" s="23"/>
    </row>
    <row r="9" spans="1:142" ht="14.4" thickBot="1" x14ac:dyDescent="0.3">
      <c r="A9" s="14"/>
      <c r="B9" s="23"/>
      <c r="C9" s="23"/>
      <c r="D9" s="18"/>
      <c r="E9" s="23"/>
      <c r="F9" s="23"/>
      <c r="G9" s="23"/>
      <c r="H9" s="18"/>
      <c r="I9" s="21"/>
      <c r="J9" s="14"/>
      <c r="K9" s="14"/>
      <c r="L9" s="14"/>
      <c r="M9" s="14"/>
      <c r="N9" s="14"/>
      <c r="O9" s="14"/>
      <c r="P9" s="14"/>
      <c r="Q9" s="47"/>
      <c r="R9" s="19"/>
      <c r="S9" s="14"/>
      <c r="T9" s="14"/>
      <c r="U9" s="14"/>
      <c r="V9" s="14"/>
      <c r="W9" s="14"/>
      <c r="X9" s="14"/>
      <c r="Y9" s="14"/>
      <c r="Z9" s="14"/>
      <c r="AA9" s="14"/>
      <c r="AB9" s="14"/>
      <c r="AC9" s="14"/>
      <c r="AD9" s="65"/>
      <c r="AE9" s="19"/>
      <c r="AF9" s="47"/>
      <c r="AG9" s="19"/>
      <c r="AH9" s="14"/>
      <c r="AI9" s="14"/>
      <c r="AJ9" s="14"/>
      <c r="AK9" s="14"/>
      <c r="AL9" s="14"/>
      <c r="AM9" s="14"/>
      <c r="AN9" s="14"/>
      <c r="AO9" s="14"/>
      <c r="AP9" s="14"/>
      <c r="AQ9" s="14"/>
      <c r="AR9" s="14"/>
      <c r="AS9" s="65" t="s">
        <v>324</v>
      </c>
      <c r="AT9" s="19"/>
      <c r="AU9" s="47"/>
      <c r="AV9" s="14"/>
      <c r="AW9" s="14"/>
      <c r="AX9" s="14"/>
      <c r="AY9" s="14"/>
      <c r="AZ9" s="14"/>
      <c r="BA9" s="14"/>
      <c r="BB9" s="14"/>
      <c r="BC9" s="14"/>
      <c r="BD9" s="14"/>
      <c r="BE9" s="14"/>
      <c r="BF9" s="14"/>
      <c r="BG9" s="14"/>
      <c r="BH9" s="65"/>
      <c r="BI9" s="63"/>
      <c r="BJ9" s="352"/>
      <c r="BK9" s="19"/>
      <c r="BL9" s="14"/>
      <c r="BM9" s="14"/>
      <c r="BN9" s="14"/>
      <c r="BO9" s="14"/>
      <c r="BP9" s="14"/>
      <c r="BQ9" s="14"/>
      <c r="BR9" s="14"/>
      <c r="BS9" s="14"/>
      <c r="BT9" s="14"/>
      <c r="BU9" s="14"/>
      <c r="BV9" s="14"/>
      <c r="BW9" s="65"/>
      <c r="BX9" s="63"/>
      <c r="BY9" s="352"/>
      <c r="BZ9" s="14"/>
      <c r="CA9" s="14"/>
      <c r="CB9" s="21"/>
      <c r="CC9" s="21"/>
      <c r="CD9" s="21"/>
      <c r="CE9" s="21"/>
      <c r="CF9" s="21"/>
      <c r="CG9" s="14"/>
      <c r="CH9" s="14"/>
      <c r="CI9" s="14"/>
      <c r="CJ9" s="14"/>
      <c r="CK9" s="14"/>
      <c r="CL9" s="14"/>
      <c r="CM9" s="14"/>
      <c r="CN9" s="14"/>
      <c r="CO9" s="129"/>
      <c r="CP9" s="14"/>
      <c r="CQ9" s="47"/>
      <c r="CR9" s="14"/>
      <c r="CS9" s="14"/>
      <c r="CT9" s="14"/>
      <c r="CU9" s="14"/>
      <c r="CV9" s="21"/>
      <c r="CW9" s="14"/>
      <c r="CX9" s="14"/>
      <c r="CY9" s="14"/>
      <c r="CZ9" s="14"/>
      <c r="DA9" s="14"/>
      <c r="DB9" s="14"/>
      <c r="DC9" s="14"/>
      <c r="DD9" s="14"/>
      <c r="DE9" s="14"/>
      <c r="DF9" s="14"/>
      <c r="DG9" s="129"/>
      <c r="DH9" s="14"/>
      <c r="DI9" s="47"/>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row>
    <row r="10" spans="1:142" s="19" customFormat="1" ht="33.75" customHeight="1" x14ac:dyDescent="0.25">
      <c r="A10" s="14"/>
      <c r="B10" s="258" t="s">
        <v>676</v>
      </c>
      <c r="C10" s="24"/>
      <c r="D10" s="25"/>
      <c r="E10" s="158" t="s">
        <v>27</v>
      </c>
      <c r="F10" s="24"/>
      <c r="G10" s="24"/>
      <c r="H10" s="74"/>
      <c r="I10" s="21"/>
      <c r="J10" s="524" t="s">
        <v>753</v>
      </c>
      <c r="K10" s="525"/>
      <c r="L10" s="14"/>
      <c r="M10" s="14"/>
      <c r="N10" s="14"/>
      <c r="O10" s="14"/>
      <c r="P10" s="14"/>
      <c r="Q10" s="47"/>
      <c r="S10" s="522" t="s">
        <v>676</v>
      </c>
      <c r="T10" s="523"/>
      <c r="U10" s="523"/>
      <c r="V10" s="24" t="s">
        <v>27</v>
      </c>
      <c r="W10" s="24"/>
      <c r="X10" s="24"/>
      <c r="Y10" s="26"/>
      <c r="Z10" s="14"/>
      <c r="AA10" s="524" t="s">
        <v>753</v>
      </c>
      <c r="AB10" s="525"/>
      <c r="AC10" s="14"/>
      <c r="AD10" s="65"/>
      <c r="AF10" s="47"/>
      <c r="AH10" s="522" t="s">
        <v>676</v>
      </c>
      <c r="AI10" s="523"/>
      <c r="AJ10" s="523"/>
      <c r="AK10" s="24" t="s">
        <v>471</v>
      </c>
      <c r="AL10" s="24"/>
      <c r="AM10" s="24"/>
      <c r="AN10" s="26"/>
      <c r="AO10" s="14"/>
      <c r="AP10" s="524" t="s">
        <v>753</v>
      </c>
      <c r="AQ10" s="525"/>
      <c r="AR10" s="14"/>
      <c r="AS10" s="65" t="s">
        <v>325</v>
      </c>
      <c r="AU10" s="47"/>
      <c r="AV10" s="14"/>
      <c r="AW10" s="522" t="s">
        <v>676</v>
      </c>
      <c r="AX10" s="523"/>
      <c r="AY10" s="523"/>
      <c r="AZ10" s="24" t="s">
        <v>464</v>
      </c>
      <c r="BA10" s="24"/>
      <c r="BB10" s="24"/>
      <c r="BC10" s="26"/>
      <c r="BD10" s="14"/>
      <c r="BE10" s="524" t="s">
        <v>753</v>
      </c>
      <c r="BF10" s="525"/>
      <c r="BG10" s="14"/>
      <c r="BH10" s="65"/>
      <c r="BI10" s="63"/>
      <c r="BJ10" s="352"/>
      <c r="BL10" s="522" t="s">
        <v>676</v>
      </c>
      <c r="BM10" s="523"/>
      <c r="BN10" s="523"/>
      <c r="BO10" s="24" t="s">
        <v>471</v>
      </c>
      <c r="BP10" s="24"/>
      <c r="BQ10" s="24"/>
      <c r="BR10" s="26"/>
      <c r="BS10" s="14"/>
      <c r="BT10" s="524" t="s">
        <v>753</v>
      </c>
      <c r="BU10" s="525"/>
      <c r="BV10" s="14"/>
      <c r="BW10" s="65"/>
      <c r="BX10" s="63"/>
      <c r="BY10" s="352"/>
      <c r="BZ10" s="14"/>
      <c r="CA10" s="109" t="s">
        <v>14</v>
      </c>
      <c r="CB10" s="110"/>
      <c r="CC10" s="110" t="s">
        <v>149</v>
      </c>
      <c r="CD10" s="109" t="s">
        <v>150</v>
      </c>
      <c r="CE10" s="110" t="s">
        <v>151</v>
      </c>
      <c r="CF10" s="109" t="s">
        <v>152</v>
      </c>
      <c r="CG10" s="14"/>
      <c r="CH10" s="110" t="s">
        <v>560</v>
      </c>
      <c r="CI10" s="110" t="s">
        <v>385</v>
      </c>
      <c r="CJ10" s="201"/>
      <c r="CK10" s="201"/>
      <c r="CL10" s="201"/>
      <c r="CM10" s="201"/>
      <c r="CN10" s="201"/>
      <c r="CO10" s="325"/>
      <c r="CP10" s="14"/>
      <c r="CQ10" s="47"/>
      <c r="CR10" s="14"/>
      <c r="CS10" s="109" t="s">
        <v>14</v>
      </c>
      <c r="CT10" s="110"/>
      <c r="CU10" s="110" t="s">
        <v>149</v>
      </c>
      <c r="CV10" s="110" t="s">
        <v>150</v>
      </c>
      <c r="CW10" s="110" t="s">
        <v>151</v>
      </c>
      <c r="CX10" s="109" t="s">
        <v>152</v>
      </c>
      <c r="CY10" s="14"/>
      <c r="CZ10" s="110" t="s">
        <v>560</v>
      </c>
      <c r="DA10" s="110" t="s">
        <v>385</v>
      </c>
      <c r="DB10" s="201"/>
      <c r="DC10" s="201"/>
      <c r="DD10" s="201"/>
      <c r="DE10" s="201"/>
      <c r="DF10" s="201"/>
      <c r="DG10" s="325"/>
      <c r="DH10" s="14"/>
      <c r="DI10" s="47"/>
      <c r="DJ10" s="14"/>
      <c r="DK10" s="522" t="s">
        <v>676</v>
      </c>
      <c r="DL10" s="523"/>
      <c r="DM10" s="523"/>
      <c r="DN10" s="24" t="s">
        <v>27</v>
      </c>
      <c r="DO10" s="24"/>
      <c r="DP10" s="24"/>
      <c r="DQ10" s="26"/>
      <c r="DR10" s="14"/>
      <c r="DS10" s="524" t="s">
        <v>753</v>
      </c>
      <c r="DT10" s="525"/>
      <c r="DU10" s="14"/>
      <c r="DV10" s="14"/>
      <c r="DW10" s="14"/>
      <c r="DX10" s="14"/>
      <c r="DY10" s="14"/>
      <c r="DZ10" s="14"/>
      <c r="EA10" s="14"/>
      <c r="EB10" s="14"/>
      <c r="EC10" s="14"/>
      <c r="ED10" s="14"/>
      <c r="EE10" s="14"/>
      <c r="EF10" s="14"/>
      <c r="EG10" s="14"/>
      <c r="EH10" s="14"/>
      <c r="EI10" s="14"/>
      <c r="EJ10" s="14"/>
      <c r="EK10" s="14"/>
      <c r="EL10" s="14"/>
    </row>
    <row r="11" spans="1:142" s="260" customFormat="1" ht="15" customHeight="1" x14ac:dyDescent="0.25">
      <c r="A11" s="129"/>
      <c r="B11" s="530" t="s">
        <v>470</v>
      </c>
      <c r="C11" s="531"/>
      <c r="D11" s="531"/>
      <c r="E11" s="531"/>
      <c r="F11" s="531"/>
      <c r="G11" s="531"/>
      <c r="H11" s="532"/>
      <c r="I11" s="285"/>
      <c r="J11" s="526"/>
      <c r="K11" s="527"/>
      <c r="L11" s="129"/>
      <c r="M11" s="129"/>
      <c r="N11" s="129"/>
      <c r="O11" s="129"/>
      <c r="P11" s="129"/>
      <c r="Q11" s="82"/>
      <c r="S11" s="530" t="s">
        <v>472</v>
      </c>
      <c r="T11" s="531"/>
      <c r="U11" s="531"/>
      <c r="V11" s="531"/>
      <c r="W11" s="531"/>
      <c r="X11" s="531"/>
      <c r="Y11" s="532"/>
      <c r="Z11" s="129"/>
      <c r="AA11" s="526"/>
      <c r="AB11" s="527"/>
      <c r="AC11" s="129"/>
      <c r="AD11" s="80"/>
      <c r="AE11" s="131"/>
      <c r="AF11" s="82"/>
      <c r="AH11" s="530" t="s">
        <v>473</v>
      </c>
      <c r="AI11" s="531"/>
      <c r="AJ11" s="531"/>
      <c r="AK11" s="531"/>
      <c r="AL11" s="531"/>
      <c r="AM11" s="531"/>
      <c r="AN11" s="532"/>
      <c r="AO11" s="129"/>
      <c r="AP11" s="526"/>
      <c r="AQ11" s="527"/>
      <c r="AR11" s="129"/>
      <c r="AS11" s="80" t="s">
        <v>326</v>
      </c>
      <c r="AT11" s="131"/>
      <c r="AU11" s="82"/>
      <c r="AV11" s="129"/>
      <c r="AW11" s="530" t="s">
        <v>473</v>
      </c>
      <c r="AX11" s="531"/>
      <c r="AY11" s="531"/>
      <c r="AZ11" s="531"/>
      <c r="BA11" s="531"/>
      <c r="BB11" s="531"/>
      <c r="BC11" s="532"/>
      <c r="BD11" s="129"/>
      <c r="BE11" s="526"/>
      <c r="BF11" s="527"/>
      <c r="BG11" s="129"/>
      <c r="BH11" s="80"/>
      <c r="BI11" s="81"/>
      <c r="BJ11" s="373"/>
      <c r="BL11" s="530" t="s">
        <v>473</v>
      </c>
      <c r="BM11" s="531"/>
      <c r="BN11" s="531"/>
      <c r="BO11" s="531"/>
      <c r="BP11" s="531"/>
      <c r="BQ11" s="531"/>
      <c r="BR11" s="532"/>
      <c r="BS11" s="129"/>
      <c r="BT11" s="526"/>
      <c r="BU11" s="527"/>
      <c r="BV11" s="129"/>
      <c r="BW11" s="80"/>
      <c r="BX11" s="81"/>
      <c r="BY11" s="373"/>
      <c r="BZ11" s="129"/>
      <c r="CA11" s="140" t="s">
        <v>701</v>
      </c>
      <c r="CB11" s="139"/>
      <c r="CC11" s="141">
        <f>IF(ISBLANK($CA11),"",IFERROR(CC64/$CB$58,0)+IFERROR(CC91/$CG$82,0)+IFERROR(CC118/$CB$112,0)+IFERROR(CC145/$CB$139,0)+IFERROR(CC172/$CB$166,0)+IFERROR(CC199/$CB$193,0))</f>
        <v>5</v>
      </c>
      <c r="CD11" s="141">
        <f t="shared" ref="CD11:CE11" si="0">IF(ISBLANK($CA11),"",IFERROR(CD64/$CB$58,0)+IFERROR(CD91/$CG$82,0)+IFERROR(CD118/$CB$112,0)+IFERROR(CD145/$CB$139,0)+IFERROR(CD172/$CB$166,0)+IFERROR(CD199/$CB$193,0))</f>
        <v>1.5</v>
      </c>
      <c r="CE11" s="141">
        <f t="shared" si="0"/>
        <v>0.5</v>
      </c>
      <c r="CF11" s="141">
        <f>IF(ISBLANK(CA11),"",ROUND(SUMPRODUCT(CC11:CE11,Rank_score)/MAX(SUM($CC$11:$CC$18),SUM($CD$11:$CD$18),SUM($CE$11:$CE$18)),4)+(0.000001*ROWS(CF$10:$CF10)))</f>
        <v>3.7000010000000003</v>
      </c>
      <c r="CG11" s="129"/>
      <c r="CH11" s="206">
        <f t="shared" ref="CH11:CH17" si="1">IF(ISBLANK($CA11),"",SUM(CO64,CO91,CO118,CO145,CO172,CO199)/COUNTIF($CB$22:$CB$27,"&gt;0"))</f>
        <v>0.41666666666666669</v>
      </c>
      <c r="CI11" s="314" t="str">
        <f>IF(ISBLANK(CA11),"",IF(SUM(CC11:CE11)=0,not_ranked,IF(CH11=0,not_estimated,VLOOKUP(ROUNDDOWN(CH11,ScoresDPs),ScoresToLikelihoods,3,1))))</f>
        <v>Very unlikely</v>
      </c>
      <c r="CJ11" s="139"/>
      <c r="CK11" s="139"/>
      <c r="CL11" s="139"/>
      <c r="CM11" s="139"/>
      <c r="CN11" s="139"/>
      <c r="CO11" s="141"/>
      <c r="CP11" s="129"/>
      <c r="CQ11" s="82"/>
      <c r="CR11" s="129"/>
      <c r="CS11" s="140" t="s">
        <v>373</v>
      </c>
      <c r="CT11" s="139"/>
      <c r="CU11" s="141">
        <f>IF(ISBLANK($CS11),"",IFERROR(CU64/$CT$58,0)+IFERROR(CU91/$CT$85,0)+IFERROR(CU118/$CT$112,0)+IFERROR(CU145/$CT$139,0)+IFERROR(CU172/$CT$166,0)+IFERROR(CU199/$CT$193,0))</f>
        <v>1</v>
      </c>
      <c r="CV11" s="141">
        <f t="shared" ref="CV11:CW11" si="2">IF(ISBLANK($CS11),"",IFERROR(CV64/$CT$58,0)+IFERROR(CV91/$CT$85,0)+IFERROR(CV118/$CT$112,0)+IFERROR(CV145/$CT$139,0)+IFERROR(CV172/$CT$166,0)+IFERROR(CV199/$CT$193,0))</f>
        <v>0</v>
      </c>
      <c r="CW11" s="141">
        <f t="shared" si="2"/>
        <v>0</v>
      </c>
      <c r="CX11" s="141">
        <f>IF(ISBLANK($CS11),"",ROUND(SUMPRODUCT(CU11:CW11,Rank_score)/MAX(SUM($CU$11:$CU$18),SUM($CV$11:$CV$18),SUM($CW$11:$CW$18)),4)+(0.000001*ROWS($CX$10:CX10)))</f>
        <v>3.0000010000000001</v>
      </c>
      <c r="CY11" s="129"/>
      <c r="CZ11" s="206">
        <f t="shared" ref="CZ11:CZ18" si="3">IF(ISBLANK(CS11),"",SUM(DG64,DG91,DG118,DG145,DG172,DG199)/COUNTIF($CT$22:$CT$27,"&gt;0"))</f>
        <v>4</v>
      </c>
      <c r="DA11" s="314" t="str">
        <f t="shared" ref="DA11:DA18" si="4">IF(ISBLANK(CS11),"",IF(SUM(CU11:CW11)=0,not_ranked,IF(CZ11=0,not_estimated,VLOOKUP(ROUNDDOWN(CZ11,ScoresDPs),ScoresToLikelihoods,3,1))))</f>
        <v>Likely</v>
      </c>
      <c r="DB11" s="139"/>
      <c r="DC11" s="139"/>
      <c r="DD11" s="139"/>
      <c r="DE11" s="139"/>
      <c r="DF11" s="139"/>
      <c r="DG11" s="141"/>
      <c r="DH11" s="129"/>
      <c r="DI11" s="82"/>
      <c r="DJ11" s="129"/>
      <c r="DK11" s="530" t="s">
        <v>474</v>
      </c>
      <c r="DL11" s="531"/>
      <c r="DM11" s="531"/>
      <c r="DN11" s="531"/>
      <c r="DO11" s="531"/>
      <c r="DP11" s="531"/>
      <c r="DQ11" s="532"/>
      <c r="DR11" s="129"/>
      <c r="DS11" s="526"/>
      <c r="DT11" s="527"/>
      <c r="DU11" s="129"/>
      <c r="DV11" s="129"/>
      <c r="DW11" s="129"/>
      <c r="DX11" s="129"/>
      <c r="DY11" s="129"/>
      <c r="DZ11" s="129"/>
      <c r="EA11" s="129"/>
      <c r="EB11" s="129"/>
      <c r="EC11" s="129"/>
      <c r="ED11" s="129"/>
      <c r="EE11" s="129"/>
      <c r="EF11" s="129"/>
      <c r="EG11" s="129"/>
      <c r="EH11" s="129"/>
      <c r="EI11" s="129"/>
      <c r="EJ11" s="129"/>
      <c r="EK11" s="129"/>
      <c r="EL11" s="129"/>
    </row>
    <row r="12" spans="1:142" s="260" customFormat="1" ht="15" customHeight="1" x14ac:dyDescent="0.25">
      <c r="A12" s="129"/>
      <c r="B12" s="530"/>
      <c r="C12" s="531"/>
      <c r="D12" s="531"/>
      <c r="E12" s="531"/>
      <c r="F12" s="531"/>
      <c r="G12" s="531"/>
      <c r="H12" s="532"/>
      <c r="I12" s="285"/>
      <c r="J12" s="526"/>
      <c r="K12" s="527"/>
      <c r="L12" s="129"/>
      <c r="M12" s="129"/>
      <c r="N12" s="129"/>
      <c r="O12" s="129"/>
      <c r="P12" s="129"/>
      <c r="Q12" s="82"/>
      <c r="S12" s="530"/>
      <c r="T12" s="531"/>
      <c r="U12" s="531"/>
      <c r="V12" s="531"/>
      <c r="W12" s="531"/>
      <c r="X12" s="531"/>
      <c r="Y12" s="532"/>
      <c r="Z12" s="129"/>
      <c r="AA12" s="526"/>
      <c r="AB12" s="527"/>
      <c r="AC12" s="129"/>
      <c r="AD12" s="80"/>
      <c r="AE12" s="131"/>
      <c r="AF12" s="82"/>
      <c r="AH12" s="530"/>
      <c r="AI12" s="531"/>
      <c r="AJ12" s="531"/>
      <c r="AK12" s="531"/>
      <c r="AL12" s="531"/>
      <c r="AM12" s="531"/>
      <c r="AN12" s="532"/>
      <c r="AO12" s="129"/>
      <c r="AP12" s="526"/>
      <c r="AQ12" s="527"/>
      <c r="AR12" s="129"/>
      <c r="AS12" s="80" t="s">
        <v>327</v>
      </c>
      <c r="AT12" s="131"/>
      <c r="AU12" s="82"/>
      <c r="AV12" s="129"/>
      <c r="AW12" s="530"/>
      <c r="AX12" s="531"/>
      <c r="AY12" s="531"/>
      <c r="AZ12" s="531"/>
      <c r="BA12" s="531"/>
      <c r="BB12" s="531"/>
      <c r="BC12" s="532"/>
      <c r="BD12" s="129"/>
      <c r="BE12" s="526"/>
      <c r="BF12" s="527"/>
      <c r="BG12" s="129"/>
      <c r="BH12" s="80"/>
      <c r="BI12" s="81"/>
      <c r="BJ12" s="373"/>
      <c r="BL12" s="530"/>
      <c r="BM12" s="531"/>
      <c r="BN12" s="531"/>
      <c r="BO12" s="531"/>
      <c r="BP12" s="531"/>
      <c r="BQ12" s="531"/>
      <c r="BR12" s="532"/>
      <c r="BS12" s="129"/>
      <c r="BT12" s="526"/>
      <c r="BU12" s="527"/>
      <c r="BV12" s="129"/>
      <c r="BW12" s="80"/>
      <c r="BX12" s="81"/>
      <c r="BY12" s="373"/>
      <c r="BZ12" s="129"/>
      <c r="CA12" s="140" t="s">
        <v>344</v>
      </c>
      <c r="CB12" s="139"/>
      <c r="CC12" s="141">
        <f t="shared" ref="CC12:CE12" si="5">IF(ISBLANK($CA12),"",IFERROR(CC65/$CB$58,0)+IFERROR(CC92/$CG$82,0)+IFERROR(CC119/$CB$112,0)+IFERROR(CC146/$CB$139,0)+IFERROR(CC173/$CB$166,0)+IFERROR(CC200/$CB$193,0))</f>
        <v>0</v>
      </c>
      <c r="CD12" s="141">
        <f t="shared" si="5"/>
        <v>0.66666666666666663</v>
      </c>
      <c r="CE12" s="141">
        <f t="shared" si="5"/>
        <v>0</v>
      </c>
      <c r="CF12" s="141">
        <f>IF(ISBLANK(CA12),"",ROUND(SUMPRODUCT(CC12:CE12,Rank_score)/MAX(SUM($CC$11:$CC$18),SUM($CD$11:$CD$18),SUM($CE$11:$CE$18)),4)+(0.000001*ROWS(CF$10:$CF11)))</f>
        <v>0.26670199999999999</v>
      </c>
      <c r="CG12" s="129"/>
      <c r="CH12" s="206">
        <f t="shared" si="1"/>
        <v>0.41666666666666669</v>
      </c>
      <c r="CI12" s="314" t="str">
        <f t="shared" ref="CI12:CI18" si="6">IF(ISBLANK(CA12),"",IF(SUM(CC12:CE12)=0,not_ranked,IF(CH12=0,not_estimated,VLOOKUP(ROUNDDOWN(CH12,ScoresDPs),ScoresToLikelihoods,3,1))))</f>
        <v>Very unlikely</v>
      </c>
      <c r="CJ12" s="139"/>
      <c r="CK12" s="139"/>
      <c r="CL12" s="139"/>
      <c r="CM12" s="139"/>
      <c r="CN12" s="139"/>
      <c r="CO12" s="141"/>
      <c r="CP12" s="129"/>
      <c r="CQ12" s="82"/>
      <c r="CR12" s="129"/>
      <c r="CS12" s="140" t="s">
        <v>338</v>
      </c>
      <c r="CT12" s="139"/>
      <c r="CU12" s="141">
        <f t="shared" ref="CU12:CW12" si="7">IF(ISBLANK($CS12),"",IFERROR(CU65/$CT$58,0)+IFERROR(CU92/$CT$85,0)+IFERROR(CU119/$CT$112,0)+IFERROR(CU146/$CT$139,0)+IFERROR(CU173/$CT$166,0)+IFERROR(CU200/$CT$193,0))</f>
        <v>0</v>
      </c>
      <c r="CV12" s="141">
        <f t="shared" si="7"/>
        <v>0.5</v>
      </c>
      <c r="CW12" s="141">
        <f t="shared" si="7"/>
        <v>0</v>
      </c>
      <c r="CX12" s="141">
        <f>IF(ISBLANK($CS12),"",ROUND(SUMPRODUCT(CU12:CW12,Rank_score)/MAX(SUM($CU$11:$CU$18),SUM($CV$11:$CV$18),SUM($CW$11:$CW$18)),4)+(0.000001*ROWS($CX$10:CX11)))</f>
        <v>1.0000020000000001</v>
      </c>
      <c r="CY12" s="129"/>
      <c r="CZ12" s="206">
        <f t="shared" si="3"/>
        <v>0</v>
      </c>
      <c r="DA12" s="314" t="str">
        <f t="shared" si="4"/>
        <v>Ranked, but likelihood not estimated</v>
      </c>
      <c r="DB12" s="139"/>
      <c r="DC12" s="139"/>
      <c r="DD12" s="139"/>
      <c r="DE12" s="139"/>
      <c r="DF12" s="139"/>
      <c r="DG12" s="141"/>
      <c r="DH12" s="129"/>
      <c r="DI12" s="82"/>
      <c r="DJ12" s="129"/>
      <c r="DK12" s="530"/>
      <c r="DL12" s="531"/>
      <c r="DM12" s="531"/>
      <c r="DN12" s="531"/>
      <c r="DO12" s="531"/>
      <c r="DP12" s="531"/>
      <c r="DQ12" s="532"/>
      <c r="DR12" s="129"/>
      <c r="DS12" s="526"/>
      <c r="DT12" s="527"/>
      <c r="DU12" s="129"/>
      <c r="DV12" s="129"/>
      <c r="DW12" s="129"/>
      <c r="DX12" s="129"/>
      <c r="DY12" s="129"/>
      <c r="DZ12" s="129"/>
      <c r="EA12" s="129"/>
      <c r="EB12" s="129"/>
      <c r="EC12" s="129"/>
      <c r="ED12" s="129"/>
      <c r="EE12" s="129"/>
      <c r="EF12" s="129"/>
      <c r="EG12" s="129"/>
      <c r="EH12" s="129"/>
      <c r="EI12" s="129"/>
      <c r="EJ12" s="129"/>
      <c r="EK12" s="129"/>
      <c r="EL12" s="129"/>
    </row>
    <row r="13" spans="1:142" s="260" customFormat="1" ht="15" customHeight="1" x14ac:dyDescent="0.25">
      <c r="A13" s="129"/>
      <c r="B13" s="530"/>
      <c r="C13" s="531"/>
      <c r="D13" s="531"/>
      <c r="E13" s="531"/>
      <c r="F13" s="531"/>
      <c r="G13" s="531"/>
      <c r="H13" s="532"/>
      <c r="I13" s="285"/>
      <c r="J13" s="528"/>
      <c r="K13" s="529"/>
      <c r="L13" s="129"/>
      <c r="M13" s="129"/>
      <c r="N13" s="129"/>
      <c r="O13" s="129"/>
      <c r="P13" s="129"/>
      <c r="Q13" s="82"/>
      <c r="S13" s="530"/>
      <c r="T13" s="531"/>
      <c r="U13" s="531"/>
      <c r="V13" s="531"/>
      <c r="W13" s="531"/>
      <c r="X13" s="531"/>
      <c r="Y13" s="532"/>
      <c r="Z13" s="129"/>
      <c r="AA13" s="528"/>
      <c r="AB13" s="529"/>
      <c r="AC13" s="129"/>
      <c r="AD13" s="80"/>
      <c r="AE13" s="81"/>
      <c r="AF13" s="82"/>
      <c r="AH13" s="530"/>
      <c r="AI13" s="531"/>
      <c r="AJ13" s="531"/>
      <c r="AK13" s="531"/>
      <c r="AL13" s="531"/>
      <c r="AM13" s="531"/>
      <c r="AN13" s="532"/>
      <c r="AO13" s="129"/>
      <c r="AP13" s="528"/>
      <c r="AQ13" s="529"/>
      <c r="AR13" s="129"/>
      <c r="AS13" s="80"/>
      <c r="AT13" s="81"/>
      <c r="AU13" s="82"/>
      <c r="AV13" s="129"/>
      <c r="AW13" s="530"/>
      <c r="AX13" s="531"/>
      <c r="AY13" s="531"/>
      <c r="AZ13" s="531"/>
      <c r="BA13" s="531"/>
      <c r="BB13" s="531"/>
      <c r="BC13" s="532"/>
      <c r="BD13" s="129"/>
      <c r="BE13" s="528"/>
      <c r="BF13" s="529"/>
      <c r="BG13" s="129"/>
      <c r="BH13" s="80"/>
      <c r="BI13" s="81"/>
      <c r="BJ13" s="373"/>
      <c r="BL13" s="530"/>
      <c r="BM13" s="531"/>
      <c r="BN13" s="531"/>
      <c r="BO13" s="531"/>
      <c r="BP13" s="531"/>
      <c r="BQ13" s="531"/>
      <c r="BR13" s="532"/>
      <c r="BS13" s="129"/>
      <c r="BT13" s="528"/>
      <c r="BU13" s="529"/>
      <c r="BV13" s="129"/>
      <c r="BW13" s="80"/>
      <c r="BX13" s="81"/>
      <c r="BY13" s="373"/>
      <c r="BZ13" s="129"/>
      <c r="CA13" s="140" t="s">
        <v>146</v>
      </c>
      <c r="CB13" s="139"/>
      <c r="CC13" s="141">
        <f t="shared" ref="CC13:CE13" si="8">IF(ISBLANK($CA13),"",IFERROR(CC66/$CB$58,0)+IFERROR(CC93/$CG$82,0)+IFERROR(CC120/$CB$112,0)+IFERROR(CC147/$CB$139,0)+IFERROR(CC174/$CB$166,0)+IFERROR(CC201/$CB$193,0))</f>
        <v>0</v>
      </c>
      <c r="CD13" s="141">
        <f t="shared" si="8"/>
        <v>0</v>
      </c>
      <c r="CE13" s="141">
        <f t="shared" si="8"/>
        <v>0.33333333333333331</v>
      </c>
      <c r="CF13" s="141">
        <f>IF(ISBLANK(CA13),"",ROUND(SUMPRODUCT(CC13:CE13,Rank_score)/MAX(SUM($CC$11:$CC$18),SUM($CD$11:$CD$18),SUM($CE$11:$CE$18)),4)+(0.000001*ROWS(CF$10:$CF12)))</f>
        <v>6.6702999999999998E-2</v>
      </c>
      <c r="CG13" s="129"/>
      <c r="CH13" s="206">
        <f t="shared" si="1"/>
        <v>0</v>
      </c>
      <c r="CI13" s="314" t="str">
        <f t="shared" si="6"/>
        <v>Ranked, but likelihood not estimated</v>
      </c>
      <c r="CJ13" s="139"/>
      <c r="CK13" s="139"/>
      <c r="CL13" s="139"/>
      <c r="CM13" s="139"/>
      <c r="CN13" s="139"/>
      <c r="CO13" s="141"/>
      <c r="CP13" s="129"/>
      <c r="CQ13" s="82"/>
      <c r="CR13" s="129"/>
      <c r="CS13" s="140" t="s">
        <v>339</v>
      </c>
      <c r="CT13" s="139"/>
      <c r="CU13" s="141">
        <f t="shared" ref="CU13:CW13" si="9">IF(ISBLANK($CS13),"",IFERROR(CU66/$CT$58,0)+IFERROR(CU93/$CT$85,0)+IFERROR(CU120/$CT$112,0)+IFERROR(CU147/$CT$139,0)+IFERROR(CU174/$CT$166,0)+IFERROR(CU201/$CT$193,0))</f>
        <v>0</v>
      </c>
      <c r="CV13" s="141">
        <f t="shared" si="9"/>
        <v>0</v>
      </c>
      <c r="CW13" s="141">
        <f t="shared" si="9"/>
        <v>0.5</v>
      </c>
      <c r="CX13" s="141">
        <f>IF(ISBLANK($CS13),"",ROUND(SUMPRODUCT(CU13:CW13,Rank_score)/MAX(SUM($CU$11:$CU$18),SUM($CV$11:$CV$18),SUM($CW$11:$CW$18)),4)+(0.000001*ROWS($CX$10:CX12)))</f>
        <v>0.50000299999999998</v>
      </c>
      <c r="CY13" s="129"/>
      <c r="CZ13" s="206">
        <f t="shared" si="3"/>
        <v>5</v>
      </c>
      <c r="DA13" s="314" t="str">
        <f t="shared" si="4"/>
        <v>Very likely</v>
      </c>
      <c r="DB13" s="139"/>
      <c r="DC13" s="139"/>
      <c r="DD13" s="139"/>
      <c r="DE13" s="139"/>
      <c r="DF13" s="139"/>
      <c r="DG13" s="141"/>
      <c r="DH13" s="129"/>
      <c r="DI13" s="82"/>
      <c r="DJ13" s="129"/>
      <c r="DK13" s="530"/>
      <c r="DL13" s="531"/>
      <c r="DM13" s="531"/>
      <c r="DN13" s="531"/>
      <c r="DO13" s="531"/>
      <c r="DP13" s="531"/>
      <c r="DQ13" s="532"/>
      <c r="DR13" s="287"/>
      <c r="DS13" s="528"/>
      <c r="DT13" s="529"/>
      <c r="DU13" s="129"/>
      <c r="DV13" s="129"/>
      <c r="DW13" s="129"/>
      <c r="DX13" s="129"/>
      <c r="DY13" s="129"/>
      <c r="DZ13" s="129"/>
      <c r="EA13" s="129"/>
      <c r="EB13" s="129"/>
      <c r="EC13" s="129"/>
      <c r="ED13" s="129"/>
      <c r="EE13" s="129"/>
      <c r="EF13" s="129"/>
      <c r="EG13" s="129"/>
      <c r="EH13" s="129"/>
      <c r="EI13" s="129"/>
      <c r="EJ13" s="129"/>
      <c r="EK13" s="129"/>
      <c r="EL13" s="129"/>
    </row>
    <row r="14" spans="1:142" s="260" customFormat="1" ht="15" customHeight="1" x14ac:dyDescent="0.25">
      <c r="A14" s="129"/>
      <c r="B14" s="530"/>
      <c r="C14" s="531"/>
      <c r="D14" s="531"/>
      <c r="E14" s="531"/>
      <c r="F14" s="531"/>
      <c r="G14" s="531"/>
      <c r="H14" s="532"/>
      <c r="I14" s="285"/>
      <c r="J14" s="129"/>
      <c r="K14" s="129"/>
      <c r="L14" s="129"/>
      <c r="M14" s="129"/>
      <c r="N14" s="129"/>
      <c r="O14" s="129"/>
      <c r="P14" s="129"/>
      <c r="Q14" s="82"/>
      <c r="S14" s="530"/>
      <c r="T14" s="531"/>
      <c r="U14" s="531"/>
      <c r="V14" s="531"/>
      <c r="W14" s="531"/>
      <c r="X14" s="531"/>
      <c r="Y14" s="532"/>
      <c r="Z14" s="129"/>
      <c r="AA14" s="129"/>
      <c r="AB14" s="129"/>
      <c r="AC14" s="129"/>
      <c r="AD14" s="80"/>
      <c r="AE14" s="81"/>
      <c r="AF14" s="82"/>
      <c r="AH14" s="530"/>
      <c r="AI14" s="531"/>
      <c r="AJ14" s="531"/>
      <c r="AK14" s="531"/>
      <c r="AL14" s="531"/>
      <c r="AM14" s="531"/>
      <c r="AN14" s="532"/>
      <c r="AO14" s="129"/>
      <c r="AP14" s="129"/>
      <c r="AQ14" s="129"/>
      <c r="AR14" s="129"/>
      <c r="AS14" s="80"/>
      <c r="AT14" s="81"/>
      <c r="AU14" s="82"/>
      <c r="AV14" s="129"/>
      <c r="AW14" s="530"/>
      <c r="AX14" s="531"/>
      <c r="AY14" s="531"/>
      <c r="AZ14" s="531"/>
      <c r="BA14" s="531"/>
      <c r="BB14" s="531"/>
      <c r="BC14" s="532"/>
      <c r="BD14" s="129"/>
      <c r="BE14" s="129"/>
      <c r="BF14" s="129"/>
      <c r="BG14" s="129"/>
      <c r="BH14" s="80"/>
      <c r="BI14" s="81"/>
      <c r="BJ14" s="373"/>
      <c r="BL14" s="530"/>
      <c r="BM14" s="531"/>
      <c r="BN14" s="531"/>
      <c r="BO14" s="531"/>
      <c r="BP14" s="531"/>
      <c r="BQ14" s="531"/>
      <c r="BR14" s="532"/>
      <c r="BS14" s="129"/>
      <c r="BT14" s="129"/>
      <c r="BU14" s="129"/>
      <c r="BV14" s="129"/>
      <c r="BW14" s="80"/>
      <c r="BX14" s="81"/>
      <c r="BY14" s="373"/>
      <c r="BZ14" s="129"/>
      <c r="CA14" s="140" t="s">
        <v>147</v>
      </c>
      <c r="CB14" s="139"/>
      <c r="CC14" s="141">
        <f t="shared" ref="CC14:CE14" si="10">IF(ISBLANK($CA14),"",IFERROR(CC67/$CB$58,0)+IFERROR(CC94/$CG$82,0)+IFERROR(CC121/$CB$112,0)+IFERROR(CC148/$CB$139,0)+IFERROR(CC175/$CB$166,0)+IFERROR(CC202/$CB$193,0))</f>
        <v>0</v>
      </c>
      <c r="CD14" s="141">
        <f t="shared" si="10"/>
        <v>0</v>
      </c>
      <c r="CE14" s="141">
        <f t="shared" si="10"/>
        <v>0</v>
      </c>
      <c r="CF14" s="141">
        <f>IF(ISBLANK(CA14),"",ROUND(SUMPRODUCT(CC14:CE14,Rank_score)/MAX(SUM($CC$11:$CC$18),SUM($CD$11:$CD$18),SUM($CE$11:$CE$18)),4)+(0.000001*ROWS(CF$10:$CF13)))</f>
        <v>3.9999999999999998E-6</v>
      </c>
      <c r="CG14" s="129"/>
      <c r="CH14" s="206">
        <f t="shared" si="1"/>
        <v>0</v>
      </c>
      <c r="CI14" s="314" t="str">
        <f>IF(ISBLANK(CA14),"",IF(SUM(CC14:CE14)=0,not_ranked,IF(CH14=0,not_estimated,VLOOKUP(ROUNDDOWN(CH14,ScoresDPs),ScoresToLikelihoods,3,1))))</f>
        <v>Factor not ranked</v>
      </c>
      <c r="CJ14" s="139"/>
      <c r="CK14" s="139"/>
      <c r="CL14" s="139"/>
      <c r="CM14" s="139"/>
      <c r="CN14" s="139"/>
      <c r="CO14" s="141"/>
      <c r="CP14" s="129"/>
      <c r="CQ14" s="82"/>
      <c r="CR14" s="129"/>
      <c r="CS14" s="140" t="s">
        <v>345</v>
      </c>
      <c r="CT14" s="139"/>
      <c r="CU14" s="141">
        <f t="shared" ref="CU14:CW14" si="11">IF(ISBLANK($CS14),"",IFERROR(CU67/$CT$58,0)+IFERROR(CU94/$CT$85,0)+IFERROR(CU121/$CT$112,0)+IFERROR(CU148/$CT$139,0)+IFERROR(CU175/$CT$166,0)+IFERROR(CU202/$CT$193,0))</f>
        <v>0</v>
      </c>
      <c r="CV14" s="141">
        <f t="shared" si="11"/>
        <v>0.5</v>
      </c>
      <c r="CW14" s="141">
        <f t="shared" si="11"/>
        <v>0</v>
      </c>
      <c r="CX14" s="141">
        <f>IF(ISBLANK($CS14),"",ROUND(SUMPRODUCT(CU14:CW14,Rank_score)/MAX(SUM($CU$11:$CU$18),SUM($CV$11:$CV$18),SUM($CW$11:$CW$18)),4)+(0.000001*ROWS($CX$10:CX13)))</f>
        <v>1.0000039999999999</v>
      </c>
      <c r="CY14" s="129"/>
      <c r="CZ14" s="206">
        <f t="shared" si="3"/>
        <v>4</v>
      </c>
      <c r="DA14" s="314" t="str">
        <f t="shared" si="4"/>
        <v>Likely</v>
      </c>
      <c r="DB14" s="139"/>
      <c r="DC14" s="139"/>
      <c r="DD14" s="139"/>
      <c r="DE14" s="139"/>
      <c r="DF14" s="139"/>
      <c r="DG14" s="141"/>
      <c r="DH14" s="129"/>
      <c r="DI14" s="82"/>
      <c r="DJ14" s="129"/>
      <c r="DK14" s="530"/>
      <c r="DL14" s="531"/>
      <c r="DM14" s="531"/>
      <c r="DN14" s="531"/>
      <c r="DO14" s="531"/>
      <c r="DP14" s="531"/>
      <c r="DQ14" s="532"/>
      <c r="DR14" s="287"/>
      <c r="DS14" s="129"/>
      <c r="DT14" s="129"/>
      <c r="DU14" s="129"/>
      <c r="DV14" s="129"/>
      <c r="DW14" s="129"/>
      <c r="DX14" s="129"/>
      <c r="DY14" s="129"/>
      <c r="DZ14" s="129"/>
      <c r="EA14" s="129"/>
      <c r="EB14" s="129"/>
      <c r="EC14" s="129"/>
      <c r="ED14" s="129"/>
      <c r="EE14" s="129"/>
      <c r="EF14" s="129"/>
      <c r="EG14" s="129"/>
      <c r="EH14" s="129"/>
      <c r="EI14" s="129"/>
      <c r="EJ14" s="129"/>
      <c r="EK14" s="129"/>
      <c r="EL14" s="129"/>
    </row>
    <row r="15" spans="1:142" s="260" customFormat="1" ht="15" customHeight="1" x14ac:dyDescent="0.25">
      <c r="A15" s="129"/>
      <c r="B15" s="530"/>
      <c r="C15" s="531"/>
      <c r="D15" s="531"/>
      <c r="E15" s="531"/>
      <c r="F15" s="531"/>
      <c r="G15" s="531"/>
      <c r="H15" s="532"/>
      <c r="I15" s="285"/>
      <c r="J15" s="129"/>
      <c r="K15" s="129"/>
      <c r="L15" s="129"/>
      <c r="M15" s="129"/>
      <c r="N15" s="129"/>
      <c r="O15" s="129"/>
      <c r="P15" s="129"/>
      <c r="Q15" s="82"/>
      <c r="S15" s="530"/>
      <c r="T15" s="531"/>
      <c r="U15" s="531"/>
      <c r="V15" s="531"/>
      <c r="W15" s="531"/>
      <c r="X15" s="531"/>
      <c r="Y15" s="532"/>
      <c r="Z15" s="129"/>
      <c r="AA15" s="129"/>
      <c r="AB15" s="129"/>
      <c r="AC15" s="129"/>
      <c r="AD15" s="80"/>
      <c r="AE15" s="81"/>
      <c r="AF15" s="82"/>
      <c r="AH15" s="530"/>
      <c r="AI15" s="531"/>
      <c r="AJ15" s="531"/>
      <c r="AK15" s="531"/>
      <c r="AL15" s="531"/>
      <c r="AM15" s="531"/>
      <c r="AN15" s="532"/>
      <c r="AO15" s="129"/>
      <c r="AP15" s="129"/>
      <c r="AQ15" s="129"/>
      <c r="AR15" s="129"/>
      <c r="AS15" s="80"/>
      <c r="AT15" s="81"/>
      <c r="AU15" s="82"/>
      <c r="AV15" s="129"/>
      <c r="AW15" s="530"/>
      <c r="AX15" s="531"/>
      <c r="AY15" s="531"/>
      <c r="AZ15" s="531"/>
      <c r="BA15" s="531"/>
      <c r="BB15" s="531"/>
      <c r="BC15" s="532"/>
      <c r="BD15" s="129"/>
      <c r="BE15" s="129"/>
      <c r="BF15" s="129"/>
      <c r="BG15" s="129"/>
      <c r="BH15" s="80"/>
      <c r="BI15" s="81"/>
      <c r="BJ15" s="373"/>
      <c r="BL15" s="530"/>
      <c r="BM15" s="531"/>
      <c r="BN15" s="531"/>
      <c r="BO15" s="531"/>
      <c r="BP15" s="531"/>
      <c r="BQ15" s="531"/>
      <c r="BR15" s="532"/>
      <c r="BS15" s="129"/>
      <c r="BT15" s="129"/>
      <c r="BU15" s="129"/>
      <c r="BV15" s="129"/>
      <c r="BW15" s="80"/>
      <c r="BX15" s="81"/>
      <c r="BY15" s="373"/>
      <c r="BZ15" s="129"/>
      <c r="CA15" s="140" t="s">
        <v>341</v>
      </c>
      <c r="CB15" s="139"/>
      <c r="CC15" s="141">
        <f t="shared" ref="CC15:CE15" si="12">IF(ISBLANK($CA15),"",IFERROR(CC68/$CB$58,0)+IFERROR(CC95/$CG$82,0)+IFERROR(CC122/$CB$112,0)+IFERROR(CC149/$CB$139,0)+IFERROR(CC176/$CB$166,0)+IFERROR(CC203/$CB$193,0))</f>
        <v>0</v>
      </c>
      <c r="CD15" s="141">
        <f t="shared" si="12"/>
        <v>0</v>
      </c>
      <c r="CE15" s="141">
        <f t="shared" si="12"/>
        <v>0</v>
      </c>
      <c r="CF15" s="141">
        <f>IF(ISBLANK(CA15),"",ROUND(SUMPRODUCT(CC15:CE15,Rank_score)/MAX(SUM($CC$11:$CC$18),SUM($CD$11:$CD$18),SUM($CE$11:$CE$18)),4)+(0.000001*ROWS(CF$10:$CF14)))</f>
        <v>4.9999999999999996E-6</v>
      </c>
      <c r="CG15" s="129"/>
      <c r="CH15" s="206">
        <f t="shared" si="1"/>
        <v>0</v>
      </c>
      <c r="CI15" s="314" t="str">
        <f t="shared" si="6"/>
        <v>Factor not ranked</v>
      </c>
      <c r="CJ15" s="139"/>
      <c r="CK15" s="139"/>
      <c r="CL15" s="139"/>
      <c r="CM15" s="139"/>
      <c r="CN15" s="139"/>
      <c r="CO15" s="141"/>
      <c r="CP15" s="129"/>
      <c r="CQ15" s="82"/>
      <c r="CR15" s="129"/>
      <c r="CS15" s="140" t="s">
        <v>561</v>
      </c>
      <c r="CT15" s="139"/>
      <c r="CU15" s="141">
        <f t="shared" ref="CU15:CW15" si="13">IF(ISBLANK($CS15),"",IFERROR(CU68/$CT$58,0)+IFERROR(CU95/$CT$85,0)+IFERROR(CU122/$CT$112,0)+IFERROR(CU149/$CT$139,0)+IFERROR(CU176/$CT$166,0)+IFERROR(CU203/$CT$193,0))</f>
        <v>0</v>
      </c>
      <c r="CV15" s="141">
        <f t="shared" si="13"/>
        <v>0</v>
      </c>
      <c r="CW15" s="141">
        <f t="shared" si="13"/>
        <v>0</v>
      </c>
      <c r="CX15" s="141">
        <f>IF(ISBLANK($CS15),"",ROUND(SUMPRODUCT(CU15:CW15,Rank_score)/MAX(SUM($CU$11:$CU$18),SUM($CV$11:$CV$18),SUM($CW$11:$CW$18)),4)+(0.000001*ROWS($CX$10:CX14)))</f>
        <v>4.9999999999999996E-6</v>
      </c>
      <c r="CY15" s="129"/>
      <c r="CZ15" s="206">
        <f t="shared" si="3"/>
        <v>0</v>
      </c>
      <c r="DA15" s="314" t="str">
        <f t="shared" si="4"/>
        <v>Factor not ranked</v>
      </c>
      <c r="DB15" s="139"/>
      <c r="DC15" s="139"/>
      <c r="DD15" s="139"/>
      <c r="DE15" s="139"/>
      <c r="DF15" s="139"/>
      <c r="DG15" s="141"/>
      <c r="DH15" s="129"/>
      <c r="DI15" s="82"/>
      <c r="DJ15" s="129"/>
      <c r="DK15" s="530"/>
      <c r="DL15" s="531"/>
      <c r="DM15" s="531"/>
      <c r="DN15" s="531"/>
      <c r="DO15" s="531"/>
      <c r="DP15" s="531"/>
      <c r="DQ15" s="532"/>
      <c r="DR15" s="287"/>
      <c r="DS15" s="129"/>
      <c r="DT15" s="129"/>
      <c r="DU15" s="129"/>
      <c r="DV15" s="129"/>
      <c r="DW15" s="129"/>
      <c r="DX15" s="129"/>
      <c r="DY15" s="129"/>
      <c r="DZ15" s="129"/>
      <c r="EA15" s="129"/>
      <c r="EB15" s="129"/>
      <c r="EC15" s="129"/>
      <c r="ED15" s="129"/>
      <c r="EE15" s="129"/>
      <c r="EF15" s="129"/>
      <c r="EG15" s="129"/>
      <c r="EH15" s="129"/>
      <c r="EI15" s="129"/>
      <c r="EJ15" s="129"/>
      <c r="EK15" s="129"/>
      <c r="EL15" s="129"/>
    </row>
    <row r="16" spans="1:142" s="260" customFormat="1" ht="13.5" customHeight="1" x14ac:dyDescent="0.25">
      <c r="A16" s="129"/>
      <c r="B16" s="530"/>
      <c r="C16" s="531"/>
      <c r="D16" s="531"/>
      <c r="E16" s="531"/>
      <c r="F16" s="531"/>
      <c r="G16" s="531"/>
      <c r="H16" s="532"/>
      <c r="I16" s="285"/>
      <c r="J16" s="129"/>
      <c r="K16" s="129"/>
      <c r="L16" s="129"/>
      <c r="M16" s="129"/>
      <c r="N16" s="129"/>
      <c r="O16" s="129"/>
      <c r="P16" s="129"/>
      <c r="Q16" s="82"/>
      <c r="S16" s="530"/>
      <c r="T16" s="531"/>
      <c r="U16" s="531"/>
      <c r="V16" s="531"/>
      <c r="W16" s="531"/>
      <c r="X16" s="531"/>
      <c r="Y16" s="532"/>
      <c r="Z16" s="129"/>
      <c r="AA16" s="129"/>
      <c r="AB16" s="129"/>
      <c r="AC16" s="129"/>
      <c r="AD16" s="80"/>
      <c r="AE16" s="81"/>
      <c r="AF16" s="82"/>
      <c r="AH16" s="530"/>
      <c r="AI16" s="531"/>
      <c r="AJ16" s="531"/>
      <c r="AK16" s="531"/>
      <c r="AL16" s="531"/>
      <c r="AM16" s="531"/>
      <c r="AN16" s="532"/>
      <c r="AO16" s="129"/>
      <c r="AP16" s="129"/>
      <c r="AQ16" s="129"/>
      <c r="AR16" s="129"/>
      <c r="AS16" s="80"/>
      <c r="AT16" s="81"/>
      <c r="AU16" s="82"/>
      <c r="AV16" s="129"/>
      <c r="AW16" s="530"/>
      <c r="AX16" s="531"/>
      <c r="AY16" s="531"/>
      <c r="AZ16" s="531"/>
      <c r="BA16" s="531"/>
      <c r="BB16" s="531"/>
      <c r="BC16" s="532"/>
      <c r="BD16" s="129"/>
      <c r="BE16" s="129"/>
      <c r="BF16" s="129"/>
      <c r="BG16" s="129"/>
      <c r="BH16" s="80"/>
      <c r="BI16" s="81"/>
      <c r="BJ16" s="373"/>
      <c r="BL16" s="530"/>
      <c r="BM16" s="531"/>
      <c r="BN16" s="531"/>
      <c r="BO16" s="531"/>
      <c r="BP16" s="531"/>
      <c r="BQ16" s="531"/>
      <c r="BR16" s="532"/>
      <c r="BS16" s="129"/>
      <c r="BT16" s="129"/>
      <c r="BU16" s="129"/>
      <c r="BV16" s="129"/>
      <c r="BW16" s="80"/>
      <c r="BX16" s="81"/>
      <c r="BY16" s="373"/>
      <c r="BZ16" s="129"/>
      <c r="CA16" s="140" t="s">
        <v>148</v>
      </c>
      <c r="CB16" s="139"/>
      <c r="CC16" s="141">
        <f t="shared" ref="CC16:CE17" si="14">IF(ISBLANK($CA16),"",IFERROR(CC69/$CB$58,0)+IFERROR(CC96/$CG$82,0)+IFERROR(CC123/$CB$112,0)+IFERROR(CC150/$CB$139,0)+IFERROR(CC177/$CB$166,0)+IFERROR(CC204/$CB$193,0))</f>
        <v>0</v>
      </c>
      <c r="CD16" s="141">
        <f t="shared" si="14"/>
        <v>0</v>
      </c>
      <c r="CE16" s="141">
        <f t="shared" si="14"/>
        <v>0.33333333333333331</v>
      </c>
      <c r="CF16" s="141">
        <f>IF(ISBLANK(CA16),"",ROUND(SUMPRODUCT(CC16:CE16,Rank_score)/MAX(SUM($CC$11:$CC$18),SUM($CD$11:$CD$18),SUM($CE$11:$CE$18)),4)+(0.000001*ROWS(CF$10:$CF15)))</f>
        <v>6.6706000000000001E-2</v>
      </c>
      <c r="CG16" s="287"/>
      <c r="CH16" s="206">
        <f t="shared" si="1"/>
        <v>0.33333333333333331</v>
      </c>
      <c r="CI16" s="314" t="str">
        <f t="shared" si="6"/>
        <v>Very unlikely</v>
      </c>
      <c r="CJ16" s="139"/>
      <c r="CK16" s="139"/>
      <c r="CL16" s="139"/>
      <c r="CM16" s="139"/>
      <c r="CN16" s="139"/>
      <c r="CO16" s="141"/>
      <c r="CP16" s="287"/>
      <c r="CQ16" s="82"/>
      <c r="CR16" s="129"/>
      <c r="CS16" s="140" t="s">
        <v>49</v>
      </c>
      <c r="CT16" s="139"/>
      <c r="CU16" s="141">
        <f t="shared" ref="CU16:CW16" si="15">IF(ISBLANK($CS16),"",IFERROR(CU69/$CT$58,0)+IFERROR(CU96/$CT$85,0)+IFERROR(CU123/$CT$112,0)+IFERROR(CU150/$CT$139,0)+IFERROR(CU177/$CT$166,0)+IFERROR(CU204/$CT$193,0))</f>
        <v>0</v>
      </c>
      <c r="CV16" s="141">
        <f t="shared" si="15"/>
        <v>0</v>
      </c>
      <c r="CW16" s="141">
        <f t="shared" si="15"/>
        <v>0</v>
      </c>
      <c r="CX16" s="141">
        <f>IF(ISBLANK($CS16),"",ROUND(SUMPRODUCT(CU16:CW16,Rank_score)/MAX(SUM($CU$11:$CU$18),SUM($CV$11:$CV$18),SUM($CW$11:$CW$18)),4)+(0.000001*ROWS($CX$10:CX15)))</f>
        <v>6.0000000000000002E-6</v>
      </c>
      <c r="CY16" s="287"/>
      <c r="CZ16" s="206">
        <f t="shared" si="3"/>
        <v>0</v>
      </c>
      <c r="DA16" s="314" t="str">
        <f t="shared" si="4"/>
        <v>Factor not ranked</v>
      </c>
      <c r="DB16" s="139"/>
      <c r="DC16" s="139"/>
      <c r="DD16" s="139"/>
      <c r="DE16" s="139"/>
      <c r="DF16" s="139"/>
      <c r="DG16" s="141"/>
      <c r="DH16" s="287"/>
      <c r="DI16" s="82"/>
      <c r="DJ16" s="287"/>
      <c r="DK16" s="530"/>
      <c r="DL16" s="531"/>
      <c r="DM16" s="531"/>
      <c r="DN16" s="531"/>
      <c r="DO16" s="531"/>
      <c r="DP16" s="531"/>
      <c r="DQ16" s="532"/>
      <c r="DR16" s="287"/>
      <c r="DS16" s="129"/>
      <c r="DT16" s="129"/>
      <c r="DU16" s="129"/>
      <c r="DV16" s="129"/>
      <c r="DW16" s="129"/>
      <c r="DX16" s="129"/>
      <c r="DY16" s="129"/>
      <c r="DZ16" s="129"/>
      <c r="EA16" s="129"/>
      <c r="EB16" s="129"/>
      <c r="EC16" s="129"/>
      <c r="ED16" s="129"/>
      <c r="EE16" s="129"/>
      <c r="EF16" s="129"/>
      <c r="EG16" s="129"/>
      <c r="EH16" s="129"/>
      <c r="EI16" s="129"/>
      <c r="EJ16" s="129"/>
      <c r="EK16" s="129"/>
      <c r="EL16" s="129"/>
    </row>
    <row r="17" spans="1:142" s="260" customFormat="1" ht="14.4" thickBot="1" x14ac:dyDescent="0.3">
      <c r="A17" s="129"/>
      <c r="B17" s="533"/>
      <c r="C17" s="534"/>
      <c r="D17" s="534"/>
      <c r="E17" s="534"/>
      <c r="F17" s="534"/>
      <c r="G17" s="534"/>
      <c r="H17" s="535"/>
      <c r="I17" s="285"/>
      <c r="J17" s="129"/>
      <c r="K17" s="129"/>
      <c r="L17" s="129"/>
      <c r="M17" s="129"/>
      <c r="N17" s="129"/>
      <c r="O17" s="129"/>
      <c r="P17" s="129"/>
      <c r="Q17" s="82"/>
      <c r="S17" s="533"/>
      <c r="T17" s="534"/>
      <c r="U17" s="534"/>
      <c r="V17" s="534"/>
      <c r="W17" s="534"/>
      <c r="X17" s="534"/>
      <c r="Y17" s="535"/>
      <c r="Z17" s="129"/>
      <c r="AA17" s="129"/>
      <c r="AB17" s="129"/>
      <c r="AC17" s="129"/>
      <c r="AD17" s="80"/>
      <c r="AE17" s="81"/>
      <c r="AF17" s="82"/>
      <c r="AH17" s="533"/>
      <c r="AI17" s="534"/>
      <c r="AJ17" s="534"/>
      <c r="AK17" s="534"/>
      <c r="AL17" s="534"/>
      <c r="AM17" s="534"/>
      <c r="AN17" s="535"/>
      <c r="AO17" s="129"/>
      <c r="AP17" s="129"/>
      <c r="AQ17" s="129"/>
      <c r="AR17" s="129"/>
      <c r="AS17" s="80"/>
      <c r="AT17" s="81"/>
      <c r="AU17" s="82"/>
      <c r="AV17" s="129"/>
      <c r="AW17" s="533"/>
      <c r="AX17" s="534"/>
      <c r="AY17" s="534"/>
      <c r="AZ17" s="534"/>
      <c r="BA17" s="534"/>
      <c r="BB17" s="534"/>
      <c r="BC17" s="535"/>
      <c r="BD17" s="129"/>
      <c r="BE17" s="129"/>
      <c r="BF17" s="129"/>
      <c r="BG17" s="129"/>
      <c r="BH17" s="80"/>
      <c r="BI17" s="81"/>
      <c r="BJ17" s="373"/>
      <c r="BL17" s="533"/>
      <c r="BM17" s="534"/>
      <c r="BN17" s="534"/>
      <c r="BO17" s="534"/>
      <c r="BP17" s="534"/>
      <c r="BQ17" s="534"/>
      <c r="BR17" s="535"/>
      <c r="BS17" s="129"/>
      <c r="BT17" s="129"/>
      <c r="BU17" s="129"/>
      <c r="BV17" s="129"/>
      <c r="BW17" s="80"/>
      <c r="BX17" s="81"/>
      <c r="BY17" s="373"/>
      <c r="BZ17" s="129"/>
      <c r="CA17" s="140" t="s">
        <v>49</v>
      </c>
      <c r="CB17" s="139"/>
      <c r="CC17" s="141">
        <f t="shared" si="14"/>
        <v>0</v>
      </c>
      <c r="CD17" s="141">
        <f t="shared" si="14"/>
        <v>0</v>
      </c>
      <c r="CE17" s="141">
        <f t="shared" si="14"/>
        <v>0</v>
      </c>
      <c r="CF17" s="141">
        <f>IF(ISBLANK(CA17),"",ROUND(SUMPRODUCT(CC17:CE17,Rank_score)/MAX(SUM($CC$11:$CC$18),SUM($CD$11:$CD$18),SUM($CE$11:$CE$18)),4)+(0.000001*ROWS(CF$10:$CF16)))</f>
        <v>6.9999999999999999E-6</v>
      </c>
      <c r="CG17" s="38"/>
      <c r="CH17" s="206">
        <f t="shared" si="1"/>
        <v>0</v>
      </c>
      <c r="CI17" s="314" t="str">
        <f t="shared" si="6"/>
        <v>Factor not ranked</v>
      </c>
      <c r="CJ17" s="139"/>
      <c r="CK17" s="139"/>
      <c r="CL17" s="139"/>
      <c r="CM17" s="139"/>
      <c r="CN17" s="139"/>
      <c r="CO17" s="141"/>
      <c r="CP17" s="38"/>
      <c r="CQ17" s="82"/>
      <c r="CR17" s="129"/>
      <c r="CS17" s="140"/>
      <c r="CT17" s="139"/>
      <c r="CU17" s="141" t="str">
        <f t="shared" ref="CU17:CW17" si="16">IF(ISBLANK($CS17),"",IFERROR(CU70/$CT$58,0)+IFERROR(CU97/$CT$85,0)+IFERROR(CU124/$CT$112,0)+IFERROR(CU151/$CT$139,0)+IFERROR(CU178/$CT$166,0)+IFERROR(CU205/$CT$193,0))</f>
        <v/>
      </c>
      <c r="CV17" s="141" t="str">
        <f t="shared" si="16"/>
        <v/>
      </c>
      <c r="CW17" s="141" t="str">
        <f t="shared" si="16"/>
        <v/>
      </c>
      <c r="CX17" s="141" t="str">
        <f>IF(ISBLANK($CS17),"",ROUND(SUMPRODUCT(CU17:CW17,Rank_score)/MAX(SUM($CU$11:$CU$18),SUM($CV$11:$CV$18),SUM($CW$11:$CW$18)),4)+(0.000001*ROWS($CX$10:CX16)))</f>
        <v/>
      </c>
      <c r="CY17" s="38"/>
      <c r="CZ17" s="206" t="str">
        <f t="shared" si="3"/>
        <v/>
      </c>
      <c r="DA17" s="314" t="str">
        <f t="shared" si="4"/>
        <v/>
      </c>
      <c r="DB17" s="139"/>
      <c r="DC17" s="139"/>
      <c r="DD17" s="139"/>
      <c r="DE17" s="139"/>
      <c r="DF17" s="139"/>
      <c r="DG17" s="141"/>
      <c r="DH17" s="38"/>
      <c r="DI17" s="82"/>
      <c r="DJ17" s="38"/>
      <c r="DK17" s="533"/>
      <c r="DL17" s="534"/>
      <c r="DM17" s="534"/>
      <c r="DN17" s="534"/>
      <c r="DO17" s="534"/>
      <c r="DP17" s="534"/>
      <c r="DQ17" s="535"/>
      <c r="DR17" s="287"/>
      <c r="DS17" s="129"/>
      <c r="DT17" s="129"/>
      <c r="DU17" s="129"/>
      <c r="DV17" s="129"/>
      <c r="DW17" s="129"/>
      <c r="DX17" s="129"/>
      <c r="DY17" s="129"/>
      <c r="DZ17" s="129"/>
      <c r="EA17" s="129"/>
      <c r="EB17" s="129"/>
      <c r="EC17" s="129"/>
      <c r="ED17" s="129"/>
      <c r="EE17" s="129"/>
      <c r="EF17" s="129"/>
      <c r="EG17" s="129"/>
      <c r="EH17" s="129"/>
      <c r="EI17" s="129"/>
      <c r="EJ17" s="129"/>
      <c r="EK17" s="129"/>
      <c r="EL17" s="129"/>
    </row>
    <row r="18" spans="1:142" ht="14.4" x14ac:dyDescent="0.3">
      <c r="A18" s="14"/>
      <c r="B18" s="23"/>
      <c r="C18" s="14"/>
      <c r="D18" s="18"/>
      <c r="E18" s="14"/>
      <c r="F18" s="14"/>
      <c r="G18" s="14"/>
      <c r="H18" s="75"/>
      <c r="I18" s="21"/>
      <c r="J18" s="14"/>
      <c r="K18" s="14"/>
      <c r="L18" s="14"/>
      <c r="M18" s="14"/>
      <c r="N18" s="14"/>
      <c r="O18" s="14"/>
      <c r="P18" s="14"/>
      <c r="Q18" s="47"/>
      <c r="R18" s="19"/>
      <c r="S18" s="14"/>
      <c r="T18" s="14"/>
      <c r="U18" s="14"/>
      <c r="V18" s="14"/>
      <c r="W18" s="14"/>
      <c r="X18" s="14"/>
      <c r="Y18" s="14"/>
      <c r="Z18" s="14"/>
      <c r="AA18" s="14"/>
      <c r="AB18" s="14"/>
      <c r="AC18" s="14"/>
      <c r="AD18" s="65"/>
      <c r="AE18" s="63"/>
      <c r="AF18" s="47"/>
      <c r="AG18" s="19"/>
      <c r="AH18" s="14"/>
      <c r="AI18" s="14"/>
      <c r="AJ18" s="14"/>
      <c r="AK18" s="14"/>
      <c r="AL18" s="14"/>
      <c r="AM18" s="14"/>
      <c r="AN18" s="14"/>
      <c r="AO18" s="14"/>
      <c r="AP18" s="14"/>
      <c r="AQ18" s="14"/>
      <c r="AR18" s="14"/>
      <c r="AS18" s="65"/>
      <c r="AT18" s="63"/>
      <c r="AU18" s="47"/>
      <c r="AV18" s="14"/>
      <c r="AW18" s="14"/>
      <c r="AX18" s="14"/>
      <c r="AY18" s="14"/>
      <c r="AZ18" s="14"/>
      <c r="BA18" s="14"/>
      <c r="BB18" s="14"/>
      <c r="BC18" s="14"/>
      <c r="BD18" s="14"/>
      <c r="BE18" s="14"/>
      <c r="BF18" s="14"/>
      <c r="BG18" s="14"/>
      <c r="BH18" s="65"/>
      <c r="BI18" s="63"/>
      <c r="BJ18" s="352"/>
      <c r="BK18" s="19"/>
      <c r="BL18" s="14"/>
      <c r="BM18" s="14"/>
      <c r="BN18" s="14"/>
      <c r="BO18" s="14"/>
      <c r="BP18" s="14"/>
      <c r="BQ18" s="14"/>
      <c r="BR18" s="14"/>
      <c r="BS18" s="14"/>
      <c r="BT18" s="14"/>
      <c r="BU18" s="14"/>
      <c r="BV18" s="14"/>
      <c r="BW18" s="65"/>
      <c r="BX18" s="63"/>
      <c r="BY18" s="352"/>
      <c r="BZ18" s="14"/>
      <c r="CA18" s="107"/>
      <c r="CB18" s="27"/>
      <c r="CC18" s="141"/>
      <c r="CD18" s="141"/>
      <c r="CE18" s="141"/>
      <c r="CF18" s="141" t="str">
        <f>IF(ISBLANK(CA18),"",ROUND(SUMPRODUCT(CC18:CE18,Rank_score)/MAX(SUM($CC$11:$CC$18),SUM($CD$11:$CD$18),SUM($CE$11:$CE$18)),4)+(0.000001*ROWS(CF$10:$CF17)))</f>
        <v/>
      </c>
      <c r="CG18" s="29"/>
      <c r="CH18" s="206"/>
      <c r="CI18" s="314" t="str">
        <f t="shared" si="6"/>
        <v/>
      </c>
      <c r="CJ18" s="115"/>
      <c r="CK18" s="115"/>
      <c r="CL18" s="115"/>
      <c r="CM18" s="115"/>
      <c r="CN18" s="115"/>
      <c r="CO18" s="326"/>
      <c r="CP18" s="29"/>
      <c r="CQ18" s="47"/>
      <c r="CR18" s="14"/>
      <c r="CS18" s="107"/>
      <c r="CT18" s="27"/>
      <c r="CU18" s="141" t="str">
        <f t="shared" ref="CU18:CW18" si="17">IF(ISBLANK($CS18),"",IFERROR(CU71/$CT$58,0)+IFERROR(CU98/$CT$85,0)+IFERROR(CU125/$CT$112,0)+IFERROR(CU152/$CT$139,0)+IFERROR(CU179/$CT$166,0)+IFERROR(CU206/$CT$193,0))</f>
        <v/>
      </c>
      <c r="CV18" s="141" t="str">
        <f t="shared" si="17"/>
        <v/>
      </c>
      <c r="CW18" s="141" t="str">
        <f t="shared" si="17"/>
        <v/>
      </c>
      <c r="CX18" s="141" t="str">
        <f>IF(ISBLANK($CS18),"",ROUND(SUMPRODUCT(CU18:CW18,Rank_score)/MAX(SUM($CU$11:$CU$18),SUM($CV$11:$CV$18),SUM($CW$11:$CW$18)),4)+(0.000001*ROWS($CX$10:CX17)))</f>
        <v/>
      </c>
      <c r="CY18" s="29"/>
      <c r="CZ18" s="206" t="str">
        <f t="shared" si="3"/>
        <v/>
      </c>
      <c r="DA18" s="314" t="str">
        <f t="shared" si="4"/>
        <v/>
      </c>
      <c r="DB18" s="27"/>
      <c r="DC18" s="27"/>
      <c r="DD18" s="27"/>
      <c r="DE18" s="27"/>
      <c r="DF18" s="27"/>
      <c r="DG18" s="141"/>
      <c r="DH18" s="29"/>
      <c r="DI18" s="47"/>
      <c r="DJ18" s="29"/>
      <c r="DK18" s="14"/>
      <c r="DL18" s="14"/>
      <c r="DM18" s="14"/>
      <c r="DN18" s="14"/>
      <c r="DO18" s="14"/>
      <c r="DP18" s="14"/>
      <c r="DQ18" s="14"/>
      <c r="DR18" s="57"/>
      <c r="DS18" s="14"/>
      <c r="DT18" s="14"/>
      <c r="DU18" s="14"/>
      <c r="DV18" s="14"/>
      <c r="DW18" s="14"/>
      <c r="DX18" s="14"/>
      <c r="DY18" s="14"/>
      <c r="DZ18" s="14"/>
      <c r="EA18" s="14"/>
      <c r="EB18" s="14"/>
      <c r="EC18" s="14"/>
      <c r="ED18" s="14"/>
      <c r="EE18" s="14"/>
      <c r="EF18" s="14"/>
      <c r="EG18" s="14"/>
      <c r="EH18" s="14"/>
      <c r="EI18" s="14"/>
      <c r="EJ18" s="14"/>
      <c r="EK18" s="14"/>
      <c r="EL18" s="14"/>
    </row>
    <row r="19" spans="1:142" x14ac:dyDescent="0.25">
      <c r="A19" s="14"/>
      <c r="B19" s="23"/>
      <c r="C19" s="14"/>
      <c r="D19" s="18"/>
      <c r="E19" s="14"/>
      <c r="F19" s="14"/>
      <c r="G19" s="14"/>
      <c r="H19" s="21"/>
      <c r="I19" s="21"/>
      <c r="J19" s="14"/>
      <c r="K19" s="14"/>
      <c r="L19" s="14"/>
      <c r="M19" s="14"/>
      <c r="N19" s="14"/>
      <c r="O19" s="14"/>
      <c r="P19" s="14"/>
      <c r="Q19" s="47"/>
      <c r="R19" s="19"/>
      <c r="S19" s="14"/>
      <c r="T19" s="14"/>
      <c r="U19" s="14"/>
      <c r="V19" s="14"/>
      <c r="W19" s="14"/>
      <c r="X19" s="19"/>
      <c r="Y19" s="19"/>
      <c r="Z19" s="14"/>
      <c r="AA19" s="14"/>
      <c r="AB19" s="14"/>
      <c r="AC19" s="14"/>
      <c r="AD19" s="65"/>
      <c r="AE19" s="63"/>
      <c r="AF19" s="47"/>
      <c r="AG19" s="19"/>
      <c r="AH19" s="14"/>
      <c r="AI19" s="14"/>
      <c r="AJ19" s="14"/>
      <c r="AK19" s="14"/>
      <c r="AL19" s="14"/>
      <c r="AM19" s="19"/>
      <c r="AN19" s="14"/>
      <c r="AO19" s="14"/>
      <c r="AP19" s="14"/>
      <c r="AQ19" s="14"/>
      <c r="AR19" s="14"/>
      <c r="AS19" s="65"/>
      <c r="AT19" s="63"/>
      <c r="AU19" s="47"/>
      <c r="AV19" s="14"/>
      <c r="AW19" s="14"/>
      <c r="AX19" s="14"/>
      <c r="AY19" s="14"/>
      <c r="AZ19" s="14"/>
      <c r="BA19" s="14"/>
      <c r="BB19" s="19"/>
      <c r="BC19" s="19"/>
      <c r="BD19" s="14"/>
      <c r="BE19" s="14"/>
      <c r="BF19" s="14"/>
      <c r="BG19" s="14"/>
      <c r="BH19" s="65"/>
      <c r="BI19" s="63"/>
      <c r="BJ19" s="352"/>
      <c r="BK19" s="19"/>
      <c r="BL19" s="14"/>
      <c r="BM19" s="14"/>
      <c r="BN19" s="14"/>
      <c r="BO19" s="14"/>
      <c r="BP19" s="14"/>
      <c r="BQ19" s="19"/>
      <c r="BR19" s="19"/>
      <c r="BS19" s="14"/>
      <c r="BT19" s="14"/>
      <c r="BU19" s="14"/>
      <c r="BV19" s="14"/>
      <c r="BW19" s="65"/>
      <c r="BX19" s="63"/>
      <c r="BY19" s="352"/>
      <c r="BZ19" s="14"/>
      <c r="CA19" s="86"/>
      <c r="CB19" s="111"/>
      <c r="CC19" s="86"/>
      <c r="CD19" s="86"/>
      <c r="CE19" s="86"/>
      <c r="CF19" s="108"/>
      <c r="CG19" s="29"/>
      <c r="CH19" s="110"/>
      <c r="CI19" s="110"/>
      <c r="CJ19" s="115"/>
      <c r="CK19" s="115"/>
      <c r="CL19" s="115"/>
      <c r="CM19" s="115"/>
      <c r="CN19" s="115"/>
      <c r="CO19" s="129"/>
      <c r="CP19" s="29"/>
      <c r="CQ19" s="47"/>
      <c r="CR19" s="14"/>
      <c r="CS19" s="86"/>
      <c r="CT19" s="111"/>
      <c r="CU19" s="86"/>
      <c r="CV19" s="111"/>
      <c r="CW19" s="86"/>
      <c r="CX19" s="108"/>
      <c r="CY19" s="29"/>
      <c r="CZ19" s="110"/>
      <c r="DA19" s="110"/>
      <c r="DB19" s="115"/>
      <c r="DC19" s="115"/>
      <c r="DD19" s="115"/>
      <c r="DE19" s="115"/>
      <c r="DF19" s="115"/>
      <c r="DG19" s="326"/>
      <c r="DH19" s="29"/>
      <c r="DI19" s="47"/>
      <c r="DJ19" s="29"/>
      <c r="DK19" s="14"/>
      <c r="DL19" s="14"/>
      <c r="DM19" s="14"/>
      <c r="DN19" s="14"/>
      <c r="DO19" s="14"/>
      <c r="DP19" s="14"/>
      <c r="DQ19" s="14"/>
      <c r="DR19" s="57"/>
      <c r="DS19" s="14"/>
      <c r="DT19" s="14"/>
      <c r="DU19" s="14"/>
      <c r="DV19" s="14"/>
      <c r="DW19" s="14"/>
      <c r="DX19" s="14"/>
      <c r="DY19" s="14"/>
      <c r="DZ19" s="14"/>
      <c r="EA19" s="14"/>
      <c r="EB19" s="14"/>
      <c r="EC19" s="14"/>
      <c r="ED19" s="14"/>
      <c r="EE19" s="14"/>
      <c r="EF19" s="14"/>
      <c r="EG19" s="14"/>
      <c r="EH19" s="14"/>
      <c r="EI19" s="14"/>
      <c r="EJ19" s="14"/>
      <c r="EK19" s="14"/>
      <c r="EL19" s="14"/>
    </row>
    <row r="20" spans="1:142" x14ac:dyDescent="0.25">
      <c r="A20" s="14"/>
      <c r="B20" s="23"/>
      <c r="C20" s="14"/>
      <c r="D20" s="18"/>
      <c r="E20" s="14"/>
      <c r="F20" s="14"/>
      <c r="G20" s="14"/>
      <c r="H20" s="21"/>
      <c r="I20" s="21"/>
      <c r="J20" s="14"/>
      <c r="K20" s="14"/>
      <c r="L20" s="14"/>
      <c r="M20" s="14"/>
      <c r="N20" s="14"/>
      <c r="O20" s="14"/>
      <c r="P20" s="14"/>
      <c r="Q20" s="47"/>
      <c r="R20" s="19"/>
      <c r="S20" s="14"/>
      <c r="T20" s="14"/>
      <c r="U20" s="14"/>
      <c r="V20" s="14"/>
      <c r="W20" s="14"/>
      <c r="X20" s="19"/>
      <c r="Y20" s="19"/>
      <c r="Z20" s="14"/>
      <c r="AA20" s="14"/>
      <c r="AB20" s="14"/>
      <c r="AC20" s="14"/>
      <c r="AD20" s="65"/>
      <c r="AE20" s="63"/>
      <c r="AF20" s="47"/>
      <c r="AG20" s="19"/>
      <c r="AH20" s="14"/>
      <c r="AI20" s="14"/>
      <c r="AJ20" s="14"/>
      <c r="AK20" s="14"/>
      <c r="AL20" s="14"/>
      <c r="AM20" s="19"/>
      <c r="AN20" s="19"/>
      <c r="AO20" s="14"/>
      <c r="AP20" s="14"/>
      <c r="AQ20" s="14"/>
      <c r="AR20" s="14"/>
      <c r="AS20" s="65"/>
      <c r="AT20" s="63"/>
      <c r="AU20" s="47"/>
      <c r="AV20" s="14"/>
      <c r="AW20" s="14"/>
      <c r="AX20" s="14"/>
      <c r="AY20" s="14"/>
      <c r="AZ20" s="14"/>
      <c r="BA20" s="14"/>
      <c r="BB20" s="19"/>
      <c r="BC20" s="19"/>
      <c r="BD20" s="14"/>
      <c r="BE20" s="14"/>
      <c r="BF20" s="14"/>
      <c r="BG20" s="14"/>
      <c r="BH20" s="65"/>
      <c r="BI20" s="63"/>
      <c r="BJ20" s="352"/>
      <c r="BK20" s="19"/>
      <c r="BL20" s="14"/>
      <c r="BM20" s="14"/>
      <c r="BN20" s="14"/>
      <c r="BO20" s="14"/>
      <c r="BP20" s="14"/>
      <c r="BQ20" s="19"/>
      <c r="BR20" s="19"/>
      <c r="BS20" s="14"/>
      <c r="BT20" s="14"/>
      <c r="BU20" s="14"/>
      <c r="BV20" s="14"/>
      <c r="BW20" s="65"/>
      <c r="BX20" s="63"/>
      <c r="BY20" s="352"/>
      <c r="BZ20" s="14"/>
      <c r="CA20" s="14"/>
      <c r="CB20" s="21"/>
      <c r="CC20" s="14"/>
      <c r="CD20" s="14"/>
      <c r="CE20" s="14"/>
      <c r="CF20" s="14"/>
      <c r="CG20" s="29"/>
      <c r="CH20" s="14"/>
      <c r="CI20" s="13"/>
      <c r="CJ20" s="14"/>
      <c r="CK20" s="14"/>
      <c r="CL20" s="14"/>
      <c r="CM20" s="14"/>
      <c r="CN20" s="14"/>
      <c r="CO20" s="327"/>
      <c r="CP20" s="29"/>
      <c r="CQ20" s="47"/>
      <c r="CR20" s="14"/>
      <c r="CS20" s="14"/>
      <c r="CT20" s="21"/>
      <c r="CU20" s="14"/>
      <c r="CV20" s="21"/>
      <c r="CW20" s="14"/>
      <c r="CX20" s="14"/>
      <c r="CY20" s="29"/>
      <c r="CZ20" s="14"/>
      <c r="DA20" s="13"/>
      <c r="DB20" s="14"/>
      <c r="DC20" s="14"/>
      <c r="DD20" s="14"/>
      <c r="DE20" s="14"/>
      <c r="DF20" s="14"/>
      <c r="DG20" s="129"/>
      <c r="DH20" s="29"/>
      <c r="DI20" s="47"/>
      <c r="DJ20" s="29"/>
      <c r="DK20" s="14"/>
      <c r="DL20" s="14"/>
      <c r="DM20" s="14"/>
      <c r="DN20" s="14"/>
      <c r="DO20" s="14"/>
      <c r="DP20" s="14"/>
      <c r="DQ20" s="14"/>
      <c r="DR20" s="17"/>
      <c r="DS20" s="14"/>
      <c r="DT20" s="14"/>
      <c r="DU20" s="14"/>
      <c r="DV20" s="14"/>
      <c r="DW20" s="14"/>
      <c r="DX20" s="14"/>
      <c r="DY20" s="14"/>
      <c r="DZ20" s="14"/>
      <c r="EA20" s="14"/>
      <c r="EB20" s="14"/>
      <c r="EC20" s="14"/>
      <c r="ED20" s="14"/>
      <c r="EE20" s="14"/>
      <c r="EF20" s="14"/>
      <c r="EG20" s="14"/>
      <c r="EH20" s="14"/>
      <c r="EI20" s="14"/>
      <c r="EJ20" s="14"/>
      <c r="EK20" s="14"/>
      <c r="EL20" s="14"/>
    </row>
    <row r="21" spans="1:142" ht="27.6" x14ac:dyDescent="0.25">
      <c r="A21" s="14"/>
      <c r="B21" s="112" t="s">
        <v>23</v>
      </c>
      <c r="C21" s="113" t="s">
        <v>24</v>
      </c>
      <c r="D21" s="113" t="s">
        <v>145</v>
      </c>
      <c r="E21" s="113" t="s">
        <v>300</v>
      </c>
      <c r="F21" s="14"/>
      <c r="G21" s="524" t="s">
        <v>754</v>
      </c>
      <c r="H21" s="542"/>
      <c r="I21" s="525"/>
      <c r="J21" s="14"/>
      <c r="K21" s="14"/>
      <c r="L21" s="14"/>
      <c r="M21" s="14"/>
      <c r="N21" s="14"/>
      <c r="O21" s="14"/>
      <c r="P21" s="14"/>
      <c r="Q21" s="47"/>
      <c r="R21" s="19"/>
      <c r="S21" s="112" t="s">
        <v>23</v>
      </c>
      <c r="T21" s="113" t="s">
        <v>24</v>
      </c>
      <c r="U21" s="113" t="s">
        <v>145</v>
      </c>
      <c r="V21" s="113" t="s">
        <v>300</v>
      </c>
      <c r="W21" s="14"/>
      <c r="X21" s="19"/>
      <c r="Y21" s="524" t="s">
        <v>754</v>
      </c>
      <c r="Z21" s="542"/>
      <c r="AA21" s="525"/>
      <c r="AB21" s="14"/>
      <c r="AC21" s="14"/>
      <c r="AD21" s="65"/>
      <c r="AE21" s="63"/>
      <c r="AF21" s="47"/>
      <c r="AG21" s="19"/>
      <c r="AH21" s="112" t="s">
        <v>23</v>
      </c>
      <c r="AI21" s="113" t="s">
        <v>24</v>
      </c>
      <c r="AJ21" s="113" t="s">
        <v>145</v>
      </c>
      <c r="AK21" s="113" t="s">
        <v>300</v>
      </c>
      <c r="AL21" s="14"/>
      <c r="AM21" s="524" t="s">
        <v>754</v>
      </c>
      <c r="AN21" s="542"/>
      <c r="AO21" s="525"/>
      <c r="AP21" s="14"/>
      <c r="AQ21" s="14"/>
      <c r="AR21" s="14"/>
      <c r="AS21" s="65"/>
      <c r="AT21" s="63"/>
      <c r="AU21" s="47"/>
      <c r="AV21" s="14"/>
      <c r="AW21" s="112" t="s">
        <v>23</v>
      </c>
      <c r="AX21" s="113" t="s">
        <v>24</v>
      </c>
      <c r="AY21" s="113" t="s">
        <v>145</v>
      </c>
      <c r="AZ21" s="113" t="s">
        <v>300</v>
      </c>
      <c r="BA21" s="14"/>
      <c r="BB21" s="524" t="s">
        <v>754</v>
      </c>
      <c r="BC21" s="542"/>
      <c r="BD21" s="525"/>
      <c r="BE21" s="14"/>
      <c r="BF21" s="14"/>
      <c r="BG21" s="14"/>
      <c r="BH21" s="65"/>
      <c r="BI21" s="63"/>
      <c r="BJ21" s="352"/>
      <c r="BK21" s="19"/>
      <c r="BL21" s="112" t="s">
        <v>23</v>
      </c>
      <c r="BM21" s="113" t="s">
        <v>24</v>
      </c>
      <c r="BN21" s="113" t="s">
        <v>145</v>
      </c>
      <c r="BO21" s="113" t="s">
        <v>300</v>
      </c>
      <c r="BP21" s="14"/>
      <c r="BQ21" s="524" t="s">
        <v>754</v>
      </c>
      <c r="BR21" s="542"/>
      <c r="BS21" s="525"/>
      <c r="BT21" s="14"/>
      <c r="BU21" s="14"/>
      <c r="BV21" s="14"/>
      <c r="BW21" s="65"/>
      <c r="BX21" s="63"/>
      <c r="BY21" s="352"/>
      <c r="BZ21" s="14"/>
      <c r="CA21" s="112" t="s">
        <v>23</v>
      </c>
      <c r="CB21" s="113" t="s">
        <v>145</v>
      </c>
      <c r="CC21" s="14"/>
      <c r="CD21" s="205" t="s">
        <v>465</v>
      </c>
      <c r="CE21" s="316"/>
      <c r="CF21" s="316"/>
      <c r="CG21" s="316"/>
      <c r="CH21" s="202"/>
      <c r="CI21" s="205" t="s">
        <v>698</v>
      </c>
      <c r="CJ21" s="316"/>
      <c r="CK21" s="202"/>
      <c r="CL21" s="14"/>
      <c r="CM21" s="14"/>
      <c r="CN21" s="14"/>
      <c r="CO21" s="129"/>
      <c r="CP21" s="29"/>
      <c r="CQ21" s="47"/>
      <c r="CR21" s="14"/>
      <c r="CS21" s="112" t="s">
        <v>23</v>
      </c>
      <c r="CT21" s="113" t="s">
        <v>145</v>
      </c>
      <c r="CU21" s="14"/>
      <c r="CV21" s="333" t="s">
        <v>465</v>
      </c>
      <c r="CW21" s="316"/>
      <c r="CX21" s="316"/>
      <c r="CY21" s="316"/>
      <c r="CZ21" s="202"/>
      <c r="DA21" s="205" t="s">
        <v>698</v>
      </c>
      <c r="DB21" s="316"/>
      <c r="DC21" s="202"/>
      <c r="DD21" s="14"/>
      <c r="DE21" s="14"/>
      <c r="DF21" s="14"/>
      <c r="DG21" s="129"/>
      <c r="DH21" s="29"/>
      <c r="DI21" s="47"/>
      <c r="DJ21" s="29"/>
      <c r="DK21" s="112" t="s">
        <v>23</v>
      </c>
      <c r="DL21" s="113" t="s">
        <v>24</v>
      </c>
      <c r="DM21" s="113" t="s">
        <v>145</v>
      </c>
      <c r="DN21" s="113" t="s">
        <v>300</v>
      </c>
      <c r="DO21" s="14"/>
      <c r="DP21" s="14"/>
      <c r="DQ21" s="524" t="s">
        <v>754</v>
      </c>
      <c r="DR21" s="542"/>
      <c r="DS21" s="525"/>
      <c r="DT21" s="14"/>
      <c r="DU21" s="14"/>
      <c r="DV21" s="14"/>
      <c r="DW21" s="14"/>
      <c r="DX21" s="14"/>
      <c r="DY21" s="14"/>
      <c r="DZ21" s="14"/>
      <c r="EA21" s="14"/>
      <c r="EB21" s="14"/>
      <c r="EC21" s="14"/>
      <c r="ED21" s="14"/>
      <c r="EE21" s="14"/>
      <c r="EF21" s="14"/>
      <c r="EG21" s="14"/>
      <c r="EH21" s="14"/>
      <c r="EI21" s="14"/>
      <c r="EJ21" s="14"/>
      <c r="EK21" s="14"/>
      <c r="EL21" s="14"/>
    </row>
    <row r="22" spans="1:142" x14ac:dyDescent="0.25">
      <c r="A22" s="14"/>
      <c r="B22" s="57" t="s">
        <v>2</v>
      </c>
      <c r="C22" s="122" t="str">
        <f ca="1">IF(COUNTIF(C58:C60,"")=2,C58,                                                                                                                                                                                                IF(COUNTIF(C58:C60,"")=1,                                                                                                                                                                                                                                     IFERROR(IF(ABS(MATCH(C58,Responses_list1_frequency,0)-MATCH(C59,Responses_list1_frequency,0))=1,C58&amp;" / "&amp;C59,"No consensus"),"No consensus"),   IF(COUNTIF(C58:C60,"")=0,                                                                                                                                                                                                                                                       IFERROR(IF(AND(ABS(MATCH(C58,Responses_list1_frequency,0)-MATCH(C59,Responses_list1_frequency,0))=1,ABS(MATCH(C59,Responses_list1_frequency,0)-MATCH(C60,Responses_list1_frequency,0))=1),C58&amp;" / "&amp;C59&amp;" / "&amp;C60,"No consensus"),"No consensus"),C58)     ))</f>
        <v>I don’t know</v>
      </c>
      <c r="D22" s="58">
        <f>D58</f>
        <v>3</v>
      </c>
      <c r="E22" s="121">
        <f>E58</f>
        <v>2</v>
      </c>
      <c r="F22" s="14"/>
      <c r="G22" s="526"/>
      <c r="H22" s="543"/>
      <c r="I22" s="527"/>
      <c r="J22" s="33"/>
      <c r="K22" s="14"/>
      <c r="L22" s="14"/>
      <c r="M22" s="14"/>
      <c r="N22" s="14"/>
      <c r="O22" s="14"/>
      <c r="P22" s="14"/>
      <c r="Q22" s="47"/>
      <c r="R22" s="19"/>
      <c r="S22" s="34" t="s">
        <v>2</v>
      </c>
      <c r="T22" s="122" t="str">
        <f ca="1">IF(COUNTIF(T58:T60,"")=2,T58,                                                                                                                                                                                                IF(COUNTIF(T58:T60,"")=1,                                                                                                                                                                                                                                     IFERROR(IF(ABS(MATCH(T58,Responses_list1_frequency,0)-MATCH(T59,Responses_list1_frequency,0))=1,T58&amp;" / "&amp;T59,"No consensus"),"No consensus"),   IF(COUNTIF(T58:T60,"")=0,                                                                                                                                                                                                                                                       IFERROR(IF(AND(ABS(MATCH(T58,Responses_list1_frequency,0)-MATCH(T59,Responses_list1_frequency,0))=1,ABS(MATCH(T59,Responses_list1_frequency,0)-MATCH(T60,Responses_list1_frequency,0))=1),T58&amp;" / "&amp;T59&amp;" / "&amp;T60,"No consensus"),"No consensus"),T58)     ))</f>
        <v>I don’t know</v>
      </c>
      <c r="U22" s="33">
        <f>U58</f>
        <v>4</v>
      </c>
      <c r="V22" s="37">
        <f>V58</f>
        <v>3</v>
      </c>
      <c r="W22" s="14"/>
      <c r="X22" s="19"/>
      <c r="Y22" s="526"/>
      <c r="Z22" s="543"/>
      <c r="AA22" s="527"/>
      <c r="AB22" s="14"/>
      <c r="AC22" s="14"/>
      <c r="AD22" s="65"/>
      <c r="AE22" s="63"/>
      <c r="AF22" s="47"/>
      <c r="AG22" s="19"/>
      <c r="AH22" s="57" t="s">
        <v>2</v>
      </c>
      <c r="AI22" s="122" t="str">
        <f ca="1">IF(COUNTIF(AI58:AI60,"")=2,AI58,                                                                                                                                                                                                IF(COUNTIF(AI58:AI60,"")=1,                                                                                                                                                                                                                                     IFERROR(IF(ABS(MATCH(AI58,Responses_list1_frequency,0)-MATCH(AI59,Responses_list1_frequency,0))=1,AI58&amp;" / "&amp;AI59,"No consensus"),"No consensus"),   IF(COUNTIF(AI58:AI60,"")=0,                                                                                                                                                                                                                                                       IFERROR(IF(AND(ABS(MATCH(AI58,Responses_list1_frequency,0)-MATCH(AI59,Responses_list1_frequency,0))=1,ABS(MATCH(AI59,Responses_list1_frequency,0)-MATCH(AI60,Responses_list1_frequency,0))=1),AI58&amp;" / "&amp;AI59&amp;" / "&amp;AI60,"No consensus"),"No consensus"),AI58)     ))</f>
        <v>Very unlikely</v>
      </c>
      <c r="AJ22" s="58">
        <f>AJ58</f>
        <v>2</v>
      </c>
      <c r="AK22" s="58">
        <f>AK58</f>
        <v>0</v>
      </c>
      <c r="AL22" s="14"/>
      <c r="AM22" s="526"/>
      <c r="AN22" s="543"/>
      <c r="AO22" s="527"/>
      <c r="AP22" s="14"/>
      <c r="AQ22" s="14"/>
      <c r="AR22" s="14"/>
      <c r="AS22" s="65"/>
      <c r="AT22" s="63"/>
      <c r="AU22" s="47"/>
      <c r="AV22" s="14"/>
      <c r="AW22" s="57" t="s">
        <v>2</v>
      </c>
      <c r="AX22" s="122" t="str">
        <f ca="1">IF(COUNTIF(AX58:AX60,"")=2,AX58,                                                                                                                                                                                                IF(COUNTIF(AX58:AX60,"")=1,                                                                                                                                                                                                                                     IFERROR(IF(ABS(MATCH(AX58,Responses_list1_frequency,0)-MATCH(AX59,Responses_list1_frequency,0))=1,AX58&amp;" / "&amp;AX59,"No consensus"),"No consensus"),   IF(COUNTIF(AX58:AX60,"")=0,                                                                                                                                                                                                                                                       IFERROR(IF(AND(ABS(MATCH(AX58,Responses_list1_frequency,0)-MATCH(AX59,Responses_list1_frequency,0))=1,ABS(MATCH(AX59,Responses_list1_frequency,0)-MATCH(AX60,Responses_list1_frequency,0))=1),AX58&amp;" / "&amp;AX59&amp;" / "&amp;AX60,"No consensus"),"No consensus"),AX58)     ))</f>
        <v>Very unlikely</v>
      </c>
      <c r="AY22" s="58">
        <f>AY58</f>
        <v>2</v>
      </c>
      <c r="AZ22" s="121">
        <f>AZ58</f>
        <v>0</v>
      </c>
      <c r="BA22" s="14"/>
      <c r="BB22" s="526"/>
      <c r="BC22" s="543"/>
      <c r="BD22" s="527"/>
      <c r="BE22" s="14"/>
      <c r="BF22" s="14"/>
      <c r="BG22" s="14"/>
      <c r="BH22" s="65"/>
      <c r="BI22" s="63"/>
      <c r="BJ22" s="352"/>
      <c r="BK22" s="19"/>
      <c r="BL22" s="57" t="s">
        <v>2</v>
      </c>
      <c r="BM22" s="122" t="str">
        <f ca="1">IF(COUNTIF(BM58:BM60,"")=2,BM58,                                                                                                                                                                                                IF(COUNTIF(BM58:BM60,"")=1,                                                                                                                                                                                                                                     IFERROR(IF(ABS(MATCH(BM58,Responses_list1_frequency,0)-MATCH(BM59,Responses_list1_frequency,0))=1,BM58&amp;" / "&amp;BM59,"No consensus"),"No consensus"),   IF(COUNTIF(BM58:BM60,"")=0,                                                                                                                                                                                                                                                       IFERROR(IF(AND(ABS(MATCH(BM58,Responses_list1_frequency,0)-MATCH(BM59,Responses_list1_frequency,0))=1,ABS(MATCH(BM59,Responses_list1_frequency,0)-MATCH(BM60,Responses_list1_frequency,0))=1),BM58&amp;" / "&amp;BM59&amp;" / "&amp;BM60,"No consensus"),"No consensus"),BM58)     ))</f>
        <v>Very unlikely</v>
      </c>
      <c r="BN22" s="58">
        <f>BN58</f>
        <v>2</v>
      </c>
      <c r="BO22" s="121">
        <f>BO58</f>
        <v>0</v>
      </c>
      <c r="BP22" s="14"/>
      <c r="BQ22" s="526"/>
      <c r="BR22" s="543"/>
      <c r="BS22" s="527"/>
      <c r="BT22" s="14"/>
      <c r="BU22" s="14"/>
      <c r="BV22" s="14"/>
      <c r="BW22" s="65"/>
      <c r="BX22" s="63"/>
      <c r="BY22" s="352"/>
      <c r="BZ22" s="14"/>
      <c r="CA22" s="34" t="s">
        <v>2</v>
      </c>
      <c r="CB22" s="37">
        <f>CB58</f>
        <v>3</v>
      </c>
      <c r="CC22" s="14"/>
      <c r="CD22" s="203" t="str">
        <f>INDEX($CA$11:$CA$18,MATCH(LARGE($CF$11:$CF$18,1),$CF$11:$CF$18,0),1)</f>
        <v>Increased demand for pellet fibre provides sufficient financial return</v>
      </c>
      <c r="CE22" s="260"/>
      <c r="CF22" s="19"/>
      <c r="CG22" s="29"/>
      <c r="CH22" s="317"/>
      <c r="CI22" s="203" t="str">
        <f>VLOOKUP(CD22,$CA$11:$CI$18,9,0)</f>
        <v>Very unlikely</v>
      </c>
      <c r="CJ22" s="19"/>
      <c r="CK22" s="318"/>
      <c r="CL22" s="14"/>
      <c r="CM22" s="14"/>
      <c r="CN22" s="14"/>
      <c r="CO22" s="129"/>
      <c r="CP22" s="29"/>
      <c r="CQ22" s="47"/>
      <c r="CR22" s="14"/>
      <c r="CS22" s="34" t="s">
        <v>2</v>
      </c>
      <c r="CT22" s="37">
        <f>CT58</f>
        <v>2</v>
      </c>
      <c r="CU22" s="14"/>
      <c r="CV22" s="331" t="str">
        <f>INDEX($CS$11:$CS$18,MATCH(LARGE($CX$11:$CX$18,1),$CX$11:$CX$18,0),1)</f>
        <v>Insufficient financial return</v>
      </c>
      <c r="CW22" s="260"/>
      <c r="CX22" s="19"/>
      <c r="CY22" s="29"/>
      <c r="CZ22" s="317"/>
      <c r="DA22" s="203" t="str">
        <f>VLOOKUP(CV22,$CS$11:$DA$18,9,0)</f>
        <v>Likely</v>
      </c>
      <c r="DB22" s="19"/>
      <c r="DC22" s="318"/>
      <c r="DD22" s="14"/>
      <c r="DE22" s="14"/>
      <c r="DF22" s="14"/>
      <c r="DG22" s="129"/>
      <c r="DH22" s="29"/>
      <c r="DI22" s="47"/>
      <c r="DJ22" s="29"/>
      <c r="DK22" s="34" t="s">
        <v>2</v>
      </c>
      <c r="DL22" s="122" t="str">
        <f ca="1">IF(COUNTIF(DL58:DL60,"")=2,DL58,                                                                                                                                                                                                IF(COUNTIF(DL58:DL60,"")=1,                                                                                                                                                                                                                                     IFERROR(IF(ABS(MATCH(DL58,Responses_list1_frequency,0)-MATCH(DL59,Responses_list1_frequency,0))=1,DL58&amp;" / "&amp;DL59,"No consensus"),"No consensus"),   IF(COUNTIF(DL58:DL60,"")=0,                                                                                                                                                                                                                                                       IFERROR(IF(AND(ABS(MATCH(DL58,Responses_list1_frequency,0)-MATCH(DL59,Responses_list1_frequency,0))=1,ABS(MATCH(DL59,Responses_list1_frequency,0)-MATCH(DL60,Responses_list1_frequency,0))=1),DL58&amp;" / "&amp;DL59&amp;" / "&amp;DL60,"No consensus"),"No consensus"),DL58)     ))</f>
        <v>No clear choice of the most common response</v>
      </c>
      <c r="DM22" s="33">
        <f>DM58</f>
        <v>3</v>
      </c>
      <c r="DN22" s="37">
        <f>DN58</f>
        <v>0</v>
      </c>
      <c r="DO22" s="14"/>
      <c r="DP22" s="14"/>
      <c r="DQ22" s="526"/>
      <c r="DR22" s="543"/>
      <c r="DS22" s="527"/>
      <c r="DT22" s="14"/>
      <c r="DU22" s="14"/>
      <c r="DV22" s="14"/>
      <c r="DW22" s="14"/>
      <c r="DX22" s="14"/>
      <c r="DY22" s="14"/>
      <c r="DZ22" s="14"/>
      <c r="EA22" s="14"/>
      <c r="EB22" s="14"/>
      <c r="EC22" s="14"/>
      <c r="ED22" s="14"/>
      <c r="EE22" s="14"/>
      <c r="EF22" s="14"/>
      <c r="EG22" s="14"/>
      <c r="EH22" s="14"/>
      <c r="EI22" s="14"/>
      <c r="EJ22" s="14"/>
      <c r="EK22" s="14"/>
      <c r="EL22" s="14"/>
    </row>
    <row r="23" spans="1:142" x14ac:dyDescent="0.25">
      <c r="A23" s="14"/>
      <c r="B23" s="57" t="s">
        <v>31</v>
      </c>
      <c r="C23" s="122" t="str">
        <f ca="1">IF(COUNTIF(C85:C87,"")=2,C85,                                                                                                                                                                                                IF(COUNTIF(C85:C87,"")=1,                                                                                                                                                                                                                                     IFERROR(IF(ABS(MATCH(C85,Responses_list1_frequency,0)-MATCH(C86,Responses_list1_frequency,0))=1,C85&amp;" / "&amp;C86,"No consensus"),"No consensus"),   IF(COUNTIF(C85:C87,"")=0,                                                                                                                                                                                                                                                       IFERROR(IF(AND(ABS(MATCH(C85,Responses_list1_frequency,0)-MATCH(C86,Responses_list1_frequency,0))=1,ABS(MATCH(C86,Responses_list1_frequency,0)-MATCH(C87,Responses_list1_frequency,0))=1),C85&amp;" / "&amp;C86&amp;" / "&amp;C87,"No consensus"),"No consensus"),C85)     ))</f>
        <v>na</v>
      </c>
      <c r="D23" s="58">
        <f>D85</f>
        <v>0</v>
      </c>
      <c r="E23" s="121">
        <f>E85</f>
        <v>0</v>
      </c>
      <c r="F23" s="14"/>
      <c r="G23" s="526"/>
      <c r="H23" s="543"/>
      <c r="I23" s="527"/>
      <c r="J23" s="33"/>
      <c r="K23" s="14"/>
      <c r="L23" s="14"/>
      <c r="M23" s="14"/>
      <c r="N23" s="14"/>
      <c r="O23" s="14"/>
      <c r="P23" s="14"/>
      <c r="Q23" s="47"/>
      <c r="R23" s="19"/>
      <c r="S23" s="34" t="s">
        <v>31</v>
      </c>
      <c r="T23" s="122" t="str">
        <f ca="1">IF(COUNTIF(T85:T87,"")=2,T85,                                                                                                                                                                                                IF(COUNTIF(T85:T87,"")=1,                                                                                                                                                                                                                                     IFERROR(IF(ABS(MATCH(T85,Responses_list1_frequency,0)-MATCH(T86,Responses_list1_frequency,0))=1,T85&amp;" / "&amp;T86,"No consensus"),"No consensus"),   IF(COUNTIF(T85:T87,"")=0,                                                                                                                                                                                                                                                       IFERROR(IF(AND(ABS(MATCH(T85,Responses_list1_frequency,0)-MATCH(T86,Responses_list1_frequency,0))=1,ABS(MATCH(T86,Responses_list1_frequency,0)-MATCH(T87,Responses_list1_frequency,0))=1),T85&amp;" / "&amp;T86&amp;" / "&amp;T87,"No consensus"),"No consensus"),T85)     ))</f>
        <v>na</v>
      </c>
      <c r="U23" s="33">
        <f>U85</f>
        <v>0</v>
      </c>
      <c r="V23" s="37">
        <f>V85</f>
        <v>0</v>
      </c>
      <c r="W23" s="14"/>
      <c r="X23" s="19"/>
      <c r="Y23" s="526"/>
      <c r="Z23" s="543"/>
      <c r="AA23" s="527"/>
      <c r="AB23" s="14"/>
      <c r="AC23" s="14"/>
      <c r="AD23" s="65"/>
      <c r="AE23" s="63"/>
      <c r="AF23" s="47"/>
      <c r="AG23" s="19"/>
      <c r="AH23" s="57" t="s">
        <v>31</v>
      </c>
      <c r="AI23" s="122" t="str">
        <f ca="1">IF(COUNTIF(AI85:AI87,"")=2,AI85,                                                                                                                                                                                                IF(COUNTIF(AI85:AI87,"")=1,                                                                                                                                                                                                                                     IFERROR(IF(ABS(MATCH(AI85,Responses_list1_frequency,0)-MATCH(AI86,Responses_list1_frequency,0))=1,AI85&amp;" / "&amp;AI86,"No consensus"),"No consensus"),   IF(COUNTIF(AI85:AI87,"")=0,                                                                                                                                                                                                                                                       IFERROR(IF(AND(ABS(MATCH(AI85,Responses_list1_frequency,0)-MATCH(AI86,Responses_list1_frequency,0))=1,ABS(MATCH(AI86,Responses_list1_frequency,0)-MATCH(AI87,Responses_list1_frequency,0))=1),AI85&amp;" / "&amp;AI86&amp;" / "&amp;AI87,"No consensus"),"No consensus"),AI85)     ))</f>
        <v>Unlikely</v>
      </c>
      <c r="AJ23" s="58">
        <f>AJ85</f>
        <v>1</v>
      </c>
      <c r="AK23" s="58">
        <f>AK85</f>
        <v>0</v>
      </c>
      <c r="AL23" s="14"/>
      <c r="AM23" s="526"/>
      <c r="AN23" s="543"/>
      <c r="AO23" s="527"/>
      <c r="AP23" s="14"/>
      <c r="AQ23" s="14"/>
      <c r="AR23" s="14"/>
      <c r="AS23" s="65"/>
      <c r="AT23" s="63"/>
      <c r="AU23" s="47"/>
      <c r="AV23" s="14"/>
      <c r="AW23" s="57" t="s">
        <v>31</v>
      </c>
      <c r="AX23" s="122" t="str">
        <f ca="1">IF(COUNTIF(AX85:AX87,"")=2,AX85,                                                                                                                                                                                                IF(COUNTIF(AX85:AX87,"")=1,                                                                                                                                                                                                                                     IFERROR(IF(ABS(MATCH(AX85,Responses_list1_frequency,0)-MATCH(AX86,Responses_list1_frequency,0))=1,AX85&amp;" / "&amp;AX86,"No consensus"),"No consensus"),   IF(COUNTIF(AX85:AX87,"")=0,                                                                                                                                                                                                                                                       IFERROR(IF(AND(ABS(MATCH(AX85,Responses_list1_frequency,0)-MATCH(AX86,Responses_list1_frequency,0))=1,ABS(MATCH(AX86,Responses_list1_frequency,0)-MATCH(AX87,Responses_list1_frequency,0))=1),AX85&amp;" / "&amp;AX86&amp;" / "&amp;AX87,"No consensus"),"No consensus"),AX85)     ))</f>
        <v>Unlikely</v>
      </c>
      <c r="AY23" s="58">
        <f>AY85</f>
        <v>1</v>
      </c>
      <c r="AZ23" s="121">
        <f>AZ85</f>
        <v>0</v>
      </c>
      <c r="BA23" s="14"/>
      <c r="BB23" s="526"/>
      <c r="BC23" s="543"/>
      <c r="BD23" s="527"/>
      <c r="BE23" s="14"/>
      <c r="BF23" s="14"/>
      <c r="BG23" s="14"/>
      <c r="BH23" s="65"/>
      <c r="BI23" s="63"/>
      <c r="BJ23" s="352"/>
      <c r="BK23" s="19"/>
      <c r="BL23" s="57" t="s">
        <v>31</v>
      </c>
      <c r="BM23" s="122" t="str">
        <f ca="1">IF(COUNTIF(BM85:BM87,"")=2,BM85,                                                                                                                                                                                                IF(COUNTIF(BM85:BM87,"")=1,                                                                                                                                                                                                                                     IFERROR(IF(ABS(MATCH(BM85,Responses_list1_frequency,0)-MATCH(BM86,Responses_list1_frequency,0))=1,BM85&amp;" / "&amp;BM86,"No consensus"),"No consensus"),   IF(COUNTIF(BM85:BM87,"")=0,                                                                                                                                                                                                                                                       IFERROR(IF(AND(ABS(MATCH(BM85,Responses_list1_frequency,0)-MATCH(BM86,Responses_list1_frequency,0))=1,ABS(MATCH(BM86,Responses_list1_frequency,0)-MATCH(BM87,Responses_list1_frequency,0))=1),BM85&amp;" / "&amp;BM86&amp;" / "&amp;BM87,"No consensus"),"No consensus"),BM85)     ))</f>
        <v>Unlikely</v>
      </c>
      <c r="BN23" s="58">
        <f>BN85</f>
        <v>1</v>
      </c>
      <c r="BO23" s="121">
        <f>BO85</f>
        <v>0</v>
      </c>
      <c r="BP23" s="14"/>
      <c r="BQ23" s="526"/>
      <c r="BR23" s="543"/>
      <c r="BS23" s="527"/>
      <c r="BT23" s="14"/>
      <c r="BU23" s="14"/>
      <c r="BV23" s="14"/>
      <c r="BW23" s="65"/>
      <c r="BX23" s="63"/>
      <c r="BY23" s="352"/>
      <c r="BZ23" s="14"/>
      <c r="CA23" s="34" t="s">
        <v>31</v>
      </c>
      <c r="CB23" s="37">
        <f>CB85</f>
        <v>1</v>
      </c>
      <c r="CC23" s="14"/>
      <c r="CD23" s="203" t="str">
        <f>INDEX($CA$11:$CA$18,MATCH(LARGE($CF$11:$CF$18,2),$CF$11:$CF$18,0),1)</f>
        <v>Increased demand for saw timber enables management of unmanaged forest</v>
      </c>
      <c r="CE23" s="260"/>
      <c r="CF23" s="19"/>
      <c r="CG23" s="29"/>
      <c r="CH23" s="317"/>
      <c r="CI23" s="203" t="str">
        <f>VLOOKUP(CD23,$CA$11:$CI$18,9,0)</f>
        <v>Very unlikely</v>
      </c>
      <c r="CJ23" s="19"/>
      <c r="CK23" s="318"/>
      <c r="CL23" s="14"/>
      <c r="CM23" s="14"/>
      <c r="CN23" s="14"/>
      <c r="CO23" s="129"/>
      <c r="CP23" s="29"/>
      <c r="CQ23" s="47"/>
      <c r="CR23" s="14"/>
      <c r="CS23" s="34" t="s">
        <v>31</v>
      </c>
      <c r="CT23" s="37">
        <f>CT85</f>
        <v>0</v>
      </c>
      <c r="CU23" s="14"/>
      <c r="CV23" s="331" t="str">
        <f>INDEX($CS$11:$CS$18,MATCH(LARGE($CX$11:$CX$18,2),$CX$11:$CX$18,0),1)</f>
        <v>Low roundwood demand - longer haulage</v>
      </c>
      <c r="CW23" s="260"/>
      <c r="CX23" s="19"/>
      <c r="CY23" s="29"/>
      <c r="CZ23" s="317"/>
      <c r="DA23" s="203" t="str">
        <f>VLOOKUP(CV23,$CS$11:$DA$18,9,0)</f>
        <v>Likely</v>
      </c>
      <c r="DB23" s="19"/>
      <c r="DC23" s="318"/>
      <c r="DD23" s="14"/>
      <c r="DE23" s="14"/>
      <c r="DF23" s="14"/>
      <c r="DG23" s="129"/>
      <c r="DH23" s="29"/>
      <c r="DI23" s="47"/>
      <c r="DJ23" s="29"/>
      <c r="DK23" s="34" t="s">
        <v>31</v>
      </c>
      <c r="DL23" s="122" t="str">
        <f ca="1">IF(COUNTIF(DL85:DL87,"")=2,DL85,                                                                                                                                                                                                IF(COUNTIF(DL85:DL87,"")=1,                                                                                                                                                                                                                                     IFERROR(IF(ABS(MATCH(DL85,Responses_list1_frequency,0)-MATCH(DL86,Responses_list1_frequency,0))=1,DL85&amp;" / "&amp;DL86,"No consensus"),"No consensus"),   IF(COUNTIF(DL85:DL87,"")=0,                                                                                                                                                                                                                                                       IFERROR(IF(AND(ABS(MATCH(DL85,Responses_list1_frequency,0)-MATCH(DL86,Responses_list1_frequency,0))=1,ABS(MATCH(DL86,Responses_list1_frequency,0)-MATCH(DL87,Responses_list1_frequency,0))=1),DL85&amp;" / "&amp;DL86&amp;" / "&amp;DL87,"No consensus"),"No consensus"),DL85)     ))</f>
        <v>na</v>
      </c>
      <c r="DM23" s="33">
        <f>DM85</f>
        <v>0</v>
      </c>
      <c r="DN23" s="37">
        <f>DN85</f>
        <v>0</v>
      </c>
      <c r="DO23" s="14"/>
      <c r="DP23" s="14"/>
      <c r="DQ23" s="526"/>
      <c r="DR23" s="543"/>
      <c r="DS23" s="527"/>
      <c r="DT23" s="14"/>
      <c r="DU23" s="14"/>
      <c r="DV23" s="14"/>
      <c r="DW23" s="14"/>
      <c r="DX23" s="14"/>
      <c r="DY23" s="14"/>
      <c r="DZ23" s="14"/>
      <c r="EA23" s="14"/>
      <c r="EB23" s="14"/>
      <c r="EC23" s="14"/>
      <c r="ED23" s="14"/>
      <c r="EE23" s="14"/>
      <c r="EF23" s="14"/>
      <c r="EG23" s="14"/>
      <c r="EH23" s="14"/>
      <c r="EI23" s="14"/>
      <c r="EJ23" s="14"/>
      <c r="EK23" s="14"/>
      <c r="EL23" s="14"/>
    </row>
    <row r="24" spans="1:142" x14ac:dyDescent="0.25">
      <c r="A24" s="14"/>
      <c r="B24" s="57" t="s">
        <v>22</v>
      </c>
      <c r="C24" s="122" t="str">
        <f ca="1">IF(COUNTIF(C112:C114,"")=2,C112,                                                                                                                                                                                                IF(COUNTIF(C112:C114,"")=1,                                                                                                                                                                                                                                     IFERROR(IF(ABS(MATCH(C112,Responses_list1_frequency,0)-MATCH(C113,Responses_list1_frequency,0))=1,C112&amp;" / "&amp;C113,"No consensus"),"No consensus"),   IF(COUNTIF(C112:C114,"")=0,                                                                                                                                                                                                                                                       IFERROR(IF(AND(ABS(MATCH(C112,Responses_list1_frequency,0)-MATCH(C113,Responses_list1_frequency,0))=1,ABS(MATCH(C113,Responses_list1_frequency,0)-MATCH(C114,Responses_list1_frequency,0))=1),C112&amp;" / "&amp;C113&amp;" / "&amp;C114,"No consensus"),"No consensus"),C112)     ))</f>
        <v>Definitely not</v>
      </c>
      <c r="D24" s="58">
        <f>D112</f>
        <v>1</v>
      </c>
      <c r="E24" s="121">
        <f>E112</f>
        <v>0</v>
      </c>
      <c r="F24" s="14"/>
      <c r="G24" s="526"/>
      <c r="H24" s="543"/>
      <c r="I24" s="527"/>
      <c r="J24" s="33"/>
      <c r="K24" s="14"/>
      <c r="L24" s="14"/>
      <c r="M24" s="14"/>
      <c r="N24" s="14"/>
      <c r="O24" s="14"/>
      <c r="P24" s="14"/>
      <c r="Q24" s="47"/>
      <c r="R24" s="19"/>
      <c r="S24" s="34" t="s">
        <v>22</v>
      </c>
      <c r="T24" s="122" t="str">
        <f ca="1">IF(COUNTIF(T112:T114,"")=2,T112,                                                                                                                                                                                                IF(COUNTIF(T112:T114,"")=1,                                                                                                                                                                                                                                     IFERROR(IF(ABS(MATCH(T112,Responses_list1_frequency,0)-MATCH(T113,Responses_list1_frequency,0))=1,T112&amp;" / "&amp;T113,"No consensus"),"No consensus"),   IF(COUNTIF(T112:T114,"")=0,                                                                                                                                                                                                                                                       IFERROR(IF(AND(ABS(MATCH(T112,Responses_list1_frequency,0)-MATCH(T113,Responses_list1_frequency,0))=1,ABS(MATCH(T113,Responses_list1_frequency,0)-MATCH(T114,Responses_list1_frequency,0))=1),T112&amp;" / "&amp;T113&amp;" / "&amp;T114,"No consensus"),"No consensus"),T112)     ))</f>
        <v>Unlikely</v>
      </c>
      <c r="U24" s="33">
        <f>U112</f>
        <v>1</v>
      </c>
      <c r="V24" s="37">
        <f>V112</f>
        <v>0</v>
      </c>
      <c r="W24" s="14"/>
      <c r="X24" s="19"/>
      <c r="Y24" s="526"/>
      <c r="Z24" s="543"/>
      <c r="AA24" s="527"/>
      <c r="AB24" s="14"/>
      <c r="AC24" s="14"/>
      <c r="AD24" s="65"/>
      <c r="AE24" s="63"/>
      <c r="AF24" s="47"/>
      <c r="AG24" s="19"/>
      <c r="AH24" s="57" t="s">
        <v>22</v>
      </c>
      <c r="AI24" s="122" t="str">
        <f ca="1">IF(COUNTIF(AI112:AI114,"")=2,AI112,                                                                                                                                                                                                IF(COUNTIF(AI112:AI114,"")=1,                                                                                                                                                                                                                                     IFERROR(IF(ABS(MATCH(AI112,Responses_list1_frequency,0)-MATCH(AI113,Responses_list1_frequency,0))=1,AI112&amp;" / "&amp;AI113,"No consensus"),"No consensus"),   IF(COUNTIF(AI112:AI114,"")=0,                                                                                                                                                                                                                                                       IFERROR(IF(AND(ABS(MATCH(AI112,Responses_list1_frequency,0)-MATCH(AI113,Responses_list1_frequency,0))=1,ABS(MATCH(AI113,Responses_list1_frequency,0)-MATCH(AI114,Responses_list1_frequency,0))=1),AI112&amp;" / "&amp;AI113&amp;" / "&amp;AI114,"No consensus"),"No consensus"),AI112)     ))</f>
        <v>Unlikely</v>
      </c>
      <c r="AJ24" s="58">
        <f>AJ112</f>
        <v>1</v>
      </c>
      <c r="AK24" s="58">
        <f>AK112</f>
        <v>0</v>
      </c>
      <c r="AL24" s="14"/>
      <c r="AM24" s="526"/>
      <c r="AN24" s="543"/>
      <c r="AO24" s="527"/>
      <c r="AP24" s="14"/>
      <c r="AQ24" s="14"/>
      <c r="AR24" s="14"/>
      <c r="AS24" s="65"/>
      <c r="AT24" s="63"/>
      <c r="AU24" s="47"/>
      <c r="AV24" s="14"/>
      <c r="AW24" s="57" t="s">
        <v>22</v>
      </c>
      <c r="AX24" s="122" t="str">
        <f ca="1">IF(COUNTIF(AX112:AX114,"")=2,AX112,                                                                                                                                                                                                IF(COUNTIF(AX112:AX114,"")=1,                                                                                                                                                                                                                                     IFERROR(IF(ABS(MATCH(AX112,Responses_list1_frequency,0)-MATCH(AX113,Responses_list1_frequency,0))=1,AX112&amp;" / "&amp;AX113,"No consensus"),"No consensus"),   IF(COUNTIF(AX112:AX114,"")=0,                                                                                                                                                                                                                                                       IFERROR(IF(AND(ABS(MATCH(AX112,Responses_list1_frequency,0)-MATCH(AX113,Responses_list1_frequency,0))=1,ABS(MATCH(AX113,Responses_list1_frequency,0)-MATCH(AX114,Responses_list1_frequency,0))=1),AX112&amp;" / "&amp;AX113&amp;" / "&amp;AX114,"No consensus"),"No consensus"),AX112)     ))</f>
        <v>Unlikely</v>
      </c>
      <c r="AY24" s="58">
        <f>AY112</f>
        <v>1</v>
      </c>
      <c r="AZ24" s="121">
        <f>AZ112</f>
        <v>0</v>
      </c>
      <c r="BA24" s="14"/>
      <c r="BB24" s="526"/>
      <c r="BC24" s="543"/>
      <c r="BD24" s="527"/>
      <c r="BE24" s="14"/>
      <c r="BF24" s="14"/>
      <c r="BG24" s="14"/>
      <c r="BH24" s="65"/>
      <c r="BI24" s="63"/>
      <c r="BJ24" s="352"/>
      <c r="BK24" s="19"/>
      <c r="BL24" s="57" t="s">
        <v>22</v>
      </c>
      <c r="BM24" s="122" t="str">
        <f ca="1">IF(COUNTIF(BM112:BM114,"")=2,BM112,                                                                                                                                                                                                IF(COUNTIF(BM112:BM114,"")=1,                                                                                                                                                                                                                                     IFERROR(IF(ABS(MATCH(BM112,Responses_list1_frequency,0)-MATCH(BM113,Responses_list1_frequency,0))=1,BM112&amp;" / "&amp;BM113,"No consensus"),"No consensus"),   IF(COUNTIF(BM112:BM114,"")=0,                                                                                                                                                                                                                                                       IFERROR(IF(AND(ABS(MATCH(BM112,Responses_list1_frequency,0)-MATCH(BM113,Responses_list1_frequency,0))=1,ABS(MATCH(BM113,Responses_list1_frequency,0)-MATCH(BM114,Responses_list1_frequency,0))=1),BM112&amp;" / "&amp;BM113&amp;" / "&amp;BM114,"No consensus"),"No consensus"),BM112)     ))</f>
        <v>Unlikely</v>
      </c>
      <c r="BN24" s="58">
        <f>BN112</f>
        <v>1</v>
      </c>
      <c r="BO24" s="121">
        <f>BO112</f>
        <v>0</v>
      </c>
      <c r="BP24" s="14"/>
      <c r="BQ24" s="526"/>
      <c r="BR24" s="543"/>
      <c r="BS24" s="527"/>
      <c r="BT24" s="14"/>
      <c r="BU24" s="14"/>
      <c r="BV24" s="14"/>
      <c r="BW24" s="65"/>
      <c r="BX24" s="63"/>
      <c r="BY24" s="352"/>
      <c r="BZ24" s="14"/>
      <c r="CA24" s="34" t="s">
        <v>22</v>
      </c>
      <c r="CB24" s="37">
        <f>CB112</f>
        <v>1</v>
      </c>
      <c r="CC24" s="14"/>
      <c r="CD24" s="319" t="str">
        <f>CONCATENATE(INDEX(CA11:CA18,MATCH(LARGE(CF11:CF18,3),CF11:CF18,0),1),IF(ROUND(LARGE(CF11:CF18,3),4)=ROUND(LARGE(CF11:CF18,4),4),CONCATENATE(" / ",INDEX(CA11:CA18,MATCH(LARGE(CF11:CF18,4),CF11:CF18,0),1)),""),IF(ROUND(LARGE(CF11:CF18,3),4)=ROUND(LARGE(CF11:CF18,5),4),CONCATENATE(" / ",INDEX(CA11:CA18,MATCH(LARGE(CF11:CF18,5),CF11:CF18,0),1)),""))</f>
        <v>Reduction in vulnerability to disease/pests / Changes in legislation or forest policy</v>
      </c>
      <c r="CE24" s="320"/>
      <c r="CF24" s="321"/>
      <c r="CG24" s="322"/>
      <c r="CH24" s="323"/>
      <c r="CI24" s="319" t="str">
        <f>CONCATENATE(INDEX(CI11:CI18,MATCH(LARGE(CF11:CF18,3),CF11:CF18,0),1),IF(ROUND(LARGE(CF11:CF18,3),4)=ROUND(LARGE(CF11:CF18,4),4),CONCATENATE(" / ",INDEX(CI11:CI18,MATCH(LARGE(CF11:CF18,4),CF11:CF18,0),1)),""),IF(ROUND(LARGE(CF11:CF18,3),4)=ROUND(LARGE(CF11:CF18,5),4),CONCATENATE(" / ",INDEX(CI11:CI18,MATCH(LARGE(CF11:CF18,5),CF11:CF18,0),1)),""))</f>
        <v>Very unlikely / Ranked, but likelihood not estimated</v>
      </c>
      <c r="CJ24" s="321"/>
      <c r="CK24" s="204"/>
      <c r="CL24" s="14"/>
      <c r="CM24" s="14"/>
      <c r="CN24" s="14"/>
      <c r="CO24" s="129"/>
      <c r="CP24" s="14"/>
      <c r="CQ24" s="47"/>
      <c r="CR24" s="14"/>
      <c r="CS24" s="34" t="s">
        <v>22</v>
      </c>
      <c r="CT24" s="37">
        <f>CT112</f>
        <v>0</v>
      </c>
      <c r="CU24" s="14"/>
      <c r="CV24" s="332" t="str">
        <f>CONCATENATE(INDEX(CS11:CS18,MATCH(LARGE(CX11:CX18,3),CX11:CX18,0),1),IF(ROUND(LARGE(CX11:CX18,3),4)=ROUND(LARGE(CX11:CX18,4),4),CONCATENATE(" / ",INDEX(CS11:CS18,MATCH(LARGE(CX11:$CX18,4),CX11:CX18,0),1)),""),IF(ROUND(LARGE(CX11:CX18,3),4)=ROUND(LARGE(CX11:CX18,5),4),CONCATENATE(" / ",INDEX(CS11:CS18,MATCH(LARGE(CX11:CX18,5),CX11:CX18,0),1)),""))</f>
        <v>Changes in legislation or policy</v>
      </c>
      <c r="CW24" s="320"/>
      <c r="CX24" s="321"/>
      <c r="CY24" s="322"/>
      <c r="CZ24" s="323"/>
      <c r="DA24" s="319" t="str">
        <f>CONCATENATE(INDEX($DA$11:$DA$18,MATCH(LARGE($CX$11:$CX$18,3),$CX$11:$CX$18,0),1),IF(ROUND(LARGE(CX11:CX18,3),4)=ROUND(LARGE(CX11:CX18,4),4),CONCATENATE(" / ",INDEX($DA$11:$DA$18,MATCH(LARGE($CX$11:$CX$18,4),$CX$11:$CX$18,0),1)),""),IF(ROUND(LARGE(CX11:CX18,3),4)=ROUND(LARGE(CX11:CX18,5),4),CONCATENATE(" / ",INDEX($DA$11:$DA$18,MATCH(LARGE($CX$11:$CX$18,5),$CX$11:$CX$18,0),1)),""))</f>
        <v>Ranked, but likelihood not estimated</v>
      </c>
      <c r="DB24" s="321"/>
      <c r="DC24" s="204"/>
      <c r="DD24" s="14"/>
      <c r="DE24" s="14"/>
      <c r="DF24" s="14"/>
      <c r="DG24" s="129"/>
      <c r="DH24" s="14"/>
      <c r="DI24" s="47"/>
      <c r="DJ24" s="14"/>
      <c r="DK24" s="34" t="s">
        <v>22</v>
      </c>
      <c r="DL24" s="122" t="str">
        <f ca="1">IF(COUNTIF(DL112:DL114,"")=2,DL112,                                                                                                                                                                                                IF(COUNTIF(DL112:DL114,"")=1,                                                                                                                                                                                                                                     IFERROR(IF(ABS(MATCH(DL112,Responses_list1_frequency,0)-MATCH(DL113,Responses_list1_frequency,0))=1,DL112&amp;" / "&amp;DL113,"No consensus"),"No consensus"),   IF(COUNTIF(DL112:DL114,"")=0,                                                                                                                                                                                                                                                       IFERROR(IF(AND(ABS(MATCH(DL112,Responses_list1_frequency,0)-MATCH(DL113,Responses_list1_frequency,0))=1,ABS(MATCH(DL113,Responses_list1_frequency,0)-MATCH(DL114,Responses_list1_frequency,0))=1),DL112&amp;" / "&amp;DL113&amp;" / "&amp;DL114,"No consensus"),"No consensus"),DL112)     ))</f>
        <v>Sometimes</v>
      </c>
      <c r="DM24" s="33">
        <f>DM112</f>
        <v>1</v>
      </c>
      <c r="DN24" s="37">
        <f>DN112</f>
        <v>0</v>
      </c>
      <c r="DO24" s="14"/>
      <c r="DP24" s="14"/>
      <c r="DQ24" s="526"/>
      <c r="DR24" s="543"/>
      <c r="DS24" s="527"/>
      <c r="DT24" s="14"/>
      <c r="DU24" s="14"/>
      <c r="DV24" s="14"/>
      <c r="DW24" s="14"/>
      <c r="DX24" s="14"/>
      <c r="DY24" s="14"/>
      <c r="DZ24" s="14"/>
      <c r="EA24" s="14"/>
      <c r="EB24" s="14"/>
      <c r="EC24" s="14"/>
      <c r="ED24" s="14"/>
      <c r="EE24" s="14"/>
      <c r="EF24" s="14"/>
      <c r="EG24" s="14"/>
      <c r="EH24" s="14"/>
      <c r="EI24" s="14"/>
      <c r="EJ24" s="14"/>
      <c r="EK24" s="14"/>
      <c r="EL24" s="14"/>
    </row>
    <row r="25" spans="1:142" x14ac:dyDescent="0.25">
      <c r="A25" s="14"/>
      <c r="B25" s="57" t="s">
        <v>32</v>
      </c>
      <c r="C25" s="122" t="str">
        <f ca="1">IF(COUNTIF(C139:C141,"")=2,C139,                                                                                                                                                                                                IF(COUNTIF(C139:C141,"")=1,                                                                                                                                                                                                                                     IFERROR(IF(ABS(MATCH(C139,Responses_list1_frequency,0)-MATCH(C140,Responses_list1_frequency,0))=1,C139&amp;" / "&amp;C140,"No consensus"),"No consensus"),   IF(COUNTIF(C139:C141,"")=0,                                                                                                                                                                                                                                                       IFERROR(IF(AND(ABS(MATCH(C139,Responses_list1_frequency,0)-MATCH(C140,Responses_list1_frequency,0))=1,ABS(MATCH(C140,Responses_list1_frequency,0)-MATCH(C141,Responses_list1_frequency,0))=1),C139&amp;" / "&amp;C140&amp;" / "&amp;C141,"No consensus"),"No consensus"),C139)     ))</f>
        <v>na</v>
      </c>
      <c r="D25" s="58">
        <f>D139</f>
        <v>0</v>
      </c>
      <c r="E25" s="121">
        <f>E139</f>
        <v>0</v>
      </c>
      <c r="F25" s="14"/>
      <c r="G25" s="528"/>
      <c r="H25" s="544"/>
      <c r="I25" s="529"/>
      <c r="J25" s="33"/>
      <c r="K25" s="14"/>
      <c r="L25" s="14"/>
      <c r="M25" s="14"/>
      <c r="N25" s="14"/>
      <c r="O25" s="14"/>
      <c r="P25" s="14"/>
      <c r="Q25" s="47"/>
      <c r="R25" s="19"/>
      <c r="S25" s="34" t="s">
        <v>32</v>
      </c>
      <c r="T25" s="122" t="str">
        <f ca="1">IF(COUNTIF(T139:T141,"")=2,T139,                                                                                                                                                                                                IF(COUNTIF(T139:T141,"")=1,                                                                                                                                                                                                                                     IFERROR(IF(ABS(MATCH(T139,Responses_list1_frequency,0)-MATCH(T140,Responses_list1_frequency,0))=1,T139&amp;" / "&amp;T140,"No consensus"),"No consensus"),   IF(COUNTIF(T139:T141,"")=0,                                                                                                                                                                                                                                                       IFERROR(IF(AND(ABS(MATCH(T139,Responses_list1_frequency,0)-MATCH(T140,Responses_list1_frequency,0))=1,ABS(MATCH(T140,Responses_list1_frequency,0)-MATCH(T141,Responses_list1_frequency,0))=1),T139&amp;" / "&amp;T140&amp;" / "&amp;T141,"No consensus"),"No consensus"),T139)     ))</f>
        <v>na</v>
      </c>
      <c r="U25" s="33">
        <f>U139</f>
        <v>0</v>
      </c>
      <c r="V25" s="37">
        <f>V139</f>
        <v>0</v>
      </c>
      <c r="W25" s="14"/>
      <c r="X25" s="19"/>
      <c r="Y25" s="528"/>
      <c r="Z25" s="544"/>
      <c r="AA25" s="529"/>
      <c r="AB25" s="14"/>
      <c r="AC25" s="14"/>
      <c r="AD25" s="65"/>
      <c r="AE25" s="63"/>
      <c r="AF25" s="47"/>
      <c r="AG25" s="19"/>
      <c r="AH25" s="57" t="s">
        <v>32</v>
      </c>
      <c r="AI25" s="122" t="str">
        <f ca="1">IF(COUNTIF(AI139:AI141,"")=2,AI139,                                                                                                                                                                                                IF(COUNTIF(AI139:AI141,"")=1,                                                                                                                                                                                                                                     IFERROR(IF(ABS(MATCH(AI139,Responses_list1_frequency,0)-MATCH(AI140,Responses_list1_frequency,0))=1,AI139&amp;" / "&amp;AI140,"No consensus"),"No consensus"),   IF(COUNTIF(AI139:AI141,"")=0,                                                                                                                                                                                                                                                       IFERROR(IF(AND(ABS(MATCH(AI139,Responses_list1_frequency,0)-MATCH(AI140,Responses_list1_frequency,0))=1,ABS(MATCH(AI140,Responses_list1_frequency,0)-MATCH(AI141,Responses_list1_frequency,0))=1),AI139&amp;" / "&amp;AI140&amp;" / "&amp;AI141,"No consensus"),"No consensus"),AI139)     ))</f>
        <v>Very unlikely</v>
      </c>
      <c r="AJ25" s="58">
        <f>AJ139</f>
        <v>1</v>
      </c>
      <c r="AK25" s="58">
        <f>AK139</f>
        <v>0</v>
      </c>
      <c r="AL25" s="14"/>
      <c r="AM25" s="528"/>
      <c r="AN25" s="544"/>
      <c r="AO25" s="529"/>
      <c r="AP25" s="14"/>
      <c r="AQ25" s="14"/>
      <c r="AR25" s="14"/>
      <c r="AS25" s="65"/>
      <c r="AT25" s="63"/>
      <c r="AU25" s="47"/>
      <c r="AV25" s="14"/>
      <c r="AW25" s="57" t="s">
        <v>32</v>
      </c>
      <c r="AX25" s="122" t="str">
        <f ca="1">IF(COUNTIF(AX139:AX141,"")=2,AX139,                                                                                                                                                                                                IF(COUNTIF(AX139:AX141,"")=1,                                                                                                                                                                                                                                     IFERROR(IF(ABS(MATCH(AX139,Responses_list1_frequency,0)-MATCH(AX140,Responses_list1_frequency,0))=1,AX139&amp;" / "&amp;AX140,"No consensus"),"No consensus"),   IF(COUNTIF(AX139:AX141,"")=0,                                                                                                                                                                                                                                                       IFERROR(IF(AND(ABS(MATCH(AX139,Responses_list1_frequency,0)-MATCH(AX140,Responses_list1_frequency,0))=1,ABS(MATCH(AX140,Responses_list1_frequency,0)-MATCH(AX141,Responses_list1_frequency,0))=1),AX139&amp;" / "&amp;AX140&amp;" / "&amp;AX141,"No consensus"),"No consensus"),AX139)     ))</f>
        <v>Very unlikely</v>
      </c>
      <c r="AY25" s="58">
        <f>AY139</f>
        <v>1</v>
      </c>
      <c r="AZ25" s="121">
        <f>AZ139</f>
        <v>0</v>
      </c>
      <c r="BA25" s="14"/>
      <c r="BB25" s="528"/>
      <c r="BC25" s="544"/>
      <c r="BD25" s="529"/>
      <c r="BE25" s="14"/>
      <c r="BF25" s="14"/>
      <c r="BG25" s="14"/>
      <c r="BH25" s="65"/>
      <c r="BI25" s="63"/>
      <c r="BJ25" s="352"/>
      <c r="BK25" s="19"/>
      <c r="BL25" s="57" t="s">
        <v>32</v>
      </c>
      <c r="BM25" s="122" t="str">
        <f ca="1">IF(COUNTIF(BM139:BM141,"")=2,BM139,                                                                                                                                                                                                IF(COUNTIF(BM139:BM141,"")=1,                                                                                                                                                                                                                                     IFERROR(IF(ABS(MATCH(BM139,Responses_list1_frequency,0)-MATCH(BM140,Responses_list1_frequency,0))=1,BM139&amp;" / "&amp;BM140,"No consensus"),"No consensus"),   IF(COUNTIF(BM139:BM141,"")=0,                                                                                                                                                                                                                                                       IFERROR(IF(AND(ABS(MATCH(BM139,Responses_list1_frequency,0)-MATCH(BM140,Responses_list1_frequency,0))=1,ABS(MATCH(BM140,Responses_list1_frequency,0)-MATCH(BM141,Responses_list1_frequency,0))=1),BM139&amp;" / "&amp;BM140&amp;" / "&amp;BM141,"No consensus"),"No consensus"),BM139)     ))</f>
        <v>Unlikely</v>
      </c>
      <c r="BN25" s="58">
        <f>BN139</f>
        <v>1</v>
      </c>
      <c r="BO25" s="121">
        <f>BO139</f>
        <v>0</v>
      </c>
      <c r="BP25" s="14"/>
      <c r="BQ25" s="528"/>
      <c r="BR25" s="544"/>
      <c r="BS25" s="529"/>
      <c r="BT25" s="14"/>
      <c r="BU25" s="14"/>
      <c r="BV25" s="14"/>
      <c r="BW25" s="65"/>
      <c r="BX25" s="63"/>
      <c r="BY25" s="352"/>
      <c r="BZ25" s="14"/>
      <c r="CA25" s="34" t="s">
        <v>32</v>
      </c>
      <c r="CB25" s="37">
        <f>CB139</f>
        <v>1</v>
      </c>
      <c r="CC25" s="14"/>
      <c r="CD25" s="19"/>
      <c r="CE25" s="19"/>
      <c r="CF25" s="19"/>
      <c r="CG25" s="39"/>
      <c r="CH25" s="19"/>
      <c r="CI25" s="19"/>
      <c r="CJ25" s="19"/>
      <c r="CK25" s="19"/>
      <c r="CL25" s="14"/>
      <c r="CM25" s="14"/>
      <c r="CN25" s="14"/>
      <c r="CO25" s="129"/>
      <c r="CP25" s="14"/>
      <c r="CQ25" s="47"/>
      <c r="CR25" s="14"/>
      <c r="CS25" s="34" t="s">
        <v>32</v>
      </c>
      <c r="CT25" s="37">
        <f>CT139</f>
        <v>0</v>
      </c>
      <c r="CU25" s="14"/>
      <c r="CV25" s="27"/>
      <c r="CW25" s="19"/>
      <c r="CX25" s="19"/>
      <c r="CY25" s="39"/>
      <c r="CZ25" s="19"/>
      <c r="DA25" s="19"/>
      <c r="DB25" s="19"/>
      <c r="DC25" s="19"/>
      <c r="DD25" s="14"/>
      <c r="DE25" s="14"/>
      <c r="DF25" s="14"/>
      <c r="DG25" s="129"/>
      <c r="DH25" s="14"/>
      <c r="DI25" s="47"/>
      <c r="DJ25" s="14"/>
      <c r="DK25" s="34" t="s">
        <v>32</v>
      </c>
      <c r="DL25" s="122" t="str">
        <f ca="1">IF(COUNTIF(DL139:DL141,"")=2,DL139,                                                                                                                                                                                                IF(COUNTIF(DL139:DL141,"")=1,                                                                                                                                                                                                                                     IFERROR(IF(ABS(MATCH(DL139,Responses_list1_frequency,0)-MATCH(DL140,Responses_list1_frequency,0))=1,DL139&amp;" / "&amp;DL140,"No consensus"),"No consensus"),   IF(COUNTIF(DL139:DL141,"")=0,                                                                                                                                                                                                                                                       IFERROR(IF(AND(ABS(MATCH(DL139,Responses_list1_frequency,0)-MATCH(DL140,Responses_list1_frequency,0))=1,ABS(MATCH(DL140,Responses_list1_frequency,0)-MATCH(DL141,Responses_list1_frequency,0))=1),DL139&amp;" / "&amp;DL140&amp;" / "&amp;DL141,"No consensus"),"No consensus"),DL139)     ))</f>
        <v>na</v>
      </c>
      <c r="DM25" s="33">
        <f>DM139</f>
        <v>0</v>
      </c>
      <c r="DN25" s="37">
        <f>DN139</f>
        <v>0</v>
      </c>
      <c r="DO25" s="14"/>
      <c r="DP25" s="14"/>
      <c r="DQ25" s="528"/>
      <c r="DR25" s="544"/>
      <c r="DS25" s="529"/>
      <c r="DT25" s="14"/>
      <c r="DU25" s="14"/>
      <c r="DV25" s="14"/>
      <c r="DW25" s="14"/>
      <c r="DX25" s="14"/>
      <c r="DY25" s="14"/>
      <c r="DZ25" s="14"/>
      <c r="EA25" s="14"/>
      <c r="EB25" s="14"/>
      <c r="EC25" s="14"/>
      <c r="ED25" s="14"/>
      <c r="EE25" s="14"/>
      <c r="EF25" s="14"/>
      <c r="EG25" s="14"/>
      <c r="EH25" s="14"/>
      <c r="EI25" s="14"/>
      <c r="EJ25" s="14"/>
      <c r="EK25" s="14"/>
      <c r="EL25" s="14"/>
    </row>
    <row r="26" spans="1:142" x14ac:dyDescent="0.25">
      <c r="A26" s="14"/>
      <c r="B26" s="57" t="s">
        <v>153</v>
      </c>
      <c r="C26" s="122" t="str">
        <f ca="1">IF(COUNTIF(C166:C168,"")=2,C166,                                                                                                                                                                                                IF(COUNTIF(C166:C168,"")=1,                                                                                                                                                                                                                                     IFERROR(IF(ABS(MATCH(C166,Responses_list1_frequency,0)-MATCH(C167,Responses_list1_frequency,0))=1,C166&amp;" / "&amp;C167,"No consensus"),"No consensus"),   IF(COUNTIF(C166:C168,"")=0,                                                                                                                                                                                                                                                       IFERROR(IF(AND(ABS(MATCH(C166,Responses_list1_frequency,0)-MATCH(C167,Responses_list1_frequency,0))=1,ABS(MATCH(C167,Responses_list1_frequency,0)-MATCH(C168,Responses_list1_frequency,0))=1),C166&amp;" / "&amp;C167&amp;" / "&amp;C168,"No consensus"),"No consensus"),C166)     ))</f>
        <v>na</v>
      </c>
      <c r="D26" s="58">
        <f>D166</f>
        <v>0</v>
      </c>
      <c r="E26" s="121">
        <f>E166</f>
        <v>0</v>
      </c>
      <c r="F26" s="14"/>
      <c r="G26" s="136"/>
      <c r="H26" s="138"/>
      <c r="I26" s="36"/>
      <c r="J26" s="33"/>
      <c r="K26" s="14"/>
      <c r="L26" s="14"/>
      <c r="M26" s="14"/>
      <c r="N26" s="14"/>
      <c r="O26" s="14"/>
      <c r="P26" s="14"/>
      <c r="Q26" s="47"/>
      <c r="R26" s="19"/>
      <c r="S26" s="34" t="s">
        <v>153</v>
      </c>
      <c r="T26" s="122" t="str">
        <f ca="1">IF(COUNTIF(T166:T168,"")=2,T166,                                                                                                                                                                                                IF(COUNTIF(T166:T168,"")=1,                                                                                                                                                                                                                                     IFERROR(IF(ABS(MATCH(T166,Responses_list1_frequency,0)-MATCH(T167,Responses_list1_frequency,0))=1,T166&amp;" / "&amp;T167,"No consensus"),"No consensus"),   IF(COUNTIF(T166:T168,"")=0,                                                                                                                                                                                                                                                       IFERROR(IF(AND(ABS(MATCH(T166,Responses_list1_frequency,0)-MATCH(T167,Responses_list1_frequency,0))=1,ABS(MATCH(T167,Responses_list1_frequency,0)-MATCH(T168,Responses_list1_frequency,0))=1),T166&amp;" / "&amp;T167&amp;" / "&amp;T168,"No consensus"),"No consensus"),T166)     ))</f>
        <v>na</v>
      </c>
      <c r="U26" s="33">
        <f>U166</f>
        <v>0</v>
      </c>
      <c r="V26" s="37">
        <f>V166</f>
        <v>0</v>
      </c>
      <c r="W26" s="14"/>
      <c r="X26" s="19"/>
      <c r="Y26" s="19"/>
      <c r="Z26" s="14"/>
      <c r="AA26" s="14"/>
      <c r="AB26" s="14"/>
      <c r="AC26" s="14"/>
      <c r="AD26" s="65"/>
      <c r="AE26" s="63"/>
      <c r="AF26" s="47"/>
      <c r="AG26" s="19"/>
      <c r="AH26" s="57" t="s">
        <v>153</v>
      </c>
      <c r="AI26" s="122" t="str">
        <f ca="1">IF(COUNTIF(AI166:AI168,"")=2,AI166,                                                                                                                                                                                                IF(COUNTIF(AI166:AI168,"")=1,                                                                                                                                                                                                                                     IFERROR(IF(ABS(MATCH(AI166,Responses_list1_frequency,0)-MATCH(AI167,Responses_list1_frequency,0))=1,AI166&amp;" / "&amp;AI167,"No consensus"),"No consensus"),   IF(COUNTIF(AI166:AI168,"")=0,                                                                                                                                                                                                                                                       IFERROR(IF(AND(ABS(MATCH(AI166,Responses_list1_frequency,0)-MATCH(AI167,Responses_list1_frequency,0))=1,ABS(MATCH(AI167,Responses_list1_frequency,0)-MATCH(AI168,Responses_list1_frequency,0))=1),AI166&amp;" / "&amp;AI167&amp;" / "&amp;AI168,"No consensus"),"No consensus"),AI166)     ))</f>
        <v>Very unlikely</v>
      </c>
      <c r="AJ26" s="58">
        <f>AJ166</f>
        <v>1</v>
      </c>
      <c r="AK26" s="58">
        <f>AK166</f>
        <v>0</v>
      </c>
      <c r="AL26" s="14"/>
      <c r="AM26" s="19"/>
      <c r="AN26" s="14"/>
      <c r="AO26" s="14"/>
      <c r="AP26" s="14"/>
      <c r="AQ26" s="14"/>
      <c r="AR26" s="14"/>
      <c r="AS26" s="65"/>
      <c r="AT26" s="63"/>
      <c r="AU26" s="47"/>
      <c r="AV26" s="14"/>
      <c r="AW26" s="57" t="s">
        <v>153</v>
      </c>
      <c r="AX26" s="122" t="str">
        <f ca="1">IF(COUNTIF(AX166:AX168,"")=2,AX166,                                                                                                                                                                                                IF(COUNTIF(AX166:AX168,"")=1,                                                                                                                                                                                                                                     IFERROR(IF(ABS(MATCH(AX166,Responses_list1_frequency,0)-MATCH(AX167,Responses_list1_frequency,0))=1,AX166&amp;" / "&amp;AX167,"No consensus"),"No consensus"),   IF(COUNTIF(AX166:AX168,"")=0,                                                                                                                                                                                                                                                       IFERROR(IF(AND(ABS(MATCH(AX166,Responses_list1_frequency,0)-MATCH(AX167,Responses_list1_frequency,0))=1,ABS(MATCH(AX167,Responses_list1_frequency,0)-MATCH(AX168,Responses_list1_frequency,0))=1),AX166&amp;" / "&amp;AX167&amp;" / "&amp;AX168,"No consensus"),"No consensus"),AX166)     ))</f>
        <v>Very unlikely</v>
      </c>
      <c r="AY26" s="58">
        <f>AY166</f>
        <v>1</v>
      </c>
      <c r="AZ26" s="121">
        <f>AZ166</f>
        <v>0</v>
      </c>
      <c r="BA26" s="14"/>
      <c r="BB26" s="19"/>
      <c r="BC26" s="19"/>
      <c r="BD26" s="14"/>
      <c r="BE26" s="14"/>
      <c r="BF26" s="14"/>
      <c r="BG26" s="14"/>
      <c r="BH26" s="65"/>
      <c r="BI26" s="63"/>
      <c r="BJ26" s="352"/>
      <c r="BK26" s="19"/>
      <c r="BL26" s="57" t="s">
        <v>153</v>
      </c>
      <c r="BM26" s="122" t="str">
        <f ca="1">IF(COUNTIF(BM166:BM168,"")=2,BM166,                                                                                                                                                                                                IF(COUNTIF(BM166:BM168,"")=1,                                                                                                                                                                                                                                     IFERROR(IF(ABS(MATCH(BM166,Responses_list1_frequency,0)-MATCH(BM167,Responses_list1_frequency,0))=1,BM166&amp;" / "&amp;BM167,"No consensus"),"No consensus"),   IF(COUNTIF(BM166:BM168,"")=0,                                                                                                                                                                                                                                                       IFERROR(IF(AND(ABS(MATCH(BM166,Responses_list1_frequency,0)-MATCH(BM167,Responses_list1_frequency,0))=1,ABS(MATCH(BM167,Responses_list1_frequency,0)-MATCH(BM168,Responses_list1_frequency,0))=1),BM166&amp;" / "&amp;BM167&amp;" / "&amp;BM168,"No consensus"),"No consensus"),BM166)     ))</f>
        <v>Very unlikely</v>
      </c>
      <c r="BN26" s="58">
        <f>BN166</f>
        <v>1</v>
      </c>
      <c r="BO26" s="121">
        <f>BO166</f>
        <v>0</v>
      </c>
      <c r="BP26" s="14"/>
      <c r="BQ26" s="19"/>
      <c r="BR26" s="19"/>
      <c r="BS26" s="14"/>
      <c r="BT26" s="14"/>
      <c r="BU26" s="14"/>
      <c r="BV26" s="14"/>
      <c r="BW26" s="65"/>
      <c r="BX26" s="63"/>
      <c r="BY26" s="352"/>
      <c r="BZ26" s="14"/>
      <c r="CA26" s="34" t="s">
        <v>153</v>
      </c>
      <c r="CB26" s="37">
        <f>CB166</f>
        <v>2</v>
      </c>
      <c r="CC26" s="19"/>
      <c r="CD26" s="19"/>
      <c r="CE26" s="19"/>
      <c r="CF26" s="19"/>
      <c r="CG26" s="14"/>
      <c r="CH26" s="68"/>
      <c r="CI26" s="14"/>
      <c r="CJ26" s="14"/>
      <c r="CK26" s="14"/>
      <c r="CL26" s="14"/>
      <c r="CM26" s="14"/>
      <c r="CN26" s="14"/>
      <c r="CO26" s="129"/>
      <c r="CP26" s="14"/>
      <c r="CQ26" s="47"/>
      <c r="CR26" s="14"/>
      <c r="CS26" s="34" t="s">
        <v>153</v>
      </c>
      <c r="CT26" s="37">
        <f>CT166</f>
        <v>0</v>
      </c>
      <c r="CU26" s="19"/>
      <c r="CV26" s="27"/>
      <c r="CW26" s="19"/>
      <c r="CX26" s="19"/>
      <c r="CY26" s="14"/>
      <c r="CZ26" s="68"/>
      <c r="DA26" s="14"/>
      <c r="DB26" s="14"/>
      <c r="DC26" s="14"/>
      <c r="DD26" s="14"/>
      <c r="DE26" s="14"/>
      <c r="DF26" s="14"/>
      <c r="DG26" s="129"/>
      <c r="DH26" s="14"/>
      <c r="DI26" s="47"/>
      <c r="DJ26" s="14"/>
      <c r="DK26" s="34" t="s">
        <v>153</v>
      </c>
      <c r="DL26" s="122" t="str">
        <f ca="1">IF(COUNTIF(DL166:DL168,"")=2,DL166,                                                                                                                                                                                                IF(COUNTIF(DL166:DL168,"")=1,                                                                                                                                                                                                                                     IFERROR(IF(ABS(MATCH(DL166,Responses_list1_frequency,0)-MATCH(DL167,Responses_list1_frequency,0))=1,DL166&amp;" / "&amp;DL167,"No consensus"),"No consensus"),   IF(COUNTIF(DL166:DL168,"")=0,                                                                                                                                                                                                                                                       IFERROR(IF(AND(ABS(MATCH(DL166,Responses_list1_frequency,0)-MATCH(DL167,Responses_list1_frequency,0))=1,ABS(MATCH(DL167,Responses_list1_frequency,0)-MATCH(DL168,Responses_list1_frequency,0))=1),DL166&amp;" / "&amp;DL167&amp;" / "&amp;DL168,"No consensus"),"No consensus"),DL166)     ))</f>
        <v>na</v>
      </c>
      <c r="DM26" s="33">
        <f>DM166</f>
        <v>0</v>
      </c>
      <c r="DN26" s="37">
        <f>DN166</f>
        <v>0</v>
      </c>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row>
    <row r="27" spans="1:142" x14ac:dyDescent="0.25">
      <c r="A27" s="14"/>
      <c r="B27" s="57" t="s">
        <v>154</v>
      </c>
      <c r="C27" s="122" t="str">
        <f ca="1">IF(COUNTIF(C193:C195,"")=2,C193,                                                                                                                                                                                                IF(COUNTIF(C193:C195,"")=1,                                                                                                                                                                                                                                     IFERROR(IF(ABS(MATCH(C193,Responses_list1_frequency,0)-MATCH(C194,Responses_list1_frequency,0))=1,C193&amp;" / "&amp;C194,"No consensus"),"No consensus"),   IF(COUNTIF(C193:C195,"")=0,                                                                                                                                                                                                                                                       IFERROR(IF(AND(ABS(MATCH(C193,Responses_list1_frequency,0)-MATCH(C194,Responses_list1_frequency,0))=1,ABS(MATCH(C194,Responses_list1_frequency,0)-MATCH(C195,Responses_list1_frequency,0))=1),C193&amp;" / "&amp;C194&amp;" / "&amp;C195,"No consensus"),"No consensus"),C193)     ))</f>
        <v>na</v>
      </c>
      <c r="D27" s="58">
        <f>D193</f>
        <v>0</v>
      </c>
      <c r="E27" s="121">
        <f>E193</f>
        <v>0</v>
      </c>
      <c r="F27" s="14"/>
      <c r="G27" s="136"/>
      <c r="H27" s="138"/>
      <c r="I27" s="36"/>
      <c r="J27" s="33"/>
      <c r="K27" s="14"/>
      <c r="L27" s="14"/>
      <c r="M27" s="14"/>
      <c r="N27" s="14"/>
      <c r="O27" s="14"/>
      <c r="P27" s="14"/>
      <c r="Q27" s="47"/>
      <c r="R27" s="19"/>
      <c r="S27" s="57" t="s">
        <v>154</v>
      </c>
      <c r="T27" s="122" t="str">
        <f ca="1">IF(COUNTIF(T193:T195,"")=2,T193,                                                                                                                                                                                                IF(COUNTIF(T193:T195,"")=1,                                                                                                                                                                                                                                     IFERROR(IF(ABS(MATCH(T193,Responses_list1_frequency,0)-MATCH(T194,Responses_list1_frequency,0))=1,T193&amp;" / "&amp;T194,"No consensus"),"No consensus"),   IF(COUNTIF(T193:T195,"")=0,                                                                                                                                                                                                                                                       IFERROR(IF(AND(ABS(MATCH(T193,Responses_list1_frequency,0)-MATCH(T194,Responses_list1_frequency,0))=1,ABS(MATCH(T194,Responses_list1_frequency,0)-MATCH(T195,Responses_list1_frequency,0))=1),T193&amp;" / "&amp;T194&amp;" / "&amp;T195,"No consensus"),"No consensus"),T193)     ))</f>
        <v>na</v>
      </c>
      <c r="U27" s="58">
        <f>U193</f>
        <v>0</v>
      </c>
      <c r="V27" s="58">
        <f>V193</f>
        <v>0</v>
      </c>
      <c r="W27" s="14"/>
      <c r="X27" s="19"/>
      <c r="Y27" s="19"/>
      <c r="Z27" s="14"/>
      <c r="AA27" s="14"/>
      <c r="AB27" s="14"/>
      <c r="AC27" s="14"/>
      <c r="AD27" s="65"/>
      <c r="AE27" s="63"/>
      <c r="AF27" s="47"/>
      <c r="AG27" s="19"/>
      <c r="AH27" s="57" t="s">
        <v>154</v>
      </c>
      <c r="AI27" s="122" t="str">
        <f ca="1">IF(COUNTIF(AI193:AI195,"")=2,AI193,                                                                                                                                                                                                IF(COUNTIF(AI193:AI195,"")=1,                                                                                                                                                                                                                                     IFERROR(IF(ABS(MATCH(AI193,Responses_list1_frequency,0)-MATCH(AI194,Responses_list1_frequency,0))=1,AI193&amp;" / "&amp;AI194,"No consensus"),"No consensus"),   IF(COUNTIF(AI193:AI195,"")=0,                                                                                                                                                                                                                                                       IFERROR(IF(AND(ABS(MATCH(AI193,Responses_list1_frequency,0)-MATCH(AI194,Responses_list1_frequency,0))=1,ABS(MATCH(AI194,Responses_list1_frequency,0)-MATCH(AI195,Responses_list1_frequency,0))=1),AI193&amp;" / "&amp;AI194&amp;" / "&amp;AI195,"No consensus"),"No consensus"),AI193)     ))</f>
        <v>na</v>
      </c>
      <c r="AJ27" s="58">
        <f>AJ193</f>
        <v>0</v>
      </c>
      <c r="AK27" s="58">
        <f>AK193</f>
        <v>0</v>
      </c>
      <c r="AL27" s="14"/>
      <c r="AM27" s="19"/>
      <c r="AN27" s="19"/>
      <c r="AO27" s="14"/>
      <c r="AP27" s="14"/>
      <c r="AQ27" s="14"/>
      <c r="AR27" s="14"/>
      <c r="AS27" s="65"/>
      <c r="AT27" s="63"/>
      <c r="AU27" s="47"/>
      <c r="AV27" s="14"/>
      <c r="AW27" s="57" t="s">
        <v>154</v>
      </c>
      <c r="AX27" s="122" t="str">
        <f ca="1">IF(COUNTIF(AX193:AX195,"")=2,AX193,                                                                                                                                                                                                IF(COUNTIF(AX193:AX195,"")=1,                                                                                                                                                                                                                                     IFERROR(IF(ABS(MATCH(AX193,Responses_list1_frequency,0)-MATCH(AX194,Responses_list1_frequency,0))=1,AX193&amp;" / "&amp;AX194,"No consensus"),"No consensus"),   IF(COUNTIF(AX193:AX195,"")=0,                                                                                                                                                                                                                                                       IFERROR(IF(AND(ABS(MATCH(AX193,Responses_list1_frequency,0)-MATCH(AX194,Responses_list1_frequency,0))=1,ABS(MATCH(AX194,Responses_list1_frequency,0)-MATCH(AX195,Responses_list1_frequency,0))=1),AX193&amp;" / "&amp;AX194&amp;" / "&amp;AX195,"No consensus"),"No consensus"),AX193)     ))</f>
        <v>na</v>
      </c>
      <c r="AY27" s="58">
        <f>AY193</f>
        <v>0</v>
      </c>
      <c r="AZ27" s="121">
        <f>AZ193</f>
        <v>0</v>
      </c>
      <c r="BA27" s="14"/>
      <c r="BB27" s="19"/>
      <c r="BC27" s="19"/>
      <c r="BD27" s="14"/>
      <c r="BE27" s="14"/>
      <c r="BF27" s="14"/>
      <c r="BG27" s="14"/>
      <c r="BH27" s="65"/>
      <c r="BI27" s="63"/>
      <c r="BJ27" s="352"/>
      <c r="BK27" s="19"/>
      <c r="BL27" s="57" t="s">
        <v>154</v>
      </c>
      <c r="BM27" s="122" t="str">
        <f ca="1">IF(COUNTIF(BM193:BM195,"")=2,BM193,                                                                                                                                                                                                IF(COUNTIF(BM193:BM195,"")=1,                                                                                                                                                                                                                                     IFERROR(IF(ABS(MATCH(BM193,Responses_list1_frequency,0)-MATCH(BM194,Responses_list1_frequency,0))=1,BM193&amp;" / "&amp;BM194,"No consensus"),"No consensus"),   IF(COUNTIF(BM193:BM195,"")=0,                                                                                                                                                                                                                                                       IFERROR(IF(AND(ABS(MATCH(BM193,Responses_list1_frequency,0)-MATCH(BM194,Responses_list1_frequency,0))=1,ABS(MATCH(BM194,Responses_list1_frequency,0)-MATCH(BM195,Responses_list1_frequency,0))=1),BM193&amp;" / "&amp;BM194&amp;" / "&amp;BM195,"No consensus"),"No consensus"),BM193)     ))</f>
        <v>na</v>
      </c>
      <c r="BN27" s="58">
        <f>BN193</f>
        <v>0</v>
      </c>
      <c r="BO27" s="121">
        <f>BO193</f>
        <v>0</v>
      </c>
      <c r="BP27" s="14"/>
      <c r="BQ27" s="19"/>
      <c r="BR27" s="19"/>
      <c r="BS27" s="14"/>
      <c r="BT27" s="14"/>
      <c r="BU27" s="14"/>
      <c r="BV27" s="14"/>
      <c r="BW27" s="65"/>
      <c r="BX27" s="63"/>
      <c r="BY27" s="352"/>
      <c r="BZ27" s="14"/>
      <c r="CA27" s="57" t="s">
        <v>154</v>
      </c>
      <c r="CB27" s="37">
        <f>CB193</f>
        <v>4</v>
      </c>
      <c r="CC27" s="19"/>
      <c r="CD27" s="19"/>
      <c r="CE27" s="19"/>
      <c r="CF27" s="19"/>
      <c r="CG27" s="14"/>
      <c r="CH27" s="14"/>
      <c r="CI27" s="14"/>
      <c r="CJ27" s="14"/>
      <c r="CK27" s="14"/>
      <c r="CL27" s="14"/>
      <c r="CM27" s="14"/>
      <c r="CN27" s="14"/>
      <c r="CO27" s="129"/>
      <c r="CP27" s="14"/>
      <c r="CQ27" s="47"/>
      <c r="CR27" s="14"/>
      <c r="CS27" s="57" t="s">
        <v>154</v>
      </c>
      <c r="CT27" s="37">
        <f>CT193</f>
        <v>0</v>
      </c>
      <c r="CU27" s="19"/>
      <c r="CV27" s="27"/>
      <c r="CW27" s="19"/>
      <c r="CX27" s="19"/>
      <c r="CY27" s="14"/>
      <c r="CZ27" s="14"/>
      <c r="DA27" s="14"/>
      <c r="DB27" s="14"/>
      <c r="DC27" s="14"/>
      <c r="DD27" s="14"/>
      <c r="DE27" s="14"/>
      <c r="DF27" s="14"/>
      <c r="DG27" s="129"/>
      <c r="DH27" s="14"/>
      <c r="DI27" s="47"/>
      <c r="DJ27" s="14"/>
      <c r="DK27" s="57" t="s">
        <v>154</v>
      </c>
      <c r="DL27" s="122" t="str">
        <f ca="1">IF(COUNTIF(DL193:DL195,"")=2,DL193,                                                                                                                                                                                                IF(COUNTIF(DL193:DL195,"")=1,                                                                                                                                                                                                                                     IFERROR(IF(ABS(MATCH(DL193,Responses_list1_frequency,0)-MATCH(DL194,Responses_list1_frequency,0))=1,DL193&amp;" / "&amp;DL194,"No consensus"),"No consensus"),   IF(COUNTIF(DL193:DL195,"")=0,                                                                                                                                                                                                                                                       IFERROR(IF(AND(ABS(MATCH(DL193,Responses_list1_frequency,0)-MATCH(DL194,Responses_list1_frequency,0))=1,ABS(MATCH(DL194,Responses_list1_frequency,0)-MATCH(DL195,Responses_list1_frequency,0))=1),DL193&amp;" / "&amp;DL194&amp;" / "&amp;DL195,"No consensus"),"No consensus"),DL193)     ))</f>
        <v>na</v>
      </c>
      <c r="DM27" s="58">
        <f>DM193</f>
        <v>0</v>
      </c>
      <c r="DN27" s="58">
        <f>DN193</f>
        <v>0</v>
      </c>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row>
    <row r="28" spans="1:142" s="132" customFormat="1" x14ac:dyDescent="0.25">
      <c r="A28" s="23"/>
      <c r="B28" s="112" t="s">
        <v>350</v>
      </c>
      <c r="C28" s="126"/>
      <c r="D28" s="113">
        <f>SUM(D22:D27)</f>
        <v>4</v>
      </c>
      <c r="E28" s="113">
        <f>SUM(E22:E27)</f>
        <v>2</v>
      </c>
      <c r="F28" s="23"/>
      <c r="G28" s="137"/>
      <c r="H28" s="137"/>
      <c r="I28" s="137"/>
      <c r="J28" s="53"/>
      <c r="K28" s="23"/>
      <c r="L28" s="23"/>
      <c r="M28" s="23"/>
      <c r="N28" s="23"/>
      <c r="O28" s="23"/>
      <c r="P28" s="23"/>
      <c r="Q28" s="73"/>
      <c r="R28" s="56"/>
      <c r="S28" s="112" t="s">
        <v>350</v>
      </c>
      <c r="T28" s="113"/>
      <c r="U28" s="113">
        <f>SUM(U22:U27)</f>
        <v>5</v>
      </c>
      <c r="V28" s="113">
        <f>SUM(V22:V27)</f>
        <v>3</v>
      </c>
      <c r="W28" s="23"/>
      <c r="X28" s="56"/>
      <c r="Y28" s="56"/>
      <c r="Z28" s="23"/>
      <c r="AA28" s="23"/>
      <c r="AB28" s="23"/>
      <c r="AC28" s="23"/>
      <c r="AD28" s="142"/>
      <c r="AE28" s="144"/>
      <c r="AF28" s="73"/>
      <c r="AG28" s="56"/>
      <c r="AH28" s="112" t="s">
        <v>350</v>
      </c>
      <c r="AI28" s="113"/>
      <c r="AJ28" s="113">
        <f>SUM(AJ22:AJ27)</f>
        <v>6</v>
      </c>
      <c r="AK28" s="113">
        <f>SUM(AK22:AK27)</f>
        <v>0</v>
      </c>
      <c r="AL28" s="23"/>
      <c r="AM28" s="56"/>
      <c r="AN28" s="56"/>
      <c r="AO28" s="23"/>
      <c r="AP28" s="23"/>
      <c r="AQ28" s="23"/>
      <c r="AR28" s="23"/>
      <c r="AS28" s="142"/>
      <c r="AT28" s="144"/>
      <c r="AU28" s="73"/>
      <c r="AV28" s="23"/>
      <c r="AW28" s="112" t="s">
        <v>350</v>
      </c>
      <c r="AX28" s="113"/>
      <c r="AY28" s="113">
        <f>SUM(AY22:AY27)</f>
        <v>6</v>
      </c>
      <c r="AZ28" s="113">
        <f>SUM(AZ22:AZ27)</f>
        <v>0</v>
      </c>
      <c r="BA28" s="23"/>
      <c r="BB28" s="56"/>
      <c r="BC28" s="56"/>
      <c r="BD28" s="23"/>
      <c r="BE28" s="23"/>
      <c r="BF28" s="23"/>
      <c r="BG28" s="23"/>
      <c r="BH28" s="142"/>
      <c r="BI28" s="144"/>
      <c r="BJ28" s="372"/>
      <c r="BK28" s="56"/>
      <c r="BL28" s="112" t="s">
        <v>350</v>
      </c>
      <c r="BM28" s="113"/>
      <c r="BN28" s="113">
        <f>SUM(BN22:BN27)</f>
        <v>6</v>
      </c>
      <c r="BO28" s="113">
        <f>SUM(BO22:BO27)</f>
        <v>0</v>
      </c>
      <c r="BP28" s="23"/>
      <c r="BQ28" s="56"/>
      <c r="BR28" s="56"/>
      <c r="BS28" s="23"/>
      <c r="BT28" s="23"/>
      <c r="BU28" s="23"/>
      <c r="BV28" s="23"/>
      <c r="BW28" s="142"/>
      <c r="BX28" s="144"/>
      <c r="BY28" s="372"/>
      <c r="BZ28" s="23"/>
      <c r="CA28" s="112" t="s">
        <v>350</v>
      </c>
      <c r="CB28" s="113">
        <f>SUM(CB22:CB27)</f>
        <v>12</v>
      </c>
      <c r="CC28" s="56"/>
      <c r="CD28" s="56"/>
      <c r="CE28" s="56"/>
      <c r="CF28" s="39"/>
      <c r="CG28" s="23"/>
      <c r="CH28" s="23"/>
      <c r="CI28" s="23"/>
      <c r="CJ28" s="23"/>
      <c r="CK28" s="23"/>
      <c r="CL28" s="23"/>
      <c r="CM28" s="23"/>
      <c r="CN28" s="23"/>
      <c r="CO28" s="90"/>
      <c r="CP28" s="23"/>
      <c r="CQ28" s="73"/>
      <c r="CR28" s="23"/>
      <c r="CS28" s="112" t="s">
        <v>350</v>
      </c>
      <c r="CT28" s="113">
        <f>SUM(CT22:CT27)</f>
        <v>2</v>
      </c>
      <c r="CU28" s="56"/>
      <c r="CV28" s="31"/>
      <c r="CW28" s="56"/>
      <c r="CX28" s="39"/>
      <c r="CY28" s="23"/>
      <c r="CZ28" s="23"/>
      <c r="DA28" s="23"/>
      <c r="DB28" s="23"/>
      <c r="DC28" s="23"/>
      <c r="DD28" s="23"/>
      <c r="DE28" s="23"/>
      <c r="DF28" s="23"/>
      <c r="DG28" s="90"/>
      <c r="DH28" s="23"/>
      <c r="DI28" s="73"/>
      <c r="DJ28" s="23"/>
      <c r="DK28" s="112" t="s">
        <v>350</v>
      </c>
      <c r="DL28" s="126"/>
      <c r="DM28" s="113">
        <f>SUM(DM22:DM27)</f>
        <v>4</v>
      </c>
      <c r="DN28" s="113">
        <f>SUM(DN22:DN27)</f>
        <v>0</v>
      </c>
      <c r="DO28" s="53"/>
      <c r="DP28" s="23"/>
      <c r="DQ28" s="23"/>
      <c r="DR28" s="23"/>
      <c r="DS28" s="23"/>
      <c r="DT28" s="23"/>
      <c r="DU28" s="23"/>
      <c r="DV28" s="23"/>
      <c r="DW28" s="23"/>
      <c r="DX28" s="23"/>
      <c r="DY28" s="23"/>
      <c r="DZ28" s="23"/>
      <c r="EA28" s="23"/>
      <c r="EB28" s="23"/>
      <c r="EC28" s="23"/>
      <c r="ED28" s="23"/>
      <c r="EE28" s="23"/>
      <c r="EF28" s="23"/>
      <c r="EG28" s="23"/>
      <c r="EH28" s="23"/>
      <c r="EI28" s="23"/>
      <c r="EJ28" s="23"/>
      <c r="EK28" s="23"/>
      <c r="EL28" s="23"/>
    </row>
    <row r="29" spans="1:142" x14ac:dyDescent="0.25">
      <c r="A29" s="14"/>
      <c r="B29" s="23"/>
      <c r="C29" s="14"/>
      <c r="D29" s="18"/>
      <c r="E29" s="14"/>
      <c r="F29" s="14"/>
      <c r="G29" s="14"/>
      <c r="H29" s="21"/>
      <c r="I29" s="21"/>
      <c r="J29" s="14"/>
      <c r="K29" s="14"/>
      <c r="L29" s="14"/>
      <c r="M29" s="14"/>
      <c r="N29" s="14"/>
      <c r="O29" s="14"/>
      <c r="P29" s="14"/>
      <c r="Q29" s="47"/>
      <c r="R29" s="19"/>
      <c r="S29" s="14"/>
      <c r="T29" s="14"/>
      <c r="U29" s="14"/>
      <c r="V29" s="14"/>
      <c r="W29" s="14"/>
      <c r="X29" s="19"/>
      <c r="Y29" s="19"/>
      <c r="Z29" s="14"/>
      <c r="AA29" s="14"/>
      <c r="AB29" s="14"/>
      <c r="AC29" s="14"/>
      <c r="AD29" s="65"/>
      <c r="AE29" s="63"/>
      <c r="AF29" s="47"/>
      <c r="AG29" s="19"/>
      <c r="AH29" s="14"/>
      <c r="AI29" s="14"/>
      <c r="AJ29" s="14"/>
      <c r="AK29" s="14"/>
      <c r="AL29" s="14"/>
      <c r="AM29" s="19"/>
      <c r="AN29" s="19"/>
      <c r="AO29" s="14"/>
      <c r="AP29" s="14"/>
      <c r="AQ29" s="14"/>
      <c r="AR29" s="14"/>
      <c r="AS29" s="65"/>
      <c r="AT29" s="63"/>
      <c r="AU29" s="47"/>
      <c r="AV29" s="14"/>
      <c r="AW29" s="14"/>
      <c r="AX29" s="14"/>
      <c r="AY29" s="14"/>
      <c r="AZ29" s="14"/>
      <c r="BA29" s="14"/>
      <c r="BB29" s="19"/>
      <c r="BC29" s="19"/>
      <c r="BD29" s="14"/>
      <c r="BE29" s="14"/>
      <c r="BF29" s="14"/>
      <c r="BG29" s="14"/>
      <c r="BH29" s="65"/>
      <c r="BI29" s="63"/>
      <c r="BJ29" s="352"/>
      <c r="BK29" s="19"/>
      <c r="BL29" s="14"/>
      <c r="BM29" s="14"/>
      <c r="BN29" s="14"/>
      <c r="BO29" s="14"/>
      <c r="BP29" s="14"/>
      <c r="BQ29" s="19"/>
      <c r="BR29" s="19"/>
      <c r="BS29" s="14"/>
      <c r="BT29" s="14"/>
      <c r="BU29" s="14"/>
      <c r="BV29" s="14"/>
      <c r="BW29" s="65"/>
      <c r="BX29" s="63"/>
      <c r="BY29" s="352"/>
      <c r="BZ29" s="14"/>
      <c r="CA29" s="19"/>
      <c r="CB29" s="27"/>
      <c r="CC29" s="27"/>
      <c r="CD29" s="27"/>
      <c r="CE29" s="27"/>
      <c r="CF29" s="59"/>
      <c r="CG29" s="15"/>
      <c r="CH29" s="14"/>
      <c r="CI29" s="14"/>
      <c r="CJ29" s="14"/>
      <c r="CK29" s="14"/>
      <c r="CL29" s="14"/>
      <c r="CM29" s="14"/>
      <c r="CN29" s="14"/>
      <c r="CO29" s="129"/>
      <c r="CP29" s="30"/>
      <c r="CQ29" s="47"/>
      <c r="CR29" s="14"/>
      <c r="CS29" s="14"/>
      <c r="CT29" s="19"/>
      <c r="CU29" s="19"/>
      <c r="CV29" s="27"/>
      <c r="CW29" s="19"/>
      <c r="CX29" s="59"/>
      <c r="CY29" s="14"/>
      <c r="CZ29" s="14"/>
      <c r="DA29" s="14"/>
      <c r="DB29" s="14"/>
      <c r="DC29" s="14"/>
      <c r="DD29" s="14"/>
      <c r="DE29" s="14"/>
      <c r="DF29" s="14"/>
      <c r="DG29" s="129"/>
      <c r="DH29" s="14"/>
      <c r="DI29" s="47"/>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row>
    <row r="30" spans="1:142" s="133" customFormat="1" x14ac:dyDescent="0.25">
      <c r="A30" s="21"/>
      <c r="B30" s="266"/>
      <c r="C30" s="27"/>
      <c r="D30" s="31"/>
      <c r="E30" s="27"/>
      <c r="F30" s="27"/>
      <c r="G30" s="21"/>
      <c r="H30" s="21"/>
      <c r="I30" s="21"/>
      <c r="J30" s="21"/>
      <c r="K30" s="21"/>
      <c r="L30" s="21"/>
      <c r="M30" s="21"/>
      <c r="N30" s="21"/>
      <c r="O30" s="21"/>
      <c r="P30" s="21"/>
      <c r="Q30" s="47"/>
      <c r="R30" s="21"/>
      <c r="S30" s="21"/>
      <c r="T30" s="21"/>
      <c r="U30" s="21"/>
      <c r="V30" s="21"/>
      <c r="W30" s="21"/>
      <c r="X30" s="19"/>
      <c r="Y30" s="19"/>
      <c r="Z30" s="21"/>
      <c r="AA30" s="21"/>
      <c r="AB30" s="21"/>
      <c r="AC30" s="21"/>
      <c r="AD30" s="143"/>
      <c r="AE30" s="145"/>
      <c r="AF30" s="46"/>
      <c r="AG30" s="21"/>
      <c r="AH30" s="21"/>
      <c r="AI30" s="21"/>
      <c r="AJ30" s="21"/>
      <c r="AK30" s="21"/>
      <c r="AL30" s="21"/>
      <c r="AM30" s="19"/>
      <c r="AN30" s="19"/>
      <c r="AO30" s="21"/>
      <c r="AP30" s="21"/>
      <c r="AQ30" s="21"/>
      <c r="AR30" s="21"/>
      <c r="AS30" s="143"/>
      <c r="AT30" s="145"/>
      <c r="AU30" s="46"/>
      <c r="AV30" s="21"/>
      <c r="AW30" s="21"/>
      <c r="AX30" s="21"/>
      <c r="AY30" s="21"/>
      <c r="AZ30" s="21"/>
      <c r="BA30" s="21"/>
      <c r="BB30" s="19"/>
      <c r="BC30" s="19"/>
      <c r="BD30" s="21"/>
      <c r="BE30" s="21"/>
      <c r="BF30" s="21"/>
      <c r="BG30" s="21"/>
      <c r="BH30" s="143"/>
      <c r="BI30" s="145"/>
      <c r="BJ30" s="374"/>
      <c r="BK30" s="21"/>
      <c r="BL30" s="21"/>
      <c r="BM30" s="21"/>
      <c r="BN30" s="21"/>
      <c r="BO30" s="21"/>
      <c r="BP30" s="21"/>
      <c r="BQ30" s="19"/>
      <c r="BR30" s="19"/>
      <c r="BS30" s="21"/>
      <c r="BT30" s="21"/>
      <c r="BU30" s="21"/>
      <c r="BV30" s="21"/>
      <c r="BW30" s="143"/>
      <c r="BX30" s="145"/>
      <c r="BY30" s="374"/>
      <c r="BZ30" s="21"/>
      <c r="CA30" s="27"/>
      <c r="CB30" s="27"/>
      <c r="CC30" s="27"/>
      <c r="CD30" s="51"/>
      <c r="CE30" s="96"/>
      <c r="CF30" s="32"/>
      <c r="CG30" s="32"/>
      <c r="CH30" s="21"/>
      <c r="CI30" s="14"/>
      <c r="CJ30" s="14"/>
      <c r="CK30" s="14"/>
      <c r="CL30" s="14"/>
      <c r="CM30" s="14"/>
      <c r="CN30" s="14"/>
      <c r="CO30" s="129"/>
      <c r="CP30" s="28"/>
      <c r="CQ30" s="46"/>
      <c r="CR30" s="21"/>
      <c r="CS30" s="21"/>
      <c r="CT30" s="21"/>
      <c r="CU30" s="21"/>
      <c r="CV30" s="21"/>
      <c r="CW30" s="21"/>
      <c r="CX30" s="21"/>
      <c r="CY30" s="21"/>
      <c r="CZ30" s="21"/>
      <c r="DA30" s="21"/>
      <c r="DB30" s="21"/>
      <c r="DC30" s="21"/>
      <c r="DD30" s="21"/>
      <c r="DE30" s="21"/>
      <c r="DF30" s="21"/>
      <c r="DG30" s="285"/>
      <c r="DH30" s="21"/>
      <c r="DI30" s="46"/>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row>
    <row r="31" spans="1:142" s="133" customFormat="1" x14ac:dyDescent="0.25">
      <c r="A31" s="21"/>
      <c r="B31" s="269"/>
      <c r="C31" s="267"/>
      <c r="D31" s="267"/>
      <c r="E31" s="267"/>
      <c r="F31" s="267"/>
      <c r="G31" s="21"/>
      <c r="H31" s="21"/>
      <c r="I31" s="21"/>
      <c r="J31" s="21"/>
      <c r="K31" s="21"/>
      <c r="L31" s="21"/>
      <c r="M31" s="21"/>
      <c r="N31" s="21"/>
      <c r="O31" s="21"/>
      <c r="P31" s="21"/>
      <c r="Q31" s="47"/>
      <c r="R31" s="27"/>
      <c r="S31" s="159" t="s">
        <v>692</v>
      </c>
      <c r="T31" s="160" t="str">
        <f>IF(U28=0,"",IF(U38&gt;=0.5,"No consensus",IF(AND(U39&gt;0,U40&gt;0),U39/U40,IF(U39&gt;U40,"Likely","Unlikely"))))</f>
        <v>Unlikely</v>
      </c>
      <c r="U31" s="161" t="str">
        <f>IFERROR(IF(T31/2&gt;=0,IF(T31&gt;2,"Likely",IF(T31&lt;0.5,"Unlikely","No clear consensus on the likelihood"))),"")</f>
        <v/>
      </c>
      <c r="V31" s="21"/>
      <c r="W31" s="21"/>
      <c r="X31" s="19"/>
      <c r="Y31" s="19"/>
      <c r="Z31" s="21"/>
      <c r="AA31" s="21"/>
      <c r="AB31" s="21"/>
      <c r="AC31" s="21"/>
      <c r="AD31" s="143"/>
      <c r="AE31" s="145"/>
      <c r="AF31" s="46"/>
      <c r="AG31" s="27"/>
      <c r="AH31" s="159" t="s">
        <v>692</v>
      </c>
      <c r="AI31" s="160" t="str">
        <f>IF(AJ28=0,"",IF(AJ38&gt;=0.5,"No consensus",IF(AND(AJ39&gt;0,AJ40&gt;0),AJ39/AJ40,IF(AJ39&gt;AJ40,"Likely","Unlikely"))))</f>
        <v>Unlikely</v>
      </c>
      <c r="AJ31" s="161" t="str">
        <f>IFERROR(IF(AI31/2&gt;=0,IF(AI31&gt;2,"Likely",IF(AI31&lt;0.5,"Unlikely","No clear consensus on the likelihood"))),"")</f>
        <v/>
      </c>
      <c r="AK31" s="21"/>
      <c r="AL31" s="21"/>
      <c r="AM31" s="19"/>
      <c r="AN31" s="19"/>
      <c r="AO31" s="21"/>
      <c r="AP31" s="21"/>
      <c r="AQ31" s="21"/>
      <c r="AR31" s="21"/>
      <c r="AS31" s="143"/>
      <c r="AT31" s="145"/>
      <c r="AU31" s="46"/>
      <c r="AV31" s="21"/>
      <c r="AW31" s="159" t="s">
        <v>692</v>
      </c>
      <c r="AX31" s="160" t="str">
        <f>IF(AY28=0,"",IF(AY38&gt;=0.5,"No consensus",IF(AND(AY39&gt;0,AY40&gt;0),AY39/AY40,IF(AY39&gt;AY40,"Likely","Unlikely"))))</f>
        <v>Unlikely</v>
      </c>
      <c r="AY31" s="161" t="str">
        <f>IFERROR(IF(AX31/2&gt;=0,IF(AX31&gt;2,"Likely",IF(AX31&lt;0.5,"Unlikely","No clear consensus on the likelihood"))),"")</f>
        <v/>
      </c>
      <c r="AZ31" s="21"/>
      <c r="BA31" s="21"/>
      <c r="BB31" s="19"/>
      <c r="BC31" s="19"/>
      <c r="BD31" s="21"/>
      <c r="BE31" s="21"/>
      <c r="BF31" s="21"/>
      <c r="BG31" s="21"/>
      <c r="BH31" s="143"/>
      <c r="BI31" s="145"/>
      <c r="BJ31" s="374"/>
      <c r="BK31" s="27"/>
      <c r="BL31" s="159" t="s">
        <v>692</v>
      </c>
      <c r="BM31" s="160" t="str">
        <f>IF(BN28=0,"",IF(BN38&gt;=0.5,"No consensus",IF(AND(BN39&gt;0,BN40&gt;0),BN39/BN40,IF(BN39&gt;BN40,"Likely","Unlikely"))))</f>
        <v>Unlikely</v>
      </c>
      <c r="BN31" s="161" t="str">
        <f>IFERROR(IF(BM31/2&gt;=0,IF(BM31&gt;=2,"Likely",IF(BM31&lt;=0.5,"Unlikely","No clear consensus on the likelihood"))),"")</f>
        <v/>
      </c>
      <c r="BO31" s="21"/>
      <c r="BP31" s="21"/>
      <c r="BQ31" s="19"/>
      <c r="BR31" s="19"/>
      <c r="BS31" s="21"/>
      <c r="BT31" s="21"/>
      <c r="BU31" s="21"/>
      <c r="BV31" s="21"/>
      <c r="BW31" s="143"/>
      <c r="BX31" s="145"/>
      <c r="BY31" s="374"/>
      <c r="BZ31" s="21"/>
      <c r="CA31" s="43"/>
      <c r="CB31" s="209"/>
      <c r="CC31" s="518"/>
      <c r="CD31" s="518"/>
      <c r="CE31" s="518"/>
      <c r="CF31" s="518"/>
      <c r="CG31" s="518"/>
      <c r="CH31" s="518"/>
      <c r="CI31" s="518"/>
      <c r="CJ31" s="518"/>
      <c r="CK31" s="518"/>
      <c r="CL31" s="518"/>
      <c r="CM31" s="518"/>
      <c r="CN31" s="518"/>
      <c r="CO31" s="518"/>
      <c r="CP31" s="27"/>
      <c r="CQ31" s="46"/>
      <c r="CR31" s="21"/>
      <c r="CS31" s="212"/>
      <c r="CT31" s="209"/>
      <c r="CU31" s="519"/>
      <c r="CV31" s="519"/>
      <c r="CW31" s="519"/>
      <c r="CX31" s="519"/>
      <c r="CY31" s="519"/>
      <c r="CZ31" s="519"/>
      <c r="DA31" s="519"/>
      <c r="DB31" s="519"/>
      <c r="DC31" s="519"/>
      <c r="DD31" s="519"/>
      <c r="DE31" s="519"/>
      <c r="DF31" s="519"/>
      <c r="DG31" s="519"/>
      <c r="DH31" s="21"/>
      <c r="DI31" s="46"/>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row>
    <row r="32" spans="1:142" s="133" customFormat="1" ht="15" customHeight="1" x14ac:dyDescent="0.25">
      <c r="A32" s="21"/>
      <c r="B32" s="211"/>
      <c r="C32" s="265"/>
      <c r="D32" s="270"/>
      <c r="E32" s="270"/>
      <c r="F32" s="270"/>
      <c r="G32" s="21"/>
      <c r="H32" s="21"/>
      <c r="I32" s="21"/>
      <c r="J32" s="21"/>
      <c r="K32" s="21"/>
      <c r="L32" s="21"/>
      <c r="M32" s="21"/>
      <c r="N32" s="21"/>
      <c r="O32" s="21"/>
      <c r="P32" s="21"/>
      <c r="Q32" s="47"/>
      <c r="R32" s="27"/>
      <c r="S32" s="21"/>
      <c r="T32" s="21"/>
      <c r="U32" s="21"/>
      <c r="V32" s="21"/>
      <c r="W32" s="21"/>
      <c r="X32" s="19"/>
      <c r="Y32" s="19"/>
      <c r="Z32" s="21"/>
      <c r="AA32" s="21"/>
      <c r="AB32" s="21"/>
      <c r="AC32" s="21"/>
      <c r="AD32" s="143"/>
      <c r="AE32" s="145"/>
      <c r="AF32" s="46"/>
      <c r="AG32" s="27"/>
      <c r="AH32" s="21"/>
      <c r="AI32" s="21"/>
      <c r="AJ32" s="21"/>
      <c r="AK32" s="21"/>
      <c r="AL32" s="21"/>
      <c r="AM32" s="19"/>
      <c r="AN32" s="19"/>
      <c r="AO32" s="21"/>
      <c r="AP32" s="21"/>
      <c r="AQ32" s="21"/>
      <c r="AR32" s="21"/>
      <c r="AS32" s="143"/>
      <c r="AT32" s="145"/>
      <c r="AU32" s="46"/>
      <c r="AV32" s="21"/>
      <c r="AW32" s="21"/>
      <c r="AX32" s="21"/>
      <c r="AY32" s="21"/>
      <c r="AZ32" s="21"/>
      <c r="BA32" s="21"/>
      <c r="BB32" s="19"/>
      <c r="BC32" s="19"/>
      <c r="BD32" s="21"/>
      <c r="BE32" s="21"/>
      <c r="BF32" s="21"/>
      <c r="BG32" s="21"/>
      <c r="BH32" s="143"/>
      <c r="BI32" s="145"/>
      <c r="BJ32" s="374"/>
      <c r="BK32" s="27"/>
      <c r="BL32" s="21"/>
      <c r="BM32" s="21"/>
      <c r="BN32" s="21"/>
      <c r="BO32" s="21"/>
      <c r="BP32" s="21"/>
      <c r="BQ32" s="19"/>
      <c r="BR32" s="19"/>
      <c r="BS32" s="21"/>
      <c r="BT32" s="21"/>
      <c r="BU32" s="21"/>
      <c r="BV32" s="21"/>
      <c r="BW32" s="143"/>
      <c r="BX32" s="145"/>
      <c r="BY32" s="374"/>
      <c r="BZ32" s="21"/>
      <c r="CA32" s="210"/>
      <c r="CB32" s="211"/>
      <c r="CC32" s="515"/>
      <c r="CD32" s="515"/>
      <c r="CE32" s="515"/>
      <c r="CF32" s="515"/>
      <c r="CG32" s="515"/>
      <c r="CH32" s="515"/>
      <c r="CI32" s="515"/>
      <c r="CJ32" s="515"/>
      <c r="CK32" s="515"/>
      <c r="CL32" s="515"/>
      <c r="CM32" s="515"/>
      <c r="CN32" s="515"/>
      <c r="CO32" s="515"/>
      <c r="CP32" s="27"/>
      <c r="CQ32" s="46"/>
      <c r="CR32" s="21"/>
      <c r="CS32" s="71"/>
      <c r="CT32" s="71"/>
      <c r="CU32" s="516"/>
      <c r="CV32" s="516"/>
      <c r="CW32" s="516"/>
      <c r="CX32" s="516"/>
      <c r="CY32" s="516"/>
      <c r="CZ32" s="516"/>
      <c r="DA32" s="516"/>
      <c r="DB32" s="516"/>
      <c r="DC32" s="516"/>
      <c r="DD32" s="516"/>
      <c r="DE32" s="516"/>
      <c r="DF32" s="516"/>
      <c r="DG32" s="516"/>
      <c r="DH32" s="21"/>
      <c r="DI32" s="46"/>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row>
    <row r="33" spans="1:142" ht="42.75" customHeight="1" x14ac:dyDescent="0.25">
      <c r="A33" s="14"/>
      <c r="B33" s="211"/>
      <c r="C33" s="265"/>
      <c r="D33" s="270"/>
      <c r="E33" s="270"/>
      <c r="F33" s="270"/>
      <c r="G33" s="14"/>
      <c r="H33" s="21"/>
      <c r="I33" s="21"/>
      <c r="J33" s="14"/>
      <c r="K33" s="14"/>
      <c r="L33" s="14"/>
      <c r="M33" s="14"/>
      <c r="N33" s="14"/>
      <c r="O33" s="14"/>
      <c r="P33" s="14"/>
      <c r="Q33" s="47"/>
      <c r="R33" s="19"/>
      <c r="S33" s="545" t="s">
        <v>757</v>
      </c>
      <c r="T33" s="546"/>
      <c r="U33" s="547"/>
      <c r="V33" s="14"/>
      <c r="W33" s="14"/>
      <c r="X33" s="19"/>
      <c r="Y33" s="19"/>
      <c r="Z33" s="14"/>
      <c r="AA33" s="14"/>
      <c r="AB33" s="14"/>
      <c r="AC33" s="14"/>
      <c r="AD33" s="65"/>
      <c r="AE33" s="63"/>
      <c r="AF33" s="47"/>
      <c r="AG33" s="19"/>
      <c r="AH33" s="545" t="s">
        <v>757</v>
      </c>
      <c r="AI33" s="546"/>
      <c r="AJ33" s="547"/>
      <c r="AK33" s="14"/>
      <c r="AL33" s="14"/>
      <c r="AM33" s="19"/>
      <c r="AN33" s="19"/>
      <c r="AO33" s="14"/>
      <c r="AP33" s="14"/>
      <c r="AQ33" s="14"/>
      <c r="AR33" s="14"/>
      <c r="AS33" s="65"/>
      <c r="AT33" s="63"/>
      <c r="AU33" s="47"/>
      <c r="AV33" s="14"/>
      <c r="AW33" s="545" t="s">
        <v>757</v>
      </c>
      <c r="AX33" s="546"/>
      <c r="AY33" s="547"/>
      <c r="AZ33" s="14"/>
      <c r="BA33" s="14"/>
      <c r="BB33" s="19"/>
      <c r="BC33" s="19"/>
      <c r="BD33" s="14"/>
      <c r="BE33" s="14"/>
      <c r="BF33" s="14"/>
      <c r="BG33" s="14"/>
      <c r="BH33" s="65"/>
      <c r="BI33" s="63"/>
      <c r="BJ33" s="352"/>
      <c r="BK33" s="19"/>
      <c r="BL33" s="545" t="s">
        <v>757</v>
      </c>
      <c r="BM33" s="546"/>
      <c r="BN33" s="547"/>
      <c r="BO33" s="14"/>
      <c r="BP33" s="14"/>
      <c r="BQ33" s="19"/>
      <c r="BR33" s="19"/>
      <c r="BS33" s="14"/>
      <c r="BT33" s="14"/>
      <c r="BU33" s="14"/>
      <c r="BV33" s="14"/>
      <c r="BW33" s="65"/>
      <c r="BX33" s="63"/>
      <c r="BY33" s="352"/>
      <c r="BZ33" s="14"/>
      <c r="CA33" s="210"/>
      <c r="CB33" s="211"/>
      <c r="CC33" s="515"/>
      <c r="CD33" s="515"/>
      <c r="CE33" s="515"/>
      <c r="CF33" s="515"/>
      <c r="CG33" s="515"/>
      <c r="CH33" s="515"/>
      <c r="CI33" s="515"/>
      <c r="CJ33" s="515"/>
      <c r="CK33" s="515"/>
      <c r="CL33" s="515"/>
      <c r="CM33" s="515"/>
      <c r="CN33" s="515"/>
      <c r="CO33" s="515"/>
      <c r="CP33" s="14"/>
      <c r="CQ33" s="47"/>
      <c r="CR33" s="14"/>
      <c r="CS33" s="71"/>
      <c r="CT33" s="71"/>
      <c r="CU33" s="516"/>
      <c r="CV33" s="516"/>
      <c r="CW33" s="516"/>
      <c r="CX33" s="516"/>
      <c r="CY33" s="516"/>
      <c r="CZ33" s="516"/>
      <c r="DA33" s="516"/>
      <c r="DB33" s="516"/>
      <c r="DC33" s="516"/>
      <c r="DD33" s="516"/>
      <c r="DE33" s="516"/>
      <c r="DF33" s="516"/>
      <c r="DG33" s="516"/>
      <c r="DH33" s="14"/>
      <c r="DI33" s="47"/>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row>
    <row r="34" spans="1:142" ht="28.5" customHeight="1" x14ac:dyDescent="0.25">
      <c r="A34" s="14"/>
      <c r="B34" s="211"/>
      <c r="C34" s="265"/>
      <c r="D34" s="270"/>
      <c r="E34" s="270"/>
      <c r="F34" s="270"/>
      <c r="G34" s="14"/>
      <c r="H34" s="21"/>
      <c r="I34" s="21"/>
      <c r="J34" s="14"/>
      <c r="K34" s="14"/>
      <c r="L34" s="14"/>
      <c r="M34" s="14"/>
      <c r="N34" s="14"/>
      <c r="O34" s="14"/>
      <c r="P34" s="14"/>
      <c r="Q34" s="47"/>
      <c r="R34" s="19"/>
      <c r="S34" s="548"/>
      <c r="T34" s="549"/>
      <c r="U34" s="550"/>
      <c r="V34" s="14"/>
      <c r="W34" s="14"/>
      <c r="X34" s="19"/>
      <c r="Y34" s="19"/>
      <c r="Z34" s="14"/>
      <c r="AA34" s="14"/>
      <c r="AB34" s="14"/>
      <c r="AC34" s="14"/>
      <c r="AD34" s="65"/>
      <c r="AE34" s="63"/>
      <c r="AF34" s="47"/>
      <c r="AG34" s="19"/>
      <c r="AH34" s="548"/>
      <c r="AI34" s="549"/>
      <c r="AJ34" s="550"/>
      <c r="AK34" s="14"/>
      <c r="AL34" s="14"/>
      <c r="AM34" s="19"/>
      <c r="AN34" s="19"/>
      <c r="AO34" s="14"/>
      <c r="AP34" s="14"/>
      <c r="AQ34" s="14"/>
      <c r="AR34" s="14"/>
      <c r="AS34" s="65"/>
      <c r="AT34" s="63"/>
      <c r="AU34" s="47"/>
      <c r="AV34" s="14"/>
      <c r="AW34" s="548"/>
      <c r="AX34" s="549"/>
      <c r="AY34" s="550"/>
      <c r="AZ34" s="14"/>
      <c r="BA34" s="14"/>
      <c r="BB34" s="19"/>
      <c r="BC34" s="19"/>
      <c r="BD34" s="14"/>
      <c r="BE34" s="14"/>
      <c r="BF34" s="14"/>
      <c r="BG34" s="14"/>
      <c r="BH34" s="65"/>
      <c r="BI34" s="63"/>
      <c r="BJ34" s="352"/>
      <c r="BK34" s="19"/>
      <c r="BL34" s="548"/>
      <c r="BM34" s="549"/>
      <c r="BN34" s="550"/>
      <c r="BO34" s="14"/>
      <c r="BP34" s="14"/>
      <c r="BQ34" s="19"/>
      <c r="BR34" s="19"/>
      <c r="BS34" s="14"/>
      <c r="BT34" s="14"/>
      <c r="BU34" s="14"/>
      <c r="BV34" s="14"/>
      <c r="BW34" s="65"/>
      <c r="BX34" s="63"/>
      <c r="BY34" s="352"/>
      <c r="BZ34" s="14"/>
      <c r="CA34" s="210"/>
      <c r="CB34" s="211"/>
      <c r="CC34" s="515"/>
      <c r="CD34" s="515"/>
      <c r="CE34" s="515"/>
      <c r="CF34" s="515"/>
      <c r="CG34" s="515"/>
      <c r="CH34" s="515"/>
      <c r="CI34" s="515"/>
      <c r="CJ34" s="515"/>
      <c r="CK34" s="515"/>
      <c r="CL34" s="515"/>
      <c r="CM34" s="515"/>
      <c r="CN34" s="515"/>
      <c r="CO34" s="515"/>
      <c r="CP34" s="14"/>
      <c r="CQ34" s="47"/>
      <c r="CR34" s="14"/>
      <c r="CS34" s="71"/>
      <c r="CT34" s="71"/>
      <c r="CU34" s="516"/>
      <c r="CV34" s="516"/>
      <c r="CW34" s="516"/>
      <c r="CX34" s="516"/>
      <c r="CY34" s="516"/>
      <c r="CZ34" s="516"/>
      <c r="DA34" s="516"/>
      <c r="DB34" s="516"/>
      <c r="DC34" s="516"/>
      <c r="DD34" s="516"/>
      <c r="DE34" s="516"/>
      <c r="DF34" s="516"/>
      <c r="DG34" s="516"/>
      <c r="DH34" s="14"/>
      <c r="DI34" s="47"/>
      <c r="DJ34" s="14"/>
      <c r="DK34" s="14"/>
      <c r="DL34" s="14"/>
      <c r="DM34" s="14"/>
      <c r="DN34" s="14"/>
      <c r="DO34" s="14"/>
      <c r="DP34" s="14"/>
      <c r="DQ34" s="14"/>
      <c r="DR34" s="103"/>
      <c r="DS34" s="104"/>
      <c r="DT34" s="104"/>
      <c r="DU34" s="104"/>
      <c r="DV34" s="104"/>
      <c r="DW34" s="104"/>
      <c r="DX34" s="104"/>
      <c r="DY34" s="104"/>
      <c r="DZ34" s="14"/>
      <c r="EA34" s="14"/>
      <c r="EB34" s="14"/>
      <c r="EC34" s="14"/>
      <c r="ED34" s="14"/>
      <c r="EE34" s="14"/>
      <c r="EF34" s="14"/>
      <c r="EG34" s="14"/>
      <c r="EH34" s="14"/>
      <c r="EI34" s="14"/>
      <c r="EJ34" s="14"/>
      <c r="EK34" s="14"/>
      <c r="EL34" s="14"/>
    </row>
    <row r="35" spans="1:142" ht="42.75" customHeight="1" x14ac:dyDescent="0.25">
      <c r="A35" s="14"/>
      <c r="B35" s="211"/>
      <c r="C35" s="265"/>
      <c r="D35" s="270"/>
      <c r="E35" s="270"/>
      <c r="F35" s="270"/>
      <c r="G35" s="14"/>
      <c r="H35" s="21"/>
      <c r="I35" s="21"/>
      <c r="J35" s="14"/>
      <c r="K35" s="14"/>
      <c r="L35" s="14"/>
      <c r="M35" s="14"/>
      <c r="N35" s="14"/>
      <c r="O35" s="14"/>
      <c r="P35" s="14"/>
      <c r="Q35" s="47"/>
      <c r="R35" s="19"/>
      <c r="S35" s="551"/>
      <c r="T35" s="552"/>
      <c r="U35" s="553"/>
      <c r="V35" s="14"/>
      <c r="W35" s="14"/>
      <c r="X35" s="19"/>
      <c r="Y35" s="19"/>
      <c r="Z35" s="14"/>
      <c r="AA35" s="14"/>
      <c r="AB35" s="14"/>
      <c r="AC35" s="14"/>
      <c r="AD35" s="65"/>
      <c r="AE35" s="63"/>
      <c r="AF35" s="47"/>
      <c r="AG35" s="19"/>
      <c r="AH35" s="551"/>
      <c r="AI35" s="552"/>
      <c r="AJ35" s="553"/>
      <c r="AK35" s="14"/>
      <c r="AL35" s="14"/>
      <c r="AM35" s="19"/>
      <c r="AN35" s="19"/>
      <c r="AO35" s="14"/>
      <c r="AP35" s="14"/>
      <c r="AQ35" s="14"/>
      <c r="AR35" s="14"/>
      <c r="AS35" s="65"/>
      <c r="AT35" s="63"/>
      <c r="AU35" s="47"/>
      <c r="AV35" s="14"/>
      <c r="AW35" s="551"/>
      <c r="AX35" s="552"/>
      <c r="AY35" s="553"/>
      <c r="AZ35" s="14"/>
      <c r="BA35" s="14"/>
      <c r="BB35" s="19"/>
      <c r="BC35" s="19"/>
      <c r="BD35" s="14"/>
      <c r="BE35" s="14"/>
      <c r="BF35" s="14"/>
      <c r="BG35" s="14"/>
      <c r="BH35" s="65"/>
      <c r="BI35" s="63"/>
      <c r="BJ35" s="352"/>
      <c r="BK35" s="19"/>
      <c r="BL35" s="551"/>
      <c r="BM35" s="552"/>
      <c r="BN35" s="553"/>
      <c r="BO35" s="14"/>
      <c r="BP35" s="14"/>
      <c r="BQ35" s="19"/>
      <c r="BR35" s="19"/>
      <c r="BS35" s="14"/>
      <c r="BT35" s="14"/>
      <c r="BU35" s="14"/>
      <c r="BV35" s="14"/>
      <c r="BW35" s="65"/>
      <c r="BX35" s="63"/>
      <c r="BY35" s="352"/>
      <c r="BZ35" s="14"/>
      <c r="CA35" s="210"/>
      <c r="CB35" s="211"/>
      <c r="CC35" s="515"/>
      <c r="CD35" s="515"/>
      <c r="CE35" s="515"/>
      <c r="CF35" s="515"/>
      <c r="CG35" s="515"/>
      <c r="CH35" s="515"/>
      <c r="CI35" s="515"/>
      <c r="CJ35" s="515"/>
      <c r="CK35" s="515"/>
      <c r="CL35" s="515"/>
      <c r="CM35" s="515"/>
      <c r="CN35" s="515"/>
      <c r="CO35" s="515"/>
      <c r="CP35" s="14"/>
      <c r="CQ35" s="47"/>
      <c r="CR35" s="14"/>
      <c r="CS35" s="71"/>
      <c r="CT35" s="71"/>
      <c r="CU35" s="516"/>
      <c r="CV35" s="516"/>
      <c r="CW35" s="516"/>
      <c r="CX35" s="516"/>
      <c r="CY35" s="516"/>
      <c r="CZ35" s="516"/>
      <c r="DA35" s="516"/>
      <c r="DB35" s="516"/>
      <c r="DC35" s="516"/>
      <c r="DD35" s="516"/>
      <c r="DE35" s="516"/>
      <c r="DF35" s="516"/>
      <c r="DG35" s="516"/>
      <c r="DH35" s="14"/>
      <c r="DI35" s="47"/>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row>
    <row r="36" spans="1:142" ht="15" customHeight="1" x14ac:dyDescent="0.25">
      <c r="A36" s="14"/>
      <c r="B36" s="211"/>
      <c r="C36" s="265"/>
      <c r="D36" s="270"/>
      <c r="E36" s="270"/>
      <c r="F36" s="270"/>
      <c r="G36" s="14"/>
      <c r="H36" s="21"/>
      <c r="I36" s="21"/>
      <c r="J36" s="14"/>
      <c r="K36" s="14"/>
      <c r="L36" s="14"/>
      <c r="M36" s="14"/>
      <c r="N36" s="14"/>
      <c r="O36" s="14"/>
      <c r="P36" s="14"/>
      <c r="Q36" s="47"/>
      <c r="R36" s="19"/>
      <c r="S36" s="362" t="s">
        <v>763</v>
      </c>
      <c r="T36" s="354"/>
      <c r="U36" s="355"/>
      <c r="V36" s="14"/>
      <c r="W36" s="14"/>
      <c r="X36" s="19"/>
      <c r="Y36" s="19"/>
      <c r="Z36" s="14"/>
      <c r="AA36" s="14"/>
      <c r="AB36" s="14"/>
      <c r="AC36" s="14"/>
      <c r="AD36" s="65"/>
      <c r="AE36" s="63"/>
      <c r="AF36" s="47"/>
      <c r="AG36" s="19"/>
      <c r="AH36" s="362" t="s">
        <v>763</v>
      </c>
      <c r="AI36" s="354"/>
      <c r="AJ36" s="355"/>
      <c r="AK36" s="14"/>
      <c r="AL36" s="14"/>
      <c r="AM36" s="19"/>
      <c r="AN36" s="19"/>
      <c r="AO36" s="14"/>
      <c r="AP36" s="14"/>
      <c r="AQ36" s="14"/>
      <c r="AR36" s="14"/>
      <c r="AS36" s="65"/>
      <c r="AT36" s="63"/>
      <c r="AU36" s="47"/>
      <c r="AV36" s="14"/>
      <c r="AW36" s="362" t="s">
        <v>763</v>
      </c>
      <c r="AX36" s="354"/>
      <c r="AY36" s="355"/>
      <c r="AZ36" s="14"/>
      <c r="BA36" s="14"/>
      <c r="BB36" s="19"/>
      <c r="BC36" s="19"/>
      <c r="BD36" s="14"/>
      <c r="BE36" s="14"/>
      <c r="BF36" s="14"/>
      <c r="BG36" s="14"/>
      <c r="BH36" s="65"/>
      <c r="BI36" s="63"/>
      <c r="BJ36" s="352"/>
      <c r="BK36" s="19"/>
      <c r="BL36" s="362" t="s">
        <v>763</v>
      </c>
      <c r="BM36" s="354"/>
      <c r="BN36" s="355"/>
      <c r="BO36" s="14"/>
      <c r="BP36" s="14"/>
      <c r="BQ36" s="19"/>
      <c r="BR36" s="19"/>
      <c r="BS36" s="14"/>
      <c r="BT36" s="14"/>
      <c r="BU36" s="14"/>
      <c r="BV36" s="14"/>
      <c r="BW36" s="65"/>
      <c r="BX36" s="63"/>
      <c r="BY36" s="352"/>
      <c r="BZ36" s="14"/>
      <c r="CA36" s="210"/>
      <c r="CB36" s="211"/>
      <c r="CC36" s="515"/>
      <c r="CD36" s="515"/>
      <c r="CE36" s="515"/>
      <c r="CF36" s="515"/>
      <c r="CG36" s="515"/>
      <c r="CH36" s="515"/>
      <c r="CI36" s="515"/>
      <c r="CJ36" s="515"/>
      <c r="CK36" s="515"/>
      <c r="CL36" s="515"/>
      <c r="CM36" s="515"/>
      <c r="CN36" s="515"/>
      <c r="CO36" s="515"/>
      <c r="CP36" s="14"/>
      <c r="CQ36" s="47"/>
      <c r="CR36" s="14"/>
      <c r="CS36" s="71"/>
      <c r="CT36" s="71"/>
      <c r="CU36" s="516"/>
      <c r="CV36" s="516"/>
      <c r="CW36" s="516"/>
      <c r="CX36" s="516"/>
      <c r="CY36" s="516"/>
      <c r="CZ36" s="516"/>
      <c r="DA36" s="516"/>
      <c r="DB36" s="516"/>
      <c r="DC36" s="516"/>
      <c r="DD36" s="516"/>
      <c r="DE36" s="516"/>
      <c r="DF36" s="516"/>
      <c r="DG36" s="516"/>
      <c r="DH36" s="14"/>
      <c r="DI36" s="47"/>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row>
    <row r="37" spans="1:142" ht="15" customHeight="1" x14ac:dyDescent="0.25">
      <c r="A37" s="14"/>
      <c r="B37" s="211"/>
      <c r="C37" s="265"/>
      <c r="D37" s="270"/>
      <c r="E37" s="270"/>
      <c r="F37" s="270"/>
      <c r="G37" s="14"/>
      <c r="H37" s="21"/>
      <c r="I37" s="21"/>
      <c r="J37" s="14"/>
      <c r="K37" s="14"/>
      <c r="L37" s="14"/>
      <c r="M37" s="14"/>
      <c r="N37" s="14"/>
      <c r="O37" s="14"/>
      <c r="P37" s="14"/>
      <c r="Q37" s="367"/>
      <c r="R37" s="19"/>
      <c r="S37" s="42" t="s">
        <v>759</v>
      </c>
      <c r="T37" s="19"/>
      <c r="U37" s="318">
        <f>COUNTIF(U22:U27,"&lt;&gt;0")</f>
        <v>2</v>
      </c>
      <c r="V37" s="14"/>
      <c r="W37" s="14"/>
      <c r="X37" s="19"/>
      <c r="Y37" s="19"/>
      <c r="Z37" s="14"/>
      <c r="AA37" s="14"/>
      <c r="AB37" s="14"/>
      <c r="AC37" s="14"/>
      <c r="AD37" s="367"/>
      <c r="AE37" s="63"/>
      <c r="AF37" s="47"/>
      <c r="AG37" s="19"/>
      <c r="AH37" s="42" t="s">
        <v>759</v>
      </c>
      <c r="AI37" s="19"/>
      <c r="AJ37" s="318">
        <f>COUNTIF(AJ22:AJ27,"&lt;&gt;0")</f>
        <v>5</v>
      </c>
      <c r="AK37" s="14"/>
      <c r="AL37" s="14"/>
      <c r="AM37" s="19"/>
      <c r="AN37" s="19"/>
      <c r="AO37" s="14"/>
      <c r="AP37" s="14"/>
      <c r="AQ37" s="14"/>
      <c r="AR37" s="14"/>
      <c r="AS37" s="65"/>
      <c r="AT37" s="63"/>
      <c r="AU37" s="47"/>
      <c r="AV37" s="14"/>
      <c r="AW37" s="42" t="s">
        <v>759</v>
      </c>
      <c r="AX37" s="19"/>
      <c r="AY37" s="318">
        <f>COUNTIF(AY22:AY27,"&lt;&gt;0")</f>
        <v>5</v>
      </c>
      <c r="AZ37" s="14"/>
      <c r="BA37" s="14"/>
      <c r="BB37" s="19"/>
      <c r="BC37" s="19"/>
      <c r="BD37" s="14"/>
      <c r="BE37" s="14"/>
      <c r="BF37" s="14"/>
      <c r="BG37" s="14"/>
      <c r="BH37" s="65"/>
      <c r="BI37" s="63"/>
      <c r="BJ37" s="352"/>
      <c r="BK37" s="19"/>
      <c r="BL37" s="42" t="s">
        <v>759</v>
      </c>
      <c r="BM37" s="19"/>
      <c r="BN37" s="318">
        <f>COUNTIF(BN22:BN27,"&lt;&gt;0")</f>
        <v>5</v>
      </c>
      <c r="BO37" s="14"/>
      <c r="BP37" s="14"/>
      <c r="BQ37" s="19"/>
      <c r="BR37" s="19"/>
      <c r="BS37" s="14"/>
      <c r="BT37" s="14"/>
      <c r="BU37" s="14"/>
      <c r="BV37" s="14"/>
      <c r="BW37" s="65"/>
      <c r="BX37" s="63"/>
      <c r="BY37" s="352"/>
      <c r="BZ37" s="14"/>
      <c r="CA37" s="210"/>
      <c r="CB37" s="211"/>
      <c r="CC37" s="515"/>
      <c r="CD37" s="515"/>
      <c r="CE37" s="515"/>
      <c r="CF37" s="515"/>
      <c r="CG37" s="515"/>
      <c r="CH37" s="515"/>
      <c r="CI37" s="515"/>
      <c r="CJ37" s="515"/>
      <c r="CK37" s="515"/>
      <c r="CL37" s="515"/>
      <c r="CM37" s="515"/>
      <c r="CN37" s="515"/>
      <c r="CO37" s="515"/>
      <c r="CP37" s="14"/>
      <c r="CQ37" s="47"/>
      <c r="CR37" s="14"/>
      <c r="CS37" s="71"/>
      <c r="CT37" s="71"/>
      <c r="CU37" s="516"/>
      <c r="CV37" s="516"/>
      <c r="CW37" s="516"/>
      <c r="CX37" s="516"/>
      <c r="CY37" s="516"/>
      <c r="CZ37" s="516"/>
      <c r="DA37" s="516"/>
      <c r="DB37" s="516"/>
      <c r="DC37" s="516"/>
      <c r="DD37" s="516"/>
      <c r="DE37" s="516"/>
      <c r="DF37" s="516"/>
      <c r="DG37" s="516"/>
      <c r="DH37" s="14"/>
      <c r="DI37" s="47"/>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row>
    <row r="38" spans="1:142" ht="15" customHeight="1" x14ac:dyDescent="0.25">
      <c r="A38" s="14"/>
      <c r="B38" s="211"/>
      <c r="C38" s="265"/>
      <c r="D38" s="270"/>
      <c r="E38" s="270"/>
      <c r="F38" s="270"/>
      <c r="G38" s="14"/>
      <c r="H38" s="21"/>
      <c r="I38" s="21"/>
      <c r="J38" s="14"/>
      <c r="K38" s="14"/>
      <c r="L38" s="14"/>
      <c r="M38" s="14"/>
      <c r="N38" s="14"/>
      <c r="O38" s="14"/>
      <c r="P38" s="14"/>
      <c r="Q38" s="368"/>
      <c r="R38" s="19"/>
      <c r="S38" s="42" t="s">
        <v>760</v>
      </c>
      <c r="T38" s="19"/>
      <c r="U38" s="363">
        <f>(IFERROR(V22/U22/U37,0)+IFERROR(V23/U23/U37,0)+IFERROR(V24/U24/U37,0)+IFERROR(V25/U25/U37,0)+IFERROR(V26/U26/U37,0)+IFERROR(V27/U27/U37,0))</f>
        <v>0.375</v>
      </c>
      <c r="V38" s="14"/>
      <c r="W38" s="14"/>
      <c r="X38" s="19"/>
      <c r="Y38" s="19"/>
      <c r="Z38" s="14"/>
      <c r="AA38" s="14"/>
      <c r="AB38" s="14"/>
      <c r="AC38" s="14"/>
      <c r="AD38" s="368"/>
      <c r="AE38" s="63"/>
      <c r="AF38" s="47"/>
      <c r="AG38" s="19"/>
      <c r="AH38" s="42" t="s">
        <v>760</v>
      </c>
      <c r="AI38" s="19"/>
      <c r="AJ38" s="363">
        <f>(IFERROR(AK22/AJ22/AJ37,0)+IFERROR(AK23/AJ23/AJ37,0)+IFERROR(AK24/AJ24/AJ37,0)+IFERROR(AK25/AJ25/AJ37,0)+IFERROR(AK26/AJ26/AJ37,0)+IFERROR(AK27/AJ27/AJ37,0))</f>
        <v>0</v>
      </c>
      <c r="AK38" s="14"/>
      <c r="AL38" s="14"/>
      <c r="AM38" s="19"/>
      <c r="AN38" s="19"/>
      <c r="AO38" s="14"/>
      <c r="AP38" s="14"/>
      <c r="AQ38" s="14"/>
      <c r="AR38" s="14"/>
      <c r="AS38" s="65"/>
      <c r="AT38" s="63"/>
      <c r="AU38" s="47"/>
      <c r="AV38" s="14"/>
      <c r="AW38" s="42" t="s">
        <v>760</v>
      </c>
      <c r="AX38" s="19"/>
      <c r="AY38" s="363">
        <f>(IFERROR(AZ22/AY22/AY37,0)+IFERROR(AZ23/AY23/AY37,0)+IFERROR(AZ24/AY24/AY37,0)+IFERROR(AZ25/AY25/AY37,0)+IFERROR(AZ26/AY26/AY37,0)+IFERROR(AZ27/AY27/AY37,0))</f>
        <v>0</v>
      </c>
      <c r="AZ38" s="14"/>
      <c r="BA38" s="14"/>
      <c r="BB38" s="19"/>
      <c r="BC38" s="19"/>
      <c r="BD38" s="14"/>
      <c r="BE38" s="14"/>
      <c r="BF38" s="14"/>
      <c r="BG38" s="14"/>
      <c r="BH38" s="65"/>
      <c r="BI38" s="63"/>
      <c r="BJ38" s="352"/>
      <c r="BK38" s="19"/>
      <c r="BL38" s="42" t="s">
        <v>760</v>
      </c>
      <c r="BM38" s="19"/>
      <c r="BN38" s="363">
        <f>(IFERROR(BO22/BN22/BN37,0)+IFERROR(BO23/BN23/BN37,0)+IFERROR(BO24/BN24/BN37,0)+IFERROR(BO25/BN25/BN37,0)+IFERROR(BO26/BN26/BN37,0)+IFERROR(BO27/BN27/BN37,0))</f>
        <v>0</v>
      </c>
      <c r="BO38" s="14"/>
      <c r="BP38" s="14"/>
      <c r="BQ38" s="19"/>
      <c r="BR38" s="19"/>
      <c r="BS38" s="14"/>
      <c r="BT38" s="14"/>
      <c r="BU38" s="14"/>
      <c r="BV38" s="14"/>
      <c r="BW38" s="65"/>
      <c r="BX38" s="63"/>
      <c r="BY38" s="352"/>
      <c r="BZ38" s="14"/>
      <c r="CA38" s="210"/>
      <c r="CB38" s="211"/>
      <c r="CC38" s="515"/>
      <c r="CD38" s="515"/>
      <c r="CE38" s="515"/>
      <c r="CF38" s="515"/>
      <c r="CG38" s="515"/>
      <c r="CH38" s="515"/>
      <c r="CI38" s="515"/>
      <c r="CJ38" s="515"/>
      <c r="CK38" s="515"/>
      <c r="CL38" s="515"/>
      <c r="CM38" s="515"/>
      <c r="CN38" s="515"/>
      <c r="CO38" s="515"/>
      <c r="CP38" s="14"/>
      <c r="CQ38" s="47"/>
      <c r="CR38" s="14"/>
      <c r="CS38" s="71"/>
      <c r="CT38" s="71"/>
      <c r="CU38" s="516"/>
      <c r="CV38" s="516"/>
      <c r="CW38" s="516"/>
      <c r="CX38" s="516"/>
      <c r="CY38" s="516"/>
      <c r="CZ38" s="516"/>
      <c r="DA38" s="516"/>
      <c r="DB38" s="516"/>
      <c r="DC38" s="516"/>
      <c r="DD38" s="516"/>
      <c r="DE38" s="516"/>
      <c r="DF38" s="516"/>
      <c r="DG38" s="516"/>
      <c r="DH38" s="14"/>
      <c r="DI38" s="47"/>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row>
    <row r="39" spans="1:142" ht="15.75" customHeight="1" x14ac:dyDescent="0.25">
      <c r="A39" s="14"/>
      <c r="B39" s="211"/>
      <c r="C39" s="265"/>
      <c r="D39" s="270"/>
      <c r="E39" s="270"/>
      <c r="F39" s="270"/>
      <c r="G39" s="66"/>
      <c r="H39" s="76"/>
      <c r="I39" s="76"/>
      <c r="J39" s="14"/>
      <c r="K39" s="14"/>
      <c r="L39" s="14"/>
      <c r="M39" s="14"/>
      <c r="N39" s="14"/>
      <c r="O39" s="14"/>
      <c r="P39" s="14"/>
      <c r="Q39" s="368"/>
      <c r="R39" s="19"/>
      <c r="S39" s="42" t="s">
        <v>761</v>
      </c>
      <c r="T39" s="19"/>
      <c r="U39" s="364">
        <f>IFERROR(SUM(Y75:Y77)/U22/U37,0)+IFERROR(SUM(Y102:Y104)/U23/U37,0)+IFERROR(SUM(Y129:Y131)/U24/U37,0)+IFERROR(SUM(Y156:Y158)/U25/U37,0)+IFERROR(SUM(Y183:Y185)/U26/U37,0)+IFERROR(SUM(Y210:Y212)/U27/U37,0)</f>
        <v>0</v>
      </c>
      <c r="V39" s="14"/>
      <c r="W39" s="14"/>
      <c r="X39" s="19"/>
      <c r="Y39" s="19"/>
      <c r="Z39" s="14"/>
      <c r="AA39" s="14"/>
      <c r="AB39" s="14"/>
      <c r="AC39" s="14"/>
      <c r="AD39" s="368"/>
      <c r="AE39" s="63"/>
      <c r="AF39" s="47"/>
      <c r="AG39" s="19"/>
      <c r="AH39" s="42" t="s">
        <v>761</v>
      </c>
      <c r="AI39" s="19"/>
      <c r="AJ39" s="364">
        <f>IFERROR(SUM(AN75:AN77)/AJ22/AJ37,0)+IFERROR(SUM(AN102:AN104)/AJ23/AJ37,0)+IFERROR(SUM(AN129:AN131)/AJ24/AJ37,0)+IFERROR(SUM(AN156:AN158)/AJ25/AJ37,0)+IFERROR(SUM(AN183:AN185)/AJ26/AJ37,0)+IFERROR(SUM(AN210:AN212)/AJ27/AJ37,0)</f>
        <v>0</v>
      </c>
      <c r="AK39" s="14"/>
      <c r="AL39" s="14"/>
      <c r="AM39" s="19"/>
      <c r="AN39" s="19"/>
      <c r="AO39" s="14"/>
      <c r="AP39" s="14"/>
      <c r="AQ39" s="14"/>
      <c r="AR39" s="14"/>
      <c r="AS39" s="65"/>
      <c r="AT39" s="63"/>
      <c r="AU39" s="47"/>
      <c r="AV39" s="14"/>
      <c r="AW39" s="42" t="s">
        <v>761</v>
      </c>
      <c r="AX39" s="19"/>
      <c r="AY39" s="364">
        <f>IFERROR(SUM(BC75:BC77)/AY22/AY37,0)+IFERROR(SUM(BC102:BC104)/AY23/AY37,0)+IFERROR(SUM(BC129:BC131)/AY24/AY37,0)+IFERROR(SUM(BC156:BC158)/AY25/AY37,0)+IFERROR(SUM(BC183:BC185)/AY26/AY37,0)+IFERROR(SUM(BC210:BC212)/AY27/AY37,0)</f>
        <v>0</v>
      </c>
      <c r="AZ39" s="14"/>
      <c r="BA39" s="14"/>
      <c r="BB39" s="19"/>
      <c r="BC39" s="19"/>
      <c r="BD39" s="14"/>
      <c r="BE39" s="14"/>
      <c r="BF39" s="14"/>
      <c r="BG39" s="14"/>
      <c r="BH39" s="65"/>
      <c r="BI39" s="63"/>
      <c r="BJ39" s="352"/>
      <c r="BK39" s="19"/>
      <c r="BL39" s="42" t="s">
        <v>761</v>
      </c>
      <c r="BM39" s="19"/>
      <c r="BN39" s="364">
        <f>IFERROR(SUM(BR75:BR77)/BN22/BN37,0)+IFERROR(SUM(BR102:BR104)/BN23/BN37,0)+IFERROR(SUM(BR129:BR131)/BN24/BN37,0)+IFERROR(SUM(BR156:BR158)/BN25/BN37,0)+IFERROR(SUM(BR183:BR185)/BN26/BN37,0)+IFERROR(SUM(BR210:BR212)/BN27/BN37,0)</f>
        <v>0</v>
      </c>
      <c r="BO39" s="14"/>
      <c r="BP39" s="14"/>
      <c r="BQ39" s="19"/>
      <c r="BR39" s="19"/>
      <c r="BS39" s="14"/>
      <c r="BT39" s="14"/>
      <c r="BU39" s="14"/>
      <c r="BV39" s="14"/>
      <c r="BW39" s="65"/>
      <c r="BX39" s="63"/>
      <c r="BY39" s="352"/>
      <c r="BZ39" s="14"/>
      <c r="CA39" s="210"/>
      <c r="CB39" s="211"/>
      <c r="CC39" s="515"/>
      <c r="CD39" s="515"/>
      <c r="CE39" s="515"/>
      <c r="CF39" s="515"/>
      <c r="CG39" s="515"/>
      <c r="CH39" s="515"/>
      <c r="CI39" s="515"/>
      <c r="CJ39" s="515"/>
      <c r="CK39" s="515"/>
      <c r="CL39" s="515"/>
      <c r="CM39" s="515"/>
      <c r="CN39" s="515"/>
      <c r="CO39" s="515"/>
      <c r="CP39" s="14"/>
      <c r="CQ39" s="47"/>
      <c r="CR39" s="14"/>
      <c r="CS39" s="71"/>
      <c r="CT39" s="71"/>
      <c r="CU39" s="516"/>
      <c r="CV39" s="516"/>
      <c r="CW39" s="516"/>
      <c r="CX39" s="516"/>
      <c r="CY39" s="516"/>
      <c r="CZ39" s="516"/>
      <c r="DA39" s="516"/>
      <c r="DB39" s="516"/>
      <c r="DC39" s="516"/>
      <c r="DD39" s="516"/>
      <c r="DE39" s="516"/>
      <c r="DF39" s="516"/>
      <c r="DG39" s="516"/>
      <c r="DH39" s="14"/>
      <c r="DI39" s="47"/>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row>
    <row r="40" spans="1:142" s="134" customFormat="1" ht="29.25" customHeight="1" x14ac:dyDescent="0.25">
      <c r="A40" s="8"/>
      <c r="B40" s="211"/>
      <c r="C40" s="265"/>
      <c r="D40" s="270"/>
      <c r="E40" s="270"/>
      <c r="F40" s="270"/>
      <c r="G40" s="8"/>
      <c r="H40" s="77"/>
      <c r="I40" s="77"/>
      <c r="J40" s="8"/>
      <c r="K40" s="8"/>
      <c r="L40" s="14"/>
      <c r="M40" s="14"/>
      <c r="N40" s="14"/>
      <c r="O40" s="14"/>
      <c r="P40" s="14"/>
      <c r="Q40" s="369"/>
      <c r="R40" s="44"/>
      <c r="S40" s="359" t="s">
        <v>762</v>
      </c>
      <c r="T40" s="360"/>
      <c r="U40" s="365">
        <f>IFERROR(SUM(Y72:Y74)/U22/U37,0)+IFERROR(SUM(Y99:Y101)/U23/U37,0)+IFERROR(SUM(Y126:Y128)/U24/U37,0)+IFERROR(SUM(Y153:Y155)/U25/U37,0)+IFERROR(SUM(Y180:Y182)/U26/U37,0)+IFERROR(SUM(Y207:Y209)/U27/U37,0)</f>
        <v>0.625</v>
      </c>
      <c r="V40" s="58"/>
      <c r="W40" s="58"/>
      <c r="X40" s="8"/>
      <c r="Y40" s="8"/>
      <c r="Z40" s="8"/>
      <c r="AA40" s="8"/>
      <c r="AB40" s="8"/>
      <c r="AC40" s="8"/>
      <c r="AD40" s="369"/>
      <c r="AE40" s="101"/>
      <c r="AF40" s="48"/>
      <c r="AG40" s="44"/>
      <c r="AH40" s="359" t="s">
        <v>762</v>
      </c>
      <c r="AI40" s="360"/>
      <c r="AJ40" s="365">
        <f>IFERROR(SUM(AN72:AN74)/AJ22/AJ37,0)+IFERROR(SUM(AN99:AN101)/AJ23/AJ37,0)+IFERROR(SUM(AN126:AN128)/AJ24/AJ37,0)+IFERROR(SUM(AN153:AN155)/AJ25/AJ37,0)+IFERROR(SUM(AN180:AN182)/AJ26/AJ37,0)+IFERROR(SUM(AN207:AN209)/AJ27/AJ37,0)</f>
        <v>1</v>
      </c>
      <c r="AK40" s="58"/>
      <c r="AL40" s="58"/>
      <c r="AM40" s="8"/>
      <c r="AN40" s="8"/>
      <c r="AO40" s="8"/>
      <c r="AP40" s="8"/>
      <c r="AQ40" s="8"/>
      <c r="AR40" s="8"/>
      <c r="AS40" s="102"/>
      <c r="AT40" s="101"/>
      <c r="AU40" s="48"/>
      <c r="AV40" s="8"/>
      <c r="AW40" s="359" t="s">
        <v>762</v>
      </c>
      <c r="AX40" s="360"/>
      <c r="AY40" s="365">
        <f>IFERROR(SUM(BC72:BC74)/AY22/AY37,0)+IFERROR(SUM(BC99:BC101)/AY23/AY37,0)+IFERROR(SUM(BC126:BC128)/AY24/AY37,0)+IFERROR(SUM(BC153:BC155)/AY25/AY37,0)+IFERROR(SUM(BC180:BC182)/AY26/AY37,0)+IFERROR(SUM(BC207:BC209)/AY27/AY37,0)</f>
        <v>1</v>
      </c>
      <c r="AZ40" s="58"/>
      <c r="BA40" s="58"/>
      <c r="BB40" s="8"/>
      <c r="BC40" s="8"/>
      <c r="BD40" s="8"/>
      <c r="BE40" s="8"/>
      <c r="BF40" s="8"/>
      <c r="BG40" s="8"/>
      <c r="BH40" s="102"/>
      <c r="BI40" s="101"/>
      <c r="BJ40" s="371"/>
      <c r="BK40" s="44"/>
      <c r="BL40" s="359" t="s">
        <v>762</v>
      </c>
      <c r="BM40" s="360"/>
      <c r="BN40" s="365">
        <f>IFERROR(SUM(BR72:BR74)/BN22/BN37,0)+IFERROR(SUM(BR99:BR101)/BN23/BN37,0)+IFERROR(SUM(BR126:BR128)/BN24/BN37,0)+IFERROR(SUM(BR153:BR155)/BN25/BN37,0)+IFERROR(SUM(BR180:BR182)/BN26/BN37,0)+IFERROR(SUM(BR207:BR209)/BN27/BN37,0)</f>
        <v>1</v>
      </c>
      <c r="BO40" s="58"/>
      <c r="BP40" s="58"/>
      <c r="BQ40" s="8"/>
      <c r="BR40" s="8"/>
      <c r="BS40" s="8"/>
      <c r="BT40" s="8"/>
      <c r="BU40" s="8"/>
      <c r="BV40" s="8"/>
      <c r="BW40" s="102"/>
      <c r="BX40" s="101"/>
      <c r="BY40" s="371"/>
      <c r="BZ40" s="8"/>
      <c r="CA40" s="210"/>
      <c r="CB40" s="211"/>
      <c r="CC40" s="515"/>
      <c r="CD40" s="515"/>
      <c r="CE40" s="515"/>
      <c r="CF40" s="515"/>
      <c r="CG40" s="515"/>
      <c r="CH40" s="515"/>
      <c r="CI40" s="515"/>
      <c r="CJ40" s="515"/>
      <c r="CK40" s="515"/>
      <c r="CL40" s="515"/>
      <c r="CM40" s="515"/>
      <c r="CN40" s="515"/>
      <c r="CO40" s="515"/>
      <c r="CP40" s="8"/>
      <c r="CQ40" s="48"/>
      <c r="CR40" s="8"/>
      <c r="CS40" s="71"/>
      <c r="CT40" s="71"/>
      <c r="CU40" s="516"/>
      <c r="CV40" s="516"/>
      <c r="CW40" s="516"/>
      <c r="CX40" s="516"/>
      <c r="CY40" s="516"/>
      <c r="CZ40" s="516"/>
      <c r="DA40" s="516"/>
      <c r="DB40" s="516"/>
      <c r="DC40" s="516"/>
      <c r="DD40" s="516"/>
      <c r="DE40" s="516"/>
      <c r="DF40" s="516"/>
      <c r="DG40" s="516"/>
      <c r="DH40" s="8"/>
      <c r="DI40" s="48"/>
      <c r="DJ40" s="8"/>
      <c r="DK40" s="8"/>
      <c r="DL40" s="8"/>
      <c r="DM40" s="8"/>
      <c r="DN40" s="8"/>
      <c r="DO40" s="8"/>
      <c r="DP40" s="8"/>
      <c r="DQ40" s="8"/>
      <c r="DR40" s="2"/>
      <c r="DS40" s="2"/>
      <c r="DT40" s="2"/>
      <c r="DU40" s="2"/>
      <c r="DV40" s="2"/>
      <c r="DW40" s="2"/>
      <c r="DX40" s="2"/>
      <c r="DY40" s="2"/>
      <c r="DZ40" s="8"/>
      <c r="EA40" s="8"/>
      <c r="EB40" s="8"/>
      <c r="EC40" s="8"/>
      <c r="ED40" s="8"/>
      <c r="EE40" s="8"/>
      <c r="EF40" s="8"/>
      <c r="EG40" s="8"/>
      <c r="EH40" s="8"/>
      <c r="EI40" s="8"/>
      <c r="EJ40" s="8"/>
      <c r="EK40" s="8"/>
      <c r="EL40" s="8"/>
    </row>
    <row r="41" spans="1:142" ht="28.5" customHeight="1" x14ac:dyDescent="0.25">
      <c r="A41" s="14"/>
      <c r="B41" s="211"/>
      <c r="C41" s="265"/>
      <c r="D41" s="270"/>
      <c r="E41" s="270"/>
      <c r="F41" s="270"/>
      <c r="G41" s="14"/>
      <c r="H41" s="21"/>
      <c r="I41" s="21"/>
      <c r="J41" s="14"/>
      <c r="K41" s="14"/>
      <c r="L41" s="8"/>
      <c r="M41" s="8"/>
      <c r="N41" s="8"/>
      <c r="O41" s="8"/>
      <c r="P41" s="8"/>
      <c r="Q41" s="48"/>
      <c r="R41" s="44"/>
      <c r="S41" s="19"/>
      <c r="T41" s="19"/>
      <c r="U41" s="50"/>
      <c r="V41" s="19"/>
      <c r="W41" s="50"/>
      <c r="X41" s="14"/>
      <c r="Y41" s="14"/>
      <c r="Z41" s="8"/>
      <c r="AA41" s="8"/>
      <c r="AB41" s="8"/>
      <c r="AC41" s="8"/>
      <c r="AD41" s="102"/>
      <c r="AE41" s="101"/>
      <c r="AF41" s="48"/>
      <c r="AG41" s="44"/>
      <c r="AH41" s="19"/>
      <c r="AI41" s="19"/>
      <c r="AJ41" s="50"/>
      <c r="AK41" s="19"/>
      <c r="AL41" s="50"/>
      <c r="AM41" s="14"/>
      <c r="AN41" s="14"/>
      <c r="AO41" s="8"/>
      <c r="AP41" s="8"/>
      <c r="AQ41" s="8"/>
      <c r="AR41" s="8"/>
      <c r="AS41" s="102"/>
      <c r="AT41" s="101"/>
      <c r="AU41" s="48"/>
      <c r="AV41" s="8"/>
      <c r="AW41" s="19"/>
      <c r="AX41" s="19"/>
      <c r="AY41" s="50"/>
      <c r="AZ41" s="19"/>
      <c r="BA41" s="50"/>
      <c r="BB41" s="14"/>
      <c r="BC41" s="14"/>
      <c r="BD41" s="8"/>
      <c r="BE41" s="8"/>
      <c r="BF41" s="8"/>
      <c r="BG41" s="8"/>
      <c r="BH41" s="102"/>
      <c r="BI41" s="101"/>
      <c r="BJ41" s="371"/>
      <c r="BK41" s="44"/>
      <c r="BL41" s="19"/>
      <c r="BM41" s="19"/>
      <c r="BN41" s="50"/>
      <c r="BO41" s="19"/>
      <c r="BP41" s="50"/>
      <c r="BQ41" s="14"/>
      <c r="BR41" s="14"/>
      <c r="BS41" s="8"/>
      <c r="BT41" s="8"/>
      <c r="BU41" s="8"/>
      <c r="BV41" s="8"/>
      <c r="BW41" s="102"/>
      <c r="BX41" s="101"/>
      <c r="BY41" s="371"/>
      <c r="BZ41" s="8"/>
      <c r="CA41" s="210"/>
      <c r="CB41" s="211"/>
      <c r="CC41" s="515"/>
      <c r="CD41" s="515"/>
      <c r="CE41" s="515"/>
      <c r="CF41" s="515"/>
      <c r="CG41" s="515"/>
      <c r="CH41" s="515"/>
      <c r="CI41" s="515"/>
      <c r="CJ41" s="515"/>
      <c r="CK41" s="515"/>
      <c r="CL41" s="515"/>
      <c r="CM41" s="515"/>
      <c r="CN41" s="515"/>
      <c r="CO41" s="515"/>
      <c r="CP41" s="14"/>
      <c r="CQ41" s="48"/>
      <c r="CR41" s="14"/>
      <c r="CS41" s="71"/>
      <c r="CT41" s="71"/>
      <c r="CU41" s="516"/>
      <c r="CV41" s="516"/>
      <c r="CW41" s="516"/>
      <c r="CX41" s="516"/>
      <c r="CY41" s="516"/>
      <c r="CZ41" s="516"/>
      <c r="DA41" s="516"/>
      <c r="DB41" s="516"/>
      <c r="DC41" s="516"/>
      <c r="DD41" s="516"/>
      <c r="DE41" s="516"/>
      <c r="DF41" s="516"/>
      <c r="DG41" s="516"/>
      <c r="DH41" s="14"/>
      <c r="DI41" s="48"/>
      <c r="DJ41" s="14"/>
      <c r="DK41" s="14"/>
      <c r="DL41" s="14"/>
      <c r="DM41" s="14"/>
      <c r="DN41" s="14"/>
      <c r="DO41" s="14"/>
      <c r="DP41" s="14"/>
      <c r="DQ41" s="14"/>
      <c r="DR41" s="2"/>
      <c r="DS41" s="2"/>
      <c r="DT41" s="2"/>
      <c r="DU41" s="2"/>
      <c r="DV41" s="2"/>
      <c r="DW41" s="2"/>
      <c r="DX41" s="2"/>
      <c r="DY41" s="2"/>
      <c r="DZ41" s="14"/>
      <c r="EA41" s="14"/>
      <c r="EB41" s="14"/>
      <c r="EC41" s="14"/>
      <c r="ED41" s="14"/>
      <c r="EE41" s="14"/>
      <c r="EF41" s="14"/>
      <c r="EG41" s="14"/>
      <c r="EH41" s="14"/>
      <c r="EI41" s="14"/>
      <c r="EJ41" s="14"/>
      <c r="EK41" s="14"/>
      <c r="EL41" s="14"/>
    </row>
    <row r="42" spans="1:142" ht="28.5" customHeight="1" x14ac:dyDescent="0.25">
      <c r="A42" s="14"/>
      <c r="B42" s="211"/>
      <c r="C42" s="265"/>
      <c r="D42" s="270"/>
      <c r="E42" s="270"/>
      <c r="F42" s="270"/>
      <c r="G42" s="14"/>
      <c r="H42" s="21"/>
      <c r="I42" s="21"/>
      <c r="J42" s="14"/>
      <c r="K42" s="14"/>
      <c r="L42" s="14"/>
      <c r="M42" s="14"/>
      <c r="N42" s="14"/>
      <c r="O42" s="14"/>
      <c r="P42" s="14"/>
      <c r="Q42" s="47"/>
      <c r="R42" s="19"/>
      <c r="S42" s="19"/>
      <c r="T42" s="19"/>
      <c r="U42" s="50"/>
      <c r="V42" s="19"/>
      <c r="W42" s="50"/>
      <c r="X42" s="14"/>
      <c r="Y42" s="14"/>
      <c r="Z42" s="14"/>
      <c r="AA42" s="14"/>
      <c r="AB42" s="14"/>
      <c r="AC42" s="14"/>
      <c r="AD42" s="65"/>
      <c r="AE42" s="63"/>
      <c r="AF42" s="47"/>
      <c r="AG42" s="19"/>
      <c r="AH42" s="19"/>
      <c r="AI42" s="19"/>
      <c r="AJ42" s="50"/>
      <c r="AK42" s="19"/>
      <c r="AL42" s="50"/>
      <c r="AM42" s="14"/>
      <c r="AN42" s="14"/>
      <c r="AO42" s="14"/>
      <c r="AP42" s="14"/>
      <c r="AQ42" s="14"/>
      <c r="AR42" s="14"/>
      <c r="AS42" s="65"/>
      <c r="AT42" s="63"/>
      <c r="AU42" s="47"/>
      <c r="AV42" s="14"/>
      <c r="AW42" s="19"/>
      <c r="AX42" s="19"/>
      <c r="AY42" s="50"/>
      <c r="AZ42" s="19"/>
      <c r="BA42" s="50"/>
      <c r="BB42" s="14"/>
      <c r="BC42" s="14"/>
      <c r="BD42" s="14"/>
      <c r="BE42" s="14"/>
      <c r="BF42" s="14"/>
      <c r="BG42" s="14"/>
      <c r="BH42" s="65"/>
      <c r="BI42" s="63"/>
      <c r="BJ42" s="352"/>
      <c r="BK42" s="19"/>
      <c r="BL42" s="19"/>
      <c r="BM42" s="19"/>
      <c r="BN42" s="50"/>
      <c r="BO42" s="19"/>
      <c r="BP42" s="50"/>
      <c r="BQ42" s="14"/>
      <c r="BR42" s="14"/>
      <c r="BS42" s="14"/>
      <c r="BT42" s="14"/>
      <c r="BU42" s="14"/>
      <c r="BV42" s="14"/>
      <c r="BW42" s="65"/>
      <c r="BX42" s="63"/>
      <c r="BY42" s="352"/>
      <c r="BZ42" s="14"/>
      <c r="CA42" s="210"/>
      <c r="CB42" s="211"/>
      <c r="CC42" s="515"/>
      <c r="CD42" s="515"/>
      <c r="CE42" s="515"/>
      <c r="CF42" s="515"/>
      <c r="CG42" s="515"/>
      <c r="CH42" s="515"/>
      <c r="CI42" s="515"/>
      <c r="CJ42" s="515"/>
      <c r="CK42" s="515"/>
      <c r="CL42" s="515"/>
      <c r="CM42" s="515"/>
      <c r="CN42" s="515"/>
      <c r="CO42" s="515"/>
      <c r="CP42" s="14"/>
      <c r="CQ42" s="47"/>
      <c r="CR42" s="14"/>
      <c r="CS42" s="71"/>
      <c r="CT42" s="71"/>
      <c r="CU42" s="516"/>
      <c r="CV42" s="516"/>
      <c r="CW42" s="516"/>
      <c r="CX42" s="516"/>
      <c r="CY42" s="516"/>
      <c r="CZ42" s="516"/>
      <c r="DA42" s="516"/>
      <c r="DB42" s="516"/>
      <c r="DC42" s="516"/>
      <c r="DD42" s="516"/>
      <c r="DE42" s="516"/>
      <c r="DF42" s="516"/>
      <c r="DG42" s="516"/>
      <c r="DH42" s="14"/>
      <c r="DI42" s="47"/>
      <c r="DJ42" s="14"/>
      <c r="DK42" s="14"/>
      <c r="DL42" s="14"/>
      <c r="DM42" s="14"/>
      <c r="DN42" s="14"/>
      <c r="DO42" s="14"/>
      <c r="DP42" s="14"/>
      <c r="DQ42" s="14"/>
      <c r="DR42" s="127"/>
      <c r="DS42" s="128"/>
      <c r="DT42" s="128"/>
      <c r="DU42" s="128"/>
      <c r="DV42" s="128"/>
      <c r="DW42" s="128"/>
      <c r="DX42" s="128"/>
      <c r="DY42" s="128"/>
      <c r="DZ42" s="14"/>
      <c r="EA42" s="14"/>
      <c r="EB42" s="14"/>
      <c r="EC42" s="14"/>
      <c r="ED42" s="14"/>
      <c r="EE42" s="14"/>
      <c r="EF42" s="14"/>
      <c r="EG42" s="14"/>
      <c r="EH42" s="14"/>
      <c r="EI42" s="14"/>
      <c r="EJ42" s="14"/>
      <c r="EK42" s="14"/>
      <c r="EL42" s="14"/>
    </row>
    <row r="43" spans="1:142" ht="28.5" customHeight="1" x14ac:dyDescent="0.25">
      <c r="A43" s="14"/>
      <c r="B43" s="211"/>
      <c r="C43" s="265"/>
      <c r="D43" s="270"/>
      <c r="E43" s="270"/>
      <c r="F43" s="270"/>
      <c r="G43" s="14"/>
      <c r="H43" s="21"/>
      <c r="I43" s="21"/>
      <c r="J43" s="14"/>
      <c r="K43" s="14"/>
      <c r="L43" s="14"/>
      <c r="M43" s="14"/>
      <c r="N43" s="14"/>
      <c r="O43" s="14"/>
      <c r="P43" s="14"/>
      <c r="Q43" s="47"/>
      <c r="R43" s="19"/>
      <c r="S43" s="19"/>
      <c r="T43" s="19"/>
      <c r="U43" s="50"/>
      <c r="V43" s="19"/>
      <c r="W43" s="50"/>
      <c r="X43" s="14"/>
      <c r="Y43" s="14"/>
      <c r="Z43" s="14"/>
      <c r="AA43" s="14"/>
      <c r="AB43" s="14"/>
      <c r="AC43" s="14"/>
      <c r="AD43" s="65"/>
      <c r="AE43" s="63"/>
      <c r="AF43" s="47"/>
      <c r="AG43" s="19"/>
      <c r="AH43" s="19"/>
      <c r="AI43" s="19"/>
      <c r="AJ43" s="50"/>
      <c r="AK43" s="19"/>
      <c r="AL43" s="50"/>
      <c r="AM43" s="14"/>
      <c r="AN43" s="14"/>
      <c r="AO43" s="14"/>
      <c r="AP43" s="14"/>
      <c r="AQ43" s="14"/>
      <c r="AR43" s="14"/>
      <c r="AS43" s="65"/>
      <c r="AT43" s="63"/>
      <c r="AU43" s="47"/>
      <c r="AV43" s="14"/>
      <c r="AW43" s="19"/>
      <c r="AX43" s="19"/>
      <c r="AY43" s="50"/>
      <c r="AZ43" s="19"/>
      <c r="BA43" s="50"/>
      <c r="BB43" s="14"/>
      <c r="BC43" s="14"/>
      <c r="BD43" s="14"/>
      <c r="BE43" s="14"/>
      <c r="BF43" s="14"/>
      <c r="BG43" s="14"/>
      <c r="BH43" s="65"/>
      <c r="BI43" s="63"/>
      <c r="BJ43" s="352"/>
      <c r="BK43" s="19"/>
      <c r="BL43" s="19"/>
      <c r="BM43" s="19"/>
      <c r="BN43" s="50"/>
      <c r="BO43" s="19"/>
      <c r="BP43" s="50"/>
      <c r="BQ43" s="14"/>
      <c r="BR43" s="14"/>
      <c r="BS43" s="14"/>
      <c r="BT43" s="14"/>
      <c r="BU43" s="14"/>
      <c r="BV43" s="14"/>
      <c r="BW43" s="65"/>
      <c r="BX43" s="63"/>
      <c r="BY43" s="352"/>
      <c r="BZ43" s="14"/>
      <c r="CA43" s="210"/>
      <c r="CB43" s="211"/>
      <c r="CC43" s="515"/>
      <c r="CD43" s="515"/>
      <c r="CE43" s="515"/>
      <c r="CF43" s="515"/>
      <c r="CG43" s="515"/>
      <c r="CH43" s="515"/>
      <c r="CI43" s="515"/>
      <c r="CJ43" s="515"/>
      <c r="CK43" s="515"/>
      <c r="CL43" s="515"/>
      <c r="CM43" s="515"/>
      <c r="CN43" s="515"/>
      <c r="CO43" s="515"/>
      <c r="CP43" s="14"/>
      <c r="CQ43" s="47"/>
      <c r="CR43" s="14"/>
      <c r="CS43" s="71"/>
      <c r="CT43" s="71"/>
      <c r="CU43" s="516"/>
      <c r="CV43" s="516"/>
      <c r="CW43" s="516"/>
      <c r="CX43" s="516"/>
      <c r="CY43" s="516"/>
      <c r="CZ43" s="516"/>
      <c r="DA43" s="516"/>
      <c r="DB43" s="516"/>
      <c r="DC43" s="516"/>
      <c r="DD43" s="516"/>
      <c r="DE43" s="516"/>
      <c r="DF43" s="516"/>
      <c r="DG43" s="516"/>
      <c r="DH43" s="14"/>
      <c r="DI43" s="47"/>
      <c r="DJ43" s="14"/>
      <c r="DK43" s="14"/>
      <c r="DL43" s="14"/>
      <c r="DM43" s="14"/>
      <c r="DN43" s="14"/>
      <c r="DO43" s="14"/>
      <c r="DP43" s="14"/>
      <c r="DQ43" s="14"/>
      <c r="DR43" s="127"/>
      <c r="DS43" s="128"/>
      <c r="DT43" s="128"/>
      <c r="DU43" s="128"/>
      <c r="DV43" s="128"/>
      <c r="DW43" s="128"/>
      <c r="DX43" s="128"/>
      <c r="DY43" s="128"/>
      <c r="DZ43" s="14"/>
      <c r="EA43" s="14"/>
      <c r="EB43" s="14"/>
      <c r="EC43" s="14"/>
      <c r="ED43" s="14"/>
      <c r="EE43" s="14"/>
      <c r="EF43" s="14"/>
      <c r="EG43" s="14"/>
      <c r="EH43" s="14"/>
      <c r="EI43" s="14"/>
      <c r="EJ43" s="14"/>
      <c r="EK43" s="14"/>
      <c r="EL43" s="14"/>
    </row>
    <row r="44" spans="1:142" ht="42.75" customHeight="1" x14ac:dyDescent="0.25">
      <c r="A44" s="14"/>
      <c r="B44" s="211"/>
      <c r="C44" s="265"/>
      <c r="D44" s="265"/>
      <c r="E44" s="265"/>
      <c r="F44" s="265"/>
      <c r="G44" s="524" t="s">
        <v>755</v>
      </c>
      <c r="H44" s="542"/>
      <c r="I44" s="542"/>
      <c r="J44" s="525"/>
      <c r="K44" s="14"/>
      <c r="L44" s="14"/>
      <c r="M44" s="14"/>
      <c r="N44" s="14"/>
      <c r="O44" s="14"/>
      <c r="P44" s="14"/>
      <c r="Q44" s="47"/>
      <c r="R44" s="19"/>
      <c r="S44" s="19"/>
      <c r="T44" s="19"/>
      <c r="U44" s="50"/>
      <c r="V44" s="19"/>
      <c r="W44" s="50"/>
      <c r="X44" s="524" t="s">
        <v>755</v>
      </c>
      <c r="Y44" s="542"/>
      <c r="Z44" s="542"/>
      <c r="AA44" s="525"/>
      <c r="AB44" s="14"/>
      <c r="AC44" s="14"/>
      <c r="AD44" s="65"/>
      <c r="AE44" s="63"/>
      <c r="AF44" s="47"/>
      <c r="AG44" s="19"/>
      <c r="AH44" s="19"/>
      <c r="AI44" s="19"/>
      <c r="AJ44" s="50"/>
      <c r="AK44" s="19"/>
      <c r="AL44" s="50"/>
      <c r="AM44" s="524" t="s">
        <v>755</v>
      </c>
      <c r="AN44" s="542"/>
      <c r="AO44" s="542"/>
      <c r="AP44" s="525"/>
      <c r="AQ44" s="14"/>
      <c r="AR44" s="14"/>
      <c r="AS44" s="65"/>
      <c r="AT44" s="63"/>
      <c r="AU44" s="47"/>
      <c r="AV44" s="14"/>
      <c r="AW44" s="19"/>
      <c r="AX44" s="19"/>
      <c r="AY44" s="50"/>
      <c r="AZ44" s="19"/>
      <c r="BA44" s="524" t="s">
        <v>755</v>
      </c>
      <c r="BB44" s="542"/>
      <c r="BC44" s="542"/>
      <c r="BD44" s="525"/>
      <c r="BE44" s="14"/>
      <c r="BF44" s="14"/>
      <c r="BG44" s="14"/>
      <c r="BH44" s="65"/>
      <c r="BI44" s="63"/>
      <c r="BJ44" s="352"/>
      <c r="BK44" s="19"/>
      <c r="BL44" s="19"/>
      <c r="BM44" s="19"/>
      <c r="BN44" s="50"/>
      <c r="BO44" s="19"/>
      <c r="BP44" s="50"/>
      <c r="BQ44" s="524" t="s">
        <v>755</v>
      </c>
      <c r="BR44" s="542"/>
      <c r="BS44" s="542"/>
      <c r="BT44" s="525"/>
      <c r="BU44" s="14"/>
      <c r="BV44" s="14"/>
      <c r="BW44" s="65"/>
      <c r="BX44" s="63"/>
      <c r="BY44" s="352"/>
      <c r="BZ44" s="14"/>
      <c r="CA44" s="210"/>
      <c r="CB44" s="211"/>
      <c r="CC44" s="515"/>
      <c r="CD44" s="515"/>
      <c r="CE44" s="515"/>
      <c r="CF44" s="515"/>
      <c r="CG44" s="515"/>
      <c r="CH44" s="515"/>
      <c r="CI44" s="515"/>
      <c r="CJ44" s="515"/>
      <c r="CK44" s="515"/>
      <c r="CL44" s="515"/>
      <c r="CM44" s="515"/>
      <c r="CN44" s="515"/>
      <c r="CO44" s="515"/>
      <c r="CP44" s="14"/>
      <c r="CQ44" s="47"/>
      <c r="CR44" s="14"/>
      <c r="CS44" s="71"/>
      <c r="CT44" s="71"/>
      <c r="CU44" s="516"/>
      <c r="CV44" s="516"/>
      <c r="CW44" s="516"/>
      <c r="CX44" s="516"/>
      <c r="CY44" s="516"/>
      <c r="CZ44" s="516"/>
      <c r="DA44" s="516"/>
      <c r="DB44" s="516"/>
      <c r="DC44" s="516"/>
      <c r="DD44" s="516"/>
      <c r="DE44" s="516"/>
      <c r="DF44" s="516"/>
      <c r="DG44" s="516"/>
      <c r="DH44" s="14"/>
      <c r="DI44" s="47"/>
      <c r="DJ44" s="14"/>
      <c r="DK44" s="14"/>
      <c r="DL44" s="14"/>
      <c r="DM44" s="14"/>
      <c r="DN44" s="14"/>
      <c r="DO44" s="14"/>
      <c r="DP44" s="524" t="s">
        <v>755</v>
      </c>
      <c r="DQ44" s="542"/>
      <c r="DR44" s="542"/>
      <c r="DS44" s="525"/>
      <c r="DT44" s="128"/>
      <c r="DU44" s="128"/>
      <c r="DV44" s="128"/>
      <c r="DW44" s="128"/>
      <c r="DX44" s="128"/>
      <c r="DY44" s="128"/>
      <c r="DZ44" s="14"/>
      <c r="EA44" s="14"/>
      <c r="EB44" s="14"/>
      <c r="EC44" s="14"/>
      <c r="ED44" s="14"/>
      <c r="EE44" s="14"/>
      <c r="EF44" s="14"/>
      <c r="EG44" s="14"/>
      <c r="EH44" s="14"/>
      <c r="EI44" s="14"/>
      <c r="EJ44" s="14"/>
      <c r="EK44" s="14"/>
      <c r="EL44" s="14"/>
    </row>
    <row r="45" spans="1:142" ht="28.5" customHeight="1" x14ac:dyDescent="0.25">
      <c r="A45" s="14"/>
      <c r="B45" s="211"/>
      <c r="C45" s="265"/>
      <c r="D45" s="265"/>
      <c r="E45" s="265"/>
      <c r="F45" s="265"/>
      <c r="G45" s="526"/>
      <c r="H45" s="543"/>
      <c r="I45" s="543"/>
      <c r="J45" s="527"/>
      <c r="K45" s="14"/>
      <c r="L45" s="14"/>
      <c r="M45" s="14"/>
      <c r="N45" s="14"/>
      <c r="O45" s="14"/>
      <c r="P45" s="14"/>
      <c r="Q45" s="47"/>
      <c r="R45" s="19"/>
      <c r="S45" s="19"/>
      <c r="T45" s="19"/>
      <c r="U45" s="50"/>
      <c r="V45" s="19"/>
      <c r="W45" s="50"/>
      <c r="X45" s="526"/>
      <c r="Y45" s="543"/>
      <c r="Z45" s="543"/>
      <c r="AA45" s="527"/>
      <c r="AB45" s="14"/>
      <c r="AC45" s="14"/>
      <c r="AD45" s="65"/>
      <c r="AE45" s="63"/>
      <c r="AF45" s="47"/>
      <c r="AG45" s="19"/>
      <c r="AH45" s="19"/>
      <c r="AI45" s="19"/>
      <c r="AJ45" s="50"/>
      <c r="AK45" s="19"/>
      <c r="AL45" s="50"/>
      <c r="AM45" s="526"/>
      <c r="AN45" s="543"/>
      <c r="AO45" s="543"/>
      <c r="AP45" s="527"/>
      <c r="AQ45" s="14"/>
      <c r="AR45" s="14"/>
      <c r="AS45" s="65"/>
      <c r="AT45" s="63"/>
      <c r="AU45" s="47"/>
      <c r="AV45" s="14"/>
      <c r="AW45" s="19"/>
      <c r="AX45" s="19"/>
      <c r="AY45" s="50"/>
      <c r="AZ45" s="19"/>
      <c r="BA45" s="526"/>
      <c r="BB45" s="543"/>
      <c r="BC45" s="543"/>
      <c r="BD45" s="527"/>
      <c r="BE45" s="14"/>
      <c r="BF45" s="14"/>
      <c r="BG45" s="14"/>
      <c r="BH45" s="65"/>
      <c r="BI45" s="63"/>
      <c r="BJ45" s="352"/>
      <c r="BK45" s="19"/>
      <c r="BL45" s="19"/>
      <c r="BM45" s="19"/>
      <c r="BN45" s="50"/>
      <c r="BO45" s="19"/>
      <c r="BP45" s="50"/>
      <c r="BQ45" s="526"/>
      <c r="BR45" s="543"/>
      <c r="BS45" s="543"/>
      <c r="BT45" s="527"/>
      <c r="BU45" s="14"/>
      <c r="BV45" s="14"/>
      <c r="BW45" s="65"/>
      <c r="BX45" s="63"/>
      <c r="BY45" s="352"/>
      <c r="BZ45" s="14"/>
      <c r="CA45" s="210"/>
      <c r="CB45" s="211"/>
      <c r="CC45" s="515"/>
      <c r="CD45" s="515"/>
      <c r="CE45" s="515"/>
      <c r="CF45" s="515"/>
      <c r="CG45" s="515"/>
      <c r="CH45" s="515"/>
      <c r="CI45" s="515"/>
      <c r="CJ45" s="515"/>
      <c r="CK45" s="515"/>
      <c r="CL45" s="515"/>
      <c r="CM45" s="515"/>
      <c r="CN45" s="515"/>
      <c r="CO45" s="515"/>
      <c r="CP45" s="14"/>
      <c r="CQ45" s="47"/>
      <c r="CR45" s="14"/>
      <c r="CS45" s="71"/>
      <c r="CT45" s="71"/>
      <c r="CU45" s="516"/>
      <c r="CV45" s="516"/>
      <c r="CW45" s="516"/>
      <c r="CX45" s="516"/>
      <c r="CY45" s="516"/>
      <c r="CZ45" s="516"/>
      <c r="DA45" s="516"/>
      <c r="DB45" s="516"/>
      <c r="DC45" s="516"/>
      <c r="DD45" s="516"/>
      <c r="DE45" s="516"/>
      <c r="DF45" s="516"/>
      <c r="DG45" s="516"/>
      <c r="DH45" s="14"/>
      <c r="DI45" s="47"/>
      <c r="DJ45" s="14"/>
      <c r="DK45" s="14"/>
      <c r="DL45" s="14"/>
      <c r="DM45" s="14"/>
      <c r="DN45" s="14"/>
      <c r="DO45" s="14"/>
      <c r="DP45" s="526"/>
      <c r="DQ45" s="543"/>
      <c r="DR45" s="543"/>
      <c r="DS45" s="527"/>
      <c r="DT45" s="128"/>
      <c r="DU45" s="128"/>
      <c r="DV45" s="128"/>
      <c r="DW45" s="128"/>
      <c r="DX45" s="128"/>
      <c r="DY45" s="128"/>
      <c r="DZ45" s="14"/>
      <c r="EA45" s="14"/>
      <c r="EB45" s="14"/>
      <c r="EC45" s="14"/>
      <c r="ED45" s="14"/>
      <c r="EE45" s="14"/>
      <c r="EF45" s="14"/>
      <c r="EG45" s="14"/>
      <c r="EH45" s="14"/>
      <c r="EI45" s="14"/>
      <c r="EJ45" s="14"/>
      <c r="EK45" s="14"/>
      <c r="EL45" s="14"/>
    </row>
    <row r="46" spans="1:142" ht="15.75" customHeight="1" x14ac:dyDescent="0.25">
      <c r="A46" s="14"/>
      <c r="B46" s="211"/>
      <c r="C46" s="265"/>
      <c r="D46" s="265"/>
      <c r="E46" s="265"/>
      <c r="F46" s="265"/>
      <c r="G46" s="526"/>
      <c r="H46" s="543"/>
      <c r="I46" s="543"/>
      <c r="J46" s="527"/>
      <c r="K46" s="14"/>
      <c r="L46" s="14"/>
      <c r="M46" s="14"/>
      <c r="N46" s="14"/>
      <c r="O46" s="14"/>
      <c r="P46" s="14"/>
      <c r="Q46" s="47"/>
      <c r="R46" s="19"/>
      <c r="S46" s="19"/>
      <c r="T46" s="19"/>
      <c r="U46" s="50"/>
      <c r="V46" s="19"/>
      <c r="W46" s="50"/>
      <c r="X46" s="526"/>
      <c r="Y46" s="543"/>
      <c r="Z46" s="543"/>
      <c r="AA46" s="527"/>
      <c r="AB46" s="14"/>
      <c r="AC46" s="14"/>
      <c r="AD46" s="65"/>
      <c r="AE46" s="63"/>
      <c r="AF46" s="47"/>
      <c r="AG46" s="19"/>
      <c r="AH46" s="19"/>
      <c r="AI46" s="19"/>
      <c r="AJ46" s="50"/>
      <c r="AK46" s="19"/>
      <c r="AL46" s="50"/>
      <c r="AM46" s="526"/>
      <c r="AN46" s="543"/>
      <c r="AO46" s="543"/>
      <c r="AP46" s="527"/>
      <c r="AQ46" s="14"/>
      <c r="AR46" s="14"/>
      <c r="AS46" s="65"/>
      <c r="AT46" s="63"/>
      <c r="AU46" s="47"/>
      <c r="AV46" s="14"/>
      <c r="AW46" s="19"/>
      <c r="AX46" s="19"/>
      <c r="AY46" s="50"/>
      <c r="AZ46" s="19"/>
      <c r="BA46" s="526"/>
      <c r="BB46" s="543"/>
      <c r="BC46" s="543"/>
      <c r="BD46" s="527"/>
      <c r="BE46" s="14"/>
      <c r="BF46" s="14"/>
      <c r="BG46" s="14"/>
      <c r="BH46" s="65"/>
      <c r="BI46" s="63"/>
      <c r="BJ46" s="352"/>
      <c r="BK46" s="19"/>
      <c r="BL46" s="19"/>
      <c r="BM46" s="19"/>
      <c r="BN46" s="50"/>
      <c r="BO46" s="19"/>
      <c r="BP46" s="50"/>
      <c r="BQ46" s="526"/>
      <c r="BR46" s="543"/>
      <c r="BS46" s="543"/>
      <c r="BT46" s="527"/>
      <c r="BU46" s="14"/>
      <c r="BV46" s="14"/>
      <c r="BW46" s="65"/>
      <c r="BX46" s="63"/>
      <c r="BY46" s="352"/>
      <c r="BZ46" s="14"/>
      <c r="CA46" s="210"/>
      <c r="CB46" s="211"/>
      <c r="CC46" s="515"/>
      <c r="CD46" s="515"/>
      <c r="CE46" s="515"/>
      <c r="CF46" s="515"/>
      <c r="CG46" s="515"/>
      <c r="CH46" s="515"/>
      <c r="CI46" s="515"/>
      <c r="CJ46" s="515"/>
      <c r="CK46" s="515"/>
      <c r="CL46" s="515"/>
      <c r="CM46" s="515"/>
      <c r="CN46" s="515"/>
      <c r="CO46" s="515"/>
      <c r="CP46" s="14"/>
      <c r="CQ46" s="47"/>
      <c r="CR46" s="14"/>
      <c r="CS46" s="71"/>
      <c r="CT46" s="71"/>
      <c r="CU46" s="516"/>
      <c r="CV46" s="516"/>
      <c r="CW46" s="516"/>
      <c r="CX46" s="516"/>
      <c r="CY46" s="516"/>
      <c r="CZ46" s="516"/>
      <c r="DA46" s="516"/>
      <c r="DB46" s="516"/>
      <c r="DC46" s="516"/>
      <c r="DD46" s="516"/>
      <c r="DE46" s="516"/>
      <c r="DF46" s="516"/>
      <c r="DG46" s="516"/>
      <c r="DH46" s="14"/>
      <c r="DI46" s="47"/>
      <c r="DJ46" s="14"/>
      <c r="DK46" s="14"/>
      <c r="DL46" s="14"/>
      <c r="DM46" s="14"/>
      <c r="DN46" s="14"/>
      <c r="DO46" s="14"/>
      <c r="DP46" s="526"/>
      <c r="DQ46" s="543"/>
      <c r="DR46" s="543"/>
      <c r="DS46" s="527"/>
      <c r="DT46" s="128"/>
      <c r="DU46" s="128"/>
      <c r="DV46" s="128"/>
      <c r="DW46" s="128"/>
      <c r="DX46" s="128"/>
      <c r="DY46" s="128"/>
      <c r="DZ46" s="14"/>
      <c r="EA46" s="14"/>
      <c r="EB46" s="14"/>
      <c r="EC46" s="14"/>
      <c r="ED46" s="14"/>
      <c r="EE46" s="14"/>
      <c r="EF46" s="14"/>
      <c r="EG46" s="14"/>
      <c r="EH46" s="14"/>
      <c r="EI46" s="14"/>
      <c r="EJ46" s="14"/>
      <c r="EK46" s="14"/>
      <c r="EL46" s="14"/>
    </row>
    <row r="47" spans="1:142" ht="15.75" customHeight="1" x14ac:dyDescent="0.25">
      <c r="A47" s="14"/>
      <c r="B47" s="211"/>
      <c r="C47" s="265"/>
      <c r="D47" s="265"/>
      <c r="E47" s="265"/>
      <c r="F47" s="265"/>
      <c r="G47" s="528"/>
      <c r="H47" s="544"/>
      <c r="I47" s="544"/>
      <c r="J47" s="529"/>
      <c r="K47" s="14"/>
      <c r="L47" s="14"/>
      <c r="M47" s="14"/>
      <c r="N47" s="14"/>
      <c r="O47" s="14"/>
      <c r="P47" s="14"/>
      <c r="Q47" s="47"/>
      <c r="R47" s="19"/>
      <c r="S47" s="34"/>
      <c r="T47" s="33"/>
      <c r="U47" s="517"/>
      <c r="V47" s="517"/>
      <c r="W47" s="53"/>
      <c r="X47" s="528"/>
      <c r="Y47" s="544"/>
      <c r="Z47" s="544"/>
      <c r="AA47" s="529"/>
      <c r="AB47" s="14"/>
      <c r="AC47" s="14"/>
      <c r="AD47" s="65"/>
      <c r="AE47" s="63"/>
      <c r="AF47" s="47"/>
      <c r="AG47" s="19"/>
      <c r="AH47" s="34"/>
      <c r="AI47" s="33"/>
      <c r="AJ47" s="517"/>
      <c r="AK47" s="517"/>
      <c r="AL47" s="53"/>
      <c r="AM47" s="528"/>
      <c r="AN47" s="544"/>
      <c r="AO47" s="544"/>
      <c r="AP47" s="529"/>
      <c r="AQ47" s="14"/>
      <c r="AR47" s="14"/>
      <c r="AS47" s="65"/>
      <c r="AT47" s="63"/>
      <c r="AU47" s="47"/>
      <c r="AV47" s="14"/>
      <c r="AW47" s="34"/>
      <c r="AX47" s="33"/>
      <c r="AY47" s="517"/>
      <c r="AZ47" s="517"/>
      <c r="BA47" s="528"/>
      <c r="BB47" s="544"/>
      <c r="BC47" s="544"/>
      <c r="BD47" s="529"/>
      <c r="BE47" s="14"/>
      <c r="BF47" s="14"/>
      <c r="BG47" s="14"/>
      <c r="BH47" s="65"/>
      <c r="BI47" s="63"/>
      <c r="BJ47" s="352"/>
      <c r="BK47" s="19"/>
      <c r="BL47" s="34"/>
      <c r="BM47" s="33"/>
      <c r="BN47" s="517"/>
      <c r="BO47" s="517"/>
      <c r="BP47" s="53"/>
      <c r="BQ47" s="528"/>
      <c r="BR47" s="544"/>
      <c r="BS47" s="544"/>
      <c r="BT47" s="529"/>
      <c r="BU47" s="14"/>
      <c r="BV47" s="14"/>
      <c r="BW47" s="65"/>
      <c r="BX47" s="63"/>
      <c r="BY47" s="352"/>
      <c r="BZ47" s="14"/>
      <c r="CA47" s="210"/>
      <c r="CB47" s="211"/>
      <c r="CC47" s="515"/>
      <c r="CD47" s="515"/>
      <c r="CE47" s="515"/>
      <c r="CF47" s="515"/>
      <c r="CG47" s="515"/>
      <c r="CH47" s="515"/>
      <c r="CI47" s="515"/>
      <c r="CJ47" s="515"/>
      <c r="CK47" s="515"/>
      <c r="CL47" s="515"/>
      <c r="CM47" s="515"/>
      <c r="CN47" s="515"/>
      <c r="CO47" s="515"/>
      <c r="CP47" s="14"/>
      <c r="CQ47" s="47"/>
      <c r="CR47" s="14"/>
      <c r="CS47" s="71"/>
      <c r="CT47" s="71"/>
      <c r="CU47" s="516"/>
      <c r="CV47" s="516"/>
      <c r="CW47" s="516"/>
      <c r="CX47" s="516"/>
      <c r="CY47" s="516"/>
      <c r="CZ47" s="516"/>
      <c r="DA47" s="516"/>
      <c r="DB47" s="516"/>
      <c r="DC47" s="516"/>
      <c r="DD47" s="516"/>
      <c r="DE47" s="516"/>
      <c r="DF47" s="516"/>
      <c r="DG47" s="516"/>
      <c r="DH47" s="14"/>
      <c r="DI47" s="47"/>
      <c r="DJ47" s="14"/>
      <c r="DK47" s="14"/>
      <c r="DL47" s="14"/>
      <c r="DM47" s="14"/>
      <c r="DN47" s="14"/>
      <c r="DO47" s="14"/>
      <c r="DP47" s="528"/>
      <c r="DQ47" s="544"/>
      <c r="DR47" s="544"/>
      <c r="DS47" s="529"/>
      <c r="DT47" s="2"/>
      <c r="DU47" s="14"/>
      <c r="DV47" s="14"/>
      <c r="DW47" s="14"/>
      <c r="DX47" s="14"/>
      <c r="DY47" s="14"/>
      <c r="DZ47" s="14"/>
      <c r="EA47" s="14"/>
      <c r="EB47" s="14"/>
      <c r="EC47" s="14"/>
      <c r="ED47" s="14"/>
      <c r="EE47" s="14"/>
      <c r="EF47" s="14"/>
      <c r="EG47" s="14"/>
      <c r="EH47" s="14"/>
      <c r="EI47" s="14"/>
      <c r="EJ47" s="14"/>
      <c r="EK47" s="14"/>
      <c r="EL47" s="14"/>
    </row>
    <row r="48" spans="1:142" ht="15" customHeight="1" x14ac:dyDescent="0.25">
      <c r="A48" s="14"/>
      <c r="B48" s="211"/>
      <c r="C48" s="265"/>
      <c r="D48" s="265"/>
      <c r="E48" s="265"/>
      <c r="F48" s="265"/>
      <c r="G48" s="23"/>
      <c r="H48" s="18"/>
      <c r="I48" s="27"/>
      <c r="J48" s="14"/>
      <c r="K48" s="14"/>
      <c r="L48" s="14"/>
      <c r="M48" s="14"/>
      <c r="N48" s="14"/>
      <c r="O48" s="14"/>
      <c r="P48" s="14"/>
      <c r="Q48" s="47"/>
      <c r="R48" s="19"/>
      <c r="S48" s="14"/>
      <c r="T48" s="14"/>
      <c r="U48" s="14"/>
      <c r="V48" s="14"/>
      <c r="W48" s="14"/>
      <c r="X48" s="14"/>
      <c r="Y48" s="14"/>
      <c r="Z48" s="14"/>
      <c r="AA48" s="14"/>
      <c r="AB48" s="14"/>
      <c r="AC48" s="14"/>
      <c r="AD48" s="65"/>
      <c r="AE48" s="63"/>
      <c r="AF48" s="47"/>
      <c r="AG48" s="19"/>
      <c r="AH48" s="14"/>
      <c r="AI48" s="14"/>
      <c r="AJ48" s="14"/>
      <c r="AK48" s="14"/>
      <c r="AL48" s="14"/>
      <c r="AM48" s="14"/>
      <c r="AN48" s="14"/>
      <c r="AO48" s="14"/>
      <c r="AP48" s="14"/>
      <c r="AQ48" s="14"/>
      <c r="AR48" s="14"/>
      <c r="AS48" s="65"/>
      <c r="AT48" s="63"/>
      <c r="AU48" s="47"/>
      <c r="AV48" s="14"/>
      <c r="AW48" s="14"/>
      <c r="AX48" s="14"/>
      <c r="AY48" s="14"/>
      <c r="AZ48" s="14"/>
      <c r="BA48" s="14"/>
      <c r="BB48" s="14"/>
      <c r="BC48" s="14"/>
      <c r="BD48" s="14"/>
      <c r="BE48" s="14"/>
      <c r="BF48" s="14"/>
      <c r="BG48" s="14"/>
      <c r="BH48" s="65"/>
      <c r="BI48" s="63"/>
      <c r="BJ48" s="352"/>
      <c r="BK48" s="19"/>
      <c r="BL48" s="14"/>
      <c r="BM48" s="14"/>
      <c r="BN48" s="14"/>
      <c r="BO48" s="14"/>
      <c r="BP48" s="14"/>
      <c r="BQ48" s="14"/>
      <c r="BR48" s="14"/>
      <c r="BS48" s="14"/>
      <c r="BT48" s="14"/>
      <c r="BU48" s="14"/>
      <c r="BV48" s="14"/>
      <c r="BW48" s="65"/>
      <c r="BX48" s="63"/>
      <c r="BY48" s="352"/>
      <c r="BZ48" s="14"/>
      <c r="CA48" s="210"/>
      <c r="CB48" s="211"/>
      <c r="CC48" s="515"/>
      <c r="CD48" s="515"/>
      <c r="CE48" s="515"/>
      <c r="CF48" s="515"/>
      <c r="CG48" s="515"/>
      <c r="CH48" s="515"/>
      <c r="CI48" s="515"/>
      <c r="CJ48" s="515"/>
      <c r="CK48" s="515"/>
      <c r="CL48" s="515"/>
      <c r="CM48" s="515"/>
      <c r="CN48" s="515"/>
      <c r="CO48" s="515"/>
      <c r="CP48" s="14"/>
      <c r="CQ48" s="47"/>
      <c r="CR48" s="14"/>
      <c r="CS48" s="71"/>
      <c r="CT48" s="71"/>
      <c r="CU48" s="516"/>
      <c r="CV48" s="516"/>
      <c r="CW48" s="516"/>
      <c r="CX48" s="516"/>
      <c r="CY48" s="516"/>
      <c r="CZ48" s="516"/>
      <c r="DA48" s="516"/>
      <c r="DB48" s="516"/>
      <c r="DC48" s="516"/>
      <c r="DD48" s="516"/>
      <c r="DE48" s="516"/>
      <c r="DF48" s="516"/>
      <c r="DG48" s="516"/>
      <c r="DH48" s="14"/>
      <c r="DI48" s="47"/>
      <c r="DJ48" s="14"/>
      <c r="DK48" s="14"/>
      <c r="DL48" s="14"/>
      <c r="DM48" s="14"/>
      <c r="DN48" s="14"/>
      <c r="DO48" s="14"/>
      <c r="DP48" s="14"/>
      <c r="DQ48" s="14"/>
      <c r="DR48" s="2"/>
      <c r="DS48" s="2"/>
      <c r="DT48" s="2"/>
      <c r="DU48" s="14"/>
      <c r="DV48" s="14"/>
      <c r="DW48" s="14"/>
      <c r="DX48" s="14"/>
      <c r="DY48" s="14"/>
      <c r="DZ48" s="14"/>
      <c r="EA48" s="14"/>
      <c r="EB48" s="14"/>
      <c r="EC48" s="14"/>
      <c r="ED48" s="14"/>
      <c r="EE48" s="14"/>
      <c r="EF48" s="14"/>
      <c r="EG48" s="14"/>
      <c r="EH48" s="14"/>
      <c r="EI48" s="14"/>
      <c r="EJ48" s="14"/>
      <c r="EK48" s="14"/>
      <c r="EL48" s="14"/>
    </row>
    <row r="49" spans="1:142" x14ac:dyDescent="0.25">
      <c r="A49" s="14"/>
      <c r="B49" s="211"/>
      <c r="C49" s="265"/>
      <c r="D49" s="265"/>
      <c r="E49" s="265"/>
      <c r="F49" s="265"/>
      <c r="G49" s="14"/>
      <c r="H49" s="21"/>
      <c r="I49" s="21"/>
      <c r="J49" s="14"/>
      <c r="K49" s="14"/>
      <c r="L49" s="14"/>
      <c r="M49" s="14"/>
      <c r="N49" s="14"/>
      <c r="O49" s="14"/>
      <c r="P49" s="14"/>
      <c r="Q49" s="47"/>
      <c r="R49" s="19"/>
      <c r="S49" s="14"/>
      <c r="T49" s="14"/>
      <c r="U49" s="14"/>
      <c r="V49" s="14"/>
      <c r="W49" s="14"/>
      <c r="X49" s="14"/>
      <c r="Y49" s="14"/>
      <c r="Z49" s="14"/>
      <c r="AA49" s="14"/>
      <c r="AB49" s="14"/>
      <c r="AC49" s="14"/>
      <c r="AD49" s="65"/>
      <c r="AE49" s="63"/>
      <c r="AF49" s="47"/>
      <c r="AG49" s="19"/>
      <c r="AH49" s="14"/>
      <c r="AI49" s="14"/>
      <c r="AJ49" s="14"/>
      <c r="AK49" s="14"/>
      <c r="AL49" s="14"/>
      <c r="AM49" s="14"/>
      <c r="AN49" s="14"/>
      <c r="AO49" s="14"/>
      <c r="AP49" s="14"/>
      <c r="AQ49" s="14"/>
      <c r="AR49" s="14"/>
      <c r="AS49" s="65"/>
      <c r="AT49" s="63"/>
      <c r="AU49" s="47"/>
      <c r="AV49" s="14"/>
      <c r="AW49" s="14"/>
      <c r="AX49" s="14"/>
      <c r="AY49" s="14"/>
      <c r="AZ49" s="14"/>
      <c r="BA49" s="14"/>
      <c r="BB49" s="14"/>
      <c r="BC49" s="14"/>
      <c r="BD49" s="14"/>
      <c r="BE49" s="14"/>
      <c r="BF49" s="14"/>
      <c r="BG49" s="14"/>
      <c r="BH49" s="65"/>
      <c r="BI49" s="63"/>
      <c r="BJ49" s="352"/>
      <c r="BK49" s="19"/>
      <c r="BL49" s="14"/>
      <c r="BM49" s="14"/>
      <c r="BN49" s="14"/>
      <c r="BO49" s="14"/>
      <c r="BP49" s="14"/>
      <c r="BQ49" s="14"/>
      <c r="BR49" s="14"/>
      <c r="BS49" s="14"/>
      <c r="BT49" s="14"/>
      <c r="BU49" s="14"/>
      <c r="BV49" s="14"/>
      <c r="BW49" s="65"/>
      <c r="BX49" s="63"/>
      <c r="BY49" s="352"/>
      <c r="BZ49" s="14"/>
      <c r="CA49" s="210"/>
      <c r="CB49" s="211"/>
      <c r="CC49" s="515"/>
      <c r="CD49" s="515"/>
      <c r="CE49" s="515"/>
      <c r="CF49" s="515"/>
      <c r="CG49" s="515"/>
      <c r="CH49" s="515"/>
      <c r="CI49" s="515"/>
      <c r="CJ49" s="515"/>
      <c r="CK49" s="515"/>
      <c r="CL49" s="515"/>
      <c r="CM49" s="515"/>
      <c r="CN49" s="515"/>
      <c r="CO49" s="515"/>
      <c r="CP49" s="14"/>
      <c r="CQ49" s="47"/>
      <c r="CR49" s="14"/>
      <c r="CS49" s="71"/>
      <c r="CT49" s="71"/>
      <c r="CU49" s="516"/>
      <c r="CV49" s="516"/>
      <c r="CW49" s="516"/>
      <c r="CX49" s="516"/>
      <c r="CY49" s="516"/>
      <c r="CZ49" s="516"/>
      <c r="DA49" s="516"/>
      <c r="DB49" s="516"/>
      <c r="DC49" s="516"/>
      <c r="DD49" s="516"/>
      <c r="DE49" s="516"/>
      <c r="DF49" s="516"/>
      <c r="DG49" s="516"/>
      <c r="DH49" s="14"/>
      <c r="DI49" s="47"/>
      <c r="DJ49" s="14"/>
      <c r="DK49" s="14"/>
      <c r="DL49" s="14"/>
      <c r="DM49" s="14"/>
      <c r="DN49" s="14"/>
      <c r="DO49" s="14"/>
      <c r="DP49" s="14"/>
      <c r="DQ49" s="14"/>
      <c r="DR49" s="2"/>
      <c r="DS49" s="2"/>
      <c r="DT49" s="2"/>
      <c r="DU49" s="14"/>
      <c r="DV49" s="14"/>
      <c r="DW49" s="14"/>
      <c r="DX49" s="14"/>
      <c r="DY49" s="14"/>
      <c r="DZ49" s="14"/>
      <c r="EA49" s="14"/>
      <c r="EB49" s="14"/>
      <c r="EC49" s="14"/>
      <c r="ED49" s="14"/>
      <c r="EE49" s="14"/>
      <c r="EF49" s="14"/>
      <c r="EG49" s="14"/>
      <c r="EH49" s="14"/>
      <c r="EI49" s="14"/>
      <c r="EJ49" s="14"/>
      <c r="EK49" s="14"/>
      <c r="EL49" s="14"/>
    </row>
    <row r="50" spans="1:142" x14ac:dyDescent="0.25">
      <c r="A50" s="14"/>
      <c r="B50" s="211"/>
      <c r="C50" s="265"/>
      <c r="D50" s="265"/>
      <c r="E50" s="265"/>
      <c r="F50" s="265"/>
      <c r="G50" s="19"/>
      <c r="H50" s="27"/>
      <c r="I50" s="21"/>
      <c r="J50" s="14"/>
      <c r="K50" s="14"/>
      <c r="L50" s="14"/>
      <c r="M50" s="14"/>
      <c r="N50" s="14"/>
      <c r="O50" s="14"/>
      <c r="P50" s="14"/>
      <c r="Q50" s="47"/>
      <c r="R50" s="19"/>
      <c r="S50" s="14"/>
      <c r="T50" s="14"/>
      <c r="U50" s="14"/>
      <c r="V50" s="14"/>
      <c r="W50" s="14"/>
      <c r="X50" s="14"/>
      <c r="Y50" s="14"/>
      <c r="Z50" s="14"/>
      <c r="AA50" s="14"/>
      <c r="AB50" s="14"/>
      <c r="AC50" s="14"/>
      <c r="AD50" s="65"/>
      <c r="AE50" s="63"/>
      <c r="AF50" s="47"/>
      <c r="AG50" s="19"/>
      <c r="AH50" s="14"/>
      <c r="AI50" s="14"/>
      <c r="AJ50" s="14"/>
      <c r="AK50" s="14"/>
      <c r="AL50" s="14"/>
      <c r="AM50" s="14"/>
      <c r="AN50" s="14"/>
      <c r="AO50" s="14"/>
      <c r="AP50" s="14"/>
      <c r="AQ50" s="14"/>
      <c r="AR50" s="14"/>
      <c r="AS50" s="65"/>
      <c r="AT50" s="63"/>
      <c r="AU50" s="47"/>
      <c r="AV50" s="14"/>
      <c r="AW50" s="14"/>
      <c r="AX50" s="14"/>
      <c r="AY50" s="14"/>
      <c r="AZ50" s="14"/>
      <c r="BA50" s="14"/>
      <c r="BB50" s="14"/>
      <c r="BC50" s="14"/>
      <c r="BD50" s="14"/>
      <c r="BE50" s="14"/>
      <c r="BF50" s="14"/>
      <c r="BG50" s="14"/>
      <c r="BH50" s="65"/>
      <c r="BI50" s="63"/>
      <c r="BJ50" s="352"/>
      <c r="BK50" s="19"/>
      <c r="BL50" s="14"/>
      <c r="BM50" s="14"/>
      <c r="BN50" s="14"/>
      <c r="BO50" s="14"/>
      <c r="BP50" s="14"/>
      <c r="BQ50" s="14"/>
      <c r="BR50" s="14"/>
      <c r="BS50" s="14"/>
      <c r="BT50" s="14"/>
      <c r="BU50" s="14"/>
      <c r="BV50" s="14"/>
      <c r="BW50" s="65"/>
      <c r="BX50" s="63"/>
      <c r="BY50" s="352"/>
      <c r="BZ50" s="14"/>
      <c r="CA50" s="210"/>
      <c r="CB50" s="211"/>
      <c r="CC50" s="515"/>
      <c r="CD50" s="515"/>
      <c r="CE50" s="515"/>
      <c r="CF50" s="515"/>
      <c r="CG50" s="515"/>
      <c r="CH50" s="515"/>
      <c r="CI50" s="515"/>
      <c r="CJ50" s="515"/>
      <c r="CK50" s="515"/>
      <c r="CL50" s="515"/>
      <c r="CM50" s="515"/>
      <c r="CN50" s="515"/>
      <c r="CO50" s="515"/>
      <c r="CP50" s="14"/>
      <c r="CQ50" s="47"/>
      <c r="CR50" s="14"/>
      <c r="CS50" s="71"/>
      <c r="CT50" s="71"/>
      <c r="CU50" s="516"/>
      <c r="CV50" s="516"/>
      <c r="CW50" s="516"/>
      <c r="CX50" s="516"/>
      <c r="CY50" s="516"/>
      <c r="CZ50" s="516"/>
      <c r="DA50" s="516"/>
      <c r="DB50" s="516"/>
      <c r="DC50" s="516"/>
      <c r="DD50" s="516"/>
      <c r="DE50" s="516"/>
      <c r="DF50" s="516"/>
      <c r="DG50" s="516"/>
      <c r="DH50" s="14"/>
      <c r="DI50" s="47"/>
      <c r="DJ50" s="14"/>
      <c r="DK50" s="14"/>
      <c r="DL50" s="14"/>
      <c r="DM50" s="14"/>
      <c r="DN50" s="14"/>
      <c r="DO50" s="14"/>
      <c r="DP50" s="14"/>
      <c r="DQ50" s="14"/>
      <c r="DR50" s="2"/>
      <c r="DS50" s="2"/>
      <c r="DT50" s="2"/>
      <c r="DU50" s="14"/>
      <c r="DV50" s="14"/>
      <c r="DW50" s="14"/>
      <c r="DX50" s="14"/>
      <c r="DY50" s="14"/>
      <c r="DZ50" s="14"/>
      <c r="EA50" s="14"/>
      <c r="EB50" s="14"/>
      <c r="EC50" s="14"/>
      <c r="ED50" s="14"/>
      <c r="EE50" s="14"/>
      <c r="EF50" s="14"/>
      <c r="EG50" s="14"/>
      <c r="EH50" s="14"/>
      <c r="EI50" s="14"/>
      <c r="EJ50" s="14"/>
      <c r="EK50" s="14"/>
      <c r="EL50" s="14"/>
    </row>
    <row r="51" spans="1:142" x14ac:dyDescent="0.25">
      <c r="A51" s="14"/>
      <c r="B51" s="14"/>
      <c r="C51" s="14"/>
      <c r="D51" s="21"/>
      <c r="E51" s="14"/>
      <c r="F51" s="19"/>
      <c r="G51" s="19"/>
      <c r="H51" s="27"/>
      <c r="I51" s="21"/>
      <c r="J51" s="14"/>
      <c r="K51" s="14"/>
      <c r="L51" s="14"/>
      <c r="M51" s="14"/>
      <c r="N51" s="14"/>
      <c r="O51" s="14"/>
      <c r="P51" s="14"/>
      <c r="Q51" s="47"/>
      <c r="R51" s="19"/>
      <c r="S51" s="14"/>
      <c r="T51" s="14"/>
      <c r="U51" s="14"/>
      <c r="V51" s="14"/>
      <c r="W51" s="14"/>
      <c r="X51" s="14"/>
      <c r="Y51" s="14"/>
      <c r="Z51" s="14"/>
      <c r="AA51" s="14"/>
      <c r="AB51" s="14"/>
      <c r="AC51" s="14"/>
      <c r="AD51" s="65"/>
      <c r="AE51" s="63"/>
      <c r="AF51" s="47"/>
      <c r="AG51" s="19"/>
      <c r="AH51" s="14"/>
      <c r="AI51" s="14"/>
      <c r="AJ51" s="14"/>
      <c r="AK51" s="14"/>
      <c r="AL51" s="14"/>
      <c r="AM51" s="14"/>
      <c r="AN51" s="14"/>
      <c r="AO51" s="14"/>
      <c r="AP51" s="14"/>
      <c r="AQ51" s="14"/>
      <c r="AR51" s="14"/>
      <c r="AS51" s="65"/>
      <c r="AT51" s="63"/>
      <c r="AU51" s="47"/>
      <c r="AV51" s="14"/>
      <c r="AW51" s="14"/>
      <c r="AX51" s="14"/>
      <c r="AY51" s="14"/>
      <c r="AZ51" s="14"/>
      <c r="BA51" s="14"/>
      <c r="BB51" s="14"/>
      <c r="BC51" s="14"/>
      <c r="BD51" s="14"/>
      <c r="BE51" s="14"/>
      <c r="BF51" s="14"/>
      <c r="BG51" s="14"/>
      <c r="BH51" s="65"/>
      <c r="BI51" s="63"/>
      <c r="BJ51" s="352"/>
      <c r="BK51" s="19"/>
      <c r="BL51" s="14"/>
      <c r="BM51" s="14"/>
      <c r="BN51" s="14"/>
      <c r="BO51" s="14"/>
      <c r="BP51" s="14"/>
      <c r="BQ51" s="14"/>
      <c r="BR51" s="14"/>
      <c r="BS51" s="14"/>
      <c r="BT51" s="14"/>
      <c r="BU51" s="14"/>
      <c r="BV51" s="14"/>
      <c r="BW51" s="65"/>
      <c r="BX51" s="63"/>
      <c r="BY51" s="352"/>
      <c r="BZ51" s="14"/>
      <c r="CA51" s="14"/>
      <c r="CB51" s="21"/>
      <c r="CC51" s="21"/>
      <c r="CD51" s="21"/>
      <c r="CE51" s="21"/>
      <c r="CF51" s="21"/>
      <c r="CG51" s="14"/>
      <c r="CH51" s="71"/>
      <c r="CI51" s="71"/>
      <c r="CJ51" s="71"/>
      <c r="CK51" s="14"/>
      <c r="CL51" s="14"/>
      <c r="CM51" s="14"/>
      <c r="CN51" s="14"/>
      <c r="CO51" s="129"/>
      <c r="CP51" s="14"/>
      <c r="CQ51" s="47"/>
      <c r="CR51" s="14"/>
      <c r="CS51" s="71"/>
      <c r="CT51" s="71"/>
      <c r="CU51" s="71"/>
      <c r="CV51" s="330"/>
      <c r="CW51" s="71"/>
      <c r="CX51" s="71"/>
      <c r="CY51" s="71"/>
      <c r="CZ51" s="71"/>
      <c r="DA51" s="71"/>
      <c r="DB51" s="71"/>
      <c r="DC51" s="71"/>
      <c r="DD51" s="71"/>
      <c r="DE51" s="71"/>
      <c r="DF51" s="71"/>
      <c r="DG51" s="260"/>
      <c r="DH51" s="14"/>
      <c r="DI51" s="47"/>
      <c r="DJ51" s="14"/>
      <c r="DK51" s="14"/>
      <c r="DL51" s="14"/>
      <c r="DM51" s="14"/>
      <c r="DN51" s="14"/>
      <c r="DO51" s="14"/>
      <c r="DP51" s="14"/>
      <c r="DQ51" s="14"/>
      <c r="DR51" s="2"/>
      <c r="DS51" s="2"/>
      <c r="DT51" s="2"/>
      <c r="DU51" s="14"/>
      <c r="DV51" s="14"/>
      <c r="DW51" s="14"/>
      <c r="DX51" s="14"/>
      <c r="DY51" s="14"/>
      <c r="DZ51" s="14"/>
      <c r="EA51" s="14"/>
      <c r="EB51" s="14"/>
      <c r="EC51" s="14"/>
      <c r="ED51" s="14"/>
      <c r="EE51" s="14"/>
      <c r="EF51" s="14"/>
      <c r="EG51" s="14"/>
      <c r="EH51" s="14"/>
      <c r="EI51" s="14"/>
      <c r="EJ51" s="14"/>
      <c r="EK51" s="14"/>
      <c r="EL51" s="14"/>
    </row>
    <row r="52" spans="1:142" s="130" customFormat="1" x14ac:dyDescent="0.25">
      <c r="A52" s="87"/>
      <c r="B52" s="87" t="s">
        <v>756</v>
      </c>
      <c r="C52" s="87"/>
      <c r="D52" s="88"/>
      <c r="E52" s="87"/>
      <c r="F52" s="87"/>
      <c r="G52" s="87"/>
      <c r="H52" s="88"/>
      <c r="I52" s="88"/>
      <c r="J52" s="87"/>
      <c r="K52" s="87"/>
      <c r="L52" s="87"/>
      <c r="M52" s="87"/>
      <c r="N52" s="87"/>
      <c r="O52" s="87"/>
      <c r="P52" s="87"/>
      <c r="Q52" s="93"/>
      <c r="R52" s="196"/>
      <c r="S52" s="87" t="str">
        <f>$B52</f>
        <v>Analysis by stakeholder group</v>
      </c>
      <c r="T52" s="87"/>
      <c r="U52" s="87"/>
      <c r="V52" s="87"/>
      <c r="W52" s="87"/>
      <c r="X52" s="87"/>
      <c r="Y52" s="87"/>
      <c r="Z52" s="87"/>
      <c r="AA52" s="87"/>
      <c r="AB52" s="87"/>
      <c r="AC52" s="87"/>
      <c r="AD52" s="91"/>
      <c r="AE52" s="92"/>
      <c r="AF52" s="93"/>
      <c r="AG52" s="196"/>
      <c r="AH52" s="87" t="str">
        <f>$B52</f>
        <v>Analysis by stakeholder group</v>
      </c>
      <c r="AI52" s="87"/>
      <c r="AJ52" s="87"/>
      <c r="AK52" s="87"/>
      <c r="AL52" s="87"/>
      <c r="AM52" s="87"/>
      <c r="AN52" s="87"/>
      <c r="AO52" s="87"/>
      <c r="AP52" s="87"/>
      <c r="AQ52" s="87"/>
      <c r="AR52" s="87"/>
      <c r="AS52" s="91"/>
      <c r="AT52" s="92"/>
      <c r="AU52" s="93"/>
      <c r="AV52" s="87"/>
      <c r="AW52" s="87" t="str">
        <f>$B52</f>
        <v>Analysis by stakeholder group</v>
      </c>
      <c r="AX52" s="87"/>
      <c r="AY52" s="87"/>
      <c r="AZ52" s="87"/>
      <c r="BA52" s="87"/>
      <c r="BB52" s="87"/>
      <c r="BC52" s="87"/>
      <c r="BD52" s="87"/>
      <c r="BE52" s="87"/>
      <c r="BF52" s="87"/>
      <c r="BG52" s="87"/>
      <c r="BH52" s="91"/>
      <c r="BI52" s="92"/>
      <c r="BJ52" s="351"/>
      <c r="BK52" s="196"/>
      <c r="BL52" s="87" t="str">
        <f>$B52</f>
        <v>Analysis by stakeholder group</v>
      </c>
      <c r="BM52" s="87"/>
      <c r="BN52" s="87"/>
      <c r="BO52" s="87"/>
      <c r="BP52" s="87"/>
      <c r="BQ52" s="87"/>
      <c r="BR52" s="87"/>
      <c r="BS52" s="87"/>
      <c r="BT52" s="87"/>
      <c r="BU52" s="87"/>
      <c r="BV52" s="87"/>
      <c r="BW52" s="91"/>
      <c r="BX52" s="92"/>
      <c r="BY52" s="351"/>
      <c r="BZ52" s="87"/>
      <c r="CA52" s="87" t="str">
        <f>$B52</f>
        <v>Analysis by stakeholder group</v>
      </c>
      <c r="CB52" s="88"/>
      <c r="CC52" s="88"/>
      <c r="CD52" s="88"/>
      <c r="CE52" s="88"/>
      <c r="CF52" s="88"/>
      <c r="CG52" s="87"/>
      <c r="CH52" s="87"/>
      <c r="CI52" s="87"/>
      <c r="CJ52" s="87"/>
      <c r="CK52" s="87"/>
      <c r="CL52" s="87"/>
      <c r="CM52" s="87"/>
      <c r="CN52" s="87"/>
      <c r="CO52" s="87"/>
      <c r="CP52" s="87"/>
      <c r="CQ52" s="93"/>
      <c r="CR52" s="87"/>
      <c r="CS52" s="87" t="str">
        <f>$B52</f>
        <v>Analysis by stakeholder group</v>
      </c>
      <c r="CT52" s="87"/>
      <c r="CU52" s="87"/>
      <c r="CV52" s="88"/>
      <c r="CW52" s="87"/>
      <c r="CX52" s="87"/>
      <c r="CY52" s="87"/>
      <c r="CZ52" s="87"/>
      <c r="DA52" s="87"/>
      <c r="DB52" s="87"/>
      <c r="DC52" s="87"/>
      <c r="DD52" s="87"/>
      <c r="DE52" s="87"/>
      <c r="DF52" s="87"/>
      <c r="DG52" s="87"/>
      <c r="DH52" s="87"/>
      <c r="DI52" s="93"/>
      <c r="DJ52" s="87"/>
      <c r="DK52" s="87" t="str">
        <f>$B52</f>
        <v>Analysis by stakeholder group</v>
      </c>
      <c r="DL52" s="87"/>
      <c r="DM52" s="87"/>
      <c r="DN52" s="87"/>
      <c r="DO52" s="87"/>
      <c r="DP52" s="87"/>
      <c r="DQ52" s="87"/>
      <c r="DR52" s="87"/>
      <c r="DS52" s="87"/>
      <c r="DT52" s="87"/>
      <c r="DU52" s="87"/>
      <c r="DV52" s="87"/>
      <c r="DW52" s="87"/>
      <c r="DX52" s="87"/>
      <c r="DY52" s="87"/>
      <c r="DZ52" s="87"/>
      <c r="EA52" s="87"/>
      <c r="EB52" s="87"/>
      <c r="EC52" s="87"/>
      <c r="ED52" s="87"/>
      <c r="EE52" s="87"/>
      <c r="EF52" s="87"/>
      <c r="EG52" s="87"/>
      <c r="EH52" s="87"/>
      <c r="EI52" s="87"/>
      <c r="EJ52" s="87"/>
      <c r="EK52" s="87"/>
      <c r="EL52" s="87"/>
    </row>
    <row r="53" spans="1:142" x14ac:dyDescent="0.25">
      <c r="A53" s="14"/>
      <c r="B53" s="211"/>
      <c r="C53" s="345"/>
      <c r="D53" s="345"/>
      <c r="E53" s="345"/>
      <c r="F53" s="345"/>
      <c r="G53" s="19"/>
      <c r="H53" s="27"/>
      <c r="I53" s="21"/>
      <c r="J53" s="14"/>
      <c r="K53" s="14"/>
      <c r="L53" s="14"/>
      <c r="M53" s="14"/>
      <c r="N53" s="14"/>
      <c r="O53" s="14"/>
      <c r="P53" s="14"/>
      <c r="Q53" s="47"/>
      <c r="R53" s="19"/>
      <c r="S53" s="14"/>
      <c r="T53" s="14"/>
      <c r="U53" s="14"/>
      <c r="V53" s="14"/>
      <c r="W53" s="14"/>
      <c r="X53" s="14"/>
      <c r="Y53" s="14"/>
      <c r="Z53" s="14"/>
      <c r="AA53" s="14"/>
      <c r="AB53" s="14"/>
      <c r="AC53" s="14"/>
      <c r="AD53" s="65"/>
      <c r="AE53" s="63"/>
      <c r="AF53" s="47"/>
      <c r="AG53" s="19"/>
      <c r="AH53" s="14"/>
      <c r="AI53" s="14"/>
      <c r="AJ53" s="14"/>
      <c r="AK53" s="14"/>
      <c r="AL53" s="14"/>
      <c r="AM53" s="14"/>
      <c r="AN53" s="14"/>
      <c r="AO53" s="14"/>
      <c r="AP53" s="14"/>
      <c r="AQ53" s="14"/>
      <c r="AR53" s="14"/>
      <c r="AS53" s="65"/>
      <c r="AT53" s="63"/>
      <c r="AU53" s="47"/>
      <c r="AV53" s="14"/>
      <c r="AW53" s="14"/>
      <c r="AX53" s="14"/>
      <c r="AY53" s="14"/>
      <c r="AZ53" s="14"/>
      <c r="BA53" s="14"/>
      <c r="BB53" s="14"/>
      <c r="BC53" s="14"/>
      <c r="BD53" s="14"/>
      <c r="BE53" s="14"/>
      <c r="BF53" s="14"/>
      <c r="BG53" s="14"/>
      <c r="BH53" s="65"/>
      <c r="BI53" s="63"/>
      <c r="BJ53" s="352"/>
      <c r="BK53" s="19"/>
      <c r="BL53" s="14"/>
      <c r="BM53" s="14"/>
      <c r="BN53" s="14"/>
      <c r="BO53" s="14"/>
      <c r="BP53" s="14"/>
      <c r="BQ53" s="14"/>
      <c r="BR53" s="14"/>
      <c r="BS53" s="14"/>
      <c r="BT53" s="14"/>
      <c r="BU53" s="14"/>
      <c r="BV53" s="14"/>
      <c r="BW53" s="65"/>
      <c r="BX53" s="63"/>
      <c r="BY53" s="352"/>
      <c r="BZ53" s="14"/>
      <c r="CA53" s="345"/>
      <c r="CB53" s="211"/>
      <c r="CC53" s="345"/>
      <c r="CD53" s="345"/>
      <c r="CE53" s="345"/>
      <c r="CF53" s="345"/>
      <c r="CG53" s="345"/>
      <c r="CH53" s="345"/>
      <c r="CI53" s="345"/>
      <c r="CJ53" s="345"/>
      <c r="CK53" s="345"/>
      <c r="CL53" s="345"/>
      <c r="CM53" s="345"/>
      <c r="CN53" s="345"/>
      <c r="CO53" s="345"/>
      <c r="CP53" s="14"/>
      <c r="CQ53" s="47"/>
      <c r="CR53" s="14"/>
      <c r="CS53" s="71"/>
      <c r="CT53" s="71"/>
      <c r="CU53" s="346"/>
      <c r="CV53" s="346"/>
      <c r="CW53" s="346"/>
      <c r="CX53" s="346"/>
      <c r="CY53" s="346"/>
      <c r="CZ53" s="346"/>
      <c r="DA53" s="346"/>
      <c r="DB53" s="346"/>
      <c r="DC53" s="346"/>
      <c r="DD53" s="346"/>
      <c r="DE53" s="346"/>
      <c r="DF53" s="346"/>
      <c r="DG53" s="346"/>
      <c r="DH53" s="14"/>
      <c r="DI53" s="47"/>
      <c r="DJ53" s="14"/>
      <c r="DK53" s="14"/>
      <c r="DL53" s="14"/>
      <c r="DM53" s="14"/>
      <c r="DN53" s="14"/>
      <c r="DO53" s="14"/>
      <c r="DP53" s="14"/>
      <c r="DQ53" s="14"/>
      <c r="DR53" s="2"/>
      <c r="DS53" s="2"/>
      <c r="DT53" s="2"/>
      <c r="DU53" s="14"/>
      <c r="DV53" s="14"/>
      <c r="DW53" s="14"/>
      <c r="DX53" s="14"/>
      <c r="DY53" s="14"/>
      <c r="DZ53" s="14"/>
      <c r="EA53" s="14"/>
      <c r="EB53" s="14"/>
      <c r="EC53" s="14"/>
      <c r="ED53" s="14"/>
      <c r="EE53" s="14"/>
      <c r="EF53" s="14"/>
      <c r="EG53" s="14"/>
      <c r="EH53" s="14"/>
      <c r="EI53" s="14"/>
      <c r="EJ53" s="14"/>
      <c r="EK53" s="14"/>
      <c r="EL53" s="14"/>
    </row>
    <row r="54" spans="1:142" s="131" customFormat="1" x14ac:dyDescent="0.25">
      <c r="A54" s="78"/>
      <c r="B54" s="78" t="s">
        <v>2</v>
      </c>
      <c r="C54" s="78" t="s">
        <v>123</v>
      </c>
      <c r="D54" s="79"/>
      <c r="E54" s="78"/>
      <c r="F54" s="78"/>
      <c r="G54" s="78"/>
      <c r="H54" s="79"/>
      <c r="I54" s="79"/>
      <c r="J54" s="78"/>
      <c r="K54" s="78"/>
      <c r="L54" s="78"/>
      <c r="M54" s="78"/>
      <c r="N54" s="78"/>
      <c r="O54" s="78"/>
      <c r="P54" s="78"/>
      <c r="Q54" s="82"/>
      <c r="R54" s="83"/>
      <c r="S54" s="78" t="str">
        <f>$B54</f>
        <v>Forest owners/managers</v>
      </c>
      <c r="T54" s="78"/>
      <c r="U54" s="78"/>
      <c r="V54" s="78"/>
      <c r="W54" s="78"/>
      <c r="X54" s="78"/>
      <c r="Y54" s="78"/>
      <c r="Z54" s="78"/>
      <c r="AA54" s="78"/>
      <c r="AB54" s="78"/>
      <c r="AC54" s="78"/>
      <c r="AD54" s="80"/>
      <c r="AE54" s="81"/>
      <c r="AF54" s="82"/>
      <c r="AG54" s="83"/>
      <c r="AH54" s="78" t="str">
        <f>$B54</f>
        <v>Forest owners/managers</v>
      </c>
      <c r="AI54" s="78"/>
      <c r="AJ54" s="78"/>
      <c r="AK54" s="78"/>
      <c r="AL54" s="78"/>
      <c r="AM54" s="78"/>
      <c r="AN54" s="78"/>
      <c r="AO54" s="78"/>
      <c r="AP54" s="78"/>
      <c r="AQ54" s="78"/>
      <c r="AR54" s="78"/>
      <c r="AS54" s="80"/>
      <c r="AT54" s="81"/>
      <c r="AU54" s="82"/>
      <c r="AV54" s="78"/>
      <c r="AW54" s="78" t="str">
        <f>$B54</f>
        <v>Forest owners/managers</v>
      </c>
      <c r="AX54" s="78"/>
      <c r="AY54" s="78"/>
      <c r="AZ54" s="78"/>
      <c r="BA54" s="78"/>
      <c r="BB54" s="78"/>
      <c r="BC54" s="78"/>
      <c r="BD54" s="78"/>
      <c r="BE54" s="78"/>
      <c r="BF54" s="78"/>
      <c r="BG54" s="78"/>
      <c r="BH54" s="80"/>
      <c r="BI54" s="81"/>
      <c r="BJ54" s="373"/>
      <c r="BK54" s="83"/>
      <c r="BL54" s="78" t="str">
        <f>$B54</f>
        <v>Forest owners/managers</v>
      </c>
      <c r="BM54" s="78"/>
      <c r="BN54" s="78"/>
      <c r="BO54" s="78"/>
      <c r="BP54" s="78"/>
      <c r="BQ54" s="78"/>
      <c r="BR54" s="78"/>
      <c r="BS54" s="78"/>
      <c r="BT54" s="78"/>
      <c r="BU54" s="78"/>
      <c r="BV54" s="78"/>
      <c r="BW54" s="80"/>
      <c r="BX54" s="81"/>
      <c r="BY54" s="373"/>
      <c r="BZ54" s="78"/>
      <c r="CA54" s="78" t="str">
        <f>$B54</f>
        <v>Forest owners/managers</v>
      </c>
      <c r="CB54" s="79"/>
      <c r="CC54" s="79"/>
      <c r="CD54" s="79"/>
      <c r="CE54" s="79"/>
      <c r="CF54" s="79"/>
      <c r="CG54" s="78"/>
      <c r="CH54" s="78"/>
      <c r="CI54" s="78"/>
      <c r="CJ54" s="78"/>
      <c r="CK54" s="78"/>
      <c r="CL54" s="78"/>
      <c r="CM54" s="78"/>
      <c r="CN54" s="78"/>
      <c r="CO54" s="78"/>
      <c r="CP54" s="78"/>
      <c r="CQ54" s="82"/>
      <c r="CR54" s="78"/>
      <c r="CS54" s="78" t="str">
        <f>$B54</f>
        <v>Forest owners/managers</v>
      </c>
      <c r="CT54" s="78"/>
      <c r="CU54" s="78"/>
      <c r="CV54" s="79"/>
      <c r="CW54" s="78"/>
      <c r="CX54" s="78"/>
      <c r="CY54" s="78"/>
      <c r="CZ54" s="78"/>
      <c r="DA54" s="78"/>
      <c r="DB54" s="78"/>
      <c r="DC54" s="78"/>
      <c r="DD54" s="78"/>
      <c r="DE54" s="78"/>
      <c r="DF54" s="78"/>
      <c r="DG54" s="78"/>
      <c r="DH54" s="78"/>
      <c r="DI54" s="82"/>
      <c r="DJ54" s="78"/>
      <c r="DK54" s="78" t="str">
        <f>$B54</f>
        <v>Forest owners/managers</v>
      </c>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row>
    <row r="55" spans="1:142" x14ac:dyDescent="0.25">
      <c r="A55" s="14"/>
      <c r="B55" s="84" t="s">
        <v>301</v>
      </c>
      <c r="C55" s="84"/>
      <c r="D55" s="85"/>
      <c r="E55" s="84"/>
      <c r="F55" s="14"/>
      <c r="G55" s="14"/>
      <c r="H55" s="21"/>
      <c r="I55" s="21"/>
      <c r="J55" s="14"/>
      <c r="K55" s="14"/>
      <c r="L55" s="14"/>
      <c r="M55" s="14"/>
      <c r="N55" s="14"/>
      <c r="O55" s="14"/>
      <c r="P55" s="14"/>
      <c r="Q55" s="47"/>
      <c r="R55" s="19"/>
      <c r="S55" s="84" t="s">
        <v>322</v>
      </c>
      <c r="T55" s="84"/>
      <c r="U55" s="85"/>
      <c r="V55" s="84"/>
      <c r="W55" s="14"/>
      <c r="X55" s="14"/>
      <c r="Y55" s="14"/>
      <c r="Z55" s="14"/>
      <c r="AA55" s="14"/>
      <c r="AB55" s="14"/>
      <c r="AC55" s="14"/>
      <c r="AD55" s="65"/>
      <c r="AE55" s="63"/>
      <c r="AF55" s="47"/>
      <c r="AG55" s="19"/>
      <c r="AH55" s="84" t="s">
        <v>328</v>
      </c>
      <c r="AI55" s="84"/>
      <c r="AJ55" s="85"/>
      <c r="AK55" s="84"/>
      <c r="AL55" s="84"/>
      <c r="AM55" s="14"/>
      <c r="AN55" s="14"/>
      <c r="AO55" s="14"/>
      <c r="AP55" s="14"/>
      <c r="AQ55" s="14"/>
      <c r="AR55" s="14"/>
      <c r="AS55" s="65"/>
      <c r="AT55" s="63"/>
      <c r="AU55" s="47"/>
      <c r="AV55" s="14"/>
      <c r="AW55" s="84" t="s">
        <v>347</v>
      </c>
      <c r="AX55" s="84"/>
      <c r="AY55" s="85"/>
      <c r="AZ55" s="84"/>
      <c r="BA55" s="84"/>
      <c r="BB55" s="14"/>
      <c r="BC55" s="14"/>
      <c r="BD55" s="14"/>
      <c r="BE55" s="14"/>
      <c r="BF55" s="14"/>
      <c r="BG55" s="14"/>
      <c r="BH55" s="65"/>
      <c r="BI55" s="63"/>
      <c r="BJ55" s="352"/>
      <c r="BK55" s="19"/>
      <c r="BL55" s="84" t="s">
        <v>348</v>
      </c>
      <c r="BM55" s="84"/>
      <c r="BN55" s="85"/>
      <c r="BO55" s="84"/>
      <c r="BP55" s="84"/>
      <c r="BQ55" s="14"/>
      <c r="BR55" s="14"/>
      <c r="BS55" s="14"/>
      <c r="BT55" s="14"/>
      <c r="BU55" s="14"/>
      <c r="BV55" s="14"/>
      <c r="BW55" s="65"/>
      <c r="BX55" s="63"/>
      <c r="BY55" s="352"/>
      <c r="BZ55" s="14"/>
      <c r="CA55" s="148" t="s">
        <v>303</v>
      </c>
      <c r="CB55" s="85"/>
      <c r="CC55" s="85"/>
      <c r="CD55" s="147"/>
      <c r="CE55" s="147"/>
      <c r="CF55" s="147"/>
      <c r="CG55" s="14"/>
      <c r="CH55" s="14"/>
      <c r="CI55" s="14"/>
      <c r="CJ55" s="14"/>
      <c r="CK55" s="14"/>
      <c r="CL55" s="14"/>
      <c r="CM55" s="14"/>
      <c r="CN55" s="14"/>
      <c r="CO55" s="129"/>
      <c r="CP55" s="14"/>
      <c r="CQ55" s="47"/>
      <c r="CR55" s="14"/>
      <c r="CS55" s="148" t="s">
        <v>304</v>
      </c>
      <c r="CT55" s="84"/>
      <c r="CU55" s="85"/>
      <c r="CV55" s="85"/>
      <c r="CW55" s="150"/>
      <c r="CX55" s="150"/>
      <c r="CY55" s="14"/>
      <c r="CZ55" s="14"/>
      <c r="DA55" s="14"/>
      <c r="DB55" s="14"/>
      <c r="DC55" s="14"/>
      <c r="DD55" s="14"/>
      <c r="DE55" s="14"/>
      <c r="DF55" s="14"/>
      <c r="DG55" s="129"/>
      <c r="DH55" s="14"/>
      <c r="DI55" s="47"/>
      <c r="DJ55" s="14"/>
      <c r="DK55" s="84" t="s">
        <v>305</v>
      </c>
      <c r="DL55" s="84"/>
      <c r="DM55" s="85"/>
      <c r="DN55" s="8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row>
    <row r="56" spans="1:142" x14ac:dyDescent="0.25">
      <c r="A56" s="14"/>
      <c r="B56" s="14"/>
      <c r="C56" s="14"/>
      <c r="D56" s="14"/>
      <c r="E56" s="14"/>
      <c r="F56" s="14"/>
      <c r="G56" s="14"/>
      <c r="H56" s="21"/>
      <c r="I56" s="21"/>
      <c r="J56" s="14"/>
      <c r="K56" s="14"/>
      <c r="L56" s="14"/>
      <c r="M56" s="14"/>
      <c r="N56" s="14"/>
      <c r="O56" s="14"/>
      <c r="P56" s="14"/>
      <c r="Q56" s="47"/>
      <c r="R56" s="19"/>
      <c r="S56" s="14"/>
      <c r="T56" s="14"/>
      <c r="U56" s="15"/>
      <c r="V56" s="14"/>
      <c r="W56" s="14"/>
      <c r="X56" s="14"/>
      <c r="Y56" s="14"/>
      <c r="Z56" s="14"/>
      <c r="AA56" s="14"/>
      <c r="AB56" s="14"/>
      <c r="AC56" s="14"/>
      <c r="AD56" s="65"/>
      <c r="AE56" s="63"/>
      <c r="AF56" s="47"/>
      <c r="AG56" s="19"/>
      <c r="AH56" s="14"/>
      <c r="AI56" s="14"/>
      <c r="AJ56" s="15"/>
      <c r="AK56" s="14"/>
      <c r="AL56" s="14"/>
      <c r="AM56" s="14"/>
      <c r="AN56" s="14"/>
      <c r="AO56" s="14"/>
      <c r="AP56" s="14"/>
      <c r="AQ56" s="14"/>
      <c r="AR56" s="14"/>
      <c r="AS56" s="65"/>
      <c r="AT56" s="63"/>
      <c r="AU56" s="47"/>
      <c r="AV56" s="14"/>
      <c r="AW56" s="14"/>
      <c r="AX56" s="14"/>
      <c r="AY56" s="15"/>
      <c r="AZ56" s="14"/>
      <c r="BA56" s="14"/>
      <c r="BB56" s="14"/>
      <c r="BC56" s="14"/>
      <c r="BD56" s="14"/>
      <c r="BE56" s="14"/>
      <c r="BF56" s="14"/>
      <c r="BG56" s="14"/>
      <c r="BH56" s="65"/>
      <c r="BI56" s="63"/>
      <c r="BJ56" s="352"/>
      <c r="BK56" s="19"/>
      <c r="BL56" s="14"/>
      <c r="BM56" s="14"/>
      <c r="BN56" s="15"/>
      <c r="BO56" s="14"/>
      <c r="BP56" s="14"/>
      <c r="BQ56" s="14"/>
      <c r="BR56" s="14"/>
      <c r="BS56" s="14"/>
      <c r="BT56" s="14"/>
      <c r="BU56" s="14"/>
      <c r="BV56" s="14"/>
      <c r="BW56" s="65"/>
      <c r="BX56" s="63"/>
      <c r="BY56" s="352"/>
      <c r="BZ56" s="14"/>
      <c r="CA56" s="14"/>
      <c r="CB56" s="21"/>
      <c r="CC56" s="21"/>
      <c r="CD56" s="21"/>
      <c r="CE56" s="21"/>
      <c r="CF56" s="21"/>
      <c r="CG56" s="17"/>
      <c r="CH56" s="14"/>
      <c r="CI56" s="14"/>
      <c r="CJ56" s="14"/>
      <c r="CK56" s="14"/>
      <c r="CL56" s="14"/>
      <c r="CM56" s="14"/>
      <c r="CN56" s="14"/>
      <c r="CO56" s="129"/>
      <c r="CP56" s="14"/>
      <c r="CQ56" s="47"/>
      <c r="CR56" s="14"/>
      <c r="CS56" s="14"/>
      <c r="CT56" s="14"/>
      <c r="CU56" s="14"/>
      <c r="CV56" s="21"/>
      <c r="CW56" s="14"/>
      <c r="CX56" s="14"/>
      <c r="CY56" s="14"/>
      <c r="CZ56" s="14"/>
      <c r="DA56" s="14"/>
      <c r="DB56" s="14"/>
      <c r="DC56" s="14"/>
      <c r="DD56" s="14"/>
      <c r="DE56" s="14"/>
      <c r="DF56" s="14"/>
      <c r="DG56" s="129"/>
      <c r="DH56" s="14"/>
      <c r="DI56" s="47"/>
      <c r="DJ56" s="14"/>
      <c r="DK56" s="14"/>
      <c r="DL56" s="14"/>
      <c r="DM56" s="15"/>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row>
    <row r="57" spans="1:142" ht="27.6" x14ac:dyDescent="0.25">
      <c r="A57" s="14"/>
      <c r="B57" s="112" t="s">
        <v>23</v>
      </c>
      <c r="C57" s="113" t="s">
        <v>24</v>
      </c>
      <c r="D57" s="113" t="s">
        <v>145</v>
      </c>
      <c r="E57" s="113" t="s">
        <v>300</v>
      </c>
      <c r="F57" s="14"/>
      <c r="G57" s="14"/>
      <c r="H57" s="27"/>
      <c r="I57" s="21"/>
      <c r="J57" s="14"/>
      <c r="K57" s="14"/>
      <c r="L57" s="51"/>
      <c r="M57" s="51"/>
      <c r="N57" s="51"/>
      <c r="O57" s="51"/>
      <c r="P57" s="51"/>
      <c r="Q57" s="47"/>
      <c r="R57" s="19"/>
      <c r="S57" s="112" t="s">
        <v>23</v>
      </c>
      <c r="T57" s="113" t="s">
        <v>24</v>
      </c>
      <c r="U57" s="113" t="s">
        <v>145</v>
      </c>
      <c r="V57" s="113" t="s">
        <v>300</v>
      </c>
      <c r="W57" s="14"/>
      <c r="X57" s="14"/>
      <c r="Y57" s="14"/>
      <c r="Z57" s="14"/>
      <c r="AA57" s="14"/>
      <c r="AB57" s="14"/>
      <c r="AC57" s="14"/>
      <c r="AD57" s="65"/>
      <c r="AE57" s="63"/>
      <c r="AF57" s="47"/>
      <c r="AG57" s="19"/>
      <c r="AH57" s="112" t="s">
        <v>23</v>
      </c>
      <c r="AI57" s="113" t="s">
        <v>24</v>
      </c>
      <c r="AJ57" s="113" t="s">
        <v>145</v>
      </c>
      <c r="AK57" s="113" t="s">
        <v>300</v>
      </c>
      <c r="AL57" s="14"/>
      <c r="AM57" s="14"/>
      <c r="AN57" s="14"/>
      <c r="AO57" s="14"/>
      <c r="AP57" s="14"/>
      <c r="AQ57" s="14"/>
      <c r="AR57" s="14"/>
      <c r="AS57" s="65"/>
      <c r="AT57" s="63"/>
      <c r="AU57" s="47"/>
      <c r="AV57" s="19"/>
      <c r="AW57" s="112" t="s">
        <v>23</v>
      </c>
      <c r="AX57" s="113" t="s">
        <v>24</v>
      </c>
      <c r="AY57" s="113" t="s">
        <v>145</v>
      </c>
      <c r="AZ57" s="113" t="s">
        <v>300</v>
      </c>
      <c r="BA57" s="14"/>
      <c r="BB57" s="14"/>
      <c r="BC57" s="14"/>
      <c r="BD57" s="14"/>
      <c r="BE57" s="14"/>
      <c r="BF57" s="14"/>
      <c r="BG57" s="14"/>
      <c r="BH57" s="65"/>
      <c r="BI57" s="63"/>
      <c r="BJ57" s="352"/>
      <c r="BK57" s="19"/>
      <c r="BL57" s="112" t="s">
        <v>23</v>
      </c>
      <c r="BM57" s="113" t="s">
        <v>24</v>
      </c>
      <c r="BN57" s="113" t="s">
        <v>145</v>
      </c>
      <c r="BO57" s="113" t="s">
        <v>300</v>
      </c>
      <c r="BP57" s="14"/>
      <c r="BQ57" s="14"/>
      <c r="BR57" s="14"/>
      <c r="BS57" s="14"/>
      <c r="BT57" s="14"/>
      <c r="BU57" s="14"/>
      <c r="BV57" s="14"/>
      <c r="BW57" s="65"/>
      <c r="BX57" s="63"/>
      <c r="BY57" s="352"/>
      <c r="BZ57" s="14"/>
      <c r="CA57" s="112" t="s">
        <v>23</v>
      </c>
      <c r="CB57" s="113" t="s">
        <v>145</v>
      </c>
      <c r="CC57" s="58"/>
      <c r="CD57" s="58"/>
      <c r="CE57" s="21"/>
      <c r="CF57" s="21"/>
      <c r="CG57" s="14"/>
      <c r="CH57" s="14"/>
      <c r="CI57" s="14"/>
      <c r="CJ57" s="14"/>
      <c r="CK57" s="14"/>
      <c r="CL57" s="14"/>
      <c r="CM57" s="14"/>
      <c r="CN57" s="14"/>
      <c r="CO57" s="129"/>
      <c r="CP57" s="20"/>
      <c r="CQ57" s="47"/>
      <c r="CR57" s="14"/>
      <c r="CS57" s="112" t="s">
        <v>23</v>
      </c>
      <c r="CT57" s="113" t="s">
        <v>145</v>
      </c>
      <c r="CU57" s="14"/>
      <c r="CV57" s="21"/>
      <c r="CW57" s="14"/>
      <c r="CX57" s="14"/>
      <c r="CY57" s="14"/>
      <c r="CZ57" s="14"/>
      <c r="DA57" s="14"/>
      <c r="DB57" s="14"/>
      <c r="DC57" s="14"/>
      <c r="DD57" s="14"/>
      <c r="DE57" s="14"/>
      <c r="DF57" s="14"/>
      <c r="DG57" s="129"/>
      <c r="DH57" s="17"/>
      <c r="DI57" s="47"/>
      <c r="DJ57" s="17"/>
      <c r="DK57" s="112" t="s">
        <v>23</v>
      </c>
      <c r="DL57" s="113" t="s">
        <v>24</v>
      </c>
      <c r="DM57" s="113" t="s">
        <v>145</v>
      </c>
      <c r="DN57" s="113" t="s">
        <v>300</v>
      </c>
      <c r="DO57" s="14"/>
      <c r="DP57" s="14"/>
      <c r="DQ57" s="14"/>
      <c r="DR57" s="14"/>
      <c r="DS57" s="14"/>
      <c r="DT57" s="14"/>
      <c r="DU57" s="51"/>
      <c r="DV57" s="14"/>
      <c r="DW57" s="14"/>
      <c r="DX57" s="14"/>
      <c r="DY57" s="14"/>
      <c r="DZ57" s="14"/>
      <c r="EA57" s="14"/>
      <c r="EB57" s="14"/>
      <c r="EC57" s="14"/>
      <c r="ED57" s="14"/>
      <c r="EE57" s="14"/>
      <c r="EF57" s="14"/>
      <c r="EG57" s="14"/>
      <c r="EH57" s="14"/>
      <c r="EI57" s="14"/>
      <c r="EJ57" s="14"/>
      <c r="EK57" s="14"/>
      <c r="EL57" s="14"/>
    </row>
    <row r="58" spans="1:142" x14ac:dyDescent="0.25">
      <c r="A58" s="14"/>
      <c r="B58" s="57" t="s">
        <v>2</v>
      </c>
      <c r="C58" s="121" t="str">
        <f>IF(H77=0,"na",IF(COUNTIF(H72:H76,MAX(H72:H76))&gt;COUNTIF(G72:G76,"&lt;&gt;""")/2,"No clear choice of the most common response",INDEX(G72:G76,MATCH(MAX(H72:H76),H72:H76,0),1)))</f>
        <v>I don’t know</v>
      </c>
      <c r="D58" s="58">
        <f>COUNTIFS(S30_stakeholder_category,"FO",Response_Q173_5,"&lt;&gt;0")</f>
        <v>3</v>
      </c>
      <c r="E58" s="121">
        <f>COUNTIFS(S30_stakeholder_category,"FO",Response_Q173_5,"I don’t know")</f>
        <v>2</v>
      </c>
      <c r="F58" s="14"/>
      <c r="G58" s="14"/>
      <c r="H58" s="27"/>
      <c r="I58" s="21"/>
      <c r="J58" s="14"/>
      <c r="K58" s="14"/>
      <c r="L58" s="19"/>
      <c r="M58" s="19"/>
      <c r="N58" s="19"/>
      <c r="O58" s="19"/>
      <c r="P58" s="19"/>
      <c r="Q58" s="47"/>
      <c r="R58" s="19"/>
      <c r="S58" s="34" t="s">
        <v>2</v>
      </c>
      <c r="T58" s="37" t="str">
        <f>IF(Y79=0,"na",IF(COUNTIF(Y72:Y78,MAX(Y72:Y78))&gt;COUNTIF(X72:X78,"&lt;&gt;""")/2,"No clear choice of the most common response",INDEX(X72:X78,MATCH(MAX(Y72:Y78),Y72:Y78,0),1)))</f>
        <v>I don’t know</v>
      </c>
      <c r="U58" s="33">
        <f>COUNTIFS(S30_stakeholder_category,"FO",Response_Q176_3,"&lt;&gt;0")</f>
        <v>4</v>
      </c>
      <c r="V58" s="37">
        <f>COUNTIFS(S30_stakeholder_category,"FO",Response_Q176_3,"I don’t know")</f>
        <v>3</v>
      </c>
      <c r="W58" s="14"/>
      <c r="X58" s="14"/>
      <c r="Y58" s="14"/>
      <c r="Z58" s="14"/>
      <c r="AA58" s="14"/>
      <c r="AB58" s="14"/>
      <c r="AC58" s="14"/>
      <c r="AD58" s="65"/>
      <c r="AE58" s="63"/>
      <c r="AF58" s="47"/>
      <c r="AG58" s="19"/>
      <c r="AH58" s="57" t="s">
        <v>2</v>
      </c>
      <c r="AI58" s="121" t="str">
        <f>IF(AN79=0,"na",IF(COUNTIF(AN72:AN78,MAX(AN72:AN78))&gt;COUNTIF(AM72:AM78,"&lt;&gt;""")/2,"No clear choice of the most common response",INDEX(AM72:AM78,MATCH(MAX(AN72:AN78),AN72:AN78,0),1)))</f>
        <v>Very unlikely</v>
      </c>
      <c r="AJ58" s="58">
        <f>COUNTIFS(S30_stakeholder_category,"FO",Response_30c_CaseA,"&lt;&gt;0")</f>
        <v>2</v>
      </c>
      <c r="AK58" s="121">
        <f>COUNTIFS(S30_stakeholder_category,"FO",Response_30c_CaseA,"I don’t know")</f>
        <v>0</v>
      </c>
      <c r="AL58" s="14"/>
      <c r="AM58" s="14"/>
      <c r="AN58" s="14"/>
      <c r="AO58" s="14"/>
      <c r="AP58" s="14"/>
      <c r="AQ58" s="14"/>
      <c r="AR58" s="14"/>
      <c r="AS58" s="65"/>
      <c r="AT58" s="63"/>
      <c r="AU58" s="47"/>
      <c r="AV58" s="19"/>
      <c r="AW58" s="57" t="s">
        <v>2</v>
      </c>
      <c r="AX58" s="121" t="str">
        <f>IF(BC79=0,"na",IF(COUNTIF(BC72:BC78,MAX(BC72:BC78))&gt;COUNTIF(BB72:BB78,"&lt;&gt;""")/2,"No clear choice of the most common response",INDEX(BB72:BB78,MATCH(MAX(BC72:BC78),BC72:BC78,0),1)))</f>
        <v>Very unlikely</v>
      </c>
      <c r="AY58" s="58">
        <f>COUNTIFS(S30_stakeholder_category,"FO",Response_30c_CaseB,"&lt;&gt;0")</f>
        <v>2</v>
      </c>
      <c r="AZ58" s="121">
        <f>COUNTIFS(S30_stakeholder_category,"FO",Response_30c_CaseB,"I don’t know")</f>
        <v>0</v>
      </c>
      <c r="BA58" s="14"/>
      <c r="BB58" s="14"/>
      <c r="BC58" s="14"/>
      <c r="BD58" s="14"/>
      <c r="BE58" s="14"/>
      <c r="BF58" s="14"/>
      <c r="BG58" s="14"/>
      <c r="BH58" s="65"/>
      <c r="BI58" s="63"/>
      <c r="BJ58" s="352"/>
      <c r="BK58" s="19"/>
      <c r="BL58" s="57" t="s">
        <v>2</v>
      </c>
      <c r="BM58" s="121" t="str">
        <f>IF(BR79=0,"na",IF(COUNTIF(BR72:BR78,MAX(BR72:BR78))&gt;COUNTIF(BQ72:BQ78,"&lt;&gt;""")/2,"No clear choice of the most common response",INDEX(BQ72:BQ78,MATCH(MAX(BR72:BR78),BR72:BR78,0),1)))</f>
        <v>Very unlikely</v>
      </c>
      <c r="BN58" s="58">
        <f>COUNTIFS(S30_stakeholder_category,"FO",Response_30c_CaseC,"&lt;&gt;0")</f>
        <v>2</v>
      </c>
      <c r="BO58" s="121">
        <f>COUNTIFS(S30_stakeholder_category,"FO",Response_30c_CaseC,"I don’t know")</f>
        <v>0</v>
      </c>
      <c r="BP58" s="14"/>
      <c r="BQ58" s="14"/>
      <c r="BR58" s="14"/>
      <c r="BS58" s="14"/>
      <c r="BT58" s="14"/>
      <c r="BU58" s="14"/>
      <c r="BV58" s="14"/>
      <c r="BW58" s="65"/>
      <c r="BX58" s="63"/>
      <c r="BY58" s="352"/>
      <c r="BZ58" s="14"/>
      <c r="CA58" s="34" t="s">
        <v>2</v>
      </c>
      <c r="CB58" s="37">
        <f>MAX(SUM(CC64:CC70),SUM(CD64:CD70),SUM(CE64:CE70))</f>
        <v>3</v>
      </c>
      <c r="CC58" s="21"/>
      <c r="CD58" s="21"/>
      <c r="CE58" s="21"/>
      <c r="CF58" s="21"/>
      <c r="CG58" s="14"/>
      <c r="CH58" s="14"/>
      <c r="CI58" s="14"/>
      <c r="CJ58" s="14"/>
      <c r="CK58" s="14"/>
      <c r="CL58" s="14"/>
      <c r="CM58" s="14"/>
      <c r="CN58" s="14"/>
      <c r="CO58" s="129"/>
      <c r="CP58" s="38"/>
      <c r="CQ58" s="47"/>
      <c r="CR58" s="14"/>
      <c r="CS58" s="34" t="s">
        <v>2</v>
      </c>
      <c r="CT58" s="37">
        <f>MAX(SUM(CU64:CU70),SUM(CV64:CV70),SUM(CW64:CW70))</f>
        <v>2</v>
      </c>
      <c r="CU58" s="14"/>
      <c r="CV58" s="21"/>
      <c r="CW58" s="14"/>
      <c r="CX58" s="14"/>
      <c r="CY58" s="14"/>
      <c r="CZ58" s="14"/>
      <c r="DA58" s="14"/>
      <c r="DB58" s="14"/>
      <c r="DC58" s="14"/>
      <c r="DD58" s="14"/>
      <c r="DE58" s="14"/>
      <c r="DF58" s="14"/>
      <c r="DG58" s="129"/>
      <c r="DH58" s="29"/>
      <c r="DI58" s="47"/>
      <c r="DJ58" s="29"/>
      <c r="DK58" s="34" t="s">
        <v>2</v>
      </c>
      <c r="DL58" s="37" t="str">
        <f>IF(DQ77=0,"na",IF(COUNTIF(DQ72:DQ76,MAX(DQ72:DQ76))&gt;COUNTIF(DP72:DP76,"&lt;&gt;""")/2,"No clear choice of the most common response",INDEX(DP72:DP76,MATCH(MAX(DQ72:DQ76),DQ72:DQ76,0),1)))</f>
        <v>No clear choice of the most common response</v>
      </c>
      <c r="DM58" s="33">
        <f>COUNTIFS(S30_stakeholder_category,"FO",Response_Q172_1,"&lt;&gt;0",Response_Q173_5,"&lt;&gt;0")</f>
        <v>3</v>
      </c>
      <c r="DN58" s="37">
        <f>DQ76</f>
        <v>0</v>
      </c>
      <c r="DO58" s="14"/>
      <c r="DP58" s="14"/>
      <c r="DQ58" s="14"/>
      <c r="DR58" s="14"/>
      <c r="DS58" s="14"/>
      <c r="DT58" s="14"/>
      <c r="DU58" s="40"/>
      <c r="DV58" s="14"/>
      <c r="DW58" s="14"/>
      <c r="DX58" s="14"/>
      <c r="DY58" s="14"/>
      <c r="DZ58" s="14"/>
      <c r="EA58" s="14"/>
      <c r="EB58" s="14"/>
      <c r="EC58" s="14"/>
      <c r="ED58" s="14"/>
      <c r="EE58" s="14"/>
      <c r="EF58" s="14"/>
      <c r="EG58" s="14"/>
      <c r="EH58" s="14"/>
      <c r="EI58" s="14"/>
      <c r="EJ58" s="14"/>
      <c r="EK58" s="14"/>
      <c r="EL58" s="14"/>
    </row>
    <row r="59" spans="1:142" x14ac:dyDescent="0.25">
      <c r="A59" s="14"/>
      <c r="B59" s="57"/>
      <c r="C59" s="121" t="str">
        <f ca="1">IF(H77=0,"",IF(COUNTIF(H72:H76,MAX(H72:H76))=1,"",IF(COUNTIF(H72:H76,MAX(H72:H76))&gt;COUNTIF(G72:G76,"&lt;&gt;""")/2,"",INDEX(OFFSET(G72,MATCH(C58,G72:G77,0),0):G76,MATCH(MAX(H72:H76),OFFSET(H72,MATCH(C58,G72:G77,0),0):H76,0),1))))</f>
        <v/>
      </c>
      <c r="D59" s="58"/>
      <c r="E59" s="121"/>
      <c r="F59" s="14"/>
      <c r="G59" s="14"/>
      <c r="H59" s="27"/>
      <c r="I59" s="21"/>
      <c r="J59" s="14"/>
      <c r="K59" s="14"/>
      <c r="L59" s="19"/>
      <c r="M59" s="19"/>
      <c r="N59" s="19"/>
      <c r="O59" s="19"/>
      <c r="P59" s="19"/>
      <c r="Q59" s="47"/>
      <c r="R59" s="19"/>
      <c r="S59" s="34"/>
      <c r="T59" s="37" t="str">
        <f ca="1">IF(Y79=0,"",IF(COUNTIF(Y72:Y78,MAX(Y72:Y78))=1,"",IF(COUNTIF(Y72:Y78,MAX(Y72:Y78))&gt;COUNTIF(X72:X78,"&lt;&gt;""")/2,"",INDEX(OFFSET(X72,MATCH(T58,X72:X78,0),0):X78,MATCH(MAX(Y72:Y78),OFFSET(Y72,MATCH(T58,X72:X78,0),0):Y78,0),1))))</f>
        <v/>
      </c>
      <c r="U59" s="33"/>
      <c r="V59" s="37"/>
      <c r="W59" s="14"/>
      <c r="X59" s="14"/>
      <c r="Y59" s="14"/>
      <c r="Z59" s="14"/>
      <c r="AA59" s="14"/>
      <c r="AB59" s="14"/>
      <c r="AC59" s="14"/>
      <c r="AD59" s="65"/>
      <c r="AE59" s="63"/>
      <c r="AF59" s="47"/>
      <c r="AG59" s="19"/>
      <c r="AH59" s="57"/>
      <c r="AI59" s="121" t="str">
        <f ca="1">IF(AN79=0,"",IF(COUNTIF(AN72:AN78,MAX(AN72:AN78))=1,"",IF(COUNTIF(AN72:AN78,MAX(AN72:AN78))&gt;COUNTIF(AM72:AM78,"&lt;&gt;""")/2,"",INDEX(OFFSET(AM72,MATCH(AI58,AM72:AM78,0),0):AM78,MATCH(MAX(AN72:AN78),OFFSET(AN72,MATCH(AI58,AM72:AM78,0),0):AN78,0),1))))</f>
        <v/>
      </c>
      <c r="AJ59" s="58"/>
      <c r="AK59" s="121"/>
      <c r="AL59" s="14"/>
      <c r="AM59" s="14"/>
      <c r="AN59" s="14"/>
      <c r="AO59" s="14"/>
      <c r="AP59" s="14"/>
      <c r="AQ59" s="14"/>
      <c r="AR59" s="14"/>
      <c r="AS59" s="65"/>
      <c r="AT59" s="63"/>
      <c r="AU59" s="47"/>
      <c r="AV59" s="19"/>
      <c r="AW59" s="57"/>
      <c r="AX59" s="121" t="str">
        <f ca="1">IF(BC79=0,"",IF(COUNTIF(BC72:BC78,MAX(BC72:BC78))=1,"",IF(COUNTIF(BC72:BC78,MAX(BC72:BC78))&gt;COUNTIF(BB72:BB78,"&lt;&gt;""")/2,"",INDEX(OFFSET(BB72,MATCH(AX58,BB72:BB78,0),0):BB78,MATCH(MAX(BC72:BC78),OFFSET(BC72,MATCH(AX58,BB72:BB78,0),0):BC78,0),1))))</f>
        <v/>
      </c>
      <c r="AY59" s="58"/>
      <c r="AZ59" s="121"/>
      <c r="BA59" s="14"/>
      <c r="BB59" s="14"/>
      <c r="BC59" s="14"/>
      <c r="BD59" s="14"/>
      <c r="BE59" s="14"/>
      <c r="BF59" s="14"/>
      <c r="BG59" s="14"/>
      <c r="BH59" s="65"/>
      <c r="BI59" s="63"/>
      <c r="BJ59" s="352"/>
      <c r="BK59" s="19"/>
      <c r="BL59" s="57"/>
      <c r="BM59" s="121" t="str">
        <f ca="1">IF(BR79=0,"",IF(COUNTIF(BR72:BR78,MAX(BR72:BR78))=1,"",IF(COUNTIF(BR72:BR78,MAX(BR72:BR78))&gt;COUNTIF(BQ72:BQ78,"&lt;&gt;""")/2,"",INDEX(OFFSET(BQ72,MATCH(BM58,BQ72:BQ78,0),0):BQ78,MATCH(MAX(BR72:BR78),OFFSET(BR72,MATCH(BM58,BQ72:BQ78,0),0):BR78,0),1))))</f>
        <v/>
      </c>
      <c r="BN59" s="58"/>
      <c r="BO59" s="121"/>
      <c r="BP59" s="14"/>
      <c r="BQ59" s="14"/>
      <c r="BR59" s="14"/>
      <c r="BS59" s="14"/>
      <c r="BT59" s="14"/>
      <c r="BU59" s="14"/>
      <c r="BV59" s="14"/>
      <c r="BW59" s="65"/>
      <c r="BX59" s="63"/>
      <c r="BY59" s="352"/>
      <c r="BZ59" s="14"/>
      <c r="CA59" s="14"/>
      <c r="CB59" s="21"/>
      <c r="CC59" s="21"/>
      <c r="CD59" s="21"/>
      <c r="CE59" s="21"/>
      <c r="CF59" s="21"/>
      <c r="CG59" s="14"/>
      <c r="CH59" s="14"/>
      <c r="CI59" s="14"/>
      <c r="CJ59" s="14"/>
      <c r="CK59" s="14"/>
      <c r="CL59" s="14"/>
      <c r="CM59" s="14"/>
      <c r="CN59" s="14"/>
      <c r="CO59" s="129"/>
      <c r="CP59" s="38"/>
      <c r="CQ59" s="47"/>
      <c r="CR59" s="14"/>
      <c r="CS59" s="14"/>
      <c r="CT59" s="14"/>
      <c r="CU59" s="14"/>
      <c r="CV59" s="21"/>
      <c r="CW59" s="14"/>
      <c r="CX59" s="14"/>
      <c r="CY59" s="14"/>
      <c r="CZ59" s="14"/>
      <c r="DA59" s="14"/>
      <c r="DB59" s="14"/>
      <c r="DC59" s="14"/>
      <c r="DD59" s="14"/>
      <c r="DE59" s="14"/>
      <c r="DF59" s="14"/>
      <c r="DG59" s="129"/>
      <c r="DH59" s="29"/>
      <c r="DI59" s="47"/>
      <c r="DJ59" s="29"/>
      <c r="DK59" s="34"/>
      <c r="DL59" s="121" t="str">
        <f ca="1">IF(DQ77=0,"",IF(COUNTIF(DQ72:DQ76,MAX(DQ72:DQ76))=1,"",IF(COUNTIF(DQ72:DQ76,MAX(DQ72:DQ76))&gt;COUNTIF(DP72:DP76,"&lt;&gt;""")/2,"",INDEX(OFFSET(DP72,MATCH(DL58,DP72:DP77,0),0):DP76,MATCH(MAX(DQ72:DQ76),OFFSET(DQ72,MATCH(DL58,DP72:DP77,0),0):DQ76,0),1))))</f>
        <v/>
      </c>
      <c r="DM59" s="33"/>
      <c r="DN59" s="37"/>
      <c r="DO59" s="14"/>
      <c r="DP59" s="14"/>
      <c r="DQ59" s="14"/>
      <c r="DR59" s="14"/>
      <c r="DS59" s="14"/>
      <c r="DT59" s="14"/>
      <c r="DU59" s="40"/>
      <c r="DV59" s="14"/>
      <c r="DW59" s="14"/>
      <c r="DX59" s="14"/>
      <c r="DY59" s="14"/>
      <c r="DZ59" s="14"/>
      <c r="EA59" s="14"/>
      <c r="EB59" s="14"/>
      <c r="EC59" s="14"/>
      <c r="ED59" s="14"/>
      <c r="EE59" s="14"/>
      <c r="EF59" s="14"/>
      <c r="EG59" s="14"/>
      <c r="EH59" s="14"/>
      <c r="EI59" s="14"/>
      <c r="EJ59" s="14"/>
      <c r="EK59" s="14"/>
      <c r="EL59" s="14"/>
    </row>
    <row r="60" spans="1:142" x14ac:dyDescent="0.25">
      <c r="A60" s="14"/>
      <c r="B60" s="57"/>
      <c r="C60" s="121" t="str">
        <f ca="1" xml:space="preserve"> IF(H77=0,"",IF(H77=0,"", IF(COUNTIF(H72:H76,MAX(H72:H76))&lt;=2,"",IF(COUNTIF(H72:H76,MAX(H72:H76))&gt;COUNTIF(G72:G76,"&lt;&gt;""")/2,"", INDEX(OFFSET(G72,MATCH(C59,G72:G77,0),0):G76,         MATCH(MAX(H72:H76),        OFFSET(H72,MATCH(C59,G72:G77,0),0):H76,0),1)))))</f>
        <v/>
      </c>
      <c r="D60" s="58"/>
      <c r="E60" s="121"/>
      <c r="F60" s="14"/>
      <c r="G60" s="14"/>
      <c r="H60" s="27"/>
      <c r="I60" s="21"/>
      <c r="J60" s="14"/>
      <c r="K60" s="14"/>
      <c r="L60" s="19"/>
      <c r="M60" s="19"/>
      <c r="N60" s="19"/>
      <c r="O60" s="19"/>
      <c r="P60" s="19"/>
      <c r="Q60" s="47"/>
      <c r="R60" s="19"/>
      <c r="S60" s="34"/>
      <c r="T60" s="121" t="str">
        <f ca="1" xml:space="preserve"> IF(Y79=0,"",IF(Y79=0,"", IF(COUNTIF(Y72:Y78,MAX(Y72:Y78))&lt;=2,"",IF(COUNTIF(Y72:Y78,MAX(Y72:Y78))&gt;COUNTIF(X72:X78,"&lt;&gt;""")/2,"", INDEX(OFFSET(X72,MATCH(T59,X72:X78,0),0):X78,         MATCH(MAX(Y72:Y78),        OFFSET(Y72,MATCH(T59,X72:X78,0),0):Y78,0),1)))))</f>
        <v/>
      </c>
      <c r="U60" s="33"/>
      <c r="V60" s="37"/>
      <c r="W60" s="14"/>
      <c r="X60" s="14"/>
      <c r="Y60" s="14"/>
      <c r="Z60" s="14"/>
      <c r="AA60" s="14"/>
      <c r="AB60" s="14"/>
      <c r="AC60" s="14"/>
      <c r="AD60" s="65"/>
      <c r="AE60" s="63"/>
      <c r="AF60" s="47"/>
      <c r="AG60" s="19"/>
      <c r="AH60" s="57"/>
      <c r="AI60" s="121" t="str">
        <f ca="1" xml:space="preserve"> IF(AN79=0,"",IF(AN79=0,"", IF(COUNTIF(AN72:AN78,MAX(AN72:AN78))&lt;=2,"",IF(COUNTIF(AN72:AN78,MAX(AN72:AN78))&gt;COUNTIF(AM72:AM78,"&lt;&gt;""")/2,"", INDEX(OFFSET(AM72,MATCH(AI59,AM72:AM78,0),0):AM78,         MATCH(MAX(AN72:AN78),        OFFSET(AN72,MATCH(AI59,AM72:AM78,0),0):AN78,0),1)))))</f>
        <v/>
      </c>
      <c r="AJ60" s="58"/>
      <c r="AK60" s="121"/>
      <c r="AL60" s="14"/>
      <c r="AM60" s="14"/>
      <c r="AN60" s="14"/>
      <c r="AO60" s="14"/>
      <c r="AP60" s="14"/>
      <c r="AQ60" s="14"/>
      <c r="AR60" s="14"/>
      <c r="AS60" s="65"/>
      <c r="AT60" s="63"/>
      <c r="AU60" s="47"/>
      <c r="AV60" s="19"/>
      <c r="AW60" s="57"/>
      <c r="AX60" s="121" t="str">
        <f ca="1" xml:space="preserve"> IF(BC79=0,"",IF(BC79=0,"", IF(COUNTIF(BC72:BC78,MAX(BC72:BC78))&lt;=2,"",IF(COUNTIF(BC72:BC78,MAX(BC72:BC78))&gt;COUNTIF(BB72:BB78,"&lt;&gt;""")/2,"", INDEX(OFFSET(BB72,MATCH(AX59,BB72:BB78,0),0):BB78,         MATCH(MAX(BC72:BC78),        OFFSET(BC72,MATCH(AX59,BB72:BB78,0),0):BC78,0),1)))))</f>
        <v/>
      </c>
      <c r="AY60" s="58"/>
      <c r="AZ60" s="121"/>
      <c r="BA60" s="14"/>
      <c r="BB60" s="14"/>
      <c r="BC60" s="14"/>
      <c r="BD60" s="14"/>
      <c r="BE60" s="14"/>
      <c r="BF60" s="14"/>
      <c r="BG60" s="14"/>
      <c r="BH60" s="65"/>
      <c r="BI60" s="63"/>
      <c r="BJ60" s="352"/>
      <c r="BK60" s="19"/>
      <c r="BL60" s="57"/>
      <c r="BM60" s="121" t="str">
        <f ca="1" xml:space="preserve"> IF(BR79=0,"",IF(BR79=0,"", IF(COUNTIF(BR72:BR78,MAX(BR72:BR78))&lt;=2,"",IF(COUNTIF(BR72:BR78,MAX(BR72:BR78))&gt;COUNTIF(BQ72:BQ78,"&lt;&gt;""")/2,"", INDEX(OFFSET(BQ72,MATCH(BM59,BQ72:BQ78,0),0):BQ78,         MATCH(MAX(BR72:BR78),        OFFSET(BR72,MATCH(BM59,BQ72:BQ78,0),0):BR78,0),1)))))</f>
        <v/>
      </c>
      <c r="BN60" s="58"/>
      <c r="BO60" s="121"/>
      <c r="BP60" s="14"/>
      <c r="BQ60" s="14"/>
      <c r="BR60" s="14"/>
      <c r="BS60" s="14"/>
      <c r="BT60" s="14"/>
      <c r="BU60" s="14"/>
      <c r="BV60" s="14"/>
      <c r="BW60" s="65"/>
      <c r="BX60" s="63"/>
      <c r="BY60" s="352"/>
      <c r="BZ60" s="14"/>
      <c r="CA60" s="14"/>
      <c r="CB60" s="21"/>
      <c r="CC60" s="21"/>
      <c r="CD60" s="21"/>
      <c r="CE60" s="21"/>
      <c r="CF60" s="21"/>
      <c r="CG60" s="14"/>
      <c r="CH60" s="14"/>
      <c r="CI60" s="14"/>
      <c r="CJ60" s="14"/>
      <c r="CK60" s="14"/>
      <c r="CL60" s="14"/>
      <c r="CM60" s="14"/>
      <c r="CN60" s="14"/>
      <c r="CO60" s="129"/>
      <c r="CP60" s="38"/>
      <c r="CQ60" s="47"/>
      <c r="CR60" s="14"/>
      <c r="CS60" s="14"/>
      <c r="CT60" s="14"/>
      <c r="CU60" s="14"/>
      <c r="CV60" s="21"/>
      <c r="CW60" s="14"/>
      <c r="CX60" s="14"/>
      <c r="CY60" s="14"/>
      <c r="CZ60" s="14"/>
      <c r="DA60" s="14"/>
      <c r="DB60" s="14"/>
      <c r="DC60" s="14"/>
      <c r="DD60" s="14"/>
      <c r="DE60" s="14"/>
      <c r="DF60" s="14"/>
      <c r="DG60" s="129"/>
      <c r="DH60" s="29"/>
      <c r="DI60" s="47"/>
      <c r="DJ60" s="29"/>
      <c r="DK60" s="34"/>
      <c r="DL60" s="121" t="str">
        <f ca="1" xml:space="preserve"> IF(DQ77=0,"",IF(DQ77=0,"", IF(COUNTIF(DQ72:DQ76,MAX(DQ72:DQ76))&lt;=2,"",IF(COUNTIF(DQ72:DQ76,MAX(DQ72:DQ76))&gt;COUNTIF(DP72:DP76,"&lt;&gt;""")/2,"", INDEX(OFFSET(DP72,MATCH(DL59,DP72:DP77,0),0):DP76,         MATCH(MAX(DQ72:DQ76),        OFFSET(DQ72,MATCH(DL59,DP72:DP77,0),0):DQ76,0),1)))))</f>
        <v/>
      </c>
      <c r="DM60" s="33"/>
      <c r="DN60" s="37"/>
      <c r="DO60" s="14"/>
      <c r="DP60" s="14"/>
      <c r="DQ60" s="14"/>
      <c r="DR60" s="14"/>
      <c r="DS60" s="14"/>
      <c r="DT60" s="14"/>
      <c r="DU60" s="40"/>
      <c r="DV60" s="14"/>
      <c r="DW60" s="14"/>
      <c r="DX60" s="14"/>
      <c r="DY60" s="14"/>
      <c r="DZ60" s="14"/>
      <c r="EA60" s="14"/>
      <c r="EB60" s="14"/>
      <c r="EC60" s="14"/>
      <c r="ED60" s="14"/>
      <c r="EE60" s="14"/>
      <c r="EF60" s="14"/>
      <c r="EG60" s="14"/>
      <c r="EH60" s="14"/>
      <c r="EI60" s="14"/>
      <c r="EJ60" s="14"/>
      <c r="EK60" s="14"/>
      <c r="EL60" s="14"/>
    </row>
    <row r="61" spans="1:142" x14ac:dyDescent="0.25">
      <c r="A61" s="14"/>
      <c r="B61" s="19"/>
      <c r="C61" s="19"/>
      <c r="D61" s="27"/>
      <c r="E61" s="70"/>
      <c r="F61" s="14"/>
      <c r="G61" s="14"/>
      <c r="H61" s="27"/>
      <c r="I61" s="21"/>
      <c r="J61" s="14"/>
      <c r="K61" s="14"/>
      <c r="L61" s="19"/>
      <c r="M61" s="19"/>
      <c r="N61" s="19"/>
      <c r="O61" s="19"/>
      <c r="P61" s="19"/>
      <c r="Q61" s="47"/>
      <c r="R61" s="19"/>
      <c r="S61" s="19"/>
      <c r="T61" s="14"/>
      <c r="U61" s="27"/>
      <c r="V61" s="14"/>
      <c r="W61" s="14"/>
      <c r="X61" s="14"/>
      <c r="Y61" s="14"/>
      <c r="Z61" s="14"/>
      <c r="AA61" s="14"/>
      <c r="AB61" s="14"/>
      <c r="AC61" s="14"/>
      <c r="AD61" s="65"/>
      <c r="AE61" s="63"/>
      <c r="AF61" s="47"/>
      <c r="AG61" s="19"/>
      <c r="AH61" s="19"/>
      <c r="AI61" s="14"/>
      <c r="AJ61" s="27"/>
      <c r="AK61" s="14"/>
      <c r="AL61" s="14"/>
      <c r="AM61" s="14"/>
      <c r="AN61" s="14"/>
      <c r="AO61" s="14"/>
      <c r="AP61" s="14"/>
      <c r="AQ61" s="14"/>
      <c r="AR61" s="14"/>
      <c r="AS61" s="65"/>
      <c r="AT61" s="63"/>
      <c r="AU61" s="47"/>
      <c r="AV61" s="19"/>
      <c r="AW61" s="19"/>
      <c r="AX61" s="14"/>
      <c r="AY61" s="27"/>
      <c r="AZ61" s="14"/>
      <c r="BA61" s="14"/>
      <c r="BB61" s="14"/>
      <c r="BC61" s="14"/>
      <c r="BD61" s="14"/>
      <c r="BE61" s="14"/>
      <c r="BF61" s="14"/>
      <c r="BG61" s="14"/>
      <c r="BH61" s="65"/>
      <c r="BI61" s="63"/>
      <c r="BJ61" s="352"/>
      <c r="BK61" s="19"/>
      <c r="BL61" s="124"/>
      <c r="BM61" s="7"/>
      <c r="BN61" s="125"/>
      <c r="BO61" s="7"/>
      <c r="BP61" s="14"/>
      <c r="BQ61" s="14"/>
      <c r="BR61" s="14"/>
      <c r="BS61" s="14"/>
      <c r="BT61" s="14"/>
      <c r="BU61" s="14"/>
      <c r="BV61" s="14"/>
      <c r="BW61" s="65"/>
      <c r="BX61" s="63"/>
      <c r="BY61" s="352"/>
      <c r="BZ61" s="14"/>
      <c r="CA61" s="14"/>
      <c r="CB61" s="21"/>
      <c r="CC61" s="21"/>
      <c r="CD61" s="21"/>
      <c r="CE61" s="21"/>
      <c r="CF61" s="21"/>
      <c r="CG61" s="14"/>
      <c r="CH61" s="14"/>
      <c r="CI61" s="14"/>
      <c r="CJ61" s="14"/>
      <c r="CK61" s="14"/>
      <c r="CL61" s="14"/>
      <c r="CM61" s="14"/>
      <c r="CN61" s="14"/>
      <c r="CO61" s="129"/>
      <c r="CP61" s="38"/>
      <c r="CQ61" s="47"/>
      <c r="CR61" s="14"/>
      <c r="CS61" s="14"/>
      <c r="CT61" s="14"/>
      <c r="CU61" s="14"/>
      <c r="CV61" s="21"/>
      <c r="CW61" s="14"/>
      <c r="CX61" s="14"/>
      <c r="CY61" s="14"/>
      <c r="CZ61" s="14"/>
      <c r="DA61" s="14"/>
      <c r="DB61" s="14"/>
      <c r="DC61" s="14"/>
      <c r="DD61" s="14"/>
      <c r="DE61" s="14"/>
      <c r="DF61" s="14"/>
      <c r="DG61" s="129"/>
      <c r="DH61" s="29"/>
      <c r="DI61" s="47"/>
      <c r="DJ61" s="29"/>
      <c r="DK61" s="14"/>
      <c r="DL61" s="14"/>
      <c r="DM61" s="27"/>
      <c r="DN61" s="14"/>
      <c r="DO61" s="14"/>
      <c r="DP61" s="14"/>
      <c r="DQ61" s="14"/>
      <c r="DR61" s="14"/>
      <c r="DS61" s="14"/>
      <c r="DT61" s="14"/>
      <c r="DU61" s="40"/>
      <c r="DV61" s="14"/>
      <c r="DW61" s="14"/>
      <c r="DX61" s="14"/>
      <c r="DY61" s="14"/>
      <c r="DZ61" s="14"/>
      <c r="EA61" s="14"/>
      <c r="EB61" s="14"/>
      <c r="EC61" s="14"/>
      <c r="ED61" s="14"/>
      <c r="EE61" s="14"/>
      <c r="EF61" s="14"/>
      <c r="EG61" s="14"/>
      <c r="EH61" s="14"/>
      <c r="EI61" s="14"/>
      <c r="EJ61" s="14"/>
      <c r="EK61" s="14"/>
      <c r="EL61" s="14"/>
    </row>
    <row r="62" spans="1:142" x14ac:dyDescent="0.25">
      <c r="A62" s="14"/>
      <c r="B62" s="19"/>
      <c r="C62" s="19"/>
      <c r="D62" s="27"/>
      <c r="E62" s="19"/>
      <c r="F62" s="14"/>
      <c r="G62" s="14"/>
      <c r="H62" s="27"/>
      <c r="I62" s="21"/>
      <c r="J62" s="14"/>
      <c r="K62" s="14"/>
      <c r="L62" s="19"/>
      <c r="M62" s="19"/>
      <c r="N62" s="19"/>
      <c r="O62" s="19"/>
      <c r="P62" s="19"/>
      <c r="Q62" s="47"/>
      <c r="R62" s="19"/>
      <c r="S62" s="19"/>
      <c r="T62" s="14"/>
      <c r="U62" s="27"/>
      <c r="V62" s="14"/>
      <c r="W62" s="14"/>
      <c r="X62" s="14"/>
      <c r="Y62" s="14"/>
      <c r="Z62" s="14"/>
      <c r="AA62" s="14"/>
      <c r="AB62" s="14"/>
      <c r="AC62" s="14"/>
      <c r="AD62" s="65"/>
      <c r="AE62" s="63"/>
      <c r="AF62" s="47"/>
      <c r="AG62" s="19"/>
      <c r="AH62" s="19"/>
      <c r="AI62" s="14"/>
      <c r="AJ62" s="27"/>
      <c r="AK62" s="14"/>
      <c r="AL62" s="14"/>
      <c r="AM62" s="14"/>
      <c r="AN62" s="14"/>
      <c r="AO62" s="14"/>
      <c r="AP62" s="14"/>
      <c r="AQ62" s="14"/>
      <c r="AR62" s="14"/>
      <c r="AS62" s="65"/>
      <c r="AT62" s="63"/>
      <c r="AU62" s="47"/>
      <c r="AV62" s="19"/>
      <c r="AW62" s="19"/>
      <c r="AX62" s="14"/>
      <c r="AY62" s="27"/>
      <c r="AZ62" s="14"/>
      <c r="BA62" s="14"/>
      <c r="BB62" s="14"/>
      <c r="BC62" s="14"/>
      <c r="BD62" s="14"/>
      <c r="BE62" s="14"/>
      <c r="BF62" s="14"/>
      <c r="BG62" s="14"/>
      <c r="BH62" s="65"/>
      <c r="BI62" s="63"/>
      <c r="BJ62" s="352"/>
      <c r="BK62" s="19"/>
      <c r="BL62" s="19"/>
      <c r="BM62" s="14"/>
      <c r="BN62" s="27"/>
      <c r="BO62" s="14"/>
      <c r="BP62" s="14"/>
      <c r="BQ62" s="14"/>
      <c r="BR62" s="14"/>
      <c r="BS62" s="14"/>
      <c r="BT62" s="14"/>
      <c r="BU62" s="14"/>
      <c r="BV62" s="14"/>
      <c r="BW62" s="65"/>
      <c r="BX62" s="63"/>
      <c r="BY62" s="352"/>
      <c r="BZ62" s="14"/>
      <c r="CA62" s="14"/>
      <c r="CB62" s="21"/>
      <c r="CC62" s="21"/>
      <c r="CD62" s="21"/>
      <c r="CE62" s="21"/>
      <c r="CF62" s="21"/>
      <c r="CG62" s="14"/>
      <c r="CH62" s="14"/>
      <c r="CI62" s="14"/>
      <c r="CJ62" s="14"/>
      <c r="CK62" s="14"/>
      <c r="CL62" s="14"/>
      <c r="CM62" s="14"/>
      <c r="CN62" s="14"/>
      <c r="CO62" s="129"/>
      <c r="CP62" s="38"/>
      <c r="CQ62" s="47"/>
      <c r="CR62" s="14"/>
      <c r="CS62" s="14"/>
      <c r="CT62" s="14"/>
      <c r="CU62" s="14"/>
      <c r="CV62" s="21"/>
      <c r="CW62" s="14"/>
      <c r="CX62" s="14"/>
      <c r="CY62" s="14"/>
      <c r="CZ62" s="14"/>
      <c r="DA62" s="14"/>
      <c r="DB62" s="14"/>
      <c r="DC62" s="14"/>
      <c r="DD62" s="14"/>
      <c r="DE62" s="14"/>
      <c r="DF62" s="14"/>
      <c r="DG62" s="129"/>
      <c r="DH62" s="29"/>
      <c r="DI62" s="47"/>
      <c r="DJ62" s="29"/>
      <c r="DK62" s="19"/>
      <c r="DL62" s="19"/>
      <c r="DM62" s="27"/>
      <c r="DN62" s="14"/>
      <c r="DO62" s="14"/>
      <c r="DP62" s="14"/>
      <c r="DQ62" s="14"/>
      <c r="DR62" s="14"/>
      <c r="DS62" s="14"/>
      <c r="DT62" s="14"/>
      <c r="DU62" s="40"/>
      <c r="DV62" s="14"/>
      <c r="DW62" s="14"/>
      <c r="DX62" s="14"/>
      <c r="DY62" s="14"/>
      <c r="DZ62" s="14"/>
      <c r="EA62" s="14"/>
      <c r="EB62" s="14"/>
      <c r="EC62" s="14"/>
      <c r="ED62" s="14"/>
      <c r="EE62" s="14"/>
      <c r="EF62" s="14"/>
      <c r="EG62" s="14"/>
      <c r="EH62" s="14"/>
      <c r="EI62" s="14"/>
      <c r="EJ62" s="14"/>
      <c r="EK62" s="14"/>
      <c r="EL62" s="14"/>
    </row>
    <row r="63" spans="1:142" ht="27.6" x14ac:dyDescent="0.25">
      <c r="A63" s="14"/>
      <c r="B63" s="14"/>
      <c r="C63" s="19"/>
      <c r="D63" s="27"/>
      <c r="E63" s="14"/>
      <c r="F63" s="14"/>
      <c r="G63" s="14"/>
      <c r="H63" s="27"/>
      <c r="I63" s="21"/>
      <c r="J63" s="14"/>
      <c r="K63" s="14"/>
      <c r="L63" s="19"/>
      <c r="M63" s="19"/>
      <c r="N63" s="19"/>
      <c r="O63" s="19"/>
      <c r="P63" s="19"/>
      <c r="Q63" s="47"/>
      <c r="R63" s="19"/>
      <c r="S63" s="19"/>
      <c r="T63" s="14"/>
      <c r="U63" s="27"/>
      <c r="V63" s="14"/>
      <c r="W63" s="14"/>
      <c r="X63" s="14"/>
      <c r="Y63" s="14"/>
      <c r="Z63" s="14"/>
      <c r="AA63" s="14"/>
      <c r="AB63" s="14"/>
      <c r="AC63" s="14"/>
      <c r="AD63" s="65"/>
      <c r="AE63" s="63"/>
      <c r="AF63" s="47"/>
      <c r="AG63" s="19"/>
      <c r="AH63" s="19"/>
      <c r="AI63" s="14"/>
      <c r="AJ63" s="27"/>
      <c r="AK63" s="14"/>
      <c r="AL63" s="14"/>
      <c r="AM63" s="14"/>
      <c r="AN63" s="14"/>
      <c r="AO63" s="14"/>
      <c r="AP63" s="14"/>
      <c r="AQ63" s="14"/>
      <c r="AR63" s="14"/>
      <c r="AS63" s="65"/>
      <c r="AT63" s="63"/>
      <c r="AU63" s="47"/>
      <c r="AV63" s="19"/>
      <c r="AW63" s="19"/>
      <c r="AX63" s="14"/>
      <c r="AY63" s="27"/>
      <c r="AZ63" s="14"/>
      <c r="BA63" s="14"/>
      <c r="BB63" s="14"/>
      <c r="BC63" s="14"/>
      <c r="BD63" s="14"/>
      <c r="BE63" s="14"/>
      <c r="BF63" s="14"/>
      <c r="BG63" s="14"/>
      <c r="BH63" s="65"/>
      <c r="BI63" s="63"/>
      <c r="BJ63" s="352"/>
      <c r="BK63" s="19"/>
      <c r="BL63" s="19"/>
      <c r="BM63" s="14"/>
      <c r="BN63" s="27"/>
      <c r="BO63" s="14"/>
      <c r="BP63" s="14"/>
      <c r="BQ63" s="14"/>
      <c r="BR63" s="14"/>
      <c r="BS63" s="14"/>
      <c r="BT63" s="14"/>
      <c r="BU63" s="14"/>
      <c r="BV63" s="14"/>
      <c r="BW63" s="65"/>
      <c r="BX63" s="63"/>
      <c r="BY63" s="352"/>
      <c r="BZ63" s="14"/>
      <c r="CA63" s="109"/>
      <c r="CB63" s="110" t="s">
        <v>164</v>
      </c>
      <c r="CC63" s="110" t="s">
        <v>149</v>
      </c>
      <c r="CD63" s="110" t="s">
        <v>150</v>
      </c>
      <c r="CE63" s="110" t="s">
        <v>151</v>
      </c>
      <c r="CF63" s="110" t="s">
        <v>152</v>
      </c>
      <c r="CG63" s="14"/>
      <c r="CH63" s="109"/>
      <c r="CI63" s="110" t="s">
        <v>5</v>
      </c>
      <c r="CJ63" s="110" t="s">
        <v>4</v>
      </c>
      <c r="CK63" s="110" t="s">
        <v>33</v>
      </c>
      <c r="CL63" s="110" t="s">
        <v>29</v>
      </c>
      <c r="CM63" s="110" t="s">
        <v>3</v>
      </c>
      <c r="CN63" s="110" t="s">
        <v>54</v>
      </c>
      <c r="CO63" s="328" t="s">
        <v>160</v>
      </c>
      <c r="CP63" s="38"/>
      <c r="CQ63" s="47"/>
      <c r="CR63" s="14"/>
      <c r="CS63" s="109" t="s">
        <v>14</v>
      </c>
      <c r="CT63" s="110" t="s">
        <v>164</v>
      </c>
      <c r="CU63" s="110" t="s">
        <v>149</v>
      </c>
      <c r="CV63" s="110" t="s">
        <v>150</v>
      </c>
      <c r="CW63" s="110" t="s">
        <v>151</v>
      </c>
      <c r="CX63" s="109" t="s">
        <v>152</v>
      </c>
      <c r="CY63" s="14"/>
      <c r="CZ63" s="109" t="s">
        <v>14</v>
      </c>
      <c r="DA63" s="110" t="s">
        <v>5</v>
      </c>
      <c r="DB63" s="110" t="s">
        <v>4</v>
      </c>
      <c r="DC63" s="110" t="s">
        <v>33</v>
      </c>
      <c r="DD63" s="110" t="s">
        <v>29</v>
      </c>
      <c r="DE63" s="110" t="s">
        <v>3</v>
      </c>
      <c r="DF63" s="110" t="s">
        <v>54</v>
      </c>
      <c r="DG63" s="328" t="s">
        <v>160</v>
      </c>
      <c r="DH63" s="29"/>
      <c r="DI63" s="47"/>
      <c r="DJ63" s="29"/>
      <c r="DK63" s="19"/>
      <c r="DL63" s="19"/>
      <c r="DM63" s="27"/>
      <c r="DN63" s="14"/>
      <c r="DO63" s="14"/>
      <c r="DP63" s="14"/>
      <c r="DQ63" s="14"/>
      <c r="DR63" s="14"/>
      <c r="DS63" s="14"/>
      <c r="DT63" s="14"/>
      <c r="DU63" s="40"/>
      <c r="DV63" s="14"/>
      <c r="DW63" s="14"/>
      <c r="DX63" s="14"/>
      <c r="DY63" s="14"/>
      <c r="DZ63" s="14"/>
      <c r="EA63" s="14"/>
      <c r="EB63" s="14"/>
      <c r="EC63" s="14"/>
      <c r="ED63" s="14"/>
      <c r="EE63" s="14"/>
      <c r="EF63" s="14"/>
      <c r="EG63" s="14"/>
      <c r="EH63" s="14"/>
      <c r="EI63" s="14"/>
      <c r="EJ63" s="14"/>
      <c r="EK63" s="14"/>
      <c r="EL63" s="14"/>
    </row>
    <row r="64" spans="1:142" x14ac:dyDescent="0.25">
      <c r="A64" s="14"/>
      <c r="B64" s="14"/>
      <c r="C64" s="14"/>
      <c r="D64" s="21"/>
      <c r="E64" s="14"/>
      <c r="F64" s="14"/>
      <c r="G64" s="14"/>
      <c r="H64" s="27"/>
      <c r="I64" s="15"/>
      <c r="J64" s="13"/>
      <c r="K64" s="14"/>
      <c r="L64" s="14"/>
      <c r="M64" s="14"/>
      <c r="N64" s="14"/>
      <c r="O64" s="14"/>
      <c r="P64" s="14"/>
      <c r="Q64" s="47"/>
      <c r="R64" s="19"/>
      <c r="S64" s="14"/>
      <c r="T64" s="14"/>
      <c r="U64" s="14"/>
      <c r="V64" s="14"/>
      <c r="W64" s="14"/>
      <c r="X64" s="14"/>
      <c r="Y64" s="14"/>
      <c r="Z64" s="14"/>
      <c r="AA64" s="14"/>
      <c r="AB64" s="14"/>
      <c r="AC64" s="14"/>
      <c r="AD64" s="65"/>
      <c r="AE64" s="63"/>
      <c r="AF64" s="47"/>
      <c r="AG64" s="19"/>
      <c r="AH64" s="14"/>
      <c r="AI64" s="14"/>
      <c r="AJ64" s="14"/>
      <c r="AK64" s="14"/>
      <c r="AL64" s="14"/>
      <c r="AM64" s="14"/>
      <c r="AN64" s="14"/>
      <c r="AO64" s="14"/>
      <c r="AP64" s="14"/>
      <c r="AQ64" s="14"/>
      <c r="AR64" s="14"/>
      <c r="AS64" s="65"/>
      <c r="AT64" s="63"/>
      <c r="AU64" s="47"/>
      <c r="AV64" s="19"/>
      <c r="AW64" s="14"/>
      <c r="AX64" s="14"/>
      <c r="AY64" s="14"/>
      <c r="AZ64" s="14"/>
      <c r="BA64" s="14"/>
      <c r="BB64" s="14"/>
      <c r="BC64" s="14"/>
      <c r="BD64" s="14"/>
      <c r="BE64" s="14"/>
      <c r="BF64" s="14"/>
      <c r="BG64" s="14"/>
      <c r="BH64" s="65"/>
      <c r="BI64" s="63"/>
      <c r="BJ64" s="352"/>
      <c r="BK64" s="19"/>
      <c r="BL64" s="14"/>
      <c r="BM64" s="14"/>
      <c r="BN64" s="14"/>
      <c r="BO64" s="14"/>
      <c r="BP64" s="14"/>
      <c r="BQ64" s="14"/>
      <c r="BR64" s="14"/>
      <c r="BS64" s="14"/>
      <c r="BT64" s="14"/>
      <c r="BU64" s="14"/>
      <c r="BV64" s="14"/>
      <c r="BW64" s="65"/>
      <c r="BX64" s="63"/>
      <c r="BY64" s="352"/>
      <c r="BZ64" s="14"/>
      <c r="CA64" s="140" t="s">
        <v>701</v>
      </c>
      <c r="CB64" s="27">
        <f>COUNTIFS(S30_stakeholder_category,"FO",Response_Q177_1,"&lt;&gt;0",Response_Q173_5,"&lt;&gt;0")</f>
        <v>2</v>
      </c>
      <c r="CC64" s="37">
        <f>COUNTIFS(S30_stakeholder_category,"FO",Response_Q177_1,1,Response_Q173_5,"&lt;&gt;""0")</f>
        <v>3</v>
      </c>
      <c r="CD64" s="37">
        <f>COUNTIFS(S30_stakeholder_category,"FO",Response_Q177_1,2,Response_Q173_5,"&lt;&gt;""0")</f>
        <v>0</v>
      </c>
      <c r="CE64" s="37">
        <f>COUNTIFS(S30_stakeholder_category,"FO",Response_Q177_1,3,Response_Q173_5,"&lt;&gt;""0")</f>
        <v>0</v>
      </c>
      <c r="CF64" s="97">
        <f>IF(CB58=0,0,SUMPRODUCT(CC64:CE64,Rank_score)/$CB58)</f>
        <v>3</v>
      </c>
      <c r="CG64" s="14"/>
      <c r="CH64" s="140" t="s">
        <v>701</v>
      </c>
      <c r="CI64" s="27">
        <f t="shared" ref="CI64:CN64" si="18">COUNTIFS(S30_stakeholder_category,"FO",Response_Q177_1,"&lt;&gt;0",Response_Q177_2,CI$63,Response_Q173_5,"&lt;&gt;0")</f>
        <v>1</v>
      </c>
      <c r="CJ64" s="27">
        <f t="shared" si="18"/>
        <v>0</v>
      </c>
      <c r="CK64" s="27">
        <f t="shared" si="18"/>
        <v>0</v>
      </c>
      <c r="CL64" s="27">
        <f t="shared" si="18"/>
        <v>1</v>
      </c>
      <c r="CM64" s="27">
        <f t="shared" si="18"/>
        <v>0</v>
      </c>
      <c r="CN64" s="27">
        <f t="shared" si="18"/>
        <v>0</v>
      </c>
      <c r="CO64" s="141">
        <f>IF(ISBLANK(CH64),"",IF(CF64=0,not_ranked,IF(SUM(CI64:CN64)=0,not_estimated,IFERROR(SUMPRODUCT(CI64:CN64,Likekihood_score)/SUM(CI64:CN64),0))))</f>
        <v>2.5</v>
      </c>
      <c r="CP64" s="38"/>
      <c r="CQ64" s="47"/>
      <c r="CR64" s="14"/>
      <c r="CS64" s="140" t="s">
        <v>373</v>
      </c>
      <c r="CT64" s="27">
        <f>COUNTIFS(S30_stakeholder_category,"FO",Response_Q178_1,"&lt;&gt;0",Response_Q173_5,"&lt;&gt;0")</f>
        <v>2</v>
      </c>
      <c r="CU64" s="37">
        <f>COUNTIFS(S30_stakeholder_category,"FO",Response_Q178_1,1,Response_Q173_5,"&lt;&gt;0")</f>
        <v>2</v>
      </c>
      <c r="CV64" s="37">
        <f>COUNTIFS(S30_stakeholder_category,"FO",Response_Q178_1,2,Response_Q173_5,"&lt;&gt;0")</f>
        <v>0</v>
      </c>
      <c r="CW64" s="37">
        <f>COUNTIFS(S30_stakeholder_category,"FO",Response_Q178_1,3,Response_Q173_5,"&lt;&gt;0")</f>
        <v>0</v>
      </c>
      <c r="CX64" s="37">
        <f>IF(CT58=0,0,SUMPRODUCT(CU64:CW64,Rank_score)/CT$58)</f>
        <v>3</v>
      </c>
      <c r="CY64" s="14"/>
      <c r="CZ64" s="140" t="s">
        <v>373</v>
      </c>
      <c r="DA64" s="27">
        <f t="shared" ref="DA64:DF64" si="19">COUNTIFS(S30_stakeholder_category,"FO",Response_Q178_1,"&lt;&gt;0",Response_Q178_2,DA$63,Response_Q173_5,"&lt;&gt;0")</f>
        <v>0</v>
      </c>
      <c r="DB64" s="27">
        <f t="shared" si="19"/>
        <v>0</v>
      </c>
      <c r="DC64" s="27">
        <f t="shared" si="19"/>
        <v>0</v>
      </c>
      <c r="DD64" s="27">
        <f t="shared" si="19"/>
        <v>1</v>
      </c>
      <c r="DE64" s="27">
        <f t="shared" si="19"/>
        <v>0</v>
      </c>
      <c r="DF64" s="27">
        <f t="shared" si="19"/>
        <v>0</v>
      </c>
      <c r="DG64" s="141">
        <f t="shared" ref="DG64:DG71" si="20">IF(ISBLANK(CZ64),"",IF(CX64=0,not_ranked,IF(SUM(DA64:DF64)=0,not_estimated,IFERROR(SUMPRODUCT(DA64:DF64,Likekihood_score)/SUM(DA64:DF64),0))))</f>
        <v>4</v>
      </c>
      <c r="DH64" s="29"/>
      <c r="DI64" s="47"/>
      <c r="DJ64" s="29"/>
      <c r="DK64" s="56"/>
      <c r="DL64" s="29"/>
      <c r="DM64" s="14"/>
      <c r="DN64" s="14"/>
      <c r="DO64" s="14"/>
      <c r="DP64" s="107"/>
      <c r="DQ64" s="27"/>
      <c r="DR64" s="41"/>
      <c r="DS64" s="14"/>
      <c r="DT64" s="14"/>
      <c r="DU64" s="14"/>
      <c r="DV64" s="14"/>
      <c r="DW64" s="14"/>
      <c r="DX64" s="14"/>
      <c r="DY64" s="14"/>
      <c r="DZ64" s="14"/>
      <c r="EA64" s="14"/>
      <c r="EB64" s="14"/>
      <c r="EC64" s="14"/>
      <c r="ED64" s="14"/>
      <c r="EE64" s="14"/>
      <c r="EF64" s="14"/>
      <c r="EG64" s="14"/>
      <c r="EH64" s="14"/>
      <c r="EI64" s="14"/>
      <c r="EJ64" s="14"/>
      <c r="EK64" s="14"/>
      <c r="EL64" s="14"/>
    </row>
    <row r="65" spans="1:142" x14ac:dyDescent="0.25">
      <c r="A65" s="14"/>
      <c r="B65" s="56"/>
      <c r="C65" s="19"/>
      <c r="D65" s="59"/>
      <c r="E65" s="14"/>
      <c r="F65" s="14"/>
      <c r="G65" s="14"/>
      <c r="H65" s="21"/>
      <c r="I65" s="21"/>
      <c r="J65" s="14"/>
      <c r="K65" s="14"/>
      <c r="L65" s="14"/>
      <c r="M65" s="14"/>
      <c r="N65" s="14"/>
      <c r="O65" s="14"/>
      <c r="P65" s="14"/>
      <c r="Q65" s="47"/>
      <c r="R65" s="19"/>
      <c r="S65" s="19"/>
      <c r="T65" s="19"/>
      <c r="U65" s="59"/>
      <c r="V65" s="14"/>
      <c r="W65" s="14"/>
      <c r="X65" s="14"/>
      <c r="Y65" s="14"/>
      <c r="Z65" s="14"/>
      <c r="AA65" s="14"/>
      <c r="AB65" s="14"/>
      <c r="AC65" s="14"/>
      <c r="AD65" s="65"/>
      <c r="AE65" s="63"/>
      <c r="AF65" s="47"/>
      <c r="AG65" s="19"/>
      <c r="AH65" s="19"/>
      <c r="AI65" s="19"/>
      <c r="AJ65" s="59"/>
      <c r="AK65" s="14"/>
      <c r="AL65" s="14"/>
      <c r="AM65" s="14"/>
      <c r="AN65" s="14"/>
      <c r="AO65" s="14"/>
      <c r="AP65" s="14"/>
      <c r="AQ65" s="14"/>
      <c r="AR65" s="14"/>
      <c r="AS65" s="65"/>
      <c r="AT65" s="63"/>
      <c r="AU65" s="47"/>
      <c r="AV65" s="19"/>
      <c r="AW65" s="19"/>
      <c r="AX65" s="19"/>
      <c r="AY65" s="59"/>
      <c r="AZ65" s="14"/>
      <c r="BA65" s="14"/>
      <c r="BB65" s="14"/>
      <c r="BC65" s="14"/>
      <c r="BD65" s="14"/>
      <c r="BE65" s="14"/>
      <c r="BF65" s="14"/>
      <c r="BG65" s="14"/>
      <c r="BH65" s="65"/>
      <c r="BI65" s="63"/>
      <c r="BJ65" s="352"/>
      <c r="BK65" s="19"/>
      <c r="BL65" s="19"/>
      <c r="BM65" s="19"/>
      <c r="BN65" s="59"/>
      <c r="BO65" s="14"/>
      <c r="BP65" s="14"/>
      <c r="BQ65" s="14"/>
      <c r="BR65" s="14"/>
      <c r="BS65" s="14"/>
      <c r="BT65" s="14"/>
      <c r="BU65" s="14"/>
      <c r="BV65" s="14"/>
      <c r="BW65" s="65"/>
      <c r="BX65" s="63"/>
      <c r="BY65" s="352"/>
      <c r="BZ65" s="14"/>
      <c r="CA65" s="140" t="s">
        <v>344</v>
      </c>
      <c r="CB65" s="27">
        <f>COUNTIFS(S30_stakeholder_category,"FO",Response_Q177_3,"&lt;&gt;0",Response_Q173_5,"&lt;&gt;0")</f>
        <v>2</v>
      </c>
      <c r="CC65" s="37">
        <f>COUNTIFS(S30_stakeholder_category,"FO",Response_Q177_3,1,Response_Q173_5,"&lt;&gt;0")</f>
        <v>0</v>
      </c>
      <c r="CD65" s="37">
        <f>COUNTIFS(S30_stakeholder_category,"FO",Response_Q177_3,2,Response_Q173_5,"&lt;&gt;0")</f>
        <v>2</v>
      </c>
      <c r="CE65" s="37">
        <f>COUNTIFS(S30_stakeholder_category,"FO",Response_Q177_3,3,Response_Q173_5,"&lt;&gt;0")</f>
        <v>0</v>
      </c>
      <c r="CF65" s="97">
        <f>IF(CB58=0,0,SUMPRODUCT(CC65:CE65,Rank_score)/$CB58)</f>
        <v>1.3333333333333333</v>
      </c>
      <c r="CG65" s="14"/>
      <c r="CH65" s="140" t="s">
        <v>344</v>
      </c>
      <c r="CI65" s="27">
        <f t="shared" ref="CI65:CN65" si="21">COUNTIFS(S30_stakeholder_category,"FO",Response_Q177_3,"&lt;&gt;0",Response_Q177_4,CI$63,Response_Q173_5,"&lt;&gt;0")</f>
        <v>1</v>
      </c>
      <c r="CJ65" s="27">
        <f t="shared" si="21"/>
        <v>0</v>
      </c>
      <c r="CK65" s="27">
        <f t="shared" si="21"/>
        <v>0</v>
      </c>
      <c r="CL65" s="27">
        <f t="shared" si="21"/>
        <v>1</v>
      </c>
      <c r="CM65" s="27">
        <f t="shared" si="21"/>
        <v>0</v>
      </c>
      <c r="CN65" s="27">
        <f t="shared" si="21"/>
        <v>0</v>
      </c>
      <c r="CO65" s="141">
        <f t="shared" ref="CO65:CO70" si="22">IF(ISBLANK(CH65),"",IF(CF65=0,not_ranked,IF(SUM(CI65:CN65)=0,not_estimated,IFERROR(SUMPRODUCT(CI65:CN65,Likekihood_score)/SUM(CI65:CN65),0))))</f>
        <v>2.5</v>
      </c>
      <c r="CP65" s="14"/>
      <c r="CQ65" s="47"/>
      <c r="CR65" s="14"/>
      <c r="CS65" s="140" t="s">
        <v>338</v>
      </c>
      <c r="CT65" s="27">
        <f>COUNTIFS(S30_stakeholder_category,"FO",Response_Q178_3,"&lt;&gt;0",Response_Q173_5,"&lt;&gt;0")</f>
        <v>1</v>
      </c>
      <c r="CU65" s="37">
        <f>COUNTIFS(S30_stakeholder_category,"FO",Response_Q178_3,1,Response_Q173_5,"&lt;&gt;0")</f>
        <v>0</v>
      </c>
      <c r="CV65" s="37">
        <f>COUNTIFS(S30_stakeholder_category,"FO",Response_Q178_3,2,Response_Q173_5,"&lt;&gt;0")</f>
        <v>1</v>
      </c>
      <c r="CW65" s="37">
        <f>COUNTIFS(S30_stakeholder_category,"FO",Response_Q178_3,3,Response_Q173_5,"&lt;&gt;0")</f>
        <v>0</v>
      </c>
      <c r="CX65" s="37">
        <f>IF(CT58=0,0,SUMPRODUCT(CU65:CW65,Rank_score)/CT$58)</f>
        <v>1</v>
      </c>
      <c r="CY65" s="14"/>
      <c r="CZ65" s="140" t="s">
        <v>338</v>
      </c>
      <c r="DA65" s="27">
        <f t="shared" ref="DA65:DF65" si="23">COUNTIFS(S30_stakeholder_category,"FO",Response_Q178_3,"&lt;&gt;0",Response_Q178_4,DA$63,Response_Q173_5,"&lt;&gt;0")</f>
        <v>0</v>
      </c>
      <c r="DB65" s="27">
        <f t="shared" si="23"/>
        <v>0</v>
      </c>
      <c r="DC65" s="27">
        <f t="shared" si="23"/>
        <v>0</v>
      </c>
      <c r="DD65" s="27">
        <f t="shared" si="23"/>
        <v>0</v>
      </c>
      <c r="DE65" s="27">
        <f t="shared" si="23"/>
        <v>0</v>
      </c>
      <c r="DF65" s="27">
        <f t="shared" si="23"/>
        <v>0</v>
      </c>
      <c r="DG65" s="141" t="str">
        <f t="shared" si="20"/>
        <v>Ranked, but likelihood not estimated</v>
      </c>
      <c r="DH65" s="14"/>
      <c r="DI65" s="47"/>
      <c r="DJ65" s="14"/>
      <c r="DK65" s="56"/>
      <c r="DL65" s="19"/>
      <c r="DM65" s="59"/>
      <c r="DN65" s="14"/>
      <c r="DO65" s="14"/>
      <c r="DP65" s="103"/>
      <c r="DQ65" s="114"/>
      <c r="DR65" s="120"/>
      <c r="DS65" s="14"/>
      <c r="DT65" s="14"/>
      <c r="DU65" s="14"/>
      <c r="DV65" s="14"/>
      <c r="DW65" s="14"/>
      <c r="DX65" s="14"/>
      <c r="DY65" s="14"/>
      <c r="DZ65" s="14"/>
      <c r="EA65" s="14"/>
      <c r="EB65" s="14"/>
      <c r="EC65" s="14"/>
      <c r="ED65" s="14"/>
      <c r="EE65" s="14"/>
      <c r="EF65" s="14"/>
      <c r="EG65" s="14"/>
      <c r="EH65" s="14"/>
      <c r="EI65" s="14"/>
      <c r="EJ65" s="14"/>
      <c r="EK65" s="14"/>
      <c r="EL65" s="14"/>
    </row>
    <row r="66" spans="1:142" x14ac:dyDescent="0.25">
      <c r="A66" s="14"/>
      <c r="B66" s="62"/>
      <c r="C66" s="19"/>
      <c r="D66" s="59"/>
      <c r="E66" s="14"/>
      <c r="F66" s="14"/>
      <c r="G66" s="14"/>
      <c r="H66" s="21"/>
      <c r="I66" s="21"/>
      <c r="J66" s="14"/>
      <c r="K66" s="14"/>
      <c r="L66" s="14"/>
      <c r="M66" s="14"/>
      <c r="N66" s="14"/>
      <c r="O66" s="14"/>
      <c r="P66" s="14"/>
      <c r="Q66" s="47"/>
      <c r="R66" s="19"/>
      <c r="S66" s="19"/>
      <c r="T66" s="19"/>
      <c r="U66" s="59"/>
      <c r="V66" s="14"/>
      <c r="W66" s="14"/>
      <c r="X66" s="14"/>
      <c r="Y66" s="14"/>
      <c r="Z66" s="14"/>
      <c r="AA66" s="14"/>
      <c r="AB66" s="14"/>
      <c r="AC66" s="14"/>
      <c r="AD66" s="65"/>
      <c r="AE66" s="63"/>
      <c r="AF66" s="47"/>
      <c r="AG66" s="19"/>
      <c r="AH66" s="19"/>
      <c r="AI66" s="19"/>
      <c r="AJ66" s="59"/>
      <c r="AK66" s="14"/>
      <c r="AL66" s="14"/>
      <c r="AM66" s="14"/>
      <c r="AN66" s="14"/>
      <c r="AO66" s="14"/>
      <c r="AP66" s="14"/>
      <c r="AQ66" s="14"/>
      <c r="AR66" s="14"/>
      <c r="AS66" s="65"/>
      <c r="AT66" s="63"/>
      <c r="AU66" s="47"/>
      <c r="AV66" s="19"/>
      <c r="AW66" s="19"/>
      <c r="AX66" s="19"/>
      <c r="AY66" s="59"/>
      <c r="AZ66" s="14"/>
      <c r="BA66" s="14"/>
      <c r="BB66" s="14"/>
      <c r="BC66" s="14"/>
      <c r="BD66" s="14"/>
      <c r="BE66" s="14"/>
      <c r="BF66" s="14"/>
      <c r="BG66" s="14"/>
      <c r="BH66" s="65"/>
      <c r="BI66" s="63"/>
      <c r="BJ66" s="352"/>
      <c r="BK66" s="19"/>
      <c r="BL66" s="19"/>
      <c r="BM66" s="19"/>
      <c r="BN66" s="59"/>
      <c r="BO66" s="14"/>
      <c r="BP66" s="14"/>
      <c r="BQ66" s="14"/>
      <c r="BR66" s="14"/>
      <c r="BS66" s="14"/>
      <c r="BT66" s="14"/>
      <c r="BU66" s="14"/>
      <c r="BV66" s="14"/>
      <c r="BW66" s="65"/>
      <c r="BX66" s="63"/>
      <c r="BY66" s="352"/>
      <c r="BZ66" s="14"/>
      <c r="CA66" s="140" t="s">
        <v>146</v>
      </c>
      <c r="CB66" s="27">
        <f>COUNTIFS(S30_stakeholder_category,"FO",Response_Q177_5,"&lt;&gt;0",Response_Q173_5,"&lt;&gt;0")</f>
        <v>1</v>
      </c>
      <c r="CC66" s="37">
        <f>COUNTIFS(S30_stakeholder_category,"FO",Response_Q177_5,1,Response_Q173_5,"&lt;&gt;0")</f>
        <v>0</v>
      </c>
      <c r="CD66" s="37">
        <f>COUNTIFS(S30_stakeholder_category,"FO",Response_Q177_5,2,Response_Q173_5,"&lt;&gt;0")</f>
        <v>0</v>
      </c>
      <c r="CE66" s="37">
        <f>COUNTIFS(S30_stakeholder_category,"FO",Response_Q177_5,3,Response_Q173_5,"&lt;&gt;0")</f>
        <v>1</v>
      </c>
      <c r="CF66" s="97">
        <f>IF(CB58=0,0,SUMPRODUCT(CC66:CE66,Rank_score)/$CB58)</f>
        <v>0.33333333333333331</v>
      </c>
      <c r="CG66" s="14"/>
      <c r="CH66" s="140" t="s">
        <v>146</v>
      </c>
      <c r="CI66" s="27">
        <f t="shared" ref="CI66:CN66" si="24">COUNTIFS(S30_stakeholder_category,"FO",Response_Q177_5,"&lt;&gt;0",Response_Q177_6,CI$63,Response_Q173_5,"&lt;&gt;0")</f>
        <v>0</v>
      </c>
      <c r="CJ66" s="27">
        <f t="shared" si="24"/>
        <v>0</v>
      </c>
      <c r="CK66" s="27">
        <f t="shared" si="24"/>
        <v>0</v>
      </c>
      <c r="CL66" s="27">
        <f t="shared" si="24"/>
        <v>0</v>
      </c>
      <c r="CM66" s="27">
        <f t="shared" si="24"/>
        <v>0</v>
      </c>
      <c r="CN66" s="27">
        <f t="shared" si="24"/>
        <v>0</v>
      </c>
      <c r="CO66" s="141" t="str">
        <f t="shared" si="22"/>
        <v>Ranked, but likelihood not estimated</v>
      </c>
      <c r="CP66" s="14"/>
      <c r="CQ66" s="47"/>
      <c r="CR66" s="14"/>
      <c r="CS66" s="106" t="s">
        <v>339</v>
      </c>
      <c r="CT66" s="27">
        <f>COUNTIFS(S30_stakeholder_category,"FO",Response_Q178_5,"&lt;&gt;0",Response_Q173_5,"&lt;&gt;0")</f>
        <v>1</v>
      </c>
      <c r="CU66" s="37">
        <f>COUNTIFS(S30_stakeholder_category,"FO",Response_Q178_5,1,Response_Q173_5,"&lt;&gt;0")</f>
        <v>0</v>
      </c>
      <c r="CV66" s="37">
        <f>COUNTIFS(S30_stakeholder_category,"FO",Response_Q178_5,2,Response_Q173_5,"&lt;&gt;0")</f>
        <v>0</v>
      </c>
      <c r="CW66" s="37">
        <f>COUNTIFS(S30_stakeholder_category,"FO",Response_Q178_5,3,Response_Q173_5,"&lt;&gt;0")</f>
        <v>1</v>
      </c>
      <c r="CX66" s="37">
        <f>IF(CT58=0,0,SUMPRODUCT(CU66:CW66,Rank_score)/CT$58)</f>
        <v>0.5</v>
      </c>
      <c r="CY66" s="14"/>
      <c r="CZ66" s="106" t="s">
        <v>339</v>
      </c>
      <c r="DA66" s="27">
        <f t="shared" ref="DA66:DF66" si="25">COUNTIFS(S30_stakeholder_category,"FO",Response_Q178_5,"&lt;&gt;0",Response_Q178_6,DA$63,Response_Q173_5,"&lt;&gt;0")</f>
        <v>0</v>
      </c>
      <c r="DB66" s="27">
        <f t="shared" si="25"/>
        <v>0</v>
      </c>
      <c r="DC66" s="27">
        <f t="shared" si="25"/>
        <v>0</v>
      </c>
      <c r="DD66" s="27">
        <f t="shared" si="25"/>
        <v>0</v>
      </c>
      <c r="DE66" s="27">
        <f t="shared" si="25"/>
        <v>1</v>
      </c>
      <c r="DF66" s="27">
        <f t="shared" si="25"/>
        <v>0</v>
      </c>
      <c r="DG66" s="141">
        <f t="shared" si="20"/>
        <v>5</v>
      </c>
      <c r="DH66" s="14"/>
      <c r="DI66" s="47"/>
      <c r="DJ66" s="14"/>
      <c r="DK66" s="14"/>
      <c r="DL66" s="19"/>
      <c r="DM66" s="59"/>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row>
    <row r="67" spans="1:142" x14ac:dyDescent="0.25">
      <c r="A67" s="14"/>
      <c r="B67" s="62"/>
      <c r="C67" s="19"/>
      <c r="D67" s="59"/>
      <c r="E67" s="14"/>
      <c r="F67" s="14"/>
      <c r="G67" s="14"/>
      <c r="H67" s="21"/>
      <c r="I67" s="21"/>
      <c r="J67" s="14"/>
      <c r="K67" s="14"/>
      <c r="L67" s="14"/>
      <c r="M67" s="14"/>
      <c r="N67" s="14"/>
      <c r="O67" s="14"/>
      <c r="P67" s="14"/>
      <c r="Q67" s="47"/>
      <c r="R67" s="19"/>
      <c r="S67" s="56"/>
      <c r="T67" s="29"/>
      <c r="U67" s="59"/>
      <c r="V67" s="14"/>
      <c r="W67" s="14"/>
      <c r="X67" s="14"/>
      <c r="Y67" s="14"/>
      <c r="Z67" s="14"/>
      <c r="AA67" s="14"/>
      <c r="AB67" s="14"/>
      <c r="AC67" s="14"/>
      <c r="AD67" s="65"/>
      <c r="AE67" s="63"/>
      <c r="AF67" s="47"/>
      <c r="AG67" s="19"/>
      <c r="AH67" s="56"/>
      <c r="AI67" s="29"/>
      <c r="AJ67" s="59"/>
      <c r="AK67" s="14"/>
      <c r="AL67" s="14"/>
      <c r="AM67" s="14"/>
      <c r="AN67" s="14"/>
      <c r="AO67" s="14"/>
      <c r="AP67" s="14"/>
      <c r="AQ67" s="14"/>
      <c r="AR67" s="14"/>
      <c r="AS67" s="65"/>
      <c r="AT67" s="63"/>
      <c r="AU67" s="47"/>
      <c r="AV67" s="19"/>
      <c r="AW67" s="56"/>
      <c r="AX67" s="29"/>
      <c r="AY67" s="59"/>
      <c r="AZ67" s="14"/>
      <c r="BA67" s="14"/>
      <c r="BB67" s="14"/>
      <c r="BC67" s="14"/>
      <c r="BD67" s="14"/>
      <c r="BE67" s="14"/>
      <c r="BF67" s="14"/>
      <c r="BG67" s="14"/>
      <c r="BH67" s="65"/>
      <c r="BI67" s="63"/>
      <c r="BJ67" s="352"/>
      <c r="BK67" s="19"/>
      <c r="BL67" s="56"/>
      <c r="BM67" s="29"/>
      <c r="BN67" s="59"/>
      <c r="BO67" s="14"/>
      <c r="BP67" s="14"/>
      <c r="BQ67" s="14"/>
      <c r="BR67" s="14"/>
      <c r="BS67" s="14"/>
      <c r="BT67" s="14"/>
      <c r="BU67" s="14"/>
      <c r="BV67" s="14"/>
      <c r="BW67" s="65"/>
      <c r="BX67" s="63"/>
      <c r="BY67" s="352"/>
      <c r="BZ67" s="14"/>
      <c r="CA67" s="140" t="s">
        <v>147</v>
      </c>
      <c r="CB67" s="27">
        <f>COUNTIFS(S30_stakeholder_category,"FO",Response_Q177_7,"&lt;&gt;0",Response_Q173_5,"&lt;&gt;0")</f>
        <v>0</v>
      </c>
      <c r="CC67" s="37">
        <f>COUNTIFS(S30_stakeholder_category,"FO",Response_Q177_7,1,Response_Q173_5,"&lt;&gt;0")</f>
        <v>0</v>
      </c>
      <c r="CD67" s="37">
        <f>COUNTIFS(S30_stakeholder_category,"FO",Response_Q177_7,2,Response_Q173_5,"&lt;&gt;0")</f>
        <v>0</v>
      </c>
      <c r="CE67" s="37">
        <f>COUNTIFS(S30_stakeholder_category,"FO",Response_Q177_7,3,Response_Q173_5,"&lt;&gt;0")</f>
        <v>0</v>
      </c>
      <c r="CF67" s="97">
        <f>IF(CB58=0,0,SUMPRODUCT(CC67:CE67,Rank_score)/$CB58)</f>
        <v>0</v>
      </c>
      <c r="CG67" s="14"/>
      <c r="CH67" s="140" t="s">
        <v>147</v>
      </c>
      <c r="CI67" s="27">
        <f t="shared" ref="CI67:CN67" si="26">COUNTIFS(S30_stakeholder_category,"FO",Response_Q177_7,"&lt;&gt;0",Response_Q177_8,CI$63,Response_Q173_5,"&lt;&gt;0")</f>
        <v>0</v>
      </c>
      <c r="CJ67" s="27">
        <f t="shared" si="26"/>
        <v>0</v>
      </c>
      <c r="CK67" s="27">
        <f t="shared" si="26"/>
        <v>0</v>
      </c>
      <c r="CL67" s="27">
        <f t="shared" si="26"/>
        <v>0</v>
      </c>
      <c r="CM67" s="27">
        <f t="shared" si="26"/>
        <v>0</v>
      </c>
      <c r="CN67" s="27">
        <f t="shared" si="26"/>
        <v>0</v>
      </c>
      <c r="CO67" s="141" t="str">
        <f t="shared" si="22"/>
        <v>Factor not ranked</v>
      </c>
      <c r="CP67" s="14"/>
      <c r="CQ67" s="47"/>
      <c r="CR67" s="14"/>
      <c r="CS67" s="106" t="s">
        <v>345</v>
      </c>
      <c r="CT67" s="27">
        <f>COUNTIFS(S30_stakeholder_category,"FO",Response_Q178_7,"&lt;&gt;0",Response_Q173_5,"&lt;&gt;0")</f>
        <v>1</v>
      </c>
      <c r="CU67" s="37">
        <f>COUNTIFS(S30_stakeholder_category,"FO",Response_Q178_7,1,Response_Q173_5,"&lt;&gt;0")</f>
        <v>0</v>
      </c>
      <c r="CV67" s="37">
        <f>COUNTIFS(S30_stakeholder_category,"FO",Response_Q178_7,2,Response_Q173_5,"&lt;&gt;0")</f>
        <v>1</v>
      </c>
      <c r="CW67" s="37">
        <f>COUNTIFS(S30_stakeholder_category,"FO",Response_Q178_7,3,Response_Q173_5,"&lt;&gt;0")</f>
        <v>0</v>
      </c>
      <c r="CX67" s="37">
        <f>IF(CT58=0,0,SUMPRODUCT(CU67:CW67,Rank_score)/CT$58)</f>
        <v>1</v>
      </c>
      <c r="CY67" s="14"/>
      <c r="CZ67" s="106" t="s">
        <v>345</v>
      </c>
      <c r="DA67" s="27">
        <f t="shared" ref="DA67:DF67" si="27">COUNTIFS(S30_stakeholder_category,"FO",Response_Q178_7,"&lt;&gt;0",Response_Q178_8,DA$63,Response_Q173_5,"&lt;&gt;0")</f>
        <v>0</v>
      </c>
      <c r="DB67" s="27">
        <f t="shared" si="27"/>
        <v>0</v>
      </c>
      <c r="DC67" s="27">
        <f t="shared" si="27"/>
        <v>0</v>
      </c>
      <c r="DD67" s="27">
        <f t="shared" si="27"/>
        <v>1</v>
      </c>
      <c r="DE67" s="27">
        <f t="shared" si="27"/>
        <v>0</v>
      </c>
      <c r="DF67" s="27">
        <f t="shared" si="27"/>
        <v>0</v>
      </c>
      <c r="DG67" s="141">
        <f t="shared" si="20"/>
        <v>4</v>
      </c>
      <c r="DH67" s="14"/>
      <c r="DI67" s="47"/>
      <c r="DJ67" s="14"/>
      <c r="DK67" s="14"/>
      <c r="DL67" s="19"/>
      <c r="DM67" s="59"/>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row>
    <row r="68" spans="1:142" x14ac:dyDescent="0.25">
      <c r="A68" s="14"/>
      <c r="B68" s="62"/>
      <c r="C68" s="19"/>
      <c r="D68" s="19"/>
      <c r="E68" s="14"/>
      <c r="F68" s="14"/>
      <c r="G68" s="14"/>
      <c r="H68" s="21"/>
      <c r="I68" s="21"/>
      <c r="J68" s="14"/>
      <c r="K68" s="14"/>
      <c r="L68" s="14"/>
      <c r="M68" s="14"/>
      <c r="N68" s="14"/>
      <c r="O68" s="14"/>
      <c r="P68" s="14"/>
      <c r="Q68" s="47"/>
      <c r="R68" s="19"/>
      <c r="S68" s="56"/>
      <c r="T68" s="19"/>
      <c r="U68" s="59"/>
      <c r="V68" s="14"/>
      <c r="W68" s="14"/>
      <c r="X68" s="14"/>
      <c r="Y68" s="14"/>
      <c r="Z68" s="14"/>
      <c r="AA68" s="14"/>
      <c r="AB68" s="14"/>
      <c r="AC68" s="14"/>
      <c r="AD68" s="65"/>
      <c r="AE68" s="63"/>
      <c r="AF68" s="47"/>
      <c r="AG68" s="19"/>
      <c r="AH68" s="56"/>
      <c r="AI68" s="19"/>
      <c r="AJ68" s="59"/>
      <c r="AK68" s="14"/>
      <c r="AL68" s="14"/>
      <c r="AM68" s="14"/>
      <c r="AN68" s="14"/>
      <c r="AO68" s="14"/>
      <c r="AP68" s="14"/>
      <c r="AQ68" s="14"/>
      <c r="AR68" s="14"/>
      <c r="AS68" s="65"/>
      <c r="AT68" s="63"/>
      <c r="AU68" s="47"/>
      <c r="AV68" s="14"/>
      <c r="AW68" s="56"/>
      <c r="AX68" s="19"/>
      <c r="AY68" s="59"/>
      <c r="AZ68" s="14"/>
      <c r="BA68" s="14"/>
      <c r="BB68" s="14"/>
      <c r="BC68" s="14"/>
      <c r="BD68" s="14"/>
      <c r="BE68" s="14"/>
      <c r="BF68" s="14"/>
      <c r="BG68" s="14"/>
      <c r="BH68" s="65"/>
      <c r="BI68" s="63"/>
      <c r="BJ68" s="352"/>
      <c r="BK68" s="19"/>
      <c r="BL68" s="56"/>
      <c r="BM68" s="19"/>
      <c r="BN68" s="59"/>
      <c r="BO68" s="14"/>
      <c r="BP68" s="14"/>
      <c r="BQ68" s="14"/>
      <c r="BR68" s="14"/>
      <c r="BS68" s="14"/>
      <c r="BT68" s="14"/>
      <c r="BU68" s="14"/>
      <c r="BV68" s="14"/>
      <c r="BW68" s="65"/>
      <c r="BX68" s="63"/>
      <c r="BY68" s="352"/>
      <c r="BZ68" s="14"/>
      <c r="CA68" s="140" t="s">
        <v>341</v>
      </c>
      <c r="CB68" s="27">
        <f>COUNTIFS(S30_stakeholder_category,"FO",Response_Q177_9,"&lt;&gt;0",Response_Q173_5,"&lt;&gt;0")</f>
        <v>0</v>
      </c>
      <c r="CC68" s="37">
        <f>COUNTIFS(S30_stakeholder_category,"FO",Response_Q177_9,1,Response_Q173_5,"&lt;&gt;0")</f>
        <v>0</v>
      </c>
      <c r="CD68" s="37">
        <f>COUNTIFS(S30_stakeholder_category,"FO",Response_Q177_9,2,Response_Q173_5,"&lt;&gt;0")</f>
        <v>0</v>
      </c>
      <c r="CE68" s="37">
        <f>COUNTIFS(S30_stakeholder_category,"FO",Response_Q177_9,3,Response_Q173_5,"&lt;&gt;0")</f>
        <v>0</v>
      </c>
      <c r="CF68" s="97">
        <f>IF(CB58=0,0,SUMPRODUCT(CC68:CE68,Rank_score)/$CB58)</f>
        <v>0</v>
      </c>
      <c r="CG68" s="14"/>
      <c r="CH68" s="140" t="s">
        <v>341</v>
      </c>
      <c r="CI68" s="27">
        <f t="shared" ref="CI68:CN68" si="28">COUNTIFS(S30_stakeholder_category,"FO",Response_Q177_9,"&lt;&gt;0",Response_Q177_10,CI$63,Response_Q173_5,"&lt;&gt;0")</f>
        <v>0</v>
      </c>
      <c r="CJ68" s="27">
        <f t="shared" si="28"/>
        <v>0</v>
      </c>
      <c r="CK68" s="27">
        <f t="shared" si="28"/>
        <v>0</v>
      </c>
      <c r="CL68" s="27">
        <f t="shared" si="28"/>
        <v>0</v>
      </c>
      <c r="CM68" s="27">
        <f t="shared" si="28"/>
        <v>0</v>
      </c>
      <c r="CN68" s="27">
        <f t="shared" si="28"/>
        <v>0</v>
      </c>
      <c r="CO68" s="141" t="str">
        <f t="shared" si="22"/>
        <v>Factor not ranked</v>
      </c>
      <c r="CP68" s="14"/>
      <c r="CQ68" s="47"/>
      <c r="CR68" s="14"/>
      <c r="CS68" s="106" t="s">
        <v>561</v>
      </c>
      <c r="CT68" s="27">
        <f>COUNTIFS(S30_stakeholder_category,"FO",Response_Q178_9,"&lt;&gt;0",Response_Q173_5,"&lt;&gt;0")</f>
        <v>0</v>
      </c>
      <c r="CU68" s="37">
        <f>COUNTIFS(S30_stakeholder_category,"FO",Response_Q178_9,1,Response_Q173_5,"&lt;&gt;0")</f>
        <v>0</v>
      </c>
      <c r="CV68" s="37">
        <f>COUNTIFS(S30_stakeholder_category,"FO",Response_Q178_9,2,Response_Q173_5,"&lt;&gt;0")</f>
        <v>0</v>
      </c>
      <c r="CW68" s="37">
        <f>COUNTIFS(S30_stakeholder_category,"FO",Response_Q178_9,3,Response_Q173_5,"&lt;&gt;0")</f>
        <v>0</v>
      </c>
      <c r="CX68" s="37">
        <f>IF(CT58=0,0,SUMPRODUCT(CU68:CW68,Rank_score)/CT$58)</f>
        <v>0</v>
      </c>
      <c r="CY68" s="14"/>
      <c r="CZ68" s="106" t="s">
        <v>561</v>
      </c>
      <c r="DA68" s="27">
        <f t="shared" ref="DA68:DF68" si="29">COUNTIFS(S30_stakeholder_category,"FO",Response_Q178_9,"&lt;&gt;0",Response_Q178_10,DA$63,Response_Q173_5,"&lt;&gt;0")</f>
        <v>0</v>
      </c>
      <c r="DB68" s="27">
        <f t="shared" si="29"/>
        <v>0</v>
      </c>
      <c r="DC68" s="27">
        <f t="shared" si="29"/>
        <v>0</v>
      </c>
      <c r="DD68" s="27">
        <f t="shared" si="29"/>
        <v>0</v>
      </c>
      <c r="DE68" s="27">
        <f t="shared" si="29"/>
        <v>0</v>
      </c>
      <c r="DF68" s="27">
        <f t="shared" si="29"/>
        <v>0</v>
      </c>
      <c r="DG68" s="141" t="str">
        <f t="shared" si="20"/>
        <v>Factor not ranked</v>
      </c>
      <c r="DH68" s="14"/>
      <c r="DI68" s="47"/>
      <c r="DJ68" s="14"/>
      <c r="DK68" s="14"/>
      <c r="DL68" s="19"/>
      <c r="DM68" s="59"/>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row>
    <row r="69" spans="1:142" x14ac:dyDescent="0.25">
      <c r="A69" s="14"/>
      <c r="B69" s="62"/>
      <c r="C69" s="19"/>
      <c r="D69" s="19"/>
      <c r="E69" s="14"/>
      <c r="F69" s="14"/>
      <c r="G69" s="14"/>
      <c r="H69" s="21"/>
      <c r="I69" s="21"/>
      <c r="J69" s="14"/>
      <c r="K69" s="14"/>
      <c r="L69" s="14"/>
      <c r="M69" s="14"/>
      <c r="N69" s="14"/>
      <c r="O69" s="14"/>
      <c r="P69" s="14"/>
      <c r="Q69" s="47"/>
      <c r="R69" s="19"/>
      <c r="S69" s="14"/>
      <c r="T69" s="19"/>
      <c r="U69" s="59"/>
      <c r="V69" s="14"/>
      <c r="W69" s="14"/>
      <c r="X69" s="14"/>
      <c r="Y69" s="19"/>
      <c r="Z69" s="19"/>
      <c r="AA69" s="19"/>
      <c r="AB69" s="19"/>
      <c r="AC69" s="19"/>
      <c r="AD69" s="65"/>
      <c r="AE69" s="63"/>
      <c r="AF69" s="47"/>
      <c r="AG69" s="19"/>
      <c r="AH69" s="14"/>
      <c r="AI69" s="19"/>
      <c r="AJ69" s="59"/>
      <c r="AK69" s="14"/>
      <c r="AL69" s="14"/>
      <c r="AM69" s="14"/>
      <c r="AN69" s="19"/>
      <c r="AO69" s="19"/>
      <c r="AP69" s="19"/>
      <c r="AQ69" s="19"/>
      <c r="AR69" s="19"/>
      <c r="AS69" s="65"/>
      <c r="AT69" s="63"/>
      <c r="AU69" s="47"/>
      <c r="AV69" s="14"/>
      <c r="AW69" s="14"/>
      <c r="AX69" s="19"/>
      <c r="AY69" s="59"/>
      <c r="AZ69" s="14"/>
      <c r="BA69" s="14"/>
      <c r="BB69" s="14"/>
      <c r="BC69" s="19"/>
      <c r="BD69" s="19"/>
      <c r="BE69" s="19"/>
      <c r="BF69" s="19"/>
      <c r="BG69" s="19"/>
      <c r="BH69" s="65"/>
      <c r="BI69" s="63"/>
      <c r="BJ69" s="352"/>
      <c r="BK69" s="19"/>
      <c r="BL69" s="14"/>
      <c r="BM69" s="19"/>
      <c r="BN69" s="59"/>
      <c r="BO69" s="14"/>
      <c r="BP69" s="14"/>
      <c r="BQ69" s="14"/>
      <c r="BR69" s="19"/>
      <c r="BS69" s="19"/>
      <c r="BT69" s="19"/>
      <c r="BU69" s="19"/>
      <c r="BV69" s="19"/>
      <c r="BW69" s="65"/>
      <c r="BX69" s="63"/>
      <c r="BY69" s="352"/>
      <c r="BZ69" s="14"/>
      <c r="CA69" s="106" t="s">
        <v>148</v>
      </c>
      <c r="CB69" s="27">
        <f>COUNTIFS(S30_stakeholder_category,"FO",Response_Q177_11,"&lt;&gt;0",Response_Q173_5,"&lt;&gt;0")</f>
        <v>1</v>
      </c>
      <c r="CC69" s="37">
        <f>COUNTIFS(S30_stakeholder_category,"FO",Response_Q177_11,1,Response_Q173_5,"&lt;&gt;0")</f>
        <v>0</v>
      </c>
      <c r="CD69" s="37">
        <f>COUNTIFS(S30_stakeholder_category,"FO",Response_Q177_11,2,Response_Q173_5,"&lt;&gt;0")</f>
        <v>0</v>
      </c>
      <c r="CE69" s="37">
        <f>COUNTIFS(S30_stakeholder_category,"FO",Response_Q177_11,3,Response_Q173_5,"&lt;&gt;0")</f>
        <v>1</v>
      </c>
      <c r="CF69" s="97">
        <f>IF(CB58=0,0,SUMPRODUCT(CC69:CE69,Rank_score)/$CB58)</f>
        <v>0.33333333333333331</v>
      </c>
      <c r="CG69" s="43"/>
      <c r="CH69" s="106" t="s">
        <v>148</v>
      </c>
      <c r="CI69" s="27">
        <f t="shared" ref="CI69:CN69" si="30">COUNTIFS(S30_stakeholder_category,"FO",Response_Q177_11,"&lt;&gt;0",Response_Q177_12,CI$63,Response_Q173_5,"&lt;&gt;0")</f>
        <v>0</v>
      </c>
      <c r="CJ69" s="27">
        <f t="shared" si="30"/>
        <v>1</v>
      </c>
      <c r="CK69" s="27">
        <f t="shared" si="30"/>
        <v>0</v>
      </c>
      <c r="CL69" s="27">
        <f t="shared" si="30"/>
        <v>0</v>
      </c>
      <c r="CM69" s="27">
        <f t="shared" si="30"/>
        <v>0</v>
      </c>
      <c r="CN69" s="27">
        <f t="shared" si="30"/>
        <v>0</v>
      </c>
      <c r="CO69" s="141">
        <f t="shared" si="22"/>
        <v>2</v>
      </c>
      <c r="CP69" s="14"/>
      <c r="CQ69" s="47"/>
      <c r="CR69" s="14"/>
      <c r="CS69" s="106" t="s">
        <v>49</v>
      </c>
      <c r="CT69" s="27">
        <f>COUNTIFS(S30_stakeholder_category,"FO",Response_Q178_11,"&lt;&gt;0",Response_Q173_5,"&lt;&gt;0")</f>
        <v>0</v>
      </c>
      <c r="CU69" s="37">
        <f>COUNTIFS(S30_stakeholder_category,"FO",Response_Q178_11,1,Response_Q173_5,"&lt;&gt;0")</f>
        <v>0</v>
      </c>
      <c r="CV69" s="37">
        <f>COUNTIFS(S30_stakeholder_category,"FO",Response_Q178_11,2,Response_Q173_5,"&lt;&gt;0")</f>
        <v>0</v>
      </c>
      <c r="CW69" s="37">
        <f>COUNTIFS(S30_stakeholder_category,"FO",Response_Q178_11,3,Response_Q173_5,"&lt;&gt;0")</f>
        <v>0</v>
      </c>
      <c r="CX69" s="37">
        <f>IF(CT58=0,0,SUMPRODUCT(CU69:CW69,Rank_score)/CT$58)</f>
        <v>0</v>
      </c>
      <c r="CY69" s="43"/>
      <c r="CZ69" s="106" t="s">
        <v>49</v>
      </c>
      <c r="DA69" s="27">
        <f t="shared" ref="DA69:DF69" si="31">COUNTIFS(S30_stakeholder_category,"FO",Response_Q178_11,"&lt;&gt;0",Response_Q178_12,DA$63,Response_Q173_5,"&lt;&gt;0")</f>
        <v>0</v>
      </c>
      <c r="DB69" s="27">
        <f t="shared" si="31"/>
        <v>0</v>
      </c>
      <c r="DC69" s="27">
        <f t="shared" si="31"/>
        <v>0</v>
      </c>
      <c r="DD69" s="27">
        <f t="shared" si="31"/>
        <v>0</v>
      </c>
      <c r="DE69" s="27">
        <f t="shared" si="31"/>
        <v>0</v>
      </c>
      <c r="DF69" s="27">
        <f t="shared" si="31"/>
        <v>0</v>
      </c>
      <c r="DG69" s="141" t="str">
        <f t="shared" si="20"/>
        <v>Factor not ranked</v>
      </c>
      <c r="DH69" s="14"/>
      <c r="DI69" s="47"/>
      <c r="DJ69" s="14"/>
      <c r="DK69" s="62"/>
      <c r="DL69" s="19"/>
      <c r="DM69" s="59"/>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row>
    <row r="70" spans="1:142" x14ac:dyDescent="0.25">
      <c r="A70" s="14"/>
      <c r="B70" s="62"/>
      <c r="C70" s="19"/>
      <c r="D70" s="59"/>
      <c r="E70" s="14"/>
      <c r="F70" s="14"/>
      <c r="G70" s="14"/>
      <c r="H70" s="21"/>
      <c r="I70" s="21"/>
      <c r="J70" s="14"/>
      <c r="K70" s="14"/>
      <c r="L70" s="14"/>
      <c r="M70" s="14"/>
      <c r="N70" s="14"/>
      <c r="O70" s="14"/>
      <c r="P70" s="14"/>
      <c r="Q70" s="47"/>
      <c r="R70" s="19"/>
      <c r="S70" s="14"/>
      <c r="T70" s="19"/>
      <c r="U70" s="59"/>
      <c r="V70" s="14"/>
      <c r="W70" s="14"/>
      <c r="X70" s="14"/>
      <c r="Y70" s="19"/>
      <c r="Z70" s="14"/>
      <c r="AA70" s="14"/>
      <c r="AB70" s="14"/>
      <c r="AC70" s="14"/>
      <c r="AD70" s="65"/>
      <c r="AE70" s="63"/>
      <c r="AF70" s="47"/>
      <c r="AG70" s="19"/>
      <c r="AH70" s="14"/>
      <c r="AI70" s="19"/>
      <c r="AJ70" s="59"/>
      <c r="AK70" s="14"/>
      <c r="AL70" s="14"/>
      <c r="AM70" s="14"/>
      <c r="AN70" s="19"/>
      <c r="AO70" s="14"/>
      <c r="AP70" s="14"/>
      <c r="AQ70" s="14"/>
      <c r="AR70" s="14"/>
      <c r="AS70" s="65"/>
      <c r="AT70" s="63"/>
      <c r="AU70" s="47"/>
      <c r="AV70" s="14"/>
      <c r="AW70" s="14"/>
      <c r="AX70" s="19"/>
      <c r="AY70" s="59"/>
      <c r="AZ70" s="14"/>
      <c r="BA70" s="14"/>
      <c r="BB70" s="14"/>
      <c r="BC70" s="19"/>
      <c r="BD70" s="14"/>
      <c r="BE70" s="14"/>
      <c r="BF70" s="14"/>
      <c r="BG70" s="14"/>
      <c r="BH70" s="65"/>
      <c r="BI70" s="63"/>
      <c r="BJ70" s="352"/>
      <c r="BK70" s="19"/>
      <c r="BL70" s="14"/>
      <c r="BM70" s="19"/>
      <c r="BN70" s="59"/>
      <c r="BO70" s="14"/>
      <c r="BP70" s="14"/>
      <c r="BQ70" s="14"/>
      <c r="BR70" s="19"/>
      <c r="BS70" s="14"/>
      <c r="BT70" s="14"/>
      <c r="BU70" s="14"/>
      <c r="BV70" s="14"/>
      <c r="BW70" s="65"/>
      <c r="BX70" s="63"/>
      <c r="BY70" s="352"/>
      <c r="BZ70" s="14"/>
      <c r="CA70" s="107" t="s">
        <v>49</v>
      </c>
      <c r="CB70" s="27">
        <f>COUNTIFS(S30_stakeholder_category,"FO",Response_Q177_13,"&lt;&gt;0",Response_Q173_5,"&lt;&gt;0")</f>
        <v>0</v>
      </c>
      <c r="CC70" s="37">
        <f>COUNTIFS(S30_stakeholder_category,"FO",Response_Q177_13,1,Response_Q173_5,"&lt;&gt;0")</f>
        <v>0</v>
      </c>
      <c r="CD70" s="37">
        <f>COUNTIFS(S30_stakeholder_category,"FO",Response_Q177_13,2,Response_Q173_5,"&lt;&gt;0")</f>
        <v>0</v>
      </c>
      <c r="CE70" s="37">
        <f>COUNTIFS(S30_stakeholder_category,"FO",Response_Q177_13,3,Response_Q173_5,"&lt;&gt;0")</f>
        <v>0</v>
      </c>
      <c r="CF70" s="97">
        <f>IF(CB58=0,0,SUMPRODUCT(CC70:CE70,Rank_score)/$CB58)</f>
        <v>0</v>
      </c>
      <c r="CG70" s="29"/>
      <c r="CH70" s="107" t="s">
        <v>49</v>
      </c>
      <c r="CI70" s="27">
        <f t="shared" ref="CI70:CN70" si="32">COUNTIFS(S30_stakeholder_category,"FO",Response_Q177_13,"&lt;&gt;0",Response_Q177_14,CI$63,Response_Q173_5,"&lt;&gt;0")</f>
        <v>0</v>
      </c>
      <c r="CJ70" s="27">
        <f t="shared" si="32"/>
        <v>0</v>
      </c>
      <c r="CK70" s="27">
        <f t="shared" si="32"/>
        <v>0</v>
      </c>
      <c r="CL70" s="27">
        <f t="shared" si="32"/>
        <v>0</v>
      </c>
      <c r="CM70" s="27">
        <f t="shared" si="32"/>
        <v>0</v>
      </c>
      <c r="CN70" s="27">
        <f t="shared" si="32"/>
        <v>0</v>
      </c>
      <c r="CO70" s="141" t="str">
        <f t="shared" si="22"/>
        <v>Factor not ranked</v>
      </c>
      <c r="CP70" s="14"/>
      <c r="CQ70" s="47"/>
      <c r="CR70" s="14"/>
      <c r="CS70" s="107"/>
      <c r="CT70" s="27"/>
      <c r="CU70" s="37"/>
      <c r="CV70" s="37"/>
      <c r="CW70" s="37"/>
      <c r="CX70" s="37"/>
      <c r="CY70" s="29"/>
      <c r="CZ70" s="106"/>
      <c r="DA70" s="27"/>
      <c r="DB70" s="27"/>
      <c r="DC70" s="27"/>
      <c r="DD70" s="27"/>
      <c r="DE70" s="27"/>
      <c r="DF70" s="27"/>
      <c r="DG70" s="141" t="str">
        <f t="shared" si="20"/>
        <v/>
      </c>
      <c r="DH70" s="14"/>
      <c r="DI70" s="47"/>
      <c r="DJ70" s="14"/>
      <c r="DK70" s="62"/>
      <c r="DL70" s="19"/>
      <c r="DM70" s="59"/>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row>
    <row r="71" spans="1:142" x14ac:dyDescent="0.25">
      <c r="A71" s="14"/>
      <c r="B71" s="62"/>
      <c r="C71" s="19"/>
      <c r="D71" s="59"/>
      <c r="E71" s="14"/>
      <c r="F71" s="14"/>
      <c r="G71" s="109" t="s">
        <v>14</v>
      </c>
      <c r="H71" s="110" t="s">
        <v>6</v>
      </c>
      <c r="I71" s="110" t="s">
        <v>7</v>
      </c>
      <c r="J71" s="14"/>
      <c r="K71" s="14"/>
      <c r="L71" s="14"/>
      <c r="M71" s="14"/>
      <c r="N71" s="14"/>
      <c r="O71" s="14"/>
      <c r="P71" s="14"/>
      <c r="Q71" s="47"/>
      <c r="R71" s="19"/>
      <c r="S71" s="14"/>
      <c r="T71" s="19"/>
      <c r="U71" s="59"/>
      <c r="V71" s="14"/>
      <c r="W71" s="14"/>
      <c r="X71" s="109" t="s">
        <v>14</v>
      </c>
      <c r="Y71" s="110" t="s">
        <v>6</v>
      </c>
      <c r="Z71" s="110" t="s">
        <v>7</v>
      </c>
      <c r="AA71" s="56"/>
      <c r="AB71" s="14"/>
      <c r="AC71" s="14"/>
      <c r="AD71" s="65"/>
      <c r="AE71" s="63"/>
      <c r="AF71" s="47"/>
      <c r="AG71" s="19"/>
      <c r="AH71" s="14"/>
      <c r="AI71" s="19"/>
      <c r="AJ71" s="59"/>
      <c r="AK71" s="14"/>
      <c r="AL71" s="14"/>
      <c r="AM71" s="109" t="s">
        <v>14</v>
      </c>
      <c r="AN71" s="110" t="s">
        <v>6</v>
      </c>
      <c r="AO71" s="110" t="s">
        <v>7</v>
      </c>
      <c r="AP71" s="56"/>
      <c r="AQ71" s="14"/>
      <c r="AR71" s="14"/>
      <c r="AS71" s="65"/>
      <c r="AT71" s="63"/>
      <c r="AU71" s="47"/>
      <c r="AV71" s="14"/>
      <c r="AW71" s="14"/>
      <c r="AX71" s="19"/>
      <c r="AY71" s="59"/>
      <c r="AZ71" s="14"/>
      <c r="BA71" s="14"/>
      <c r="BB71" s="109" t="s">
        <v>14</v>
      </c>
      <c r="BC71" s="110" t="s">
        <v>6</v>
      </c>
      <c r="BD71" s="110" t="s">
        <v>7</v>
      </c>
      <c r="BE71" s="56"/>
      <c r="BF71" s="14"/>
      <c r="BG71" s="14"/>
      <c r="BH71" s="65"/>
      <c r="BI71" s="63"/>
      <c r="BJ71" s="352"/>
      <c r="BK71" s="19"/>
      <c r="BL71" s="14"/>
      <c r="BM71" s="19"/>
      <c r="BN71" s="59"/>
      <c r="BO71" s="14"/>
      <c r="BP71" s="14"/>
      <c r="BQ71" s="109" t="s">
        <v>14</v>
      </c>
      <c r="BR71" s="110" t="s">
        <v>6</v>
      </c>
      <c r="BS71" s="110" t="s">
        <v>7</v>
      </c>
      <c r="BT71" s="56"/>
      <c r="BU71" s="14"/>
      <c r="BV71" s="14"/>
      <c r="BW71" s="65"/>
      <c r="BX71" s="63"/>
      <c r="BY71" s="352"/>
      <c r="BZ71" s="14"/>
      <c r="CA71" s="86"/>
      <c r="CB71" s="111"/>
      <c r="CC71" s="111"/>
      <c r="CD71" s="179"/>
      <c r="CE71" s="179"/>
      <c r="CF71" s="108"/>
      <c r="CG71" s="29"/>
      <c r="CH71" s="109"/>
      <c r="CI71" s="109"/>
      <c r="CJ71" s="109"/>
      <c r="CK71" s="109"/>
      <c r="CL71" s="109"/>
      <c r="CM71" s="109"/>
      <c r="CN71" s="109"/>
      <c r="CO71" s="329"/>
      <c r="CP71" s="14"/>
      <c r="CQ71" s="47"/>
      <c r="CR71" s="14"/>
      <c r="CS71" s="107"/>
      <c r="CT71" s="27"/>
      <c r="CU71" s="37"/>
      <c r="CV71" s="37"/>
      <c r="CW71" s="37"/>
      <c r="CX71" s="37"/>
      <c r="CY71" s="29"/>
      <c r="CZ71" s="106"/>
      <c r="DA71" s="27"/>
      <c r="DB71" s="27"/>
      <c r="DC71" s="27"/>
      <c r="DD71" s="27"/>
      <c r="DE71" s="27"/>
      <c r="DF71" s="27"/>
      <c r="DG71" s="141" t="str">
        <f t="shared" si="20"/>
        <v/>
      </c>
      <c r="DH71" s="14"/>
      <c r="DI71" s="47"/>
      <c r="DJ71" s="14"/>
      <c r="DK71" s="62"/>
      <c r="DL71" s="19"/>
      <c r="DM71" s="59"/>
      <c r="DN71" s="14"/>
      <c r="DO71" s="14"/>
      <c r="DP71" s="109" t="s">
        <v>14</v>
      </c>
      <c r="DQ71" s="110" t="s">
        <v>6</v>
      </c>
      <c r="DR71" s="110" t="s">
        <v>7</v>
      </c>
      <c r="DS71" s="14"/>
      <c r="DT71" s="14"/>
      <c r="DU71" s="14"/>
      <c r="DV71" s="14"/>
      <c r="DW71" s="14"/>
      <c r="DX71" s="14"/>
      <c r="DY71" s="14"/>
      <c r="DZ71" s="14"/>
      <c r="EA71" s="14"/>
      <c r="EB71" s="14"/>
      <c r="EC71" s="14"/>
      <c r="ED71" s="14"/>
      <c r="EE71" s="14"/>
      <c r="EF71" s="14"/>
      <c r="EG71" s="14"/>
      <c r="EH71" s="14"/>
      <c r="EI71" s="14"/>
      <c r="EJ71" s="14"/>
      <c r="EK71" s="14"/>
      <c r="EL71" s="14"/>
    </row>
    <row r="72" spans="1:142" x14ac:dyDescent="0.25">
      <c r="A72" s="14"/>
      <c r="B72" s="62"/>
      <c r="C72" s="19"/>
      <c r="D72" s="59"/>
      <c r="E72" s="14"/>
      <c r="F72" s="14"/>
      <c r="G72" s="107" t="s">
        <v>34</v>
      </c>
      <c r="H72" s="27">
        <f>COUNTIFS(S30_stakeholder_category,"FO",Response_Q173_5,G72)</f>
        <v>1</v>
      </c>
      <c r="I72" s="41">
        <f>IFERROR(H72/H$77,"")</f>
        <v>0.33333333333333331</v>
      </c>
      <c r="J72" s="14"/>
      <c r="K72" s="14"/>
      <c r="L72" s="14"/>
      <c r="M72" s="14"/>
      <c r="N72" s="14"/>
      <c r="O72" s="14"/>
      <c r="P72" s="14"/>
      <c r="Q72" s="47"/>
      <c r="R72" s="19"/>
      <c r="S72" s="62"/>
      <c r="T72" s="19"/>
      <c r="U72" s="59"/>
      <c r="V72" s="14"/>
      <c r="W72" s="14"/>
      <c r="X72" s="107" t="s">
        <v>5</v>
      </c>
      <c r="Y72" s="27">
        <f t="shared" ref="Y72:Y78" si="33">COUNTIFS(S30_stakeholder_category,"FO",Response_Q176_3,X72)</f>
        <v>1</v>
      </c>
      <c r="Z72" s="41">
        <f t="shared" ref="Z72:Z79" si="34">IFERROR(Y72/Y$79,0)</f>
        <v>0.25</v>
      </c>
      <c r="AA72" s="19"/>
      <c r="AB72" s="14"/>
      <c r="AC72" s="14"/>
      <c r="AD72" s="65"/>
      <c r="AE72" s="63"/>
      <c r="AF72" s="47"/>
      <c r="AG72" s="19"/>
      <c r="AH72" s="62"/>
      <c r="AI72" s="19"/>
      <c r="AJ72" s="59"/>
      <c r="AK72" s="14"/>
      <c r="AL72" s="14"/>
      <c r="AM72" s="107" t="s">
        <v>5</v>
      </c>
      <c r="AN72" s="27">
        <f t="shared" ref="AN72:AN78" si="35">COUNTIFS(S30_stakeholder_category,"FO",Response_30c_CaseA,AM72)</f>
        <v>2</v>
      </c>
      <c r="AO72" s="41">
        <f>IFERROR(AN72/AN$79,0)</f>
        <v>1</v>
      </c>
      <c r="AP72" s="19"/>
      <c r="AQ72" s="14"/>
      <c r="AR72" s="14"/>
      <c r="AS72" s="65"/>
      <c r="AT72" s="63"/>
      <c r="AU72" s="47"/>
      <c r="AV72" s="14"/>
      <c r="AW72" s="62"/>
      <c r="AX72" s="19"/>
      <c r="AY72" s="59"/>
      <c r="AZ72" s="14"/>
      <c r="BA72" s="14"/>
      <c r="BB72" s="107" t="s">
        <v>5</v>
      </c>
      <c r="BC72" s="27">
        <f t="shared" ref="BC72:BC78" si="36">COUNTIFS(S30_stakeholder_category,"FO",Response_30c_CaseB,BB72)</f>
        <v>2</v>
      </c>
      <c r="BD72" s="41">
        <f>IFERROR(BC72/BC$79,0)</f>
        <v>1</v>
      </c>
      <c r="BE72" s="19"/>
      <c r="BF72" s="14"/>
      <c r="BG72" s="14"/>
      <c r="BH72" s="65"/>
      <c r="BI72" s="63"/>
      <c r="BJ72" s="352"/>
      <c r="BK72" s="19"/>
      <c r="BL72" s="62"/>
      <c r="BM72" s="19"/>
      <c r="BN72" s="59"/>
      <c r="BO72" s="14"/>
      <c r="BP72" s="14"/>
      <c r="BQ72" s="107" t="s">
        <v>5</v>
      </c>
      <c r="BR72" s="27">
        <f t="shared" ref="BR72:BR78" si="37">COUNTIFS(S30_stakeholder_category,"FO",Response_30c_CaseC,BQ72)</f>
        <v>2</v>
      </c>
      <c r="BS72" s="41">
        <f>IFERROR(BR72/BR$79,0)</f>
        <v>1</v>
      </c>
      <c r="BT72" s="19"/>
      <c r="BU72" s="14"/>
      <c r="BV72" s="14"/>
      <c r="BW72" s="65"/>
      <c r="BX72" s="63"/>
      <c r="BY72" s="352"/>
      <c r="BZ72" s="14"/>
      <c r="CA72" s="14"/>
      <c r="CB72" s="21"/>
      <c r="CC72" s="21"/>
      <c r="CD72" s="180"/>
      <c r="CE72" s="181"/>
      <c r="CF72" s="31"/>
      <c r="CG72" s="52"/>
      <c r="CH72" s="52"/>
      <c r="CI72" s="99"/>
      <c r="CJ72" s="14"/>
      <c r="CK72" s="14"/>
      <c r="CL72" s="14"/>
      <c r="CM72" s="14"/>
      <c r="CN72" s="14"/>
      <c r="CO72" s="129"/>
      <c r="CP72" s="14"/>
      <c r="CQ72" s="47"/>
      <c r="CR72" s="14"/>
      <c r="CS72" s="86"/>
      <c r="CT72" s="111"/>
      <c r="CU72" s="86"/>
      <c r="CV72" s="179"/>
      <c r="CW72" s="188"/>
      <c r="CX72" s="179"/>
      <c r="CY72" s="29"/>
      <c r="CZ72" s="109"/>
      <c r="DA72" s="109"/>
      <c r="DB72" s="109"/>
      <c r="DC72" s="109"/>
      <c r="DD72" s="109"/>
      <c r="DE72" s="109"/>
      <c r="DF72" s="109"/>
      <c r="DG72" s="329"/>
      <c r="DH72" s="14"/>
      <c r="DI72" s="47"/>
      <c r="DJ72" s="14"/>
      <c r="DK72" s="62"/>
      <c r="DL72" s="19"/>
      <c r="DM72" s="59"/>
      <c r="DN72" s="14"/>
      <c r="DO72" s="14"/>
      <c r="DP72" s="107" t="s">
        <v>34</v>
      </c>
      <c r="DQ72" s="27">
        <f>COUNTIFS(S30_stakeholder_category,"FO",Response_Q172_1,DP72,Response_Q173_5,"&lt;&gt;0")</f>
        <v>1</v>
      </c>
      <c r="DR72" s="41">
        <f>IF(DQ77=0,"",DQ72/DQ77)</f>
        <v>0.33333333333333331</v>
      </c>
      <c r="DS72" s="14"/>
      <c r="DT72" s="14"/>
      <c r="DU72" s="14"/>
      <c r="DV72" s="14"/>
      <c r="DW72" s="14"/>
      <c r="DX72" s="14"/>
      <c r="DY72" s="14"/>
      <c r="DZ72" s="14"/>
      <c r="EA72" s="14"/>
      <c r="EB72" s="14"/>
      <c r="EC72" s="14"/>
      <c r="ED72" s="14"/>
      <c r="EE72" s="14"/>
      <c r="EF72" s="14"/>
      <c r="EG72" s="14"/>
      <c r="EH72" s="14"/>
      <c r="EI72" s="14"/>
      <c r="EJ72" s="14"/>
      <c r="EK72" s="14"/>
      <c r="EL72" s="14"/>
    </row>
    <row r="73" spans="1:142" x14ac:dyDescent="0.25">
      <c r="A73" s="14"/>
      <c r="B73" s="62"/>
      <c r="C73" s="19"/>
      <c r="D73" s="59"/>
      <c r="E73" s="14"/>
      <c r="F73" s="14"/>
      <c r="G73" s="107" t="s">
        <v>35</v>
      </c>
      <c r="H73" s="27">
        <f>COUNTIFS(S30_stakeholder_category,"FO",Response_Q173_5,G73)</f>
        <v>0</v>
      </c>
      <c r="I73" s="41">
        <f t="shared" ref="I73:I77" si="38">IFERROR(H73/H$77,"")</f>
        <v>0</v>
      </c>
      <c r="J73" s="14"/>
      <c r="K73" s="14"/>
      <c r="L73" s="14"/>
      <c r="M73" s="14"/>
      <c r="N73" s="14"/>
      <c r="O73" s="14"/>
      <c r="P73" s="14"/>
      <c r="Q73" s="47"/>
      <c r="R73" s="19"/>
      <c r="S73" s="62"/>
      <c r="T73" s="19"/>
      <c r="U73" s="59"/>
      <c r="V73" s="14"/>
      <c r="W73" s="14"/>
      <c r="X73" s="107" t="s">
        <v>4</v>
      </c>
      <c r="Y73" s="27">
        <f t="shared" si="33"/>
        <v>0</v>
      </c>
      <c r="Z73" s="41">
        <f t="shared" si="34"/>
        <v>0</v>
      </c>
      <c r="AA73" s="19"/>
      <c r="AB73" s="14"/>
      <c r="AC73" s="14"/>
      <c r="AD73" s="65"/>
      <c r="AE73" s="63"/>
      <c r="AF73" s="47"/>
      <c r="AG73" s="19"/>
      <c r="AH73" s="62"/>
      <c r="AI73" s="19"/>
      <c r="AJ73" s="59"/>
      <c r="AK73" s="14"/>
      <c r="AL73" s="14"/>
      <c r="AM73" s="107" t="s">
        <v>4</v>
      </c>
      <c r="AN73" s="27">
        <f t="shared" si="35"/>
        <v>0</v>
      </c>
      <c r="AO73" s="41">
        <f t="shared" ref="AO73:AO79" si="39">IFERROR(AN73/AN$79,0)</f>
        <v>0</v>
      </c>
      <c r="AP73" s="19"/>
      <c r="AQ73" s="14"/>
      <c r="AR73" s="14"/>
      <c r="AS73" s="65"/>
      <c r="AT73" s="63"/>
      <c r="AU73" s="47"/>
      <c r="AV73" s="14"/>
      <c r="AW73" s="62"/>
      <c r="AX73" s="19"/>
      <c r="AY73" s="59"/>
      <c r="AZ73" s="14"/>
      <c r="BA73" s="14"/>
      <c r="BB73" s="107" t="s">
        <v>4</v>
      </c>
      <c r="BC73" s="27">
        <f t="shared" si="36"/>
        <v>0</v>
      </c>
      <c r="BD73" s="41">
        <f t="shared" ref="BD73:BD79" si="40">IFERROR(BC73/BC$79,0)</f>
        <v>0</v>
      </c>
      <c r="BE73" s="19"/>
      <c r="BF73" s="14"/>
      <c r="BG73" s="14"/>
      <c r="BH73" s="65"/>
      <c r="BI73" s="63"/>
      <c r="BJ73" s="352"/>
      <c r="BK73" s="19"/>
      <c r="BL73" s="62"/>
      <c r="BM73" s="19"/>
      <c r="BN73" s="59"/>
      <c r="BO73" s="14"/>
      <c r="BP73" s="14"/>
      <c r="BQ73" s="107" t="s">
        <v>4</v>
      </c>
      <c r="BR73" s="27">
        <f t="shared" si="37"/>
        <v>0</v>
      </c>
      <c r="BS73" s="41">
        <f t="shared" ref="BS73:BS79" si="41">IFERROR(BR73/BR$79,0)</f>
        <v>0</v>
      </c>
      <c r="BT73" s="19"/>
      <c r="BU73" s="14"/>
      <c r="BV73" s="14"/>
      <c r="BW73" s="65"/>
      <c r="BX73" s="63"/>
      <c r="BY73" s="352"/>
      <c r="BZ73" s="14"/>
      <c r="CA73" s="14"/>
      <c r="CB73" s="21"/>
      <c r="CC73" s="21"/>
      <c r="CD73" s="180"/>
      <c r="CE73" s="181"/>
      <c r="CF73" s="31"/>
      <c r="CG73" s="52"/>
      <c r="CH73" s="52"/>
      <c r="CI73" s="99"/>
      <c r="CJ73" s="14"/>
      <c r="CK73" s="14"/>
      <c r="CL73" s="14"/>
      <c r="CM73" s="14"/>
      <c r="CN73" s="14"/>
      <c r="CO73" s="129"/>
      <c r="CP73" s="14"/>
      <c r="CQ73" s="47"/>
      <c r="CR73" s="14"/>
      <c r="CS73" s="14"/>
      <c r="CT73" s="14"/>
      <c r="CU73" s="14"/>
      <c r="CV73" s="180"/>
      <c r="CW73" s="190"/>
      <c r="CX73" s="191"/>
      <c r="CY73" s="52"/>
      <c r="CZ73" s="52"/>
      <c r="DA73" s="54"/>
      <c r="DB73" s="19"/>
      <c r="DC73" s="19"/>
      <c r="DD73" s="19"/>
      <c r="DE73" s="19"/>
      <c r="DF73" s="19"/>
      <c r="DG73" s="260"/>
      <c r="DH73" s="14"/>
      <c r="DI73" s="47"/>
      <c r="DJ73" s="14"/>
      <c r="DK73" s="62"/>
      <c r="DL73" s="19"/>
      <c r="DM73" s="59"/>
      <c r="DN73" s="14"/>
      <c r="DO73" s="14"/>
      <c r="DP73" s="107" t="s">
        <v>35</v>
      </c>
      <c r="DQ73" s="27">
        <f>COUNTIFS(S30_stakeholder_category,"FO",Response_Q172_1,DP73,Response_Q173_5,"&lt;&gt;0")</f>
        <v>1</v>
      </c>
      <c r="DR73" s="41">
        <f>IF(DQ77=0,"",DQ73/DQ77)</f>
        <v>0.33333333333333331</v>
      </c>
      <c r="DS73" s="14"/>
      <c r="DT73" s="14"/>
      <c r="DU73" s="14"/>
      <c r="DV73" s="14"/>
      <c r="DW73" s="14"/>
      <c r="DX73" s="14"/>
      <c r="DY73" s="14"/>
      <c r="DZ73" s="14"/>
      <c r="EA73" s="14"/>
      <c r="EB73" s="14"/>
      <c r="EC73" s="14"/>
      <c r="ED73" s="14"/>
      <c r="EE73" s="14"/>
      <c r="EF73" s="14"/>
      <c r="EG73" s="14"/>
      <c r="EH73" s="14"/>
      <c r="EI73" s="14"/>
      <c r="EJ73" s="14"/>
      <c r="EK73" s="14"/>
      <c r="EL73" s="14"/>
    </row>
    <row r="74" spans="1:142" x14ac:dyDescent="0.25">
      <c r="A74" s="14"/>
      <c r="B74" s="62"/>
      <c r="C74" s="19"/>
      <c r="D74" s="59"/>
      <c r="E74" s="14"/>
      <c r="F74" s="14"/>
      <c r="G74" s="107" t="s">
        <v>36</v>
      </c>
      <c r="H74" s="27">
        <f>COUNTIFS(S30_stakeholder_category,"FO",Response_Q173_5,G74)</f>
        <v>0</v>
      </c>
      <c r="I74" s="41">
        <f t="shared" si="38"/>
        <v>0</v>
      </c>
      <c r="J74" s="14"/>
      <c r="K74" s="14"/>
      <c r="L74" s="14"/>
      <c r="M74" s="14"/>
      <c r="N74" s="14"/>
      <c r="O74" s="14"/>
      <c r="P74" s="14"/>
      <c r="Q74" s="47"/>
      <c r="R74" s="19"/>
      <c r="S74" s="62"/>
      <c r="T74" s="19"/>
      <c r="U74" s="59"/>
      <c r="V74" s="14"/>
      <c r="W74" s="14"/>
      <c r="X74" s="107" t="s">
        <v>33</v>
      </c>
      <c r="Y74" s="27">
        <f t="shared" si="33"/>
        <v>0</v>
      </c>
      <c r="Z74" s="41">
        <f t="shared" si="34"/>
        <v>0</v>
      </c>
      <c r="AA74" s="19"/>
      <c r="AB74" s="14"/>
      <c r="AC74" s="14"/>
      <c r="AD74" s="65"/>
      <c r="AE74" s="63"/>
      <c r="AF74" s="47"/>
      <c r="AG74" s="19"/>
      <c r="AH74" s="62"/>
      <c r="AI74" s="19"/>
      <c r="AJ74" s="59"/>
      <c r="AK74" s="14"/>
      <c r="AL74" s="14"/>
      <c r="AM74" s="107" t="s">
        <v>33</v>
      </c>
      <c r="AN74" s="27">
        <f t="shared" si="35"/>
        <v>0</v>
      </c>
      <c r="AO74" s="41">
        <f t="shared" si="39"/>
        <v>0</v>
      </c>
      <c r="AP74" s="19"/>
      <c r="AQ74" s="14"/>
      <c r="AR74" s="14"/>
      <c r="AS74" s="65"/>
      <c r="AT74" s="63"/>
      <c r="AU74" s="47"/>
      <c r="AV74" s="14"/>
      <c r="AW74" s="62"/>
      <c r="AX74" s="19"/>
      <c r="AY74" s="59"/>
      <c r="AZ74" s="14"/>
      <c r="BA74" s="14"/>
      <c r="BB74" s="107" t="s">
        <v>33</v>
      </c>
      <c r="BC74" s="27">
        <f t="shared" si="36"/>
        <v>0</v>
      </c>
      <c r="BD74" s="41">
        <f t="shared" si="40"/>
        <v>0</v>
      </c>
      <c r="BE74" s="19"/>
      <c r="BF74" s="14"/>
      <c r="BG74" s="14"/>
      <c r="BH74" s="65"/>
      <c r="BI74" s="63"/>
      <c r="BJ74" s="352"/>
      <c r="BK74" s="19"/>
      <c r="BL74" s="62"/>
      <c r="BM74" s="19"/>
      <c r="BN74" s="59"/>
      <c r="BO74" s="14"/>
      <c r="BP74" s="14"/>
      <c r="BQ74" s="107" t="s">
        <v>33</v>
      </c>
      <c r="BR74" s="27">
        <f t="shared" si="37"/>
        <v>0</v>
      </c>
      <c r="BS74" s="41">
        <f t="shared" si="41"/>
        <v>0</v>
      </c>
      <c r="BT74" s="19"/>
      <c r="BU74" s="14"/>
      <c r="BV74" s="14"/>
      <c r="BW74" s="65"/>
      <c r="BX74" s="63"/>
      <c r="BY74" s="352"/>
      <c r="BZ74" s="14"/>
      <c r="CA74" s="14"/>
      <c r="CB74" s="21"/>
      <c r="CC74" s="21"/>
      <c r="CD74" s="180"/>
      <c r="CE74" s="181"/>
      <c r="CF74" s="31"/>
      <c r="CG74" s="52"/>
      <c r="CH74" s="52"/>
      <c r="CI74" s="99"/>
      <c r="CJ74" s="14"/>
      <c r="CK74" s="14"/>
      <c r="CL74" s="14"/>
      <c r="CM74" s="14"/>
      <c r="CN74" s="14"/>
      <c r="CO74" s="129"/>
      <c r="CP74" s="14"/>
      <c r="CQ74" s="47"/>
      <c r="CR74" s="14"/>
      <c r="CS74" s="14"/>
      <c r="CT74" s="14"/>
      <c r="CU74" s="14"/>
      <c r="CV74" s="180"/>
      <c r="CW74" s="190"/>
      <c r="CX74" s="191"/>
      <c r="CY74" s="52"/>
      <c r="CZ74" s="52"/>
      <c r="DA74" s="54"/>
      <c r="DB74" s="19"/>
      <c r="DC74" s="19"/>
      <c r="DD74" s="19"/>
      <c r="DE74" s="19"/>
      <c r="DF74" s="19"/>
      <c r="DG74" s="260"/>
      <c r="DH74" s="14"/>
      <c r="DI74" s="47"/>
      <c r="DJ74" s="14"/>
      <c r="DK74" s="62"/>
      <c r="DL74" s="19"/>
      <c r="DM74" s="59"/>
      <c r="DN74" s="14"/>
      <c r="DO74" s="14"/>
      <c r="DP74" s="107" t="s">
        <v>36</v>
      </c>
      <c r="DQ74" s="27">
        <f>COUNTIFS(S30_stakeholder_category,"FO",Response_Q172_1,DP74,Response_Q173_5,"&lt;&gt;0")</f>
        <v>1</v>
      </c>
      <c r="DR74" s="41">
        <f>IF(DQ77=0,"",DQ74/DQ77)</f>
        <v>0.33333333333333331</v>
      </c>
      <c r="DS74" s="14"/>
      <c r="DT74" s="14"/>
      <c r="DU74" s="14"/>
      <c r="DV74" s="14"/>
      <c r="DW74" s="14"/>
      <c r="DX74" s="14"/>
      <c r="DY74" s="14"/>
      <c r="DZ74" s="14"/>
      <c r="EA74" s="14"/>
      <c r="EB74" s="14"/>
      <c r="EC74" s="14"/>
      <c r="ED74" s="14"/>
      <c r="EE74" s="14"/>
      <c r="EF74" s="14"/>
      <c r="EG74" s="14"/>
      <c r="EH74" s="14"/>
      <c r="EI74" s="14"/>
      <c r="EJ74" s="14"/>
      <c r="EK74" s="14"/>
      <c r="EL74" s="14"/>
    </row>
    <row r="75" spans="1:142" x14ac:dyDescent="0.25">
      <c r="A75" s="14"/>
      <c r="B75" s="62"/>
      <c r="C75" s="19"/>
      <c r="D75" s="59"/>
      <c r="E75" s="14"/>
      <c r="F75" s="14"/>
      <c r="G75" s="107" t="s">
        <v>38</v>
      </c>
      <c r="H75" s="27">
        <f>COUNTIFS(S30_stakeholder_category,"FO",Response_Q173_5,G75)</f>
        <v>0</v>
      </c>
      <c r="I75" s="41">
        <f t="shared" si="38"/>
        <v>0</v>
      </c>
      <c r="J75" s="14"/>
      <c r="K75" s="14"/>
      <c r="L75" s="14"/>
      <c r="M75" s="14"/>
      <c r="N75" s="14"/>
      <c r="O75" s="14"/>
      <c r="P75" s="14"/>
      <c r="Q75" s="47"/>
      <c r="R75" s="19"/>
      <c r="S75" s="62"/>
      <c r="T75" s="19"/>
      <c r="U75" s="59"/>
      <c r="V75" s="14"/>
      <c r="W75" s="14"/>
      <c r="X75" s="107" t="s">
        <v>29</v>
      </c>
      <c r="Y75" s="27">
        <f t="shared" si="33"/>
        <v>0</v>
      </c>
      <c r="Z75" s="41">
        <f t="shared" si="34"/>
        <v>0</v>
      </c>
      <c r="AA75" s="19"/>
      <c r="AB75" s="14"/>
      <c r="AC75" s="14"/>
      <c r="AD75" s="65"/>
      <c r="AE75" s="63"/>
      <c r="AF75" s="47"/>
      <c r="AG75" s="19"/>
      <c r="AH75" s="62"/>
      <c r="AI75" s="19"/>
      <c r="AJ75" s="59"/>
      <c r="AK75" s="14"/>
      <c r="AL75" s="14"/>
      <c r="AM75" s="107" t="s">
        <v>29</v>
      </c>
      <c r="AN75" s="27">
        <f t="shared" si="35"/>
        <v>0</v>
      </c>
      <c r="AO75" s="41">
        <f t="shared" si="39"/>
        <v>0</v>
      </c>
      <c r="AP75" s="19"/>
      <c r="AQ75" s="14"/>
      <c r="AR75" s="14"/>
      <c r="AS75" s="65"/>
      <c r="AT75" s="63"/>
      <c r="AU75" s="47"/>
      <c r="AV75" s="14"/>
      <c r="AW75" s="62"/>
      <c r="AX75" s="19"/>
      <c r="AY75" s="59"/>
      <c r="AZ75" s="14"/>
      <c r="BA75" s="14"/>
      <c r="BB75" s="107" t="s">
        <v>29</v>
      </c>
      <c r="BC75" s="27">
        <f t="shared" si="36"/>
        <v>0</v>
      </c>
      <c r="BD75" s="41">
        <f t="shared" si="40"/>
        <v>0</v>
      </c>
      <c r="BE75" s="19"/>
      <c r="BF75" s="14"/>
      <c r="BG75" s="14"/>
      <c r="BH75" s="65"/>
      <c r="BI75" s="63"/>
      <c r="BJ75" s="352"/>
      <c r="BK75" s="19"/>
      <c r="BL75" s="62"/>
      <c r="BM75" s="19"/>
      <c r="BN75" s="59"/>
      <c r="BO75" s="14"/>
      <c r="BP75" s="14"/>
      <c r="BQ75" s="107" t="s">
        <v>29</v>
      </c>
      <c r="BR75" s="27">
        <f t="shared" si="37"/>
        <v>0</v>
      </c>
      <c r="BS75" s="41">
        <f t="shared" si="41"/>
        <v>0</v>
      </c>
      <c r="BT75" s="19"/>
      <c r="BU75" s="14"/>
      <c r="BV75" s="14"/>
      <c r="BW75" s="65"/>
      <c r="BX75" s="63"/>
      <c r="BY75" s="352"/>
      <c r="BZ75" s="14"/>
      <c r="CA75" s="14"/>
      <c r="CB75" s="21"/>
      <c r="CC75" s="21"/>
      <c r="CD75" s="180"/>
      <c r="CE75" s="181"/>
      <c r="CF75" s="31"/>
      <c r="CG75" s="52"/>
      <c r="CH75" s="52"/>
      <c r="CI75" s="99"/>
      <c r="CJ75" s="14"/>
      <c r="CK75" s="14"/>
      <c r="CL75" s="14"/>
      <c r="CM75" s="14"/>
      <c r="CN75" s="14"/>
      <c r="CO75" s="129"/>
      <c r="CP75" s="14"/>
      <c r="CQ75" s="47"/>
      <c r="CR75" s="14"/>
      <c r="CS75" s="14"/>
      <c r="CT75" s="14"/>
      <c r="CU75" s="14"/>
      <c r="CV75" s="180"/>
      <c r="CW75" s="190"/>
      <c r="CX75" s="191"/>
      <c r="CY75" s="52"/>
      <c r="CZ75" s="52"/>
      <c r="DA75" s="54"/>
      <c r="DB75" s="19"/>
      <c r="DC75" s="19"/>
      <c r="DD75" s="19"/>
      <c r="DE75" s="19"/>
      <c r="DF75" s="19"/>
      <c r="DG75" s="260"/>
      <c r="DH75" s="14"/>
      <c r="DI75" s="47"/>
      <c r="DJ75" s="14"/>
      <c r="DK75" s="62"/>
      <c r="DL75" s="19"/>
      <c r="DM75" s="59"/>
      <c r="DN75" s="14"/>
      <c r="DO75" s="14"/>
      <c r="DP75" s="107" t="s">
        <v>38</v>
      </c>
      <c r="DQ75" s="27">
        <f>COUNTIFS(S30_stakeholder_category,"FO",Response_Q172_1,DP75,Response_Q173_5,"&lt;&gt;0")</f>
        <v>0</v>
      </c>
      <c r="DR75" s="41">
        <f>IF(DQ77=0,"",DQ75/DQ77)</f>
        <v>0</v>
      </c>
      <c r="DS75" s="14"/>
      <c r="DT75" s="14"/>
      <c r="DU75" s="14"/>
      <c r="DV75" s="14"/>
      <c r="DW75" s="14"/>
      <c r="DX75" s="14"/>
      <c r="DY75" s="14"/>
      <c r="DZ75" s="14"/>
      <c r="EA75" s="14"/>
      <c r="EB75" s="14"/>
      <c r="EC75" s="14"/>
      <c r="ED75" s="14"/>
      <c r="EE75" s="14"/>
      <c r="EF75" s="14"/>
      <c r="EG75" s="14"/>
      <c r="EH75" s="14"/>
      <c r="EI75" s="14"/>
      <c r="EJ75" s="14"/>
      <c r="EK75" s="14"/>
      <c r="EL75" s="14"/>
    </row>
    <row r="76" spans="1:142" x14ac:dyDescent="0.25">
      <c r="A76" s="14"/>
      <c r="B76" s="62"/>
      <c r="C76" s="19"/>
      <c r="D76" s="59"/>
      <c r="E76" s="14"/>
      <c r="F76" s="14"/>
      <c r="G76" s="107" t="s">
        <v>39</v>
      </c>
      <c r="H76" s="27">
        <f>COUNTIFS(S30_stakeholder_category,"FO",Response_Q173_5,G76)</f>
        <v>2</v>
      </c>
      <c r="I76" s="41">
        <f t="shared" si="38"/>
        <v>0.66666666666666663</v>
      </c>
      <c r="J76" s="14"/>
      <c r="K76" s="14"/>
      <c r="L76" s="14"/>
      <c r="M76" s="14"/>
      <c r="N76" s="14"/>
      <c r="O76" s="14"/>
      <c r="P76" s="14"/>
      <c r="Q76" s="47"/>
      <c r="R76" s="19"/>
      <c r="S76" s="62"/>
      <c r="T76" s="19"/>
      <c r="U76" s="59"/>
      <c r="V76" s="14"/>
      <c r="W76" s="14"/>
      <c r="X76" s="107" t="s">
        <v>3</v>
      </c>
      <c r="Y76" s="27">
        <f t="shared" si="33"/>
        <v>0</v>
      </c>
      <c r="Z76" s="41">
        <f t="shared" si="34"/>
        <v>0</v>
      </c>
      <c r="AA76" s="19"/>
      <c r="AB76" s="14"/>
      <c r="AC76" s="14"/>
      <c r="AD76" s="65"/>
      <c r="AE76" s="63"/>
      <c r="AF76" s="47"/>
      <c r="AG76" s="19"/>
      <c r="AH76" s="62"/>
      <c r="AI76" s="19"/>
      <c r="AJ76" s="59"/>
      <c r="AK76" s="14"/>
      <c r="AL76" s="14"/>
      <c r="AM76" s="107" t="s">
        <v>3</v>
      </c>
      <c r="AN76" s="27">
        <f t="shared" si="35"/>
        <v>0</v>
      </c>
      <c r="AO76" s="41">
        <f t="shared" si="39"/>
        <v>0</v>
      </c>
      <c r="AP76" s="19"/>
      <c r="AQ76" s="14"/>
      <c r="AR76" s="14"/>
      <c r="AS76" s="65"/>
      <c r="AT76" s="63"/>
      <c r="AU76" s="47"/>
      <c r="AV76" s="14"/>
      <c r="AW76" s="62"/>
      <c r="AX76" s="19"/>
      <c r="AY76" s="59"/>
      <c r="AZ76" s="14"/>
      <c r="BA76" s="14"/>
      <c r="BB76" s="107" t="s">
        <v>3</v>
      </c>
      <c r="BC76" s="27">
        <f t="shared" si="36"/>
        <v>0</v>
      </c>
      <c r="BD76" s="41">
        <f t="shared" si="40"/>
        <v>0</v>
      </c>
      <c r="BE76" s="19"/>
      <c r="BF76" s="14"/>
      <c r="BG76" s="14"/>
      <c r="BH76" s="65"/>
      <c r="BI76" s="63"/>
      <c r="BJ76" s="352"/>
      <c r="BK76" s="19"/>
      <c r="BL76" s="62"/>
      <c r="BM76" s="19"/>
      <c r="BN76" s="59"/>
      <c r="BO76" s="14"/>
      <c r="BP76" s="14"/>
      <c r="BQ76" s="107" t="s">
        <v>3</v>
      </c>
      <c r="BR76" s="27">
        <f t="shared" si="37"/>
        <v>0</v>
      </c>
      <c r="BS76" s="41">
        <f t="shared" si="41"/>
        <v>0</v>
      </c>
      <c r="BT76" s="19"/>
      <c r="BU76" s="14"/>
      <c r="BV76" s="14"/>
      <c r="BW76" s="65"/>
      <c r="BX76" s="63"/>
      <c r="BY76" s="352"/>
      <c r="BZ76" s="14"/>
      <c r="CA76" s="14"/>
      <c r="CB76" s="21"/>
      <c r="CC76" s="21"/>
      <c r="CD76" s="180"/>
      <c r="CE76" s="181"/>
      <c r="CF76" s="31"/>
      <c r="CG76" s="52"/>
      <c r="CH76" s="52"/>
      <c r="CI76" s="99"/>
      <c r="CJ76" s="14"/>
      <c r="CK76" s="14"/>
      <c r="CL76" s="14"/>
      <c r="CM76" s="14"/>
      <c r="CN76" s="14"/>
      <c r="CO76" s="129"/>
      <c r="CP76" s="14"/>
      <c r="CQ76" s="47"/>
      <c r="CR76" s="14"/>
      <c r="CS76" s="14"/>
      <c r="CT76" s="14"/>
      <c r="CU76" s="14"/>
      <c r="CV76" s="180"/>
      <c r="CW76" s="190"/>
      <c r="CX76" s="191"/>
      <c r="CY76" s="52"/>
      <c r="CZ76" s="52"/>
      <c r="DA76" s="54"/>
      <c r="DB76" s="19"/>
      <c r="DC76" s="19"/>
      <c r="DD76" s="19"/>
      <c r="DE76" s="19"/>
      <c r="DF76" s="19"/>
      <c r="DG76" s="260"/>
      <c r="DH76" s="14"/>
      <c r="DI76" s="47"/>
      <c r="DJ76" s="14"/>
      <c r="DK76" s="62"/>
      <c r="DL76" s="19"/>
      <c r="DM76" s="59"/>
      <c r="DN76" s="14"/>
      <c r="DO76" s="14"/>
      <c r="DP76" s="107" t="s">
        <v>39</v>
      </c>
      <c r="DQ76" s="27">
        <f>COUNTIFS(S30_stakeholder_category,"FO",Response_Q172_1,DP76,Response_Q173_5,"&lt;&gt;0")</f>
        <v>0</v>
      </c>
      <c r="DR76" s="41">
        <f>IF(DQ77=0,"",DQ76/DQ77)</f>
        <v>0</v>
      </c>
      <c r="DS76" s="14"/>
      <c r="DT76" s="14"/>
      <c r="DU76" s="14"/>
      <c r="DV76" s="14"/>
      <c r="DW76" s="14"/>
      <c r="DX76" s="14"/>
      <c r="DY76" s="14"/>
      <c r="DZ76" s="14"/>
      <c r="EA76" s="14"/>
      <c r="EB76" s="14"/>
      <c r="EC76" s="14"/>
      <c r="ED76" s="14"/>
      <c r="EE76" s="14"/>
      <c r="EF76" s="14"/>
      <c r="EG76" s="14"/>
      <c r="EH76" s="14"/>
      <c r="EI76" s="14"/>
      <c r="EJ76" s="14"/>
      <c r="EK76" s="14"/>
      <c r="EL76" s="14"/>
    </row>
    <row r="77" spans="1:142" x14ac:dyDescent="0.25">
      <c r="A77" s="14"/>
      <c r="B77" s="62"/>
      <c r="C77" s="19"/>
      <c r="D77" s="59"/>
      <c r="E77" s="14"/>
      <c r="F77" s="14"/>
      <c r="G77" s="86" t="s">
        <v>145</v>
      </c>
      <c r="H77" s="111">
        <f>COUNTIFS(S30_stakeholder_category,"FO",Response_Q173_5,"&lt;&gt;0")</f>
        <v>3</v>
      </c>
      <c r="I77" s="119">
        <f t="shared" si="38"/>
        <v>1</v>
      </c>
      <c r="J77" s="14"/>
      <c r="K77" s="14"/>
      <c r="L77" s="14"/>
      <c r="M77" s="14"/>
      <c r="N77" s="14"/>
      <c r="O77" s="14"/>
      <c r="P77" s="14"/>
      <c r="Q77" s="47"/>
      <c r="R77" s="19"/>
      <c r="S77" s="62"/>
      <c r="T77" s="19"/>
      <c r="U77" s="59"/>
      <c r="V77" s="14"/>
      <c r="W77" s="14"/>
      <c r="X77" s="107" t="s">
        <v>54</v>
      </c>
      <c r="Y77" s="27">
        <f t="shared" si="33"/>
        <v>0</v>
      </c>
      <c r="Z77" s="41">
        <f t="shared" si="34"/>
        <v>0</v>
      </c>
      <c r="AA77" s="19"/>
      <c r="AB77" s="14"/>
      <c r="AC77" s="14"/>
      <c r="AD77" s="65"/>
      <c r="AE77" s="63"/>
      <c r="AF77" s="47"/>
      <c r="AG77" s="19"/>
      <c r="AH77" s="62"/>
      <c r="AI77" s="19"/>
      <c r="AJ77" s="59"/>
      <c r="AK77" s="14"/>
      <c r="AL77" s="14"/>
      <c r="AM77" s="107" t="s">
        <v>54</v>
      </c>
      <c r="AN77" s="27">
        <f t="shared" si="35"/>
        <v>0</v>
      </c>
      <c r="AO77" s="41">
        <f t="shared" si="39"/>
        <v>0</v>
      </c>
      <c r="AP77" s="19"/>
      <c r="AQ77" s="14"/>
      <c r="AR77" s="14"/>
      <c r="AS77" s="65"/>
      <c r="AT77" s="63"/>
      <c r="AU77" s="47"/>
      <c r="AV77" s="14"/>
      <c r="AW77" s="62"/>
      <c r="AX77" s="19"/>
      <c r="AY77" s="59"/>
      <c r="AZ77" s="14"/>
      <c r="BA77" s="14"/>
      <c r="BB77" s="107" t="s">
        <v>54</v>
      </c>
      <c r="BC77" s="27">
        <f t="shared" si="36"/>
        <v>0</v>
      </c>
      <c r="BD77" s="41">
        <f t="shared" si="40"/>
        <v>0</v>
      </c>
      <c r="BE77" s="19"/>
      <c r="BF77" s="14"/>
      <c r="BG77" s="14"/>
      <c r="BH77" s="65"/>
      <c r="BI77" s="63"/>
      <c r="BJ77" s="352"/>
      <c r="BK77" s="19"/>
      <c r="BL77" s="62"/>
      <c r="BM77" s="19"/>
      <c r="BN77" s="59"/>
      <c r="BO77" s="14"/>
      <c r="BP77" s="14"/>
      <c r="BQ77" s="107" t="s">
        <v>54</v>
      </c>
      <c r="BR77" s="27">
        <f t="shared" si="37"/>
        <v>0</v>
      </c>
      <c r="BS77" s="41">
        <f t="shared" si="41"/>
        <v>0</v>
      </c>
      <c r="BT77" s="19"/>
      <c r="BU77" s="14"/>
      <c r="BV77" s="14"/>
      <c r="BW77" s="65"/>
      <c r="BX77" s="63"/>
      <c r="BY77" s="352"/>
      <c r="BZ77" s="14"/>
      <c r="CA77" s="14"/>
      <c r="CB77" s="21"/>
      <c r="CC77" s="21"/>
      <c r="CD77" s="180"/>
      <c r="CE77" s="181"/>
      <c r="CF77" s="31"/>
      <c r="CG77" s="52"/>
      <c r="CH77" s="52"/>
      <c r="CI77" s="99"/>
      <c r="CJ77" s="14"/>
      <c r="CK77" s="14"/>
      <c r="CL77" s="14"/>
      <c r="CM77" s="14"/>
      <c r="CN77" s="14"/>
      <c r="CO77" s="129"/>
      <c r="CP77" s="14"/>
      <c r="CQ77" s="47"/>
      <c r="CR77" s="14"/>
      <c r="CS77" s="14"/>
      <c r="CT77" s="14"/>
      <c r="CU77" s="14"/>
      <c r="CV77" s="180"/>
      <c r="CW77" s="190"/>
      <c r="CX77" s="191"/>
      <c r="CY77" s="52"/>
      <c r="CZ77" s="52"/>
      <c r="DA77" s="54"/>
      <c r="DB77" s="19"/>
      <c r="DC77" s="19"/>
      <c r="DD77" s="19"/>
      <c r="DE77" s="19"/>
      <c r="DF77" s="19"/>
      <c r="DG77" s="260"/>
      <c r="DH77" s="14"/>
      <c r="DI77" s="47"/>
      <c r="DJ77" s="14"/>
      <c r="DK77" s="62"/>
      <c r="DL77" s="19"/>
      <c r="DM77" s="59"/>
      <c r="DN77" s="14"/>
      <c r="DO77" s="14"/>
      <c r="DP77" s="86" t="s">
        <v>145</v>
      </c>
      <c r="DQ77" s="111">
        <f>COUNTIFS(S30_stakeholder_category,"FO",Response_Q172_1,"&lt;&gt;0",Response_Q173_5,"&lt;&gt;0")</f>
        <v>3</v>
      </c>
      <c r="DR77" s="119">
        <f>IF(DQ77=0,"",DQ77/DQ77)</f>
        <v>1</v>
      </c>
      <c r="DS77" s="14"/>
      <c r="DT77" s="14"/>
      <c r="DU77" s="14"/>
      <c r="DV77" s="14"/>
      <c r="DW77" s="14"/>
      <c r="DX77" s="14"/>
      <c r="DY77" s="14"/>
      <c r="DZ77" s="14"/>
      <c r="EA77" s="14"/>
      <c r="EB77" s="14"/>
      <c r="EC77" s="14"/>
      <c r="ED77" s="14"/>
      <c r="EE77" s="14"/>
      <c r="EF77" s="14"/>
      <c r="EG77" s="14"/>
      <c r="EH77" s="14"/>
      <c r="EI77" s="14"/>
      <c r="EJ77" s="14"/>
      <c r="EK77" s="14"/>
      <c r="EL77" s="14"/>
    </row>
    <row r="78" spans="1:142" x14ac:dyDescent="0.25">
      <c r="A78" s="14"/>
      <c r="B78" s="62"/>
      <c r="C78" s="19"/>
      <c r="D78" s="59"/>
      <c r="E78" s="14"/>
      <c r="F78" s="14"/>
      <c r="G78" s="14"/>
      <c r="H78" s="21"/>
      <c r="I78" s="21"/>
      <c r="J78" s="14"/>
      <c r="K78" s="14"/>
      <c r="L78" s="14"/>
      <c r="M78" s="14"/>
      <c r="N78" s="14"/>
      <c r="O78" s="14"/>
      <c r="P78" s="14"/>
      <c r="Q78" s="47"/>
      <c r="R78" s="19"/>
      <c r="S78" s="62"/>
      <c r="T78" s="19"/>
      <c r="U78" s="59"/>
      <c r="V78" s="14"/>
      <c r="W78" s="14"/>
      <c r="X78" s="107" t="s">
        <v>39</v>
      </c>
      <c r="Y78" s="27">
        <f t="shared" si="33"/>
        <v>3</v>
      </c>
      <c r="Z78" s="41">
        <f t="shared" si="34"/>
        <v>0.75</v>
      </c>
      <c r="AA78" s="19"/>
      <c r="AB78" s="14"/>
      <c r="AC78" s="14"/>
      <c r="AD78" s="65"/>
      <c r="AE78" s="63"/>
      <c r="AF78" s="47"/>
      <c r="AG78" s="19"/>
      <c r="AH78" s="62"/>
      <c r="AI78" s="19"/>
      <c r="AJ78" s="59"/>
      <c r="AK78" s="14"/>
      <c r="AL78" s="14"/>
      <c r="AM78" s="107" t="s">
        <v>39</v>
      </c>
      <c r="AN78" s="27">
        <f t="shared" si="35"/>
        <v>0</v>
      </c>
      <c r="AO78" s="41">
        <f t="shared" si="39"/>
        <v>0</v>
      </c>
      <c r="AP78" s="19"/>
      <c r="AQ78" s="14"/>
      <c r="AR78" s="14"/>
      <c r="AS78" s="65"/>
      <c r="AT78" s="63"/>
      <c r="AU78" s="47"/>
      <c r="AV78" s="14"/>
      <c r="AW78" s="62"/>
      <c r="AX78" s="19"/>
      <c r="AY78" s="59"/>
      <c r="AZ78" s="14"/>
      <c r="BA78" s="14"/>
      <c r="BB78" s="107" t="s">
        <v>39</v>
      </c>
      <c r="BC78" s="27">
        <f t="shared" si="36"/>
        <v>0</v>
      </c>
      <c r="BD78" s="41">
        <f t="shared" si="40"/>
        <v>0</v>
      </c>
      <c r="BE78" s="19"/>
      <c r="BF78" s="14"/>
      <c r="BG78" s="14"/>
      <c r="BH78" s="65"/>
      <c r="BI78" s="63"/>
      <c r="BJ78" s="352"/>
      <c r="BK78" s="19"/>
      <c r="BL78" s="62"/>
      <c r="BM78" s="19"/>
      <c r="BN78" s="59"/>
      <c r="BO78" s="14"/>
      <c r="BP78" s="14"/>
      <c r="BQ78" s="107" t="s">
        <v>39</v>
      </c>
      <c r="BR78" s="27">
        <f t="shared" si="37"/>
        <v>0</v>
      </c>
      <c r="BS78" s="41">
        <f t="shared" si="41"/>
        <v>0</v>
      </c>
      <c r="BT78" s="19"/>
      <c r="BU78" s="14"/>
      <c r="BV78" s="14"/>
      <c r="BW78" s="65"/>
      <c r="BX78" s="63"/>
      <c r="BY78" s="352"/>
      <c r="BZ78" s="14"/>
      <c r="CA78" s="14"/>
      <c r="CB78" s="21"/>
      <c r="CC78" s="21"/>
      <c r="CD78" s="180"/>
      <c r="CE78" s="181"/>
      <c r="CF78" s="31"/>
      <c r="CG78" s="52"/>
      <c r="CH78" s="52"/>
      <c r="CI78" s="99"/>
      <c r="CJ78" s="14"/>
      <c r="CK78" s="14"/>
      <c r="CL78" s="14"/>
      <c r="CM78" s="14"/>
      <c r="CN78" s="14"/>
      <c r="CO78" s="129"/>
      <c r="CP78" s="14"/>
      <c r="CQ78" s="47"/>
      <c r="CR78" s="14"/>
      <c r="CS78" s="14"/>
      <c r="CT78" s="14"/>
      <c r="CU78" s="14"/>
      <c r="CV78" s="180"/>
      <c r="CW78" s="190"/>
      <c r="CX78" s="191"/>
      <c r="CY78" s="52"/>
      <c r="CZ78" s="52"/>
      <c r="DA78" s="54"/>
      <c r="DB78" s="19"/>
      <c r="DC78" s="19"/>
      <c r="DD78" s="19"/>
      <c r="DE78" s="19"/>
      <c r="DF78" s="19"/>
      <c r="DG78" s="260"/>
      <c r="DH78" s="14"/>
      <c r="DI78" s="47"/>
      <c r="DJ78" s="14"/>
      <c r="DK78" s="62"/>
      <c r="DL78" s="19"/>
      <c r="DM78" s="59"/>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row>
    <row r="79" spans="1:142" x14ac:dyDescent="0.25">
      <c r="A79" s="14"/>
      <c r="B79" s="62"/>
      <c r="C79" s="19"/>
      <c r="D79" s="59"/>
      <c r="E79" s="14"/>
      <c r="F79" s="14"/>
      <c r="G79" s="14"/>
      <c r="H79" s="21"/>
      <c r="I79" s="21"/>
      <c r="J79" s="14"/>
      <c r="K79" s="14"/>
      <c r="L79" s="14"/>
      <c r="M79" s="14"/>
      <c r="N79" s="14"/>
      <c r="O79" s="14"/>
      <c r="P79" s="14"/>
      <c r="Q79" s="47"/>
      <c r="R79" s="19"/>
      <c r="S79" s="62"/>
      <c r="T79" s="19"/>
      <c r="U79" s="59"/>
      <c r="V79" s="14"/>
      <c r="W79" s="14"/>
      <c r="X79" s="86" t="s">
        <v>145</v>
      </c>
      <c r="Y79" s="111">
        <f>COUNTIFS(S30_stakeholder_category,"FO",Response_Q176_3,"&lt;&gt;0")</f>
        <v>4</v>
      </c>
      <c r="Z79" s="119">
        <f t="shared" si="34"/>
        <v>1</v>
      </c>
      <c r="AA79" s="19"/>
      <c r="AB79" s="14"/>
      <c r="AC79" s="14"/>
      <c r="AD79" s="65"/>
      <c r="AE79" s="63"/>
      <c r="AF79" s="47"/>
      <c r="AG79" s="19"/>
      <c r="AH79" s="62"/>
      <c r="AI79" s="19"/>
      <c r="AJ79" s="59"/>
      <c r="AK79" s="14"/>
      <c r="AL79" s="14"/>
      <c r="AM79" s="86" t="s">
        <v>145</v>
      </c>
      <c r="AN79" s="111">
        <f>COUNTIFS(S30_stakeholder_category,"FO",Response_30c_CaseA,"&lt;&gt;0")</f>
        <v>2</v>
      </c>
      <c r="AO79" s="119">
        <f t="shared" si="39"/>
        <v>1</v>
      </c>
      <c r="AP79" s="19"/>
      <c r="AQ79" s="14"/>
      <c r="AR79" s="14"/>
      <c r="AS79" s="65"/>
      <c r="AT79" s="63"/>
      <c r="AU79" s="47"/>
      <c r="AV79" s="14"/>
      <c r="AW79" s="62"/>
      <c r="AX79" s="19"/>
      <c r="AY79" s="59"/>
      <c r="AZ79" s="14"/>
      <c r="BA79" s="14"/>
      <c r="BB79" s="86" t="s">
        <v>145</v>
      </c>
      <c r="BC79" s="111">
        <f>COUNTIFS(S30_stakeholder_category,"FO",Response_30c_CaseB,"&lt;&gt;0")</f>
        <v>2</v>
      </c>
      <c r="BD79" s="119">
        <f t="shared" si="40"/>
        <v>1</v>
      </c>
      <c r="BE79" s="19"/>
      <c r="BF79" s="14"/>
      <c r="BG79" s="14"/>
      <c r="BH79" s="65"/>
      <c r="BI79" s="63"/>
      <c r="BJ79" s="352"/>
      <c r="BK79" s="19"/>
      <c r="BL79" s="62"/>
      <c r="BM79" s="19"/>
      <c r="BN79" s="59"/>
      <c r="BO79" s="14"/>
      <c r="BP79" s="14"/>
      <c r="BQ79" s="86" t="s">
        <v>145</v>
      </c>
      <c r="BR79" s="111">
        <f>COUNTIFS(S30_stakeholder_category,"FO",Response_30c_CaseC,"&lt;&gt;0")</f>
        <v>2</v>
      </c>
      <c r="BS79" s="119">
        <f t="shared" si="41"/>
        <v>1</v>
      </c>
      <c r="BT79" s="19"/>
      <c r="BU79" s="14"/>
      <c r="BV79" s="14"/>
      <c r="BW79" s="65"/>
      <c r="BX79" s="63"/>
      <c r="BY79" s="352"/>
      <c r="BZ79" s="14"/>
      <c r="CA79" s="14"/>
      <c r="CB79" s="21"/>
      <c r="CC79" s="21"/>
      <c r="CD79" s="180"/>
      <c r="CE79" s="181"/>
      <c r="CF79" s="31"/>
      <c r="CG79" s="52"/>
      <c r="CH79" s="52"/>
      <c r="CI79" s="99"/>
      <c r="CJ79" s="14"/>
      <c r="CK79" s="14"/>
      <c r="CL79" s="14"/>
      <c r="CM79" s="14"/>
      <c r="CN79" s="14"/>
      <c r="CO79" s="129"/>
      <c r="CP79" s="14"/>
      <c r="CQ79" s="47"/>
      <c r="CR79" s="14"/>
      <c r="CS79" s="14"/>
      <c r="CT79" s="14"/>
      <c r="CU79" s="14"/>
      <c r="CV79" s="180"/>
      <c r="CW79" s="190"/>
      <c r="CX79" s="191"/>
      <c r="CY79" s="52"/>
      <c r="CZ79" s="52"/>
      <c r="DA79" s="54"/>
      <c r="DB79" s="19"/>
      <c r="DC79" s="19"/>
      <c r="DD79" s="19"/>
      <c r="DE79" s="19"/>
      <c r="DF79" s="19"/>
      <c r="DG79" s="260"/>
      <c r="DH79" s="14"/>
      <c r="DI79" s="47"/>
      <c r="DJ79" s="14"/>
      <c r="DK79" s="62"/>
      <c r="DL79" s="19"/>
      <c r="DM79" s="59"/>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row>
    <row r="80" spans="1:142" s="135" customFormat="1" ht="16.5" customHeight="1" x14ac:dyDescent="0.25">
      <c r="A80" s="14"/>
      <c r="B80" s="13"/>
      <c r="C80" s="13"/>
      <c r="D80" s="21"/>
      <c r="E80" s="14"/>
      <c r="F80" s="14"/>
      <c r="G80" s="14"/>
      <c r="H80" s="21"/>
      <c r="I80" s="21"/>
      <c r="J80" s="14"/>
      <c r="K80" s="14"/>
      <c r="L80" s="14"/>
      <c r="M80" s="14"/>
      <c r="N80" s="14"/>
      <c r="O80" s="14"/>
      <c r="P80" s="14"/>
      <c r="Q80" s="47"/>
      <c r="R80" s="19"/>
      <c r="S80" s="13"/>
      <c r="T80" s="13"/>
      <c r="U80" s="21"/>
      <c r="V80" s="14"/>
      <c r="W80" s="14"/>
      <c r="X80" s="14"/>
      <c r="Y80" s="55"/>
      <c r="Z80" s="55"/>
      <c r="AA80" s="55"/>
      <c r="AB80" s="55"/>
      <c r="AC80" s="55"/>
      <c r="AD80" s="65"/>
      <c r="AE80" s="63"/>
      <c r="AF80" s="47"/>
      <c r="AG80" s="19"/>
      <c r="AH80" s="13"/>
      <c r="AI80" s="13"/>
      <c r="AJ80" s="21"/>
      <c r="AK80" s="14"/>
      <c r="AL80" s="14"/>
      <c r="AM80" s="14"/>
      <c r="AN80" s="55"/>
      <c r="AO80" s="55"/>
      <c r="AP80" s="55"/>
      <c r="AQ80" s="55"/>
      <c r="AR80" s="55"/>
      <c r="AS80" s="65"/>
      <c r="AT80" s="63"/>
      <c r="AU80" s="47"/>
      <c r="AV80" s="14"/>
      <c r="AW80" s="13"/>
      <c r="AX80" s="13"/>
      <c r="AY80" s="21"/>
      <c r="AZ80" s="14"/>
      <c r="BA80" s="14"/>
      <c r="BB80" s="14"/>
      <c r="BC80" s="55"/>
      <c r="BD80" s="55"/>
      <c r="BE80" s="55"/>
      <c r="BF80" s="55"/>
      <c r="BG80" s="55"/>
      <c r="BH80" s="65"/>
      <c r="BI80" s="63"/>
      <c r="BJ80" s="352"/>
      <c r="BK80" s="19"/>
      <c r="BL80" s="13"/>
      <c r="BM80" s="13"/>
      <c r="BN80" s="21"/>
      <c r="BO80" s="14"/>
      <c r="BP80" s="14"/>
      <c r="BQ80" s="14"/>
      <c r="BR80" s="55"/>
      <c r="BS80" s="55"/>
      <c r="BT80" s="55"/>
      <c r="BU80" s="55"/>
      <c r="BV80" s="55"/>
      <c r="BW80" s="65"/>
      <c r="BX80" s="63"/>
      <c r="BY80" s="352"/>
      <c r="BZ80" s="14"/>
      <c r="CA80" s="14"/>
      <c r="CB80" s="21"/>
      <c r="CC80" s="21"/>
      <c r="CD80" s="180"/>
      <c r="CE80" s="181"/>
      <c r="CF80" s="31"/>
      <c r="CG80" s="31"/>
      <c r="CH80" s="31"/>
      <c r="CI80" s="14"/>
      <c r="CJ80" s="14"/>
      <c r="CK80" s="14"/>
      <c r="CL80" s="14"/>
      <c r="CM80" s="14"/>
      <c r="CN80" s="14"/>
      <c r="CO80" s="129"/>
      <c r="CP80" s="14"/>
      <c r="CQ80" s="47"/>
      <c r="CR80" s="14"/>
      <c r="CS80" s="14"/>
      <c r="CT80" s="14"/>
      <c r="CU80" s="14"/>
      <c r="CV80" s="180"/>
      <c r="CW80" s="190"/>
      <c r="CX80" s="191"/>
      <c r="CY80" s="31"/>
      <c r="CZ80" s="31"/>
      <c r="DA80" s="14"/>
      <c r="DB80" s="14"/>
      <c r="DC80" s="14"/>
      <c r="DD80" s="14"/>
      <c r="DE80" s="14"/>
      <c r="DF80" s="14"/>
      <c r="DG80" s="129"/>
      <c r="DH80" s="14"/>
      <c r="DI80" s="47"/>
      <c r="DJ80" s="14"/>
      <c r="DK80" s="13"/>
      <c r="DL80" s="13"/>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row>
    <row r="81" spans="1:142" s="131" customFormat="1" x14ac:dyDescent="0.25">
      <c r="A81" s="78"/>
      <c r="B81" s="78" t="s">
        <v>31</v>
      </c>
      <c r="C81" s="78" t="s">
        <v>135</v>
      </c>
      <c r="D81" s="79"/>
      <c r="E81" s="78"/>
      <c r="F81" s="78"/>
      <c r="G81" s="78"/>
      <c r="H81" s="79"/>
      <c r="I81" s="79"/>
      <c r="J81" s="78"/>
      <c r="K81" s="78"/>
      <c r="L81" s="78"/>
      <c r="M81" s="78"/>
      <c r="N81" s="78"/>
      <c r="O81" s="78"/>
      <c r="P81" s="78"/>
      <c r="Q81" s="82"/>
      <c r="R81" s="83"/>
      <c r="S81" s="78" t="str">
        <f>$B81</f>
        <v>Pellet producers</v>
      </c>
      <c r="T81" s="78"/>
      <c r="U81" s="78"/>
      <c r="V81" s="78"/>
      <c r="W81" s="78"/>
      <c r="X81" s="78"/>
      <c r="Y81" s="78"/>
      <c r="Z81" s="78"/>
      <c r="AA81" s="78"/>
      <c r="AB81" s="78"/>
      <c r="AC81" s="78"/>
      <c r="AD81" s="80"/>
      <c r="AE81" s="81"/>
      <c r="AF81" s="82"/>
      <c r="AG81" s="83"/>
      <c r="AH81" s="78" t="str">
        <f>$B81</f>
        <v>Pellet producers</v>
      </c>
      <c r="AI81" s="78"/>
      <c r="AJ81" s="78"/>
      <c r="AK81" s="78"/>
      <c r="AL81" s="78"/>
      <c r="AM81" s="78"/>
      <c r="AN81" s="78"/>
      <c r="AO81" s="78"/>
      <c r="AP81" s="78"/>
      <c r="AQ81" s="78"/>
      <c r="AR81" s="78"/>
      <c r="AS81" s="80"/>
      <c r="AT81" s="81"/>
      <c r="AU81" s="82"/>
      <c r="AV81" s="78"/>
      <c r="AW81" s="78" t="str">
        <f>$B81</f>
        <v>Pellet producers</v>
      </c>
      <c r="AX81" s="78"/>
      <c r="AY81" s="78"/>
      <c r="AZ81" s="78"/>
      <c r="BA81" s="78"/>
      <c r="BB81" s="78"/>
      <c r="BC81" s="78"/>
      <c r="BD81" s="78"/>
      <c r="BE81" s="78"/>
      <c r="BF81" s="78"/>
      <c r="BG81" s="78"/>
      <c r="BH81" s="80"/>
      <c r="BI81" s="81"/>
      <c r="BJ81" s="373"/>
      <c r="BK81" s="83"/>
      <c r="BL81" s="78" t="str">
        <f>$B81</f>
        <v>Pellet producers</v>
      </c>
      <c r="BM81" s="78"/>
      <c r="BN81" s="78"/>
      <c r="BO81" s="78"/>
      <c r="BP81" s="78"/>
      <c r="BQ81" s="78"/>
      <c r="BR81" s="78"/>
      <c r="BS81" s="78"/>
      <c r="BT81" s="78"/>
      <c r="BU81" s="78"/>
      <c r="BV81" s="78"/>
      <c r="BW81" s="80"/>
      <c r="BX81" s="81"/>
      <c r="BY81" s="373"/>
      <c r="BZ81" s="78"/>
      <c r="CA81" s="78" t="str">
        <f>$B81</f>
        <v>Pellet producers</v>
      </c>
      <c r="CB81" s="79"/>
      <c r="CC81" s="79"/>
      <c r="CD81" s="182"/>
      <c r="CE81" s="182"/>
      <c r="CF81" s="79"/>
      <c r="CG81" s="78"/>
      <c r="CH81" s="78"/>
      <c r="CI81" s="78"/>
      <c r="CJ81" s="78"/>
      <c r="CK81" s="78"/>
      <c r="CL81" s="78"/>
      <c r="CM81" s="78"/>
      <c r="CN81" s="78"/>
      <c r="CO81" s="78"/>
      <c r="CP81" s="78"/>
      <c r="CQ81" s="82"/>
      <c r="CR81" s="78"/>
      <c r="CS81" s="78" t="str">
        <f>$B81</f>
        <v>Pellet producers</v>
      </c>
      <c r="CT81" s="78"/>
      <c r="CU81" s="78"/>
      <c r="CV81" s="182"/>
      <c r="CW81" s="192"/>
      <c r="CX81" s="192"/>
      <c r="CY81" s="78"/>
      <c r="CZ81" s="78"/>
      <c r="DA81" s="78"/>
      <c r="DB81" s="78"/>
      <c r="DC81" s="78"/>
      <c r="DD81" s="78"/>
      <c r="DE81" s="78"/>
      <c r="DF81" s="78"/>
      <c r="DG81" s="78"/>
      <c r="DH81" s="78"/>
      <c r="DI81" s="82"/>
      <c r="DJ81" s="78"/>
      <c r="DK81" s="78" t="str">
        <f>$B81</f>
        <v>Pellet producers</v>
      </c>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row>
    <row r="82" spans="1:142" x14ac:dyDescent="0.25">
      <c r="A82" s="14"/>
      <c r="B82" s="84" t="s">
        <v>301</v>
      </c>
      <c r="C82" s="84"/>
      <c r="D82" s="85"/>
      <c r="E82" s="84"/>
      <c r="F82" s="14"/>
      <c r="G82" s="14"/>
      <c r="H82" s="21"/>
      <c r="I82" s="21"/>
      <c r="J82" s="14"/>
      <c r="K82" s="14"/>
      <c r="L82" s="14"/>
      <c r="M82" s="14"/>
      <c r="N82" s="14"/>
      <c r="O82" s="14"/>
      <c r="P82" s="14"/>
      <c r="Q82" s="47"/>
      <c r="R82" s="19"/>
      <c r="S82" s="84" t="s">
        <v>322</v>
      </c>
      <c r="T82" s="84"/>
      <c r="U82" s="85"/>
      <c r="V82" s="84"/>
      <c r="W82" s="14"/>
      <c r="X82" s="14"/>
      <c r="Y82" s="14"/>
      <c r="Z82" s="14"/>
      <c r="AA82" s="14"/>
      <c r="AB82" s="14"/>
      <c r="AC82" s="14"/>
      <c r="AD82" s="65"/>
      <c r="AE82" s="63"/>
      <c r="AF82" s="47"/>
      <c r="AG82" s="19"/>
      <c r="AH82" s="84" t="s">
        <v>328</v>
      </c>
      <c r="AI82" s="84"/>
      <c r="AJ82" s="85"/>
      <c r="AK82" s="84"/>
      <c r="AL82" s="84"/>
      <c r="AM82" s="14"/>
      <c r="AN82" s="14"/>
      <c r="AO82" s="14"/>
      <c r="AP82" s="14"/>
      <c r="AQ82" s="14"/>
      <c r="AR82" s="14"/>
      <c r="AS82" s="65"/>
      <c r="AT82" s="63"/>
      <c r="AU82" s="47"/>
      <c r="AV82" s="14"/>
      <c r="AW82" s="84" t="s">
        <v>347</v>
      </c>
      <c r="AX82" s="84"/>
      <c r="AY82" s="85"/>
      <c r="AZ82" s="84"/>
      <c r="BA82" s="84"/>
      <c r="BB82" s="14"/>
      <c r="BC82" s="14"/>
      <c r="BD82" s="14"/>
      <c r="BE82" s="14"/>
      <c r="BF82" s="14"/>
      <c r="BG82" s="14"/>
      <c r="BH82" s="65"/>
      <c r="BI82" s="63"/>
      <c r="BJ82" s="352"/>
      <c r="BK82" s="19"/>
      <c r="BL82" s="84" t="s">
        <v>348</v>
      </c>
      <c r="BM82" s="84"/>
      <c r="BN82" s="85"/>
      <c r="BO82" s="84"/>
      <c r="BP82" s="84"/>
      <c r="BQ82" s="14"/>
      <c r="BR82" s="14"/>
      <c r="BS82" s="14"/>
      <c r="BT82" s="14"/>
      <c r="BU82" s="14"/>
      <c r="BV82" s="14"/>
      <c r="BW82" s="65"/>
      <c r="BX82" s="63"/>
      <c r="BY82" s="352"/>
      <c r="BZ82" s="19"/>
      <c r="CA82" s="84" t="s">
        <v>348</v>
      </c>
      <c r="CB82" s="84"/>
      <c r="CC82" s="85"/>
      <c r="CD82" s="183"/>
      <c r="CE82" s="183"/>
      <c r="CF82" s="14"/>
      <c r="CG82" s="14"/>
      <c r="CH82" s="14"/>
      <c r="CI82" s="14"/>
      <c r="CJ82" s="14"/>
      <c r="CK82" s="14"/>
      <c r="CL82" s="14"/>
      <c r="CM82" s="14"/>
      <c r="CN82" s="14"/>
      <c r="CO82" s="129"/>
      <c r="CP82" s="14"/>
      <c r="CQ82" s="47"/>
      <c r="CR82" s="14"/>
      <c r="CS82" s="148" t="s">
        <v>304</v>
      </c>
      <c r="CT82" s="84"/>
      <c r="CU82" s="85"/>
      <c r="CV82" s="185"/>
      <c r="CW82" s="193"/>
      <c r="CX82" s="193"/>
      <c r="CY82" s="14"/>
      <c r="CZ82" s="14"/>
      <c r="DA82" s="14"/>
      <c r="DB82" s="14"/>
      <c r="DC82" s="14"/>
      <c r="DD82" s="14"/>
      <c r="DE82" s="14"/>
      <c r="DF82" s="14"/>
      <c r="DG82" s="129"/>
      <c r="DH82" s="14"/>
      <c r="DI82" s="47"/>
      <c r="DJ82" s="14"/>
      <c r="DK82" s="84" t="s">
        <v>305</v>
      </c>
      <c r="DL82" s="84"/>
      <c r="DM82" s="85"/>
      <c r="DN82" s="8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row>
    <row r="83" spans="1:142" x14ac:dyDescent="0.25">
      <c r="A83" s="14"/>
      <c r="B83" s="14"/>
      <c r="C83" s="14"/>
      <c r="D83" s="15"/>
      <c r="E83" s="14"/>
      <c r="F83" s="14"/>
      <c r="G83" s="14"/>
      <c r="H83" s="21"/>
      <c r="I83" s="21"/>
      <c r="J83" s="14"/>
      <c r="K83" s="14"/>
      <c r="L83" s="14"/>
      <c r="M83" s="14"/>
      <c r="N83" s="14"/>
      <c r="O83" s="14"/>
      <c r="P83" s="14"/>
      <c r="Q83" s="47"/>
      <c r="R83" s="19"/>
      <c r="S83" s="14"/>
      <c r="T83" s="14"/>
      <c r="U83" s="15"/>
      <c r="V83" s="14"/>
      <c r="W83" s="14"/>
      <c r="X83" s="14"/>
      <c r="Y83" s="14"/>
      <c r="Z83" s="14"/>
      <c r="AA83" s="14"/>
      <c r="AB83" s="14"/>
      <c r="AC83" s="14"/>
      <c r="AD83" s="65"/>
      <c r="AE83" s="63"/>
      <c r="AF83" s="47"/>
      <c r="AG83" s="19"/>
      <c r="AH83" s="14"/>
      <c r="AI83" s="14"/>
      <c r="AJ83" s="15"/>
      <c r="AK83" s="14"/>
      <c r="AL83" s="14"/>
      <c r="AM83" s="14"/>
      <c r="AN83" s="14"/>
      <c r="AO83" s="14"/>
      <c r="AP83" s="14"/>
      <c r="AQ83" s="14"/>
      <c r="AR83" s="14"/>
      <c r="AS83" s="65"/>
      <c r="AT83" s="63"/>
      <c r="AU83" s="47"/>
      <c r="AV83" s="14"/>
      <c r="AW83" s="14"/>
      <c r="AX83" s="14"/>
      <c r="AY83" s="15"/>
      <c r="AZ83" s="14"/>
      <c r="BA83" s="14"/>
      <c r="BB83" s="14"/>
      <c r="BC83" s="14"/>
      <c r="BD83" s="14"/>
      <c r="BE83" s="14"/>
      <c r="BF83" s="14"/>
      <c r="BG83" s="14"/>
      <c r="BH83" s="65"/>
      <c r="BI83" s="63"/>
      <c r="BJ83" s="352"/>
      <c r="BK83" s="19"/>
      <c r="BL83" s="14"/>
      <c r="BM83" s="14"/>
      <c r="BN83" s="15"/>
      <c r="BO83" s="14"/>
      <c r="BP83" s="14"/>
      <c r="BQ83" s="14"/>
      <c r="BR83" s="14"/>
      <c r="BS83" s="14"/>
      <c r="BT83" s="14"/>
      <c r="BU83" s="14"/>
      <c r="BV83" s="14"/>
      <c r="BW83" s="65"/>
      <c r="BX83" s="63"/>
      <c r="BY83" s="352"/>
      <c r="BZ83" s="14"/>
      <c r="CA83" s="14"/>
      <c r="CB83" s="21"/>
      <c r="CC83" s="21"/>
      <c r="CD83" s="180"/>
      <c r="CE83" s="180"/>
      <c r="CF83" s="21"/>
      <c r="CG83" s="14"/>
      <c r="CH83" s="14"/>
      <c r="CI83" s="14"/>
      <c r="CJ83" s="14"/>
      <c r="CK83" s="14"/>
      <c r="CL83" s="14"/>
      <c r="CM83" s="14"/>
      <c r="CN83" s="14"/>
      <c r="CO83" s="129"/>
      <c r="CP83" s="14"/>
      <c r="CQ83" s="47"/>
      <c r="CR83" s="14"/>
      <c r="CS83" s="14"/>
      <c r="CT83" s="14"/>
      <c r="CU83" s="14"/>
      <c r="CV83" s="180"/>
      <c r="CW83" s="189"/>
      <c r="CX83" s="189"/>
      <c r="CY83" s="14"/>
      <c r="CZ83" s="14"/>
      <c r="DA83" s="14"/>
      <c r="DB83" s="14"/>
      <c r="DC83" s="14"/>
      <c r="DD83" s="14"/>
      <c r="DE83" s="14"/>
      <c r="DF83" s="14"/>
      <c r="DG83" s="129"/>
      <c r="DH83" s="14"/>
      <c r="DI83" s="47"/>
      <c r="DJ83" s="14"/>
      <c r="DK83" s="14"/>
      <c r="DL83" s="14"/>
      <c r="DM83" s="15"/>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row>
    <row r="84" spans="1:142" ht="27.6" x14ac:dyDescent="0.25">
      <c r="A84" s="14"/>
      <c r="B84" s="112" t="s">
        <v>23</v>
      </c>
      <c r="C84" s="113" t="s">
        <v>24</v>
      </c>
      <c r="D84" s="113" t="s">
        <v>145</v>
      </c>
      <c r="E84" s="113" t="s">
        <v>300</v>
      </c>
      <c r="F84" s="14"/>
      <c r="G84" s="14"/>
      <c r="H84" s="21"/>
      <c r="I84" s="21"/>
      <c r="J84" s="14"/>
      <c r="K84" s="14"/>
      <c r="L84" s="51"/>
      <c r="M84" s="51"/>
      <c r="N84" s="51"/>
      <c r="O84" s="51"/>
      <c r="P84" s="51"/>
      <c r="Q84" s="47"/>
      <c r="R84" s="19"/>
      <c r="S84" s="112" t="s">
        <v>23</v>
      </c>
      <c r="T84" s="113" t="s">
        <v>24</v>
      </c>
      <c r="U84" s="113" t="s">
        <v>145</v>
      </c>
      <c r="V84" s="113" t="s">
        <v>300</v>
      </c>
      <c r="W84" s="14"/>
      <c r="X84" s="14"/>
      <c r="Y84" s="14"/>
      <c r="Z84" s="14"/>
      <c r="AA84" s="56"/>
      <c r="AB84" s="56"/>
      <c r="AC84" s="56"/>
      <c r="AD84" s="65"/>
      <c r="AE84" s="63"/>
      <c r="AF84" s="47"/>
      <c r="AG84" s="19"/>
      <c r="AH84" s="112" t="s">
        <v>23</v>
      </c>
      <c r="AI84" s="113" t="s">
        <v>24</v>
      </c>
      <c r="AJ84" s="113" t="s">
        <v>145</v>
      </c>
      <c r="AK84" s="113" t="s">
        <v>300</v>
      </c>
      <c r="AL84" s="14"/>
      <c r="AM84" s="14"/>
      <c r="AN84" s="14"/>
      <c r="AO84" s="14"/>
      <c r="AP84" s="56"/>
      <c r="AQ84" s="56"/>
      <c r="AR84" s="56"/>
      <c r="AS84" s="65"/>
      <c r="AT84" s="63"/>
      <c r="AU84" s="47"/>
      <c r="AV84" s="14"/>
      <c r="AW84" s="112" t="s">
        <v>23</v>
      </c>
      <c r="AX84" s="113" t="s">
        <v>24</v>
      </c>
      <c r="AY84" s="113" t="s">
        <v>145</v>
      </c>
      <c r="AZ84" s="113" t="s">
        <v>300</v>
      </c>
      <c r="BA84" s="14"/>
      <c r="BB84" s="14"/>
      <c r="BC84" s="14"/>
      <c r="BD84" s="14"/>
      <c r="BE84" s="56"/>
      <c r="BF84" s="56"/>
      <c r="BG84" s="56"/>
      <c r="BH84" s="65"/>
      <c r="BI84" s="63"/>
      <c r="BJ84" s="352"/>
      <c r="BK84" s="19"/>
      <c r="BL84" s="112" t="s">
        <v>23</v>
      </c>
      <c r="BM84" s="113" t="s">
        <v>24</v>
      </c>
      <c r="BN84" s="113" t="s">
        <v>145</v>
      </c>
      <c r="BO84" s="113" t="s">
        <v>300</v>
      </c>
      <c r="BP84" s="14"/>
      <c r="BQ84" s="14"/>
      <c r="BR84" s="14"/>
      <c r="BS84" s="14"/>
      <c r="BT84" s="56"/>
      <c r="BU84" s="56"/>
      <c r="BV84" s="56"/>
      <c r="BW84" s="65"/>
      <c r="BX84" s="63"/>
      <c r="BY84" s="352"/>
      <c r="BZ84" s="14"/>
      <c r="CA84" s="112" t="s">
        <v>23</v>
      </c>
      <c r="CB84" s="113" t="s">
        <v>145</v>
      </c>
      <c r="CC84" s="21"/>
      <c r="CD84" s="180"/>
      <c r="CE84" s="180"/>
      <c r="CF84" s="21"/>
      <c r="CG84" s="14"/>
      <c r="CH84" s="14"/>
      <c r="CI84" s="14"/>
      <c r="CJ84" s="14"/>
      <c r="CK84" s="14"/>
      <c r="CL84" s="14"/>
      <c r="CM84" s="14"/>
      <c r="CN84" s="14"/>
      <c r="CO84" s="129"/>
      <c r="CP84" s="17"/>
      <c r="CQ84" s="47"/>
      <c r="CR84" s="14"/>
      <c r="CS84" s="112" t="s">
        <v>23</v>
      </c>
      <c r="CT84" s="113" t="s">
        <v>145</v>
      </c>
      <c r="CU84" s="14"/>
      <c r="CV84" s="180"/>
      <c r="CW84" s="189"/>
      <c r="CX84" s="189"/>
      <c r="CY84" s="14"/>
      <c r="CZ84" s="14"/>
      <c r="DA84" s="14"/>
      <c r="DB84" s="14"/>
      <c r="DC84" s="14"/>
      <c r="DD84" s="14"/>
      <c r="DE84" s="14"/>
      <c r="DF84" s="14"/>
      <c r="DG84" s="129"/>
      <c r="DH84" s="17"/>
      <c r="DI84" s="47"/>
      <c r="DJ84" s="17"/>
      <c r="DK84" s="112" t="s">
        <v>23</v>
      </c>
      <c r="DL84" s="113" t="s">
        <v>24</v>
      </c>
      <c r="DM84" s="113" t="s">
        <v>145</v>
      </c>
      <c r="DN84" s="113" t="s">
        <v>300</v>
      </c>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row>
    <row r="85" spans="1:142" x14ac:dyDescent="0.25">
      <c r="A85" s="14"/>
      <c r="B85" s="57" t="s">
        <v>31</v>
      </c>
      <c r="C85" s="121" t="str">
        <f>IF(H104=0,"na",IF(COUNTIF(H99:H103,MAX(H99:H103))&gt;COUNTIF(G99:G103,"&lt;&gt;""")/2,"No clear choice of the most common response",INDEX(G99:G103,MATCH(MAX(H99:H103),H99:H103,0),1)))</f>
        <v>na</v>
      </c>
      <c r="D85" s="58">
        <f>COUNTIFS(S30_stakeholder_category,"PP",Response_Q173_5,"&lt;&gt;0")</f>
        <v>0</v>
      </c>
      <c r="E85" s="121">
        <f>COUNTIFS(S30_stakeholder_category,"PP",Response_Q173_5,"I don’t know")</f>
        <v>0</v>
      </c>
      <c r="F85" s="14"/>
      <c r="G85" s="14"/>
      <c r="H85" s="27"/>
      <c r="I85" s="21"/>
      <c r="J85" s="14"/>
      <c r="K85" s="14"/>
      <c r="L85" s="40"/>
      <c r="M85" s="40"/>
      <c r="N85" s="40"/>
      <c r="O85" s="40"/>
      <c r="P85" s="40"/>
      <c r="Q85" s="47"/>
      <c r="R85" s="19"/>
      <c r="S85" s="34" t="s">
        <v>31</v>
      </c>
      <c r="T85" s="37" t="str">
        <f>IF(Y106=0,"na",IF(COUNTIF(Y99:Y105,MAX(Y99:Y105))&gt;COUNTIF(X99:X105,"&lt;&gt;""")/2,"No clear choice of the most common response",INDEX(X99:X105,MATCH(MAX(Y99:Y105),Y99:Y105,0),1)))</f>
        <v>na</v>
      </c>
      <c r="U85" s="33">
        <f>COUNTIFS(S30_stakeholder_category,"PP",Response_Q176_3,"&lt;&gt;0")</f>
        <v>0</v>
      </c>
      <c r="V85" s="37">
        <f>COUNTIFS(S30_stakeholder_category,"PP",Response_Q176_3,"I don’t know")</f>
        <v>0</v>
      </c>
      <c r="W85" s="14"/>
      <c r="X85" s="14"/>
      <c r="Y85" s="14"/>
      <c r="Z85" s="14"/>
      <c r="AA85" s="19"/>
      <c r="AB85" s="19"/>
      <c r="AC85" s="19"/>
      <c r="AD85" s="65"/>
      <c r="AE85" s="63"/>
      <c r="AF85" s="47"/>
      <c r="AG85" s="19"/>
      <c r="AH85" s="57" t="s">
        <v>31</v>
      </c>
      <c r="AI85" s="121" t="str">
        <f>IF(AN106=0,"na",IF(COUNTIF(AN99:AN105,MAX(AN99:AN105))&gt;COUNTIF(AM99:AM105,"&lt;&gt;""")/2,"No clear choice of the most common response",INDEX(AM99:AM105,MATCH(MAX(AN99:AN105),AN99:AN105,0),1)))</f>
        <v>Unlikely</v>
      </c>
      <c r="AJ85" s="58">
        <f>COUNTIFS(S30_stakeholder_category,"PP",Response_30c_CaseA,"&lt;&gt;0")</f>
        <v>1</v>
      </c>
      <c r="AK85" s="121">
        <f>COUNTIFS(S30_stakeholder_category,"PP",Response_30c_CaseA,"I don’t know")</f>
        <v>0</v>
      </c>
      <c r="AL85" s="14"/>
      <c r="AM85" s="14"/>
      <c r="AN85" s="14"/>
      <c r="AO85" s="14"/>
      <c r="AP85" s="19"/>
      <c r="AQ85" s="19"/>
      <c r="AR85" s="19"/>
      <c r="AS85" s="65"/>
      <c r="AT85" s="63"/>
      <c r="AU85" s="47"/>
      <c r="AV85" s="14"/>
      <c r="AW85" s="57" t="s">
        <v>31</v>
      </c>
      <c r="AX85" s="121" t="str">
        <f>IF(BC106=0,"na",IF(COUNTIF(BC99:BC105,MAX(BC99:BC105))&gt;COUNTIF(BB99:BB105,"&lt;&gt;""")/2,"No clear choice of the most common response",INDEX(BB99:BB105,MATCH(MAX(BC99:BC105),BC99:BC105,0),1)))</f>
        <v>Unlikely</v>
      </c>
      <c r="AY85" s="58">
        <f>COUNTIFS(S30_stakeholder_category,"PP",Response_30c_CaseB,"&lt;&gt;0")</f>
        <v>1</v>
      </c>
      <c r="AZ85" s="121">
        <f>COUNTIFS(S30_stakeholder_category,"PP",Response_30c_CaseB,"I don’t know")</f>
        <v>0</v>
      </c>
      <c r="BA85" s="14"/>
      <c r="BB85" s="14"/>
      <c r="BC85" s="14"/>
      <c r="BD85" s="14"/>
      <c r="BE85" s="19"/>
      <c r="BF85" s="19"/>
      <c r="BG85" s="19"/>
      <c r="BH85" s="65"/>
      <c r="BI85" s="63"/>
      <c r="BJ85" s="352"/>
      <c r="BK85" s="19"/>
      <c r="BL85" s="57" t="s">
        <v>31</v>
      </c>
      <c r="BM85" s="121" t="str">
        <f>IF(BR106=0,"na",IF(COUNTIF(BR99:BR105,MAX(BR99:BR105))&gt;COUNTIF(BQ99:BQ105,"&lt;&gt;""")/2,"No clear choice of the most common response",INDEX(BQ99:BQ105,MATCH(MAX(BR99:BR105),BR99:BR105,0),1)))</f>
        <v>Unlikely</v>
      </c>
      <c r="BN85" s="58">
        <f>COUNTIFS(S30_stakeholder_category,"PP",Response_30c_CaseC,"&lt;&gt;0")</f>
        <v>1</v>
      </c>
      <c r="BO85" s="121">
        <f>COUNTIFS(S30_stakeholder_category,"PP",Response_30c_CaseC,"I don’t know")</f>
        <v>0</v>
      </c>
      <c r="BP85" s="14"/>
      <c r="BQ85" s="14"/>
      <c r="BR85" s="14"/>
      <c r="BS85" s="14"/>
      <c r="BT85" s="19"/>
      <c r="BU85" s="19"/>
      <c r="BV85" s="19"/>
      <c r="BW85" s="65"/>
      <c r="BX85" s="63"/>
      <c r="BY85" s="352"/>
      <c r="BZ85" s="14"/>
      <c r="CA85" s="34" t="s">
        <v>31</v>
      </c>
      <c r="CB85" s="37">
        <f>MAX(SUM(CC91:CC97),SUM(CD91:CD97),SUM(CE91:CE97))</f>
        <v>1</v>
      </c>
      <c r="CC85" s="21"/>
      <c r="CD85" s="180"/>
      <c r="CE85" s="180"/>
      <c r="CF85" s="21"/>
      <c r="CG85" s="14"/>
      <c r="CH85" s="14"/>
      <c r="CI85" s="14"/>
      <c r="CJ85" s="14"/>
      <c r="CK85" s="14"/>
      <c r="CL85" s="14"/>
      <c r="CM85" s="14"/>
      <c r="CN85" s="14"/>
      <c r="CO85" s="129"/>
      <c r="CP85" s="29"/>
      <c r="CQ85" s="47"/>
      <c r="CR85" s="14"/>
      <c r="CS85" s="34" t="s">
        <v>31</v>
      </c>
      <c r="CT85" s="37">
        <f>MAX(SUM(CU91:CU97),SUM(CV91:CV97),SUM(CW91:CW97))</f>
        <v>0</v>
      </c>
      <c r="CU85" s="14"/>
      <c r="CV85" s="180"/>
      <c r="CW85" s="189"/>
      <c r="CX85" s="189"/>
      <c r="CY85" s="14"/>
      <c r="CZ85" s="14"/>
      <c r="DA85" s="14"/>
      <c r="DB85" s="14"/>
      <c r="DC85" s="14"/>
      <c r="DD85" s="14"/>
      <c r="DE85" s="14"/>
      <c r="DF85" s="14"/>
      <c r="DG85" s="129"/>
      <c r="DH85" s="29"/>
      <c r="DI85" s="47"/>
      <c r="DJ85" s="29"/>
      <c r="DK85" s="34" t="s">
        <v>31</v>
      </c>
      <c r="DL85" s="37" t="str">
        <f>IF(DQ104=0,"na",IF(COUNTIF(DQ99:DQ103,MAX(DQ99:DQ103))&gt;COUNTIF(DP99:DP103,"&lt;&gt;""")/2,"No clear choice of the most common response",INDEX(DP99:DP103,MATCH(MAX(DQ99:DQ103),DQ99:DQ103,0),1)))</f>
        <v>na</v>
      </c>
      <c r="DM85" s="33">
        <f>COUNTIFS(S30_stakeholder_category,"PP",Response_Q172_1,"&lt;&gt;0",Response_Q173_5,"&lt;&gt;0")</f>
        <v>0</v>
      </c>
      <c r="DN85" s="37">
        <f>DQ103</f>
        <v>0</v>
      </c>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row>
    <row r="86" spans="1:142" x14ac:dyDescent="0.25">
      <c r="A86" s="14"/>
      <c r="B86" s="57"/>
      <c r="C86" s="121" t="str">
        <f ca="1">IF(H104=0,"",IF(COUNTIF(H99:H103,MAX(H99:H103))=1,"",IF(COUNTIF(H99:H103,MAX(H99:H103))&gt;COUNTIF(G99:G103,"&lt;&gt;""")/2,"",INDEX(OFFSET(G99,MATCH(C85,G99:G104,0),0):G103,MATCH(MAX(H99:H103),OFFSET(H99,MATCH(C85,G99:G104,0),0):H103,0),1))))</f>
        <v/>
      </c>
      <c r="D86" s="58"/>
      <c r="E86" s="121"/>
      <c r="F86" s="14"/>
      <c r="G86" s="14"/>
      <c r="H86" s="27"/>
      <c r="I86" s="21"/>
      <c r="J86" s="14"/>
      <c r="K86" s="14"/>
      <c r="L86" s="40"/>
      <c r="M86" s="40"/>
      <c r="N86" s="40"/>
      <c r="O86" s="40"/>
      <c r="P86" s="40"/>
      <c r="Q86" s="47"/>
      <c r="R86" s="19"/>
      <c r="S86" s="34"/>
      <c r="T86" s="37" t="str">
        <f ca="1">IF(Y106=0,"",IF(COUNTIF(Y99:Y105,MAX(Y99:Y105))=1,"",IF(COUNTIF(Y99:Y105,MAX(Y99:Y105))&gt;COUNTIF(X99:X105,"&lt;&gt;""")/2,"",INDEX(OFFSET(X99,MATCH(T85,X99:X105,0),0):X105,MATCH(MAX(Y99:Y105),OFFSET(Y99,MATCH(T85,X99:X105,0),0):Y105,0),1))))</f>
        <v/>
      </c>
      <c r="U86" s="33"/>
      <c r="V86" s="37"/>
      <c r="W86" s="14"/>
      <c r="X86" s="14"/>
      <c r="Y86" s="14"/>
      <c r="Z86" s="14"/>
      <c r="AA86" s="19"/>
      <c r="AB86" s="19"/>
      <c r="AC86" s="19"/>
      <c r="AD86" s="65"/>
      <c r="AE86" s="63"/>
      <c r="AF86" s="47"/>
      <c r="AG86" s="19"/>
      <c r="AH86" s="57"/>
      <c r="AI86" s="121" t="str">
        <f ca="1">IF(AN106=0,"",IF(COUNTIF(AN99:AN105,MAX(AN99:AN105))=1,"",IF(COUNTIF(AN99:AN105,MAX(AN99:AN105))&gt;COUNTIF(AM99:AM105,"&lt;&gt;""")/2,"",INDEX(OFFSET(AM99,MATCH(AI85,AM99:AM105,0),0):AM105,MATCH(MAX(AN99:AN105),OFFSET(AN99,MATCH(AI85,AM99:AM105,0),0):AN105,0),1))))</f>
        <v/>
      </c>
      <c r="AJ86" s="58"/>
      <c r="AK86" s="121"/>
      <c r="AL86" s="14"/>
      <c r="AM86" s="14"/>
      <c r="AN86" s="14"/>
      <c r="AO86" s="14"/>
      <c r="AP86" s="19"/>
      <c r="AQ86" s="19"/>
      <c r="AR86" s="19"/>
      <c r="AS86" s="65"/>
      <c r="AT86" s="63"/>
      <c r="AU86" s="47"/>
      <c r="AV86" s="14"/>
      <c r="AW86" s="57"/>
      <c r="AX86" s="121" t="str">
        <f ca="1">IF(BC106=0,"",IF(COUNTIF(BC99:BC105,MAX(BC99:BC105))=1,"",IF(COUNTIF(BC99:BC105,MAX(BC99:BC105))&gt;COUNTIF(BB99:BB105,"&lt;&gt;""")/2,"",INDEX(OFFSET(BB99,MATCH(AX85,BB99:BB105,0),0):BB105,MATCH(MAX(BC99:BC105),OFFSET(BC99,MATCH(AX85,BB99:BB105,0),0):BC105,0),1))))</f>
        <v/>
      </c>
      <c r="AY86" s="58"/>
      <c r="AZ86" s="121"/>
      <c r="BA86" s="14"/>
      <c r="BB86" s="14"/>
      <c r="BC86" s="14"/>
      <c r="BD86" s="14"/>
      <c r="BE86" s="19"/>
      <c r="BF86" s="19"/>
      <c r="BG86" s="19"/>
      <c r="BH86" s="65"/>
      <c r="BI86" s="63"/>
      <c r="BJ86" s="352"/>
      <c r="BK86" s="19"/>
      <c r="BL86" s="57"/>
      <c r="BM86" s="121" t="str">
        <f ca="1">IF(BR106=0,"",IF(COUNTIF(BR99:BR105,MAX(BR99:BR105))=1,"",IF(COUNTIF(BR99:BR105,MAX(BR99:BR105))&gt;COUNTIF(BQ99:BQ105,"&lt;&gt;""")/2,"",INDEX(OFFSET(BQ99,MATCH(BM85,BQ99:BQ105,0),0):BQ105,MATCH(MAX(BR99:BR105),OFFSET(BR99,MATCH(BM85,BQ99:BQ105,0),0):BR105,0),1))))</f>
        <v/>
      </c>
      <c r="BN86" s="58"/>
      <c r="BO86" s="121"/>
      <c r="BP86" s="14"/>
      <c r="BQ86" s="14"/>
      <c r="BR86" s="14"/>
      <c r="BS86" s="14"/>
      <c r="BT86" s="19"/>
      <c r="BU86" s="19"/>
      <c r="BV86" s="19"/>
      <c r="BW86" s="65"/>
      <c r="BX86" s="63"/>
      <c r="BY86" s="352"/>
      <c r="BZ86" s="14"/>
      <c r="CA86" s="14"/>
      <c r="CB86" s="21"/>
      <c r="CC86" s="21"/>
      <c r="CD86" s="180"/>
      <c r="CE86" s="180"/>
      <c r="CF86" s="21"/>
      <c r="CG86" s="14"/>
      <c r="CH86" s="14"/>
      <c r="CI86" s="14"/>
      <c r="CJ86" s="14"/>
      <c r="CK86" s="14"/>
      <c r="CL86" s="14"/>
      <c r="CM86" s="14"/>
      <c r="CN86" s="14"/>
      <c r="CO86" s="129"/>
      <c r="CP86" s="29"/>
      <c r="CQ86" s="47"/>
      <c r="CR86" s="14"/>
      <c r="CS86" s="14"/>
      <c r="CT86" s="14"/>
      <c r="CU86" s="14"/>
      <c r="CV86" s="180"/>
      <c r="CW86" s="189"/>
      <c r="CX86" s="189"/>
      <c r="CY86" s="14"/>
      <c r="CZ86" s="14"/>
      <c r="DA86" s="14"/>
      <c r="DB86" s="14"/>
      <c r="DC86" s="14"/>
      <c r="DD86" s="14"/>
      <c r="DE86" s="14"/>
      <c r="DF86" s="14"/>
      <c r="DG86" s="129"/>
      <c r="DH86" s="29"/>
      <c r="DI86" s="47"/>
      <c r="DJ86" s="29"/>
      <c r="DK86" s="34"/>
      <c r="DL86" s="121" t="str">
        <f ca="1">IF(DQ104=0,"",IF(COUNTIF(DQ99:DQ103,MAX(DQ99:DQ103))=1,"",IF(COUNTIF(DQ99:DQ103,MAX(DQ99:DQ103))&gt;COUNTIF(DP99:DP103,"&lt;&gt;""")/2,"",INDEX(OFFSET(DP99,MATCH(DL85,DP99:DP104,0),0):DP103,MATCH(MAX(DQ99:DQ103),OFFSET(DQ99,MATCH(DL85,DP99:DP104,0),0):DQ103,0),1))))</f>
        <v/>
      </c>
      <c r="DM86" s="33"/>
      <c r="DN86" s="37"/>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row>
    <row r="87" spans="1:142" x14ac:dyDescent="0.25">
      <c r="A87" s="14"/>
      <c r="B87" s="57"/>
      <c r="C87" s="121" t="str">
        <f ca="1" xml:space="preserve"> IF(H104=0,"", IF(COUNTIF(H99:H103,MAX(H99:H103))&lt;=2,"",IF(COUNTIF(H99:H103,MAX(H99:H103))&gt;COUNTIF(G99:G103,"&lt;&gt;""")/2,"", INDEX(OFFSET(G99,MATCH(C86,G99:G104,0),0):G103,         MATCH(MAX(H99:H103),        OFFSET(H99,MATCH(C86,G99:G104,0),0):H103,0),1))))</f>
        <v/>
      </c>
      <c r="D87" s="58"/>
      <c r="E87" s="121"/>
      <c r="F87" s="14"/>
      <c r="G87" s="14"/>
      <c r="H87" s="27"/>
      <c r="I87" s="21"/>
      <c r="J87" s="14"/>
      <c r="K87" s="14"/>
      <c r="L87" s="40"/>
      <c r="M87" s="40"/>
      <c r="N87" s="40"/>
      <c r="O87" s="40"/>
      <c r="P87" s="40"/>
      <c r="Q87" s="47"/>
      <c r="R87" s="19"/>
      <c r="S87" s="34"/>
      <c r="T87" s="121" t="str">
        <f ca="1" xml:space="preserve"> IF(Y106=0,"",IF(Y106=0,"", IF(COUNTIF(Y99:Y105,MAX(Y99:Y105))&lt;=2,"",IF(COUNTIF(Y99:Y105,MAX(Y99:Y105))&gt;COUNTIF(X99:X105,"&lt;&gt;""")/2,"", INDEX(OFFSET(X99,MATCH(T86,X99:X105,0),0):X105,         MATCH(MAX(Y99:Y105),        OFFSET(Y99,MATCH(T86,X99:X105,0),0):Y105,0),1)))))</f>
        <v/>
      </c>
      <c r="U87" s="33"/>
      <c r="V87" s="37"/>
      <c r="W87" s="14"/>
      <c r="X87" s="14"/>
      <c r="Y87" s="14"/>
      <c r="Z87" s="14"/>
      <c r="AA87" s="19"/>
      <c r="AB87" s="19"/>
      <c r="AC87" s="19"/>
      <c r="AD87" s="65"/>
      <c r="AE87" s="63"/>
      <c r="AF87" s="47"/>
      <c r="AG87" s="19"/>
      <c r="AH87" s="57"/>
      <c r="AI87" s="121" t="str">
        <f ca="1" xml:space="preserve"> IF(AN106=0,"",IF(AN106=0,"", IF(COUNTIF(AN99:AN105,MAX(AN99:AN105))&lt;=2,"",IF(COUNTIF(AN99:AN105,MAX(AN99:AN105))&gt;COUNTIF(AM99:AM105,"&lt;&gt;""")/2,"", INDEX(OFFSET(AM99,MATCH(AI86,AM99:AM105,0),0):AM105,         MATCH(MAX(AN99:AN105),        OFFSET(AN99,MATCH(AI86,AM99:AM105,0),0):AN105,0),1)))))</f>
        <v/>
      </c>
      <c r="AJ87" s="58"/>
      <c r="AK87" s="121"/>
      <c r="AL87" s="14"/>
      <c r="AM87" s="14"/>
      <c r="AN87" s="14"/>
      <c r="AO87" s="14"/>
      <c r="AP87" s="19"/>
      <c r="AQ87" s="19"/>
      <c r="AR87" s="19"/>
      <c r="AS87" s="65"/>
      <c r="AT87" s="63"/>
      <c r="AU87" s="47"/>
      <c r="AV87" s="14"/>
      <c r="AW87" s="57"/>
      <c r="AX87" s="121" t="str">
        <f ca="1" xml:space="preserve"> IF(BC106=0,"",IF(BC106=0,"", IF(COUNTIF(BC99:BC105,MAX(BC99:BC105))&lt;=2,"",IF(COUNTIF(BC99:BC105,MAX(BC99:BC105))&gt;COUNTIF(BB99:BB105,"&lt;&gt;""")/2,"", INDEX(OFFSET(BB99,MATCH(AX86,BB99:BB105,0),0):BB105,         MATCH(MAX(BC99:BC105),        OFFSET(BC99,MATCH(AX86,BB99:BB105,0),0):BC105,0),1)))))</f>
        <v/>
      </c>
      <c r="AY87" s="58"/>
      <c r="AZ87" s="121"/>
      <c r="BA87" s="14"/>
      <c r="BB87" s="14"/>
      <c r="BC87" s="14"/>
      <c r="BD87" s="14"/>
      <c r="BE87" s="19"/>
      <c r="BF87" s="19"/>
      <c r="BG87" s="19"/>
      <c r="BH87" s="65"/>
      <c r="BI87" s="63"/>
      <c r="BJ87" s="352"/>
      <c r="BK87" s="19"/>
      <c r="BL87" s="57"/>
      <c r="BM87" s="121" t="str">
        <f ca="1" xml:space="preserve"> IF(BR106=0,"",IF(BR106=0,"", IF(COUNTIF(BR99:BR105,MAX(BR99:BR105))&lt;=2,"",IF(COUNTIF(BR99:BR105,MAX(BR99:BR105))&gt;COUNTIF(BQ99:BQ105,"&lt;&gt;""")/2,"", INDEX(OFFSET(BQ99,MATCH(BM86,BQ99:BQ105,0),0):BQ105,         MATCH(MAX(BR99:BR105),        OFFSET(BR99,MATCH(BM86,BQ99:BQ105,0),0):BR105,0),1)))))</f>
        <v/>
      </c>
      <c r="BN87" s="58"/>
      <c r="BO87" s="121"/>
      <c r="BP87" s="14"/>
      <c r="BQ87" s="14"/>
      <c r="BR87" s="14"/>
      <c r="BS87" s="14"/>
      <c r="BT87" s="19"/>
      <c r="BU87" s="19"/>
      <c r="BV87" s="19"/>
      <c r="BW87" s="65"/>
      <c r="BX87" s="63"/>
      <c r="BY87" s="352"/>
      <c r="BZ87" s="14"/>
      <c r="CA87" s="14"/>
      <c r="CB87" s="21"/>
      <c r="CC87" s="21"/>
      <c r="CD87" s="180"/>
      <c r="CE87" s="180"/>
      <c r="CF87" s="21"/>
      <c r="CG87" s="14"/>
      <c r="CH87" s="14"/>
      <c r="CI87" s="14"/>
      <c r="CJ87" s="14"/>
      <c r="CK87" s="14"/>
      <c r="CL87" s="14"/>
      <c r="CM87" s="14"/>
      <c r="CN87" s="14"/>
      <c r="CO87" s="129"/>
      <c r="CP87" s="29"/>
      <c r="CQ87" s="47"/>
      <c r="CR87" s="14"/>
      <c r="CS87" s="14"/>
      <c r="CT87" s="14"/>
      <c r="CU87" s="14"/>
      <c r="CV87" s="180"/>
      <c r="CW87" s="189"/>
      <c r="CX87" s="189"/>
      <c r="CY87" s="14"/>
      <c r="CZ87" s="14"/>
      <c r="DA87" s="14"/>
      <c r="DB87" s="14"/>
      <c r="DC87" s="14"/>
      <c r="DD87" s="14"/>
      <c r="DE87" s="14"/>
      <c r="DF87" s="14"/>
      <c r="DG87" s="129"/>
      <c r="DH87" s="29"/>
      <c r="DI87" s="47"/>
      <c r="DJ87" s="29"/>
      <c r="DK87" s="34"/>
      <c r="DL87" s="121" t="str">
        <f ca="1" xml:space="preserve"> IF(DQ104=0,"",IF(DQ104=0,"", IF(COUNTIF(DQ99:DQ103,MAX(DQ99:DQ103))&lt;=2,"",IF(COUNTIF(DQ99:DQ103,MAX(DQ99:DQ103))&gt;COUNTIF(DP99:DP103,"&lt;&gt;""")/2,"", INDEX(OFFSET(DP99,MATCH(DL86,DP99:DP104,0),0):DP103,         MATCH(MAX(DQ99:DQ103),        OFFSET(DQ99,MATCH(DL86,DP99:DP104,0),0):DQ103,0),1)))))</f>
        <v/>
      </c>
      <c r="DM87" s="33"/>
      <c r="DN87" s="37"/>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row>
    <row r="88" spans="1:142" x14ac:dyDescent="0.25">
      <c r="A88" s="14"/>
      <c r="B88" s="14"/>
      <c r="C88" s="14"/>
      <c r="D88" s="27"/>
      <c r="E88" s="14"/>
      <c r="F88" s="14"/>
      <c r="G88" s="14"/>
      <c r="H88" s="27"/>
      <c r="I88" s="21"/>
      <c r="J88" s="14"/>
      <c r="K88" s="14"/>
      <c r="L88" s="40"/>
      <c r="M88" s="40"/>
      <c r="N88" s="40"/>
      <c r="O88" s="40"/>
      <c r="P88" s="40"/>
      <c r="Q88" s="47"/>
      <c r="R88" s="19"/>
      <c r="S88" s="19"/>
      <c r="T88" s="14"/>
      <c r="U88" s="27"/>
      <c r="V88" s="14"/>
      <c r="W88" s="14"/>
      <c r="X88" s="14"/>
      <c r="Y88" s="14"/>
      <c r="Z88" s="14"/>
      <c r="AA88" s="19"/>
      <c r="AB88" s="19"/>
      <c r="AC88" s="19"/>
      <c r="AD88" s="65"/>
      <c r="AE88" s="63"/>
      <c r="AF88" s="47"/>
      <c r="AG88" s="19"/>
      <c r="AH88" s="19"/>
      <c r="AI88" s="14"/>
      <c r="AJ88" s="27"/>
      <c r="AK88" s="14"/>
      <c r="AL88" s="14"/>
      <c r="AM88" s="14"/>
      <c r="AN88" s="14"/>
      <c r="AO88" s="14"/>
      <c r="AP88" s="19"/>
      <c r="AQ88" s="19"/>
      <c r="AR88" s="19"/>
      <c r="AS88" s="65"/>
      <c r="AT88" s="63"/>
      <c r="AU88" s="47"/>
      <c r="AV88" s="14"/>
      <c r="AW88" s="19"/>
      <c r="AX88" s="14"/>
      <c r="AY88" s="27"/>
      <c r="AZ88" s="14"/>
      <c r="BA88" s="14"/>
      <c r="BB88" s="14"/>
      <c r="BC88" s="14"/>
      <c r="BD88" s="14"/>
      <c r="BE88" s="19"/>
      <c r="BF88" s="19"/>
      <c r="BG88" s="19"/>
      <c r="BH88" s="65"/>
      <c r="BI88" s="63"/>
      <c r="BJ88" s="352"/>
      <c r="BK88" s="19"/>
      <c r="BL88" s="44"/>
      <c r="BM88" s="8"/>
      <c r="BN88" s="123"/>
      <c r="BO88" s="8"/>
      <c r="BP88" s="14"/>
      <c r="BQ88" s="14"/>
      <c r="BR88" s="14"/>
      <c r="BS88" s="14"/>
      <c r="BT88" s="19"/>
      <c r="BU88" s="19"/>
      <c r="BV88" s="19"/>
      <c r="BW88" s="65"/>
      <c r="BX88" s="63"/>
      <c r="BY88" s="352"/>
      <c r="BZ88" s="14"/>
      <c r="CA88" s="14"/>
      <c r="CB88" s="21"/>
      <c r="CC88" s="21"/>
      <c r="CD88" s="180"/>
      <c r="CE88" s="180"/>
      <c r="CF88" s="21"/>
      <c r="CG88" s="14"/>
      <c r="CH88" s="14"/>
      <c r="CI88" s="14"/>
      <c r="CJ88" s="14"/>
      <c r="CK88" s="14"/>
      <c r="CL88" s="14"/>
      <c r="CM88" s="14"/>
      <c r="CN88" s="14"/>
      <c r="CO88" s="129"/>
      <c r="CP88" s="29"/>
      <c r="CQ88" s="47"/>
      <c r="CR88" s="14"/>
      <c r="CS88" s="14"/>
      <c r="CT88" s="14"/>
      <c r="CU88" s="14"/>
      <c r="CV88" s="180"/>
      <c r="CW88" s="189"/>
      <c r="CX88" s="189"/>
      <c r="CY88" s="14"/>
      <c r="CZ88" s="14"/>
      <c r="DA88" s="14"/>
      <c r="DB88" s="14"/>
      <c r="DC88" s="14"/>
      <c r="DD88" s="14"/>
      <c r="DE88" s="14"/>
      <c r="DF88" s="14"/>
      <c r="DG88" s="129"/>
      <c r="DH88" s="29"/>
      <c r="DI88" s="47"/>
      <c r="DJ88" s="29"/>
      <c r="DK88" s="14"/>
      <c r="DL88" s="14"/>
      <c r="DM88" s="27"/>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row>
    <row r="89" spans="1:142" x14ac:dyDescent="0.25">
      <c r="A89" s="14"/>
      <c r="B89" s="14"/>
      <c r="C89" s="14"/>
      <c r="D89" s="27"/>
      <c r="E89" s="14"/>
      <c r="F89" s="14"/>
      <c r="G89" s="14"/>
      <c r="H89" s="27"/>
      <c r="I89" s="21"/>
      <c r="J89" s="14"/>
      <c r="K89" s="14"/>
      <c r="L89" s="40"/>
      <c r="M89" s="40"/>
      <c r="N89" s="40"/>
      <c r="O89" s="40"/>
      <c r="P89" s="40"/>
      <c r="Q89" s="47"/>
      <c r="R89" s="19"/>
      <c r="S89" s="19"/>
      <c r="T89" s="14"/>
      <c r="U89" s="27"/>
      <c r="V89" s="14"/>
      <c r="W89" s="14"/>
      <c r="X89" s="14"/>
      <c r="Y89" s="14"/>
      <c r="Z89" s="14"/>
      <c r="AA89" s="19"/>
      <c r="AB89" s="19"/>
      <c r="AC89" s="19"/>
      <c r="AD89" s="65"/>
      <c r="AE89" s="63"/>
      <c r="AF89" s="47"/>
      <c r="AG89" s="19"/>
      <c r="AH89" s="19"/>
      <c r="AI89" s="14"/>
      <c r="AJ89" s="27"/>
      <c r="AK89" s="14"/>
      <c r="AL89" s="14"/>
      <c r="AM89" s="14"/>
      <c r="AN89" s="14"/>
      <c r="AO89" s="14"/>
      <c r="AP89" s="19"/>
      <c r="AQ89" s="19"/>
      <c r="AR89" s="19"/>
      <c r="AS89" s="65"/>
      <c r="AT89" s="63"/>
      <c r="AU89" s="47"/>
      <c r="AV89" s="14"/>
      <c r="AW89" s="19"/>
      <c r="AX89" s="14"/>
      <c r="AY89" s="27"/>
      <c r="AZ89" s="14"/>
      <c r="BA89" s="14"/>
      <c r="BB89" s="14"/>
      <c r="BC89" s="14"/>
      <c r="BD89" s="14"/>
      <c r="BE89" s="19"/>
      <c r="BF89" s="19"/>
      <c r="BG89" s="19"/>
      <c r="BH89" s="65"/>
      <c r="BI89" s="63"/>
      <c r="BJ89" s="352"/>
      <c r="BK89" s="19"/>
      <c r="BL89" s="19"/>
      <c r="BM89" s="14"/>
      <c r="BN89" s="27"/>
      <c r="BO89" s="14"/>
      <c r="BP89" s="14"/>
      <c r="BQ89" s="14"/>
      <c r="BR89" s="14"/>
      <c r="BS89" s="14"/>
      <c r="BT89" s="19"/>
      <c r="BU89" s="19"/>
      <c r="BV89" s="19"/>
      <c r="BW89" s="65"/>
      <c r="BX89" s="63"/>
      <c r="BY89" s="352"/>
      <c r="BZ89" s="14"/>
      <c r="CA89" s="14"/>
      <c r="CB89" s="21"/>
      <c r="CC89" s="21"/>
      <c r="CD89" s="180"/>
      <c r="CE89" s="180"/>
      <c r="CF89" s="21"/>
      <c r="CG89" s="14"/>
      <c r="CH89" s="14"/>
      <c r="CI89" s="14"/>
      <c r="CJ89" s="14"/>
      <c r="CK89" s="14"/>
      <c r="CL89" s="14"/>
      <c r="CM89" s="14"/>
      <c r="CN89" s="14"/>
      <c r="CO89" s="129"/>
      <c r="CP89" s="29"/>
      <c r="CQ89" s="47"/>
      <c r="CR89" s="14"/>
      <c r="CS89" s="14"/>
      <c r="CT89" s="14"/>
      <c r="CU89" s="14"/>
      <c r="CV89" s="180"/>
      <c r="CW89" s="189"/>
      <c r="CX89" s="189"/>
      <c r="CY89" s="14"/>
      <c r="CZ89" s="14"/>
      <c r="DA89" s="14"/>
      <c r="DB89" s="14"/>
      <c r="DC89" s="14"/>
      <c r="DD89" s="14"/>
      <c r="DE89" s="14"/>
      <c r="DF89" s="14"/>
      <c r="DG89" s="129"/>
      <c r="DH89" s="29"/>
      <c r="DI89" s="47"/>
      <c r="DJ89" s="29"/>
      <c r="DK89" s="14"/>
      <c r="DL89" s="14"/>
      <c r="DM89" s="27"/>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row>
    <row r="90" spans="1:142" ht="27.6" x14ac:dyDescent="0.25">
      <c r="A90" s="14"/>
      <c r="B90" s="14"/>
      <c r="C90" s="14"/>
      <c r="D90" s="27"/>
      <c r="E90" s="14"/>
      <c r="F90" s="14"/>
      <c r="G90" s="14"/>
      <c r="H90" s="27"/>
      <c r="I90" s="21"/>
      <c r="J90" s="14"/>
      <c r="K90" s="14"/>
      <c r="L90" s="40"/>
      <c r="M90" s="40"/>
      <c r="N90" s="40"/>
      <c r="O90" s="40"/>
      <c r="P90" s="40"/>
      <c r="Q90" s="47"/>
      <c r="R90" s="19"/>
      <c r="S90" s="19"/>
      <c r="T90" s="14"/>
      <c r="U90" s="27"/>
      <c r="V90" s="14"/>
      <c r="W90" s="14"/>
      <c r="X90" s="14"/>
      <c r="Y90" s="14"/>
      <c r="Z90" s="14"/>
      <c r="AA90" s="19"/>
      <c r="AB90" s="19"/>
      <c r="AC90" s="19"/>
      <c r="AD90" s="65"/>
      <c r="AE90" s="63"/>
      <c r="AF90" s="47"/>
      <c r="AG90" s="19"/>
      <c r="AH90" s="19"/>
      <c r="AI90" s="14"/>
      <c r="AJ90" s="27"/>
      <c r="AK90" s="14"/>
      <c r="AL90" s="14"/>
      <c r="AM90" s="14"/>
      <c r="AN90" s="14"/>
      <c r="AO90" s="14"/>
      <c r="AP90" s="19"/>
      <c r="AQ90" s="19"/>
      <c r="AR90" s="19"/>
      <c r="AS90" s="65"/>
      <c r="AT90" s="63"/>
      <c r="AU90" s="47"/>
      <c r="AV90" s="14"/>
      <c r="AW90" s="19"/>
      <c r="AX90" s="14"/>
      <c r="AY90" s="27"/>
      <c r="AZ90" s="14"/>
      <c r="BA90" s="14"/>
      <c r="BB90" s="14"/>
      <c r="BC90" s="14"/>
      <c r="BD90" s="14"/>
      <c r="BE90" s="19"/>
      <c r="BF90" s="19"/>
      <c r="BG90" s="19"/>
      <c r="BH90" s="65"/>
      <c r="BI90" s="63"/>
      <c r="BJ90" s="352"/>
      <c r="BK90" s="19"/>
      <c r="BL90" s="19"/>
      <c r="BM90" s="14"/>
      <c r="BN90" s="27"/>
      <c r="BO90" s="14"/>
      <c r="BP90" s="14"/>
      <c r="BQ90" s="14"/>
      <c r="BR90" s="14"/>
      <c r="BS90" s="14"/>
      <c r="BT90" s="19"/>
      <c r="BU90" s="19"/>
      <c r="BV90" s="19"/>
      <c r="BW90" s="65"/>
      <c r="BX90" s="63"/>
      <c r="BY90" s="352"/>
      <c r="BZ90" s="14"/>
      <c r="CA90" s="109" t="s">
        <v>14</v>
      </c>
      <c r="CB90" s="110" t="s">
        <v>164</v>
      </c>
      <c r="CC90" s="110" t="s">
        <v>149</v>
      </c>
      <c r="CD90" s="184" t="s">
        <v>150</v>
      </c>
      <c r="CE90" s="184" t="s">
        <v>151</v>
      </c>
      <c r="CF90" s="110" t="s">
        <v>152</v>
      </c>
      <c r="CG90" s="14"/>
      <c r="CH90" s="109"/>
      <c r="CI90" s="110" t="s">
        <v>5</v>
      </c>
      <c r="CJ90" s="110" t="s">
        <v>4</v>
      </c>
      <c r="CK90" s="110" t="s">
        <v>33</v>
      </c>
      <c r="CL90" s="110" t="s">
        <v>29</v>
      </c>
      <c r="CM90" s="110" t="s">
        <v>3</v>
      </c>
      <c r="CN90" s="110" t="s">
        <v>54</v>
      </c>
      <c r="CO90" s="328" t="s">
        <v>160</v>
      </c>
      <c r="CP90" s="29"/>
      <c r="CQ90" s="47"/>
      <c r="CR90" s="14"/>
      <c r="CS90" s="109" t="s">
        <v>14</v>
      </c>
      <c r="CT90" s="110" t="s">
        <v>164</v>
      </c>
      <c r="CU90" s="110" t="s">
        <v>149</v>
      </c>
      <c r="CV90" s="184" t="s">
        <v>150</v>
      </c>
      <c r="CW90" s="184" t="s">
        <v>151</v>
      </c>
      <c r="CX90" s="194" t="s">
        <v>152</v>
      </c>
      <c r="CY90" s="14"/>
      <c r="CZ90" s="109" t="s">
        <v>14</v>
      </c>
      <c r="DA90" s="110" t="s">
        <v>5</v>
      </c>
      <c r="DB90" s="110" t="s">
        <v>4</v>
      </c>
      <c r="DC90" s="110" t="s">
        <v>33</v>
      </c>
      <c r="DD90" s="110" t="s">
        <v>29</v>
      </c>
      <c r="DE90" s="110" t="s">
        <v>3</v>
      </c>
      <c r="DF90" s="110" t="s">
        <v>54</v>
      </c>
      <c r="DG90" s="328" t="s">
        <v>160</v>
      </c>
      <c r="DH90" s="29"/>
      <c r="DI90" s="47"/>
      <c r="DJ90" s="29"/>
      <c r="DK90" s="19"/>
      <c r="DL90" s="19"/>
      <c r="DM90" s="27"/>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row>
    <row r="91" spans="1:142" x14ac:dyDescent="0.25">
      <c r="A91" s="14"/>
      <c r="B91" s="14"/>
      <c r="C91" s="14"/>
      <c r="D91" s="21"/>
      <c r="E91" s="14"/>
      <c r="F91" s="14"/>
      <c r="G91" s="14"/>
      <c r="H91" s="21"/>
      <c r="I91" s="15"/>
      <c r="J91" s="13"/>
      <c r="K91" s="14"/>
      <c r="L91" s="14"/>
      <c r="M91" s="14"/>
      <c r="N91" s="14"/>
      <c r="O91" s="14"/>
      <c r="P91" s="14"/>
      <c r="Q91" s="47"/>
      <c r="R91" s="19"/>
      <c r="S91" s="14"/>
      <c r="T91" s="14"/>
      <c r="U91" s="21"/>
      <c r="V91" s="14"/>
      <c r="W91" s="14"/>
      <c r="X91" s="14"/>
      <c r="Y91" s="14"/>
      <c r="Z91" s="14"/>
      <c r="AA91" s="19"/>
      <c r="AB91" s="19"/>
      <c r="AC91" s="19"/>
      <c r="AD91" s="65"/>
      <c r="AE91" s="63"/>
      <c r="AF91" s="47"/>
      <c r="AG91" s="19"/>
      <c r="AH91" s="14"/>
      <c r="AI91" s="14"/>
      <c r="AJ91" s="21"/>
      <c r="AK91" s="14"/>
      <c r="AL91" s="14"/>
      <c r="AM91" s="14"/>
      <c r="AN91" s="14"/>
      <c r="AO91" s="14"/>
      <c r="AP91" s="19"/>
      <c r="AQ91" s="19"/>
      <c r="AR91" s="19"/>
      <c r="AS91" s="65"/>
      <c r="AT91" s="63"/>
      <c r="AU91" s="47"/>
      <c r="AV91" s="14"/>
      <c r="AW91" s="14"/>
      <c r="AX91" s="14"/>
      <c r="AY91" s="21"/>
      <c r="AZ91" s="14"/>
      <c r="BA91" s="14"/>
      <c r="BB91" s="14"/>
      <c r="BC91" s="14"/>
      <c r="BD91" s="14"/>
      <c r="BE91" s="19"/>
      <c r="BF91" s="19"/>
      <c r="BG91" s="19"/>
      <c r="BH91" s="65"/>
      <c r="BI91" s="63"/>
      <c r="BJ91" s="352"/>
      <c r="BK91" s="19"/>
      <c r="BL91" s="14"/>
      <c r="BM91" s="14"/>
      <c r="BN91" s="21"/>
      <c r="BO91" s="14"/>
      <c r="BP91" s="14"/>
      <c r="BQ91" s="14"/>
      <c r="BR91" s="14"/>
      <c r="BS91" s="14"/>
      <c r="BT91" s="19"/>
      <c r="BU91" s="19"/>
      <c r="BV91" s="19"/>
      <c r="BW91" s="65"/>
      <c r="BX91" s="63"/>
      <c r="BY91" s="352"/>
      <c r="BZ91" s="14"/>
      <c r="CA91" s="140" t="s">
        <v>701</v>
      </c>
      <c r="CB91" s="27">
        <f>COUNTIFS(S30_stakeholder_category,"PP",Response_Q177_1,"&lt;&gt;0",Response_Q173_5,"&lt;&gt;0")</f>
        <v>0</v>
      </c>
      <c r="CC91" s="37">
        <f>COUNTIFS(S30_stakeholder_category,"PP",Response_Q177_1,1,Response_Q173_5,"&lt;&gt;""0")</f>
        <v>1</v>
      </c>
      <c r="CD91" s="37">
        <f>COUNTIFS(S26_stakeholder_category,"PP",Response_Q161_1,2,Response_Q156_1,"&lt;&gt;0")</f>
        <v>0</v>
      </c>
      <c r="CE91" s="37">
        <f>COUNTIFS(S26_stakeholder_category,"PP",Response_Q161_1,3,Response_Q156_1,"&lt;&gt;0")</f>
        <v>0</v>
      </c>
      <c r="CF91" s="97">
        <f t="shared" ref="CF91:CF97" si="42">IF(CB$85=0,0,SUMPRODUCT(CC91:CE91,Rank_score)/CB$85)</f>
        <v>3</v>
      </c>
      <c r="CG91" s="14"/>
      <c r="CH91" s="140" t="s">
        <v>701</v>
      </c>
      <c r="CI91" s="27">
        <f t="shared" ref="CI91:CN91" si="43">COUNTIFS(S30_stakeholder_category,"PP",Response_Q177_1,"&lt;&gt;0",Response_Q177_2,CI$63,Response_Q173_5,"&lt;&gt;0")</f>
        <v>0</v>
      </c>
      <c r="CJ91" s="27">
        <f t="shared" si="43"/>
        <v>0</v>
      </c>
      <c r="CK91" s="27">
        <f t="shared" si="43"/>
        <v>0</v>
      </c>
      <c r="CL91" s="27">
        <f t="shared" si="43"/>
        <v>0</v>
      </c>
      <c r="CM91" s="27">
        <f t="shared" si="43"/>
        <v>0</v>
      </c>
      <c r="CN91" s="27">
        <f t="shared" si="43"/>
        <v>0</v>
      </c>
      <c r="CO91" s="141" t="str">
        <f t="shared" ref="CO91:CO97" si="44">IF(ISBLANK(CH91),"",IF(CF91=0,not_ranked,IF(SUM(CI91:CN91)=0,not_estimated,IFERROR(SUMPRODUCT(CI91:CN91,Likekihood_score)/SUM(CI91:CN91),0))))</f>
        <v>Ranked, but likelihood not estimated</v>
      </c>
      <c r="CP91" s="29"/>
      <c r="CQ91" s="47"/>
      <c r="CR91" s="14"/>
      <c r="CS91" s="140" t="s">
        <v>373</v>
      </c>
      <c r="CT91" s="27">
        <f>COUNTIFS(S30_stakeholder_category,"PP",Response_Q178_1,"&lt;&gt;0",Response_Q173_5,"&lt;&gt;0")</f>
        <v>0</v>
      </c>
      <c r="CU91" s="37">
        <f>COUNTIFS(S30_stakeholder_category,"PP",Response_Q178_1,1,Response_Q173_5,"&lt;&gt;0")</f>
        <v>0</v>
      </c>
      <c r="CV91" s="37">
        <f>COUNTIFS(S30_stakeholder_category,"PP",Response_Q178_1,2,Response_Q173_5,"&lt;&gt;0")</f>
        <v>0</v>
      </c>
      <c r="CW91" s="37">
        <f>COUNTIFS(S30_stakeholder_category,"PP",Response_Q178_1,3,Response_Q173_5,"&lt;&gt;0")</f>
        <v>0</v>
      </c>
      <c r="CX91" s="37">
        <f>IF(CT85=0,0,SUMPRODUCT(CU91:CW91,Rank_score)/CT$58)</f>
        <v>0</v>
      </c>
      <c r="CY91" s="14"/>
      <c r="CZ91" s="140" t="s">
        <v>373</v>
      </c>
      <c r="DA91" s="27">
        <f t="shared" ref="DA91:DF91" si="45">COUNTIFS(S30_stakeholder_category,"PP",Response_Q178_1,"&lt;&gt;0",Response_Q178_2,DA$63,Response_Q173_5,"&lt;&gt;0")</f>
        <v>0</v>
      </c>
      <c r="DB91" s="27">
        <f t="shared" si="45"/>
        <v>0</v>
      </c>
      <c r="DC91" s="27">
        <f t="shared" si="45"/>
        <v>0</v>
      </c>
      <c r="DD91" s="27">
        <f t="shared" si="45"/>
        <v>0</v>
      </c>
      <c r="DE91" s="27">
        <f t="shared" si="45"/>
        <v>0</v>
      </c>
      <c r="DF91" s="27">
        <f t="shared" si="45"/>
        <v>0</v>
      </c>
      <c r="DG91" s="141" t="str">
        <f t="shared" ref="DG91:DG98" si="46">IF(ISBLANK(CZ91),"",IF(CX91=0,not_ranked,IF(SUM(DA91:DF91)=0,not_estimated,IFERROR(SUMPRODUCT(DA91:DF91,Likekihood_score)/SUM(DA91:DF91),0))))</f>
        <v>Factor not ranked</v>
      </c>
      <c r="DH91" s="29"/>
      <c r="DI91" s="47"/>
      <c r="DJ91" s="29"/>
      <c r="DK91" s="19"/>
      <c r="DL91" s="19"/>
      <c r="DM91" s="14"/>
      <c r="DN91" s="14"/>
      <c r="DO91" s="14"/>
      <c r="DP91" s="14"/>
      <c r="DQ91" s="14"/>
      <c r="DR91" s="13"/>
      <c r="DS91" s="13"/>
      <c r="DT91" s="14"/>
      <c r="DU91" s="14"/>
      <c r="DV91" s="14"/>
      <c r="DW91" s="14"/>
      <c r="DX91" s="14"/>
      <c r="DY91" s="14"/>
      <c r="DZ91" s="14"/>
      <c r="EA91" s="14"/>
      <c r="EB91" s="14"/>
      <c r="EC91" s="14"/>
      <c r="ED91" s="14"/>
      <c r="EE91" s="14"/>
      <c r="EF91" s="14"/>
      <c r="EG91" s="14"/>
      <c r="EH91" s="14"/>
      <c r="EI91" s="14"/>
      <c r="EJ91" s="14"/>
      <c r="EK91" s="14"/>
      <c r="EL91" s="14"/>
    </row>
    <row r="92" spans="1:142" ht="14.4" x14ac:dyDescent="0.25">
      <c r="A92" s="14"/>
      <c r="B92" s="60"/>
      <c r="C92" s="19"/>
      <c r="D92" s="59"/>
      <c r="E92" s="14"/>
      <c r="F92" s="14"/>
      <c r="G92" s="14"/>
      <c r="H92" s="21"/>
      <c r="I92" s="21"/>
      <c r="J92" s="14"/>
      <c r="K92" s="14"/>
      <c r="L92" s="14"/>
      <c r="M92" s="14"/>
      <c r="N92" s="14"/>
      <c r="O92" s="14"/>
      <c r="P92" s="14"/>
      <c r="Q92" s="47"/>
      <c r="R92" s="19"/>
      <c r="S92" s="60"/>
      <c r="T92" s="19"/>
      <c r="U92" s="59"/>
      <c r="V92" s="14"/>
      <c r="W92" s="14"/>
      <c r="X92" s="14"/>
      <c r="Y92" s="14"/>
      <c r="Z92" s="14"/>
      <c r="AA92" s="19"/>
      <c r="AB92" s="19"/>
      <c r="AC92" s="19"/>
      <c r="AD92" s="65"/>
      <c r="AE92" s="63"/>
      <c r="AF92" s="47"/>
      <c r="AG92" s="19"/>
      <c r="AH92" s="60"/>
      <c r="AI92" s="19"/>
      <c r="AJ92" s="59"/>
      <c r="AK92" s="14"/>
      <c r="AL92" s="14"/>
      <c r="AM92" s="14"/>
      <c r="AN92" s="14"/>
      <c r="AO92" s="14"/>
      <c r="AP92" s="19"/>
      <c r="AQ92" s="19"/>
      <c r="AR92" s="19"/>
      <c r="AS92" s="65"/>
      <c r="AT92" s="63"/>
      <c r="AU92" s="47"/>
      <c r="AV92" s="14"/>
      <c r="AW92" s="60"/>
      <c r="AX92" s="19"/>
      <c r="AY92" s="59"/>
      <c r="AZ92" s="14"/>
      <c r="BA92" s="14"/>
      <c r="BB92" s="14"/>
      <c r="BC92" s="14"/>
      <c r="BD92" s="14"/>
      <c r="BE92" s="19"/>
      <c r="BF92" s="19"/>
      <c r="BG92" s="19"/>
      <c r="BH92" s="65"/>
      <c r="BI92" s="63"/>
      <c r="BJ92" s="352"/>
      <c r="BK92" s="19"/>
      <c r="BL92" s="60"/>
      <c r="BM92" s="19"/>
      <c r="BN92" s="59"/>
      <c r="BO92" s="14"/>
      <c r="BP92" s="14"/>
      <c r="BQ92" s="14"/>
      <c r="BR92" s="14"/>
      <c r="BS92" s="14"/>
      <c r="BT92" s="19"/>
      <c r="BU92" s="19"/>
      <c r="BV92" s="19"/>
      <c r="BW92" s="65"/>
      <c r="BX92" s="63"/>
      <c r="BY92" s="352"/>
      <c r="BZ92" s="14"/>
      <c r="CA92" s="140" t="s">
        <v>344</v>
      </c>
      <c r="CB92" s="27">
        <f>COUNTIFS(S30_stakeholder_category,"PP",Response_Q177_3,"&lt;&gt;0",Response_Q173_5,"&lt;&gt;0")</f>
        <v>0</v>
      </c>
      <c r="CC92" s="37">
        <f>COUNTIFS(S30_stakeholder_category,"PP",Response_Q177_3,1,Response_Q173_5,"&lt;&gt;0")</f>
        <v>0</v>
      </c>
      <c r="CD92" s="37">
        <f>COUNTIFS(S30_stakeholder_category,"PP",Response_Q177_3,2,Response_Q173_5,"&lt;&gt;0")</f>
        <v>0</v>
      </c>
      <c r="CE92" s="37">
        <f>COUNTIFS(S26_stakeholder_category,"PP",Response_Q161_3,3,Response_Q156_1,"&lt;&gt;0")</f>
        <v>0</v>
      </c>
      <c r="CF92" s="97">
        <f t="shared" si="42"/>
        <v>0</v>
      </c>
      <c r="CG92" s="14"/>
      <c r="CH92" s="140" t="s">
        <v>344</v>
      </c>
      <c r="CI92" s="27">
        <f t="shared" ref="CI92:CN92" si="47">COUNTIFS(S30_stakeholder_category,"PP",Response_Q177_3,"&lt;&gt;0",Response_Q177_4,CI$63,Response_Q173_5,"&lt;&gt;0")</f>
        <v>0</v>
      </c>
      <c r="CJ92" s="27">
        <f t="shared" si="47"/>
        <v>0</v>
      </c>
      <c r="CK92" s="27">
        <f t="shared" si="47"/>
        <v>0</v>
      </c>
      <c r="CL92" s="27">
        <f t="shared" si="47"/>
        <v>0</v>
      </c>
      <c r="CM92" s="27">
        <f t="shared" si="47"/>
        <v>0</v>
      </c>
      <c r="CN92" s="27">
        <f t="shared" si="47"/>
        <v>0</v>
      </c>
      <c r="CO92" s="141" t="str">
        <f t="shared" si="44"/>
        <v>Factor not ranked</v>
      </c>
      <c r="CP92" s="14"/>
      <c r="CQ92" s="47"/>
      <c r="CR92" s="14"/>
      <c r="CS92" s="140" t="s">
        <v>338</v>
      </c>
      <c r="CT92" s="27">
        <f>COUNTIFS(S30_stakeholder_category,"PP",Response_Q178_3,"&lt;&gt;0",Response_Q173_5,"&lt;&gt;0")</f>
        <v>0</v>
      </c>
      <c r="CU92" s="37">
        <f>COUNTIFS(S30_stakeholder_category,"PP",Response_Q178_3,1,Response_Q173_5,"&lt;&gt;0")</f>
        <v>0</v>
      </c>
      <c r="CV92" s="37">
        <f>COUNTIFS(S30_stakeholder_category,"PP",Response_Q178_3,2,Response_Q173_5,"&lt;&gt;0")</f>
        <v>0</v>
      </c>
      <c r="CW92" s="37">
        <f>COUNTIFS(S30_stakeholder_category,"PP",Response_Q178_3,3,Response_Q173_5,"&lt;&gt;0")</f>
        <v>0</v>
      </c>
      <c r="CX92" s="37">
        <f>IF(CT85=0,0,SUMPRODUCT(CU92:CW92,Rank_score)/CT$58)</f>
        <v>0</v>
      </c>
      <c r="CY92" s="14"/>
      <c r="CZ92" s="140" t="s">
        <v>338</v>
      </c>
      <c r="DA92" s="27">
        <f t="shared" ref="DA92:DF92" si="48">COUNTIFS(S30_stakeholder_category,"PP",Response_Q178_3,"&lt;&gt;0",Response_Q178_4,DA$63,Response_Q173_5,"&lt;&gt;0")</f>
        <v>0</v>
      </c>
      <c r="DB92" s="27">
        <f t="shared" si="48"/>
        <v>0</v>
      </c>
      <c r="DC92" s="27">
        <f t="shared" si="48"/>
        <v>0</v>
      </c>
      <c r="DD92" s="27">
        <f t="shared" si="48"/>
        <v>0</v>
      </c>
      <c r="DE92" s="27">
        <f t="shared" si="48"/>
        <v>0</v>
      </c>
      <c r="DF92" s="27">
        <f t="shared" si="48"/>
        <v>0</v>
      </c>
      <c r="DG92" s="141" t="str">
        <f t="shared" si="46"/>
        <v>Factor not ranked</v>
      </c>
      <c r="DH92" s="14"/>
      <c r="DI92" s="47"/>
      <c r="DJ92" s="14"/>
      <c r="DK92" s="56"/>
      <c r="DL92" s="29"/>
      <c r="DM92" s="59"/>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row>
    <row r="93" spans="1:142" ht="14.4" x14ac:dyDescent="0.25">
      <c r="A93" s="14"/>
      <c r="B93" s="62"/>
      <c r="C93" s="19"/>
      <c r="D93" s="59"/>
      <c r="E93" s="14"/>
      <c r="F93" s="14"/>
      <c r="G93" s="14"/>
      <c r="H93" s="21"/>
      <c r="I93" s="21"/>
      <c r="J93" s="14"/>
      <c r="K93" s="14"/>
      <c r="L93" s="14"/>
      <c r="M93" s="14"/>
      <c r="N93" s="14"/>
      <c r="O93" s="14"/>
      <c r="P93" s="14"/>
      <c r="Q93" s="47"/>
      <c r="R93" s="19"/>
      <c r="S93" s="61"/>
      <c r="T93" s="19"/>
      <c r="U93" s="59"/>
      <c r="V93" s="14"/>
      <c r="W93" s="14"/>
      <c r="X93" s="14"/>
      <c r="Y93" s="14"/>
      <c r="Z93" s="13"/>
      <c r="AA93" s="30"/>
      <c r="AB93" s="30"/>
      <c r="AC93" s="30"/>
      <c r="AD93" s="65"/>
      <c r="AE93" s="63"/>
      <c r="AF93" s="47"/>
      <c r="AG93" s="19"/>
      <c r="AH93" s="61"/>
      <c r="AI93" s="19"/>
      <c r="AJ93" s="59"/>
      <c r="AK93" s="14"/>
      <c r="AL93" s="14"/>
      <c r="AM93" s="14"/>
      <c r="AN93" s="14"/>
      <c r="AO93" s="13"/>
      <c r="AP93" s="30"/>
      <c r="AQ93" s="30"/>
      <c r="AR93" s="30"/>
      <c r="AS93" s="65"/>
      <c r="AT93" s="63"/>
      <c r="AU93" s="47"/>
      <c r="AV93" s="14"/>
      <c r="AW93" s="61"/>
      <c r="AX93" s="19"/>
      <c r="AY93" s="59"/>
      <c r="AZ93" s="14"/>
      <c r="BA93" s="14"/>
      <c r="BB93" s="14"/>
      <c r="BC93" s="14"/>
      <c r="BD93" s="13"/>
      <c r="BE93" s="30"/>
      <c r="BF93" s="30"/>
      <c r="BG93" s="30"/>
      <c r="BH93" s="65"/>
      <c r="BI93" s="63"/>
      <c r="BJ93" s="352"/>
      <c r="BK93" s="19"/>
      <c r="BL93" s="61"/>
      <c r="BM93" s="19"/>
      <c r="BN93" s="59"/>
      <c r="BO93" s="14"/>
      <c r="BP93" s="14"/>
      <c r="BQ93" s="14"/>
      <c r="BR93" s="14"/>
      <c r="BS93" s="13"/>
      <c r="BT93" s="30"/>
      <c r="BU93" s="30"/>
      <c r="BV93" s="30"/>
      <c r="BW93" s="65"/>
      <c r="BX93" s="63"/>
      <c r="BY93" s="352"/>
      <c r="BZ93" s="14"/>
      <c r="CA93" s="140" t="s">
        <v>146</v>
      </c>
      <c r="CB93" s="27">
        <f>COUNTIFS(S30_stakeholder_category,"PP",Response_Q177_5,"&lt;&gt;0",Response_Q173_5,"&lt;&gt;0")</f>
        <v>0</v>
      </c>
      <c r="CC93" s="37">
        <f>COUNTIFS(S30_stakeholder_category,"PP",Response_Q177_5,1,Response_Q173_5,"&lt;&gt;0")</f>
        <v>0</v>
      </c>
      <c r="CD93" s="37">
        <f>COUNTIFS(S30_stakeholder_category,"PP",Response_Q177_5,2,Response_Q173_5,"&lt;&gt;0")</f>
        <v>0</v>
      </c>
      <c r="CE93" s="37">
        <f>COUNTIFS(S30_stakeholder_category,"PP",Response_Q177_5,3,Response_Q173_5,"&lt;&gt;0")</f>
        <v>0</v>
      </c>
      <c r="CF93" s="97">
        <f t="shared" si="42"/>
        <v>0</v>
      </c>
      <c r="CG93" s="14"/>
      <c r="CH93" s="140" t="s">
        <v>146</v>
      </c>
      <c r="CI93" s="27">
        <f t="shared" ref="CI93:CN93" si="49">COUNTIFS(S30_stakeholder_category,"PP",Response_Q177_5,"&lt;&gt;0",Response_Q177_6,CI$63,Response_Q173_5,"&lt;&gt;0")</f>
        <v>0</v>
      </c>
      <c r="CJ93" s="27">
        <f t="shared" si="49"/>
        <v>0</v>
      </c>
      <c r="CK93" s="27">
        <f t="shared" si="49"/>
        <v>0</v>
      </c>
      <c r="CL93" s="27">
        <f t="shared" si="49"/>
        <v>0</v>
      </c>
      <c r="CM93" s="27">
        <f t="shared" si="49"/>
        <v>0</v>
      </c>
      <c r="CN93" s="27">
        <f t="shared" si="49"/>
        <v>0</v>
      </c>
      <c r="CO93" s="141" t="str">
        <f t="shared" si="44"/>
        <v>Factor not ranked</v>
      </c>
      <c r="CP93" s="14"/>
      <c r="CQ93" s="47"/>
      <c r="CR93" s="14"/>
      <c r="CS93" s="106" t="s">
        <v>339</v>
      </c>
      <c r="CT93" s="27">
        <f>COUNTIFS(S30_stakeholder_category,"PP",Response_Q178_5,"&lt;&gt;0",Response_Q173_5,"&lt;&gt;0")</f>
        <v>0</v>
      </c>
      <c r="CU93" s="37">
        <f>COUNTIFS(S30_stakeholder_category,"PP",Response_Q178_5,1,Response_Q173_5,"&lt;&gt;0")</f>
        <v>0</v>
      </c>
      <c r="CV93" s="37">
        <f>COUNTIFS(S30_stakeholder_category,"PP",Response_Q178_5,2,Response_Q173_5,"&lt;&gt;0")</f>
        <v>0</v>
      </c>
      <c r="CW93" s="37">
        <f>COUNTIFS(S30_stakeholder_category,"PP",Response_Q178_5,3,Response_Q173_5,"&lt;&gt;0")</f>
        <v>0</v>
      </c>
      <c r="CX93" s="37">
        <f>IF(CT85=0,0,SUMPRODUCT(CU93:CW93,Rank_score)/CT$58)</f>
        <v>0</v>
      </c>
      <c r="CY93" s="14"/>
      <c r="CZ93" s="106" t="s">
        <v>339</v>
      </c>
      <c r="DA93" s="27">
        <f t="shared" ref="DA93:DF93" si="50">COUNTIFS(S30_stakeholder_category,"PP",Response_Q178_5,"&lt;&gt;0",Response_Q178_6,DA$63,Response_Q173_5,"&lt;&gt;0")</f>
        <v>0</v>
      </c>
      <c r="DB93" s="27">
        <f t="shared" si="50"/>
        <v>0</v>
      </c>
      <c r="DC93" s="27">
        <f t="shared" si="50"/>
        <v>0</v>
      </c>
      <c r="DD93" s="27">
        <f t="shared" si="50"/>
        <v>0</v>
      </c>
      <c r="DE93" s="27">
        <f t="shared" si="50"/>
        <v>0</v>
      </c>
      <c r="DF93" s="27">
        <f t="shared" si="50"/>
        <v>0</v>
      </c>
      <c r="DG93" s="141" t="str">
        <f t="shared" si="46"/>
        <v>Factor not ranked</v>
      </c>
      <c r="DH93" s="14"/>
      <c r="DI93" s="47"/>
      <c r="DJ93" s="14"/>
      <c r="DK93" s="56"/>
      <c r="DL93" s="19"/>
      <c r="DM93" s="59"/>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row>
    <row r="94" spans="1:142" x14ac:dyDescent="0.25">
      <c r="A94" s="14"/>
      <c r="B94" s="19"/>
      <c r="C94" s="19"/>
      <c r="D94" s="59"/>
      <c r="E94" s="14"/>
      <c r="F94" s="14"/>
      <c r="G94" s="14"/>
      <c r="H94" s="21"/>
      <c r="I94" s="21"/>
      <c r="J94" s="14"/>
      <c r="K94" s="14"/>
      <c r="L94" s="14"/>
      <c r="M94" s="14"/>
      <c r="N94" s="14"/>
      <c r="O94" s="14"/>
      <c r="P94" s="14"/>
      <c r="Q94" s="47"/>
      <c r="R94" s="19"/>
      <c r="S94" s="62"/>
      <c r="T94" s="19"/>
      <c r="U94" s="59"/>
      <c r="V94" s="14"/>
      <c r="W94" s="14"/>
      <c r="X94" s="14"/>
      <c r="Y94" s="14"/>
      <c r="Z94" s="14"/>
      <c r="AA94" s="14"/>
      <c r="AB94" s="14"/>
      <c r="AC94" s="14"/>
      <c r="AD94" s="65"/>
      <c r="AE94" s="63"/>
      <c r="AF94" s="47"/>
      <c r="AG94" s="19"/>
      <c r="AH94" s="62"/>
      <c r="AI94" s="19"/>
      <c r="AJ94" s="59"/>
      <c r="AK94" s="14"/>
      <c r="AL94" s="14"/>
      <c r="AM94" s="14"/>
      <c r="AN94" s="14"/>
      <c r="AO94" s="14"/>
      <c r="AP94" s="14"/>
      <c r="AQ94" s="14"/>
      <c r="AR94" s="14"/>
      <c r="AS94" s="65"/>
      <c r="AT94" s="63"/>
      <c r="AU94" s="47"/>
      <c r="AV94" s="14"/>
      <c r="AW94" s="62"/>
      <c r="AX94" s="19"/>
      <c r="AY94" s="59"/>
      <c r="AZ94" s="14"/>
      <c r="BA94" s="14"/>
      <c r="BB94" s="14"/>
      <c r="BC94" s="14"/>
      <c r="BD94" s="14"/>
      <c r="BE94" s="14"/>
      <c r="BF94" s="14"/>
      <c r="BG94" s="14"/>
      <c r="BH94" s="65"/>
      <c r="BI94" s="63"/>
      <c r="BJ94" s="352"/>
      <c r="BK94" s="19"/>
      <c r="BL94" s="62"/>
      <c r="BM94" s="19"/>
      <c r="BN94" s="59"/>
      <c r="BO94" s="14"/>
      <c r="BP94" s="14"/>
      <c r="BQ94" s="14"/>
      <c r="BR94" s="14"/>
      <c r="BS94" s="14"/>
      <c r="BT94" s="14"/>
      <c r="BU94" s="14"/>
      <c r="BV94" s="14"/>
      <c r="BW94" s="65"/>
      <c r="BX94" s="63"/>
      <c r="BY94" s="352"/>
      <c r="BZ94" s="14"/>
      <c r="CA94" s="140" t="s">
        <v>147</v>
      </c>
      <c r="CB94" s="27">
        <f>COUNTIFS(S30_stakeholder_category,"PP",Response_Q177_7,"&lt;&gt;0",Response_Q173_5,"&lt;&gt;0")</f>
        <v>0</v>
      </c>
      <c r="CC94" s="37">
        <f>COUNTIFS(S30_stakeholder_category,"PP",Response_Q177_7,1,Response_Q173_5,"&lt;&gt;0")</f>
        <v>0</v>
      </c>
      <c r="CD94" s="37">
        <f>COUNTIFS(S30_stakeholder_category,"PP",Response_Q177_7,2,Response_Q173_5,"&lt;&gt;0")</f>
        <v>0</v>
      </c>
      <c r="CE94" s="37">
        <f>COUNTIFS(S30_stakeholder_category,"PP",Response_Q177_7,3,Response_Q173_5,"&lt;&gt;0")</f>
        <v>0</v>
      </c>
      <c r="CF94" s="97">
        <f t="shared" si="42"/>
        <v>0</v>
      </c>
      <c r="CG94" s="14"/>
      <c r="CH94" s="140" t="s">
        <v>147</v>
      </c>
      <c r="CI94" s="27">
        <f t="shared" ref="CI94:CN94" si="51">COUNTIFS(S30_stakeholder_category,"PP",Response_Q177_7,"&lt;&gt;0",Response_Q177_8,CI$63,Response_Q173_5,"&lt;&gt;0")</f>
        <v>0</v>
      </c>
      <c r="CJ94" s="27">
        <f t="shared" si="51"/>
        <v>0</v>
      </c>
      <c r="CK94" s="27">
        <f t="shared" si="51"/>
        <v>0</v>
      </c>
      <c r="CL94" s="27">
        <f t="shared" si="51"/>
        <v>0</v>
      </c>
      <c r="CM94" s="27">
        <f t="shared" si="51"/>
        <v>0</v>
      </c>
      <c r="CN94" s="27">
        <f t="shared" si="51"/>
        <v>0</v>
      </c>
      <c r="CO94" s="141" t="str">
        <f t="shared" si="44"/>
        <v>Factor not ranked</v>
      </c>
      <c r="CP94" s="14"/>
      <c r="CQ94" s="47"/>
      <c r="CR94" s="14"/>
      <c r="CS94" s="106" t="s">
        <v>345</v>
      </c>
      <c r="CT94" s="27">
        <f>COUNTIFS(S30_stakeholder_category,"PP",Response_Q178_7,"&lt;&gt;0",Response_Q173_5,"&lt;&gt;0")</f>
        <v>0</v>
      </c>
      <c r="CU94" s="37">
        <f>COUNTIFS(S30_stakeholder_category,"PP",Response_Q178_7,1,Response_Q173_5,"&lt;&gt;0")</f>
        <v>0</v>
      </c>
      <c r="CV94" s="37">
        <f>COUNTIFS(S30_stakeholder_category,"PP",Response_Q178_7,2,Response_Q173_5,"&lt;&gt;0")</f>
        <v>0</v>
      </c>
      <c r="CW94" s="37">
        <f>COUNTIFS(S30_stakeholder_category,"PP",Response_Q178_7,3,Response_Q173_5,"&lt;&gt;0")</f>
        <v>0</v>
      </c>
      <c r="CX94" s="37">
        <f>IF(CT85=0,0,SUMPRODUCT(CU94:CW94,Rank_score)/CT$58)</f>
        <v>0</v>
      </c>
      <c r="CY94" s="14"/>
      <c r="CZ94" s="106" t="s">
        <v>345</v>
      </c>
      <c r="DA94" s="27">
        <f t="shared" ref="DA94:DF94" si="52">COUNTIFS(S30_stakeholder_category,"PP",Response_Q178_7,"&lt;&gt;0",Response_Q178_8,DA$63,Response_Q173_5,"&lt;&gt;0")</f>
        <v>0</v>
      </c>
      <c r="DB94" s="27">
        <f t="shared" si="52"/>
        <v>0</v>
      </c>
      <c r="DC94" s="27">
        <f t="shared" si="52"/>
        <v>0</v>
      </c>
      <c r="DD94" s="27">
        <f t="shared" si="52"/>
        <v>0</v>
      </c>
      <c r="DE94" s="27">
        <f t="shared" si="52"/>
        <v>0</v>
      </c>
      <c r="DF94" s="27">
        <f t="shared" si="52"/>
        <v>0</v>
      </c>
      <c r="DG94" s="141" t="str">
        <f t="shared" si="46"/>
        <v>Factor not ranked</v>
      </c>
      <c r="DH94" s="14"/>
      <c r="DI94" s="47"/>
      <c r="DJ94" s="14"/>
      <c r="DK94" s="14"/>
      <c r="DL94" s="19"/>
      <c r="DM94" s="59"/>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row>
    <row r="95" spans="1:142" x14ac:dyDescent="0.25">
      <c r="A95" s="14"/>
      <c r="B95" s="19"/>
      <c r="C95" s="19"/>
      <c r="D95" s="59"/>
      <c r="E95" s="14"/>
      <c r="F95" s="14"/>
      <c r="G95" s="14"/>
      <c r="H95" s="21"/>
      <c r="I95" s="21"/>
      <c r="J95" s="14"/>
      <c r="K95" s="14"/>
      <c r="L95" s="14"/>
      <c r="M95" s="14"/>
      <c r="N95" s="14"/>
      <c r="O95" s="14"/>
      <c r="P95" s="14"/>
      <c r="Q95" s="47"/>
      <c r="R95" s="19"/>
      <c r="S95" s="62"/>
      <c r="T95" s="19"/>
      <c r="U95" s="59"/>
      <c r="V95" s="14"/>
      <c r="W95" s="14"/>
      <c r="X95" s="14"/>
      <c r="Y95" s="14"/>
      <c r="Z95" s="14"/>
      <c r="AA95" s="14"/>
      <c r="AB95" s="14"/>
      <c r="AC95" s="14"/>
      <c r="AD95" s="65"/>
      <c r="AE95" s="63"/>
      <c r="AF95" s="47"/>
      <c r="AG95" s="19"/>
      <c r="AH95" s="62"/>
      <c r="AI95" s="19"/>
      <c r="AJ95" s="59"/>
      <c r="AK95" s="14"/>
      <c r="AL95" s="14"/>
      <c r="AM95" s="14"/>
      <c r="AN95" s="14"/>
      <c r="AO95" s="14"/>
      <c r="AP95" s="14"/>
      <c r="AQ95" s="14"/>
      <c r="AR95" s="14"/>
      <c r="AS95" s="65"/>
      <c r="AT95" s="63"/>
      <c r="AU95" s="47"/>
      <c r="AV95" s="14"/>
      <c r="AW95" s="62"/>
      <c r="AX95" s="19"/>
      <c r="AY95" s="59"/>
      <c r="AZ95" s="14"/>
      <c r="BA95" s="14"/>
      <c r="BB95" s="14"/>
      <c r="BC95" s="14"/>
      <c r="BD95" s="14"/>
      <c r="BE95" s="14"/>
      <c r="BF95" s="14"/>
      <c r="BG95" s="14"/>
      <c r="BH95" s="65"/>
      <c r="BI95" s="63"/>
      <c r="BJ95" s="352"/>
      <c r="BK95" s="19"/>
      <c r="BL95" s="62"/>
      <c r="BM95" s="19"/>
      <c r="BN95" s="59"/>
      <c r="BO95" s="14"/>
      <c r="BP95" s="14"/>
      <c r="BQ95" s="14"/>
      <c r="BR95" s="14"/>
      <c r="BS95" s="14"/>
      <c r="BT95" s="14"/>
      <c r="BU95" s="14"/>
      <c r="BV95" s="14"/>
      <c r="BW95" s="65"/>
      <c r="BX95" s="63"/>
      <c r="BY95" s="352"/>
      <c r="BZ95" s="14"/>
      <c r="CA95" s="140" t="s">
        <v>341</v>
      </c>
      <c r="CB95" s="27">
        <f>COUNTIFS(S30_stakeholder_category,"PP",Response_Q177_9,"&lt;&gt;0",Response_Q173_5,"&lt;&gt;0")</f>
        <v>0</v>
      </c>
      <c r="CC95" s="37">
        <f>COUNTIFS(S30_stakeholder_category,"PP",Response_Q177_9,1,Response_Q173_5,"&lt;&gt;0")</f>
        <v>0</v>
      </c>
      <c r="CD95" s="37">
        <f>COUNTIFS(S30_stakeholder_category,"PP",Response_Q177_9,2,Response_Q173_5,"&lt;&gt;0")</f>
        <v>0</v>
      </c>
      <c r="CE95" s="37">
        <f>COUNTIFS(S30_stakeholder_category,"PP",Response_Q177_9,3,Response_Q173_5,"&lt;&gt;0")</f>
        <v>0</v>
      </c>
      <c r="CF95" s="97">
        <f t="shared" si="42"/>
        <v>0</v>
      </c>
      <c r="CG95" s="14"/>
      <c r="CH95" s="140" t="s">
        <v>341</v>
      </c>
      <c r="CI95" s="27">
        <f t="shared" ref="CI95:CN95" si="53">COUNTIFS(S30_stakeholder_category,"PP",Response_Q177_9,"&lt;&gt;0",Response_Q177_10,CI$63,Response_Q173_5,"&lt;&gt;0")</f>
        <v>0</v>
      </c>
      <c r="CJ95" s="27">
        <f t="shared" si="53"/>
        <v>0</v>
      </c>
      <c r="CK95" s="27">
        <f t="shared" si="53"/>
        <v>0</v>
      </c>
      <c r="CL95" s="27">
        <f t="shared" si="53"/>
        <v>0</v>
      </c>
      <c r="CM95" s="27">
        <f t="shared" si="53"/>
        <v>0</v>
      </c>
      <c r="CN95" s="27">
        <f t="shared" si="53"/>
        <v>0</v>
      </c>
      <c r="CO95" s="141" t="str">
        <f t="shared" si="44"/>
        <v>Factor not ranked</v>
      </c>
      <c r="CP95" s="14"/>
      <c r="CQ95" s="47"/>
      <c r="CR95" s="14"/>
      <c r="CS95" s="106" t="s">
        <v>561</v>
      </c>
      <c r="CT95" s="27">
        <f>COUNTIFS(S30_stakeholder_category,"PP",Response_Q178_9,"&lt;&gt;0",Response_Q173_5,"&lt;&gt;0")</f>
        <v>0</v>
      </c>
      <c r="CU95" s="37">
        <f>COUNTIFS(S30_stakeholder_category,"PP",Response_Q178_9,1,Response_Q173_5,"&lt;&gt;0")</f>
        <v>0</v>
      </c>
      <c r="CV95" s="37">
        <f>COUNTIFS(S30_stakeholder_category,"PP",Response_Q178_9,2,Response_Q173_5,"&lt;&gt;0")</f>
        <v>0</v>
      </c>
      <c r="CW95" s="37">
        <f>COUNTIFS(S30_stakeholder_category,"PP",Response_Q178_9,3,Response_Q173_5,"&lt;&gt;0")</f>
        <v>0</v>
      </c>
      <c r="CX95" s="37">
        <f>IF(CT85=0,0,SUMPRODUCT(CU95:CW95,Rank_score)/CT$58)</f>
        <v>0</v>
      </c>
      <c r="CY95" s="14"/>
      <c r="CZ95" s="106" t="s">
        <v>561</v>
      </c>
      <c r="DA95" s="27">
        <f t="shared" ref="DA95:DF95" si="54">COUNTIFS(S30_stakeholder_category,"PP",Response_Q178_9,"&lt;&gt;0",Response_Q178_10,DA$63,Response_Q173_5,"&lt;&gt;0")</f>
        <v>0</v>
      </c>
      <c r="DB95" s="27">
        <f t="shared" si="54"/>
        <v>0</v>
      </c>
      <c r="DC95" s="27">
        <f t="shared" si="54"/>
        <v>0</v>
      </c>
      <c r="DD95" s="27">
        <f t="shared" si="54"/>
        <v>0</v>
      </c>
      <c r="DE95" s="27">
        <f t="shared" si="54"/>
        <v>0</v>
      </c>
      <c r="DF95" s="27">
        <f t="shared" si="54"/>
        <v>0</v>
      </c>
      <c r="DG95" s="141" t="str">
        <f t="shared" si="46"/>
        <v>Factor not ranked</v>
      </c>
      <c r="DH95" s="14"/>
      <c r="DI95" s="47"/>
      <c r="DJ95" s="14"/>
      <c r="DK95" s="14"/>
      <c r="DL95" s="19"/>
      <c r="DM95" s="59"/>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row>
    <row r="96" spans="1:142" x14ac:dyDescent="0.25">
      <c r="A96" s="14"/>
      <c r="B96" s="56"/>
      <c r="C96" s="29"/>
      <c r="D96" s="59"/>
      <c r="E96" s="14"/>
      <c r="F96" s="14"/>
      <c r="G96" s="14"/>
      <c r="H96" s="21"/>
      <c r="I96" s="21"/>
      <c r="J96" s="14"/>
      <c r="K96" s="14"/>
      <c r="L96" s="14"/>
      <c r="M96" s="14"/>
      <c r="N96" s="14"/>
      <c r="O96" s="14"/>
      <c r="P96" s="14"/>
      <c r="Q96" s="47"/>
      <c r="R96" s="19"/>
      <c r="S96" s="19"/>
      <c r="T96" s="19"/>
      <c r="U96" s="59"/>
      <c r="V96" s="14"/>
      <c r="W96" s="14"/>
      <c r="X96" s="14"/>
      <c r="Y96" s="14"/>
      <c r="Z96" s="14"/>
      <c r="AA96" s="14"/>
      <c r="AB96" s="14"/>
      <c r="AC96" s="14"/>
      <c r="AD96" s="65"/>
      <c r="AE96" s="63"/>
      <c r="AF96" s="47"/>
      <c r="AG96" s="19"/>
      <c r="AH96" s="19"/>
      <c r="AI96" s="19"/>
      <c r="AJ96" s="59"/>
      <c r="AK96" s="14"/>
      <c r="AL96" s="14"/>
      <c r="AM96" s="14"/>
      <c r="AN96" s="14"/>
      <c r="AO96" s="14"/>
      <c r="AP96" s="14"/>
      <c r="AQ96" s="14"/>
      <c r="AR96" s="14"/>
      <c r="AS96" s="65"/>
      <c r="AT96" s="63"/>
      <c r="AU96" s="47"/>
      <c r="AV96" s="14"/>
      <c r="AW96" s="19"/>
      <c r="AX96" s="19"/>
      <c r="AY96" s="59"/>
      <c r="AZ96" s="14"/>
      <c r="BA96" s="14"/>
      <c r="BB96" s="14"/>
      <c r="BC96" s="14"/>
      <c r="BD96" s="14"/>
      <c r="BE96" s="14"/>
      <c r="BF96" s="14"/>
      <c r="BG96" s="14"/>
      <c r="BH96" s="65"/>
      <c r="BI96" s="63"/>
      <c r="BJ96" s="352"/>
      <c r="BK96" s="19"/>
      <c r="BL96" s="19"/>
      <c r="BM96" s="19"/>
      <c r="BN96" s="59"/>
      <c r="BO96" s="14"/>
      <c r="BP96" s="14"/>
      <c r="BQ96" s="14"/>
      <c r="BR96" s="14"/>
      <c r="BS96" s="14"/>
      <c r="BT96" s="14"/>
      <c r="BU96" s="14"/>
      <c r="BV96" s="14"/>
      <c r="BW96" s="65"/>
      <c r="BX96" s="63"/>
      <c r="BY96" s="352"/>
      <c r="BZ96" s="14"/>
      <c r="CA96" s="106" t="s">
        <v>148</v>
      </c>
      <c r="CB96" s="27">
        <f>COUNTIFS(S30_stakeholder_category,"PP",Response_Q177_11,"&lt;&gt;0",Response_Q173_5,"&lt;&gt;0")</f>
        <v>0</v>
      </c>
      <c r="CC96" s="37">
        <f>COUNTIFS(S30_stakeholder_category,"PP",Response_Q177_11,1,Response_Q173_5,"&lt;&gt;0")</f>
        <v>0</v>
      </c>
      <c r="CD96" s="37">
        <f>COUNTIFS(S30_stakeholder_category,"PP",Response_Q177_11,2,Response_Q173_5,"&lt;&gt;0")</f>
        <v>0</v>
      </c>
      <c r="CE96" s="37">
        <f>COUNTIFS(S30_stakeholder_category,"PP",Response_Q177_11,3,Response_Q173_5,"&lt;&gt;0")</f>
        <v>0</v>
      </c>
      <c r="CF96" s="97">
        <f t="shared" si="42"/>
        <v>0</v>
      </c>
      <c r="CG96" s="43"/>
      <c r="CH96" s="106" t="s">
        <v>148</v>
      </c>
      <c r="CI96" s="27">
        <f t="shared" ref="CI96:CN96" si="55">COUNTIFS(S30_stakeholder_category,"PP",Response_Q177_11,"&lt;&gt;0",Response_Q177_12,CI$63,Response_Q173_5,"&lt;&gt;0")</f>
        <v>0</v>
      </c>
      <c r="CJ96" s="27">
        <f t="shared" si="55"/>
        <v>0</v>
      </c>
      <c r="CK96" s="27">
        <f t="shared" si="55"/>
        <v>0</v>
      </c>
      <c r="CL96" s="27">
        <f t="shared" si="55"/>
        <v>0</v>
      </c>
      <c r="CM96" s="27">
        <f t="shared" si="55"/>
        <v>0</v>
      </c>
      <c r="CN96" s="27">
        <f t="shared" si="55"/>
        <v>0</v>
      </c>
      <c r="CO96" s="141" t="str">
        <f t="shared" si="44"/>
        <v>Factor not ranked</v>
      </c>
      <c r="CP96" s="14"/>
      <c r="CQ96" s="47"/>
      <c r="CR96" s="14"/>
      <c r="CS96" s="106" t="s">
        <v>49</v>
      </c>
      <c r="CT96" s="27">
        <f>COUNTIFS(S30_stakeholder_category,"PP",Response_Q178_11,"&lt;&gt;0",Response_Q173_5,"&lt;&gt;0")</f>
        <v>0</v>
      </c>
      <c r="CU96" s="37">
        <f>COUNTIFS(S30_stakeholder_category,"PP",Response_Q178_11,1,Response_Q173_5,"&lt;&gt;0")</f>
        <v>0</v>
      </c>
      <c r="CV96" s="37">
        <f>COUNTIFS(S30_stakeholder_category,"PP",Response_Q178_11,2,Response_Q173_5,"&lt;&gt;0")</f>
        <v>0</v>
      </c>
      <c r="CW96" s="37">
        <f>COUNTIFS(S30_stakeholder_category,"PP",Response_Q178_11,3,Response_Q173_5,"&lt;&gt;0")</f>
        <v>0</v>
      </c>
      <c r="CX96" s="37">
        <f>IF(CT85=0,0,SUMPRODUCT(CU96:CW96,Rank_score)/CT$58)</f>
        <v>0</v>
      </c>
      <c r="CY96" s="43"/>
      <c r="CZ96" s="106" t="s">
        <v>49</v>
      </c>
      <c r="DA96" s="27">
        <f t="shared" ref="DA96:DF96" si="56">COUNTIFS(S30_stakeholder_category,"PP",Response_Q178_11,"&lt;&gt;0",Response_Q178_12,DA$63,Response_Q173_5,"&lt;&gt;0")</f>
        <v>0</v>
      </c>
      <c r="DB96" s="27">
        <f t="shared" si="56"/>
        <v>0</v>
      </c>
      <c r="DC96" s="27">
        <f t="shared" si="56"/>
        <v>0</v>
      </c>
      <c r="DD96" s="27">
        <f t="shared" si="56"/>
        <v>0</v>
      </c>
      <c r="DE96" s="27">
        <f t="shared" si="56"/>
        <v>0</v>
      </c>
      <c r="DF96" s="27">
        <f t="shared" si="56"/>
        <v>0</v>
      </c>
      <c r="DG96" s="141" t="str">
        <f t="shared" si="46"/>
        <v>Factor not ranked</v>
      </c>
      <c r="DH96" s="14"/>
      <c r="DI96" s="47"/>
      <c r="DJ96" s="14"/>
      <c r="DK96" s="14"/>
      <c r="DL96" s="19"/>
      <c r="DM96" s="59"/>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row>
    <row r="97" spans="1:142" x14ac:dyDescent="0.25">
      <c r="A97" s="14"/>
      <c r="B97" s="56"/>
      <c r="C97" s="19"/>
      <c r="D97" s="59"/>
      <c r="E97" s="14"/>
      <c r="F97" s="14"/>
      <c r="G97" s="14"/>
      <c r="H97" s="21"/>
      <c r="I97" s="21"/>
      <c r="J97" s="14"/>
      <c r="K97" s="14"/>
      <c r="L97" s="14"/>
      <c r="M97" s="14"/>
      <c r="N97" s="14"/>
      <c r="O97" s="14"/>
      <c r="P97" s="14"/>
      <c r="Q97" s="47"/>
      <c r="R97" s="19"/>
      <c r="S97" s="19"/>
      <c r="T97" s="19"/>
      <c r="U97" s="59"/>
      <c r="V97" s="14"/>
      <c r="W97" s="14"/>
      <c r="X97" s="14"/>
      <c r="Y97" s="14"/>
      <c r="Z97" s="14"/>
      <c r="AA97" s="14"/>
      <c r="AB97" s="14"/>
      <c r="AC97" s="14"/>
      <c r="AD97" s="65"/>
      <c r="AE97" s="63"/>
      <c r="AF97" s="47"/>
      <c r="AG97" s="19"/>
      <c r="AH97" s="19"/>
      <c r="AI97" s="19"/>
      <c r="AJ97" s="59"/>
      <c r="AK97" s="14"/>
      <c r="AL97" s="14"/>
      <c r="AM97" s="14"/>
      <c r="AN97" s="14"/>
      <c r="AO97" s="14"/>
      <c r="AP97" s="14"/>
      <c r="AQ97" s="14"/>
      <c r="AR97" s="14"/>
      <c r="AS97" s="65"/>
      <c r="AT97" s="63"/>
      <c r="AU97" s="47"/>
      <c r="AV97" s="14"/>
      <c r="AW97" s="19"/>
      <c r="AX97" s="19"/>
      <c r="AY97" s="59"/>
      <c r="AZ97" s="14"/>
      <c r="BA97" s="14"/>
      <c r="BB97" s="14"/>
      <c r="BC97" s="14"/>
      <c r="BD97" s="14"/>
      <c r="BE97" s="14"/>
      <c r="BF97" s="14"/>
      <c r="BG97" s="14"/>
      <c r="BH97" s="65"/>
      <c r="BI97" s="63"/>
      <c r="BJ97" s="352"/>
      <c r="BK97" s="19"/>
      <c r="BL97" s="19"/>
      <c r="BM97" s="19"/>
      <c r="BN97" s="59"/>
      <c r="BO97" s="14"/>
      <c r="BP97" s="14"/>
      <c r="BQ97" s="14"/>
      <c r="BR97" s="14"/>
      <c r="BS97" s="14"/>
      <c r="BT97" s="14"/>
      <c r="BU97" s="14"/>
      <c r="BV97" s="14"/>
      <c r="BW97" s="65"/>
      <c r="BX97" s="63"/>
      <c r="BY97" s="352"/>
      <c r="BZ97" s="14"/>
      <c r="CA97" s="107" t="s">
        <v>49</v>
      </c>
      <c r="CB97" s="27">
        <f>COUNTIFS(S30_stakeholder_category,"PP",Response_Q177_13,"&lt;&gt;0",Response_Q173_5,"&lt;&gt;0")</f>
        <v>0</v>
      </c>
      <c r="CC97" s="37">
        <f>COUNTIFS(S30_stakeholder_category,"PP",Response_Q177_13,1,Response_Q173_5,"&lt;&gt;0")</f>
        <v>0</v>
      </c>
      <c r="CD97" s="37">
        <f>COUNTIFS(S30_stakeholder_category,"PP",Response_Q177_13,2,Response_Q173_5,"&lt;&gt;0")</f>
        <v>0</v>
      </c>
      <c r="CE97" s="37">
        <f>COUNTIFS(S30_stakeholder_category,"PP",Response_Q177_13,3,Response_Q173_5,"&lt;&gt;0")</f>
        <v>0</v>
      </c>
      <c r="CF97" s="97">
        <f t="shared" si="42"/>
        <v>0</v>
      </c>
      <c r="CG97" s="29"/>
      <c r="CH97" s="107" t="s">
        <v>49</v>
      </c>
      <c r="CI97" s="27">
        <f t="shared" ref="CI97:CN97" si="57">COUNTIFS(S30_stakeholder_category,"PP",Response_Q177_13,"&lt;&gt;0",Response_Q177_14,CI$63,Response_Q173_5,"&lt;&gt;0")</f>
        <v>0</v>
      </c>
      <c r="CJ97" s="27">
        <f t="shared" si="57"/>
        <v>0</v>
      </c>
      <c r="CK97" s="27">
        <f t="shared" si="57"/>
        <v>0</v>
      </c>
      <c r="CL97" s="27">
        <f t="shared" si="57"/>
        <v>0</v>
      </c>
      <c r="CM97" s="27">
        <f t="shared" si="57"/>
        <v>0</v>
      </c>
      <c r="CN97" s="27">
        <f t="shared" si="57"/>
        <v>0</v>
      </c>
      <c r="CO97" s="141" t="str">
        <f t="shared" si="44"/>
        <v>Factor not ranked</v>
      </c>
      <c r="CP97" s="14"/>
      <c r="CQ97" s="47"/>
      <c r="CR97" s="14"/>
      <c r="CS97" s="107"/>
      <c r="CT97" s="27"/>
      <c r="CU97" s="37"/>
      <c r="CV97" s="37"/>
      <c r="CW97" s="37"/>
      <c r="CX97" s="37"/>
      <c r="CY97" s="29"/>
      <c r="CZ97" s="106"/>
      <c r="DA97" s="27"/>
      <c r="DB97" s="27"/>
      <c r="DC97" s="27"/>
      <c r="DD97" s="27"/>
      <c r="DE97" s="27"/>
      <c r="DF97" s="27"/>
      <c r="DG97" s="141" t="str">
        <f t="shared" si="46"/>
        <v/>
      </c>
      <c r="DH97" s="14"/>
      <c r="DI97" s="47"/>
      <c r="DJ97" s="14"/>
      <c r="DK97" s="62"/>
      <c r="DL97" s="19"/>
      <c r="DM97" s="59"/>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row>
    <row r="98" spans="1:142" x14ac:dyDescent="0.25">
      <c r="A98" s="14"/>
      <c r="B98" s="19"/>
      <c r="C98" s="19"/>
      <c r="D98" s="59"/>
      <c r="E98" s="14"/>
      <c r="F98" s="14"/>
      <c r="G98" s="109" t="s">
        <v>14</v>
      </c>
      <c r="H98" s="110" t="s">
        <v>6</v>
      </c>
      <c r="I98" s="110" t="s">
        <v>7</v>
      </c>
      <c r="J98" s="14"/>
      <c r="K98" s="14"/>
      <c r="L98" s="14"/>
      <c r="M98" s="14"/>
      <c r="N98" s="14"/>
      <c r="O98" s="14"/>
      <c r="P98" s="14"/>
      <c r="Q98" s="47"/>
      <c r="R98" s="19"/>
      <c r="S98" s="56"/>
      <c r="T98" s="29"/>
      <c r="U98" s="59"/>
      <c r="V98" s="14"/>
      <c r="W98" s="14"/>
      <c r="X98" s="109" t="s">
        <v>14</v>
      </c>
      <c r="Y98" s="110" t="s">
        <v>6</v>
      </c>
      <c r="Z98" s="110" t="s">
        <v>7</v>
      </c>
      <c r="AA98" s="14"/>
      <c r="AB98" s="14"/>
      <c r="AC98" s="14"/>
      <c r="AD98" s="65"/>
      <c r="AE98" s="63"/>
      <c r="AF98" s="47"/>
      <c r="AG98" s="19"/>
      <c r="AH98" s="56"/>
      <c r="AI98" s="29"/>
      <c r="AJ98" s="59"/>
      <c r="AK98" s="14"/>
      <c r="AL98" s="14"/>
      <c r="AM98" s="109" t="s">
        <v>14</v>
      </c>
      <c r="AN98" s="110" t="s">
        <v>6</v>
      </c>
      <c r="AO98" s="110" t="s">
        <v>7</v>
      </c>
      <c r="AP98" s="14"/>
      <c r="AQ98" s="14"/>
      <c r="AR98" s="14"/>
      <c r="AS98" s="65"/>
      <c r="AT98" s="63"/>
      <c r="AU98" s="47"/>
      <c r="AV98" s="14"/>
      <c r="AW98" s="56"/>
      <c r="AX98" s="29"/>
      <c r="AY98" s="59"/>
      <c r="AZ98" s="14"/>
      <c r="BA98" s="14"/>
      <c r="BB98" s="109" t="s">
        <v>14</v>
      </c>
      <c r="BC98" s="110" t="s">
        <v>6</v>
      </c>
      <c r="BD98" s="110" t="s">
        <v>7</v>
      </c>
      <c r="BE98" s="14"/>
      <c r="BF98" s="14"/>
      <c r="BG98" s="14"/>
      <c r="BH98" s="65"/>
      <c r="BI98" s="63"/>
      <c r="BJ98" s="352"/>
      <c r="BK98" s="19"/>
      <c r="BL98" s="56"/>
      <c r="BM98" s="29"/>
      <c r="BN98" s="59"/>
      <c r="BO98" s="14"/>
      <c r="BP98" s="14"/>
      <c r="BQ98" s="109" t="s">
        <v>14</v>
      </c>
      <c r="BR98" s="110" t="s">
        <v>6</v>
      </c>
      <c r="BS98" s="110" t="s">
        <v>7</v>
      </c>
      <c r="BT98" s="14"/>
      <c r="BU98" s="14"/>
      <c r="BV98" s="14"/>
      <c r="BW98" s="65"/>
      <c r="BX98" s="63"/>
      <c r="BY98" s="352"/>
      <c r="BZ98" s="14"/>
      <c r="CA98" s="86"/>
      <c r="CB98" s="111"/>
      <c r="CC98" s="111"/>
      <c r="CD98" s="179"/>
      <c r="CE98" s="179"/>
      <c r="CF98" s="108"/>
      <c r="CG98" s="29"/>
      <c r="CH98" s="109"/>
      <c r="CI98" s="109"/>
      <c r="CJ98" s="109"/>
      <c r="CK98" s="109"/>
      <c r="CL98" s="109"/>
      <c r="CM98" s="109"/>
      <c r="CN98" s="109"/>
      <c r="CO98" s="329"/>
      <c r="CP98" s="14"/>
      <c r="CQ98" s="47"/>
      <c r="CR98" s="14"/>
      <c r="CS98" s="107"/>
      <c r="CT98" s="27"/>
      <c r="CU98" s="37"/>
      <c r="CV98" s="37"/>
      <c r="CW98" s="37"/>
      <c r="CX98" s="37"/>
      <c r="CY98" s="29"/>
      <c r="CZ98" s="106"/>
      <c r="DA98" s="27"/>
      <c r="DB98" s="27"/>
      <c r="DC98" s="27"/>
      <c r="DD98" s="27"/>
      <c r="DE98" s="27"/>
      <c r="DF98" s="27"/>
      <c r="DG98" s="141" t="str">
        <f t="shared" si="46"/>
        <v/>
      </c>
      <c r="DH98" s="14"/>
      <c r="DI98" s="47"/>
      <c r="DJ98" s="14"/>
      <c r="DK98" s="62"/>
      <c r="DL98" s="19"/>
      <c r="DM98" s="59"/>
      <c r="DN98" s="14"/>
      <c r="DO98" s="14"/>
      <c r="DP98" s="109" t="s">
        <v>14</v>
      </c>
      <c r="DQ98" s="110" t="s">
        <v>6</v>
      </c>
      <c r="DR98" s="110" t="s">
        <v>7</v>
      </c>
      <c r="DS98" s="14"/>
      <c r="DT98" s="14"/>
      <c r="DU98" s="14"/>
      <c r="DV98" s="14"/>
      <c r="DW98" s="14"/>
      <c r="DX98" s="14"/>
      <c r="DY98" s="14"/>
      <c r="DZ98" s="14"/>
      <c r="EA98" s="14"/>
      <c r="EB98" s="14"/>
      <c r="EC98" s="14"/>
      <c r="ED98" s="14"/>
      <c r="EE98" s="14"/>
      <c r="EF98" s="14"/>
      <c r="EG98" s="14"/>
      <c r="EH98" s="14"/>
      <c r="EI98" s="14"/>
      <c r="EJ98" s="14"/>
      <c r="EK98" s="14"/>
      <c r="EL98" s="14"/>
    </row>
    <row r="99" spans="1:142" x14ac:dyDescent="0.25">
      <c r="A99" s="14"/>
      <c r="B99" s="19"/>
      <c r="C99" s="19"/>
      <c r="D99" s="59"/>
      <c r="E99" s="14"/>
      <c r="F99" s="14"/>
      <c r="G99" s="107" t="s">
        <v>34</v>
      </c>
      <c r="H99" s="27">
        <f>COUNTIFS(S30_stakeholder_category,"PP",Response_Q173_5,G99)</f>
        <v>0</v>
      </c>
      <c r="I99" s="41" t="str">
        <f>IFERROR(H99/H$104,"")</f>
        <v/>
      </c>
      <c r="J99" s="14"/>
      <c r="K99" s="14"/>
      <c r="L99" s="14"/>
      <c r="M99" s="14"/>
      <c r="N99" s="14"/>
      <c r="O99" s="14"/>
      <c r="P99" s="14"/>
      <c r="Q99" s="47"/>
      <c r="R99" s="19"/>
      <c r="S99" s="56"/>
      <c r="T99" s="19"/>
      <c r="U99" s="59"/>
      <c r="V99" s="14"/>
      <c r="W99" s="14"/>
      <c r="X99" s="107" t="s">
        <v>5</v>
      </c>
      <c r="Y99" s="27">
        <f t="shared" ref="Y99:Y105" si="58">COUNTIFS(S30_stakeholder_category,"PP",Response_Q176_3,X99)</f>
        <v>0</v>
      </c>
      <c r="Z99" s="41">
        <f t="shared" ref="Z99:Z106" si="59">IFERROR(Y99/Y$106,0)</f>
        <v>0</v>
      </c>
      <c r="AA99" s="14"/>
      <c r="AB99" s="14"/>
      <c r="AC99" s="14"/>
      <c r="AD99" s="65"/>
      <c r="AE99" s="63"/>
      <c r="AF99" s="47"/>
      <c r="AG99" s="19"/>
      <c r="AH99" s="56"/>
      <c r="AI99" s="19"/>
      <c r="AJ99" s="59"/>
      <c r="AK99" s="14"/>
      <c r="AL99" s="14"/>
      <c r="AM99" s="107" t="s">
        <v>5</v>
      </c>
      <c r="AN99" s="27">
        <f t="shared" ref="AN99:AN105" si="60">COUNTIFS(S30_stakeholder_category,"PP",Response_30c_CaseA,AM99)</f>
        <v>0</v>
      </c>
      <c r="AO99" s="41">
        <f>IFERROR(AN99/AN$106,0)</f>
        <v>0</v>
      </c>
      <c r="AP99" s="14"/>
      <c r="AQ99" s="14"/>
      <c r="AR99" s="14"/>
      <c r="AS99" s="65"/>
      <c r="AT99" s="63"/>
      <c r="AU99" s="47"/>
      <c r="AV99" s="14"/>
      <c r="AW99" s="56"/>
      <c r="AX99" s="19"/>
      <c r="AY99" s="59"/>
      <c r="AZ99" s="14"/>
      <c r="BA99" s="14"/>
      <c r="BB99" s="107" t="s">
        <v>5</v>
      </c>
      <c r="BC99" s="27">
        <f t="shared" ref="BC99:BC105" si="61">COUNTIFS(S30_stakeholder_category,"PP",Response_30c_CaseB,BB99)</f>
        <v>0</v>
      </c>
      <c r="BD99" s="41">
        <f>IFERROR(BC99/BC$106,0)</f>
        <v>0</v>
      </c>
      <c r="BE99" s="14"/>
      <c r="BF99" s="14"/>
      <c r="BG99" s="14"/>
      <c r="BH99" s="65"/>
      <c r="BI99" s="63"/>
      <c r="BJ99" s="352"/>
      <c r="BK99" s="19"/>
      <c r="BL99" s="56"/>
      <c r="BM99" s="19"/>
      <c r="BN99" s="59"/>
      <c r="BO99" s="14"/>
      <c r="BP99" s="14"/>
      <c r="BQ99" s="107" t="s">
        <v>5</v>
      </c>
      <c r="BR99" s="27">
        <f t="shared" ref="BR99:BR105" si="62">COUNTIFS(S30_stakeholder_category,"PP",Response_30c_CaseC,BQ99)</f>
        <v>0</v>
      </c>
      <c r="BS99" s="41">
        <f>IFERROR(BR99/BR$106,0)</f>
        <v>0</v>
      </c>
      <c r="BT99" s="14"/>
      <c r="BU99" s="14"/>
      <c r="BV99" s="14"/>
      <c r="BW99" s="65"/>
      <c r="BX99" s="63"/>
      <c r="BY99" s="352"/>
      <c r="BZ99" s="14"/>
      <c r="CA99" s="14"/>
      <c r="CB99" s="21"/>
      <c r="CC99" s="21"/>
      <c r="CD99" s="180"/>
      <c r="CE99" s="181"/>
      <c r="CF99" s="31"/>
      <c r="CG99" s="52"/>
      <c r="CH99" s="52"/>
      <c r="CI99" s="99"/>
      <c r="CJ99" s="14"/>
      <c r="CK99" s="14"/>
      <c r="CL99" s="14"/>
      <c r="CM99" s="14"/>
      <c r="CN99" s="14"/>
      <c r="CO99" s="129"/>
      <c r="CP99" s="14"/>
      <c r="CQ99" s="47"/>
      <c r="CR99" s="14"/>
      <c r="CS99" s="86"/>
      <c r="CT99" s="111"/>
      <c r="CU99" s="86"/>
      <c r="CV99" s="179"/>
      <c r="CW99" s="188"/>
      <c r="CX99" s="179"/>
      <c r="CY99" s="29"/>
      <c r="CZ99" s="109"/>
      <c r="DA99" s="109"/>
      <c r="DB99" s="109"/>
      <c r="DC99" s="109"/>
      <c r="DD99" s="109"/>
      <c r="DE99" s="109"/>
      <c r="DF99" s="109"/>
      <c r="DG99" s="329"/>
      <c r="DH99" s="14"/>
      <c r="DI99" s="47"/>
      <c r="DJ99" s="14"/>
      <c r="DK99" s="62"/>
      <c r="DL99" s="19"/>
      <c r="DM99" s="59"/>
      <c r="DN99" s="14"/>
      <c r="DO99" s="14"/>
      <c r="DP99" s="107" t="s">
        <v>34</v>
      </c>
      <c r="DQ99" s="27">
        <f>COUNTIFS(S30_stakeholder_category,"PP",Response_Q172_1,DP99,Response_Q173_5,"&lt;&gt;0")</f>
        <v>0</v>
      </c>
      <c r="DR99" s="41" t="str">
        <f>IF(DQ104=0,"",DQ99/DQ104)</f>
        <v/>
      </c>
      <c r="DS99" s="14"/>
      <c r="DT99" s="14"/>
      <c r="DU99" s="14"/>
      <c r="DV99" s="14"/>
      <c r="DW99" s="14"/>
      <c r="DX99" s="14"/>
      <c r="DY99" s="14"/>
      <c r="DZ99" s="14"/>
      <c r="EA99" s="14"/>
      <c r="EB99" s="14"/>
      <c r="EC99" s="14"/>
      <c r="ED99" s="14"/>
      <c r="EE99" s="14"/>
      <c r="EF99" s="14"/>
      <c r="EG99" s="14"/>
      <c r="EH99" s="14"/>
      <c r="EI99" s="14"/>
      <c r="EJ99" s="14"/>
      <c r="EK99" s="14"/>
      <c r="EL99" s="14"/>
    </row>
    <row r="100" spans="1:142" x14ac:dyDescent="0.25">
      <c r="A100" s="14"/>
      <c r="B100" s="14"/>
      <c r="C100" s="19"/>
      <c r="D100" s="59"/>
      <c r="E100" s="14"/>
      <c r="F100" s="14"/>
      <c r="G100" s="107" t="s">
        <v>35</v>
      </c>
      <c r="H100" s="27">
        <f>COUNTIFS(S30_stakeholder_category,"PP",Response_Q173_5,G100)</f>
        <v>0</v>
      </c>
      <c r="I100" s="41" t="str">
        <f t="shared" ref="I100:I104" si="63">IFERROR(H100/H$104,"")</f>
        <v/>
      </c>
      <c r="J100" s="14"/>
      <c r="K100" s="14"/>
      <c r="L100" s="14"/>
      <c r="M100" s="14"/>
      <c r="N100" s="14"/>
      <c r="O100" s="14"/>
      <c r="P100" s="14"/>
      <c r="Q100" s="47"/>
      <c r="R100" s="19"/>
      <c r="S100" s="19"/>
      <c r="T100" s="19"/>
      <c r="U100" s="59"/>
      <c r="V100" s="14"/>
      <c r="W100" s="14"/>
      <c r="X100" s="107" t="s">
        <v>4</v>
      </c>
      <c r="Y100" s="27">
        <f t="shared" si="58"/>
        <v>0</v>
      </c>
      <c r="Z100" s="41">
        <f t="shared" si="59"/>
        <v>0</v>
      </c>
      <c r="AA100" s="14"/>
      <c r="AB100" s="14"/>
      <c r="AC100" s="14"/>
      <c r="AD100" s="65"/>
      <c r="AE100" s="63"/>
      <c r="AF100" s="47"/>
      <c r="AG100" s="19"/>
      <c r="AH100" s="19"/>
      <c r="AI100" s="19"/>
      <c r="AJ100" s="59"/>
      <c r="AK100" s="14"/>
      <c r="AL100" s="14"/>
      <c r="AM100" s="107" t="s">
        <v>4</v>
      </c>
      <c r="AN100" s="27">
        <f t="shared" si="60"/>
        <v>1</v>
      </c>
      <c r="AO100" s="41">
        <f t="shared" ref="AO100:AO105" si="64">IFERROR(AN100/AN$106,0)</f>
        <v>1</v>
      </c>
      <c r="AP100" s="14"/>
      <c r="AQ100" s="14"/>
      <c r="AR100" s="14"/>
      <c r="AS100" s="65"/>
      <c r="AT100" s="63"/>
      <c r="AU100" s="47"/>
      <c r="AV100" s="14"/>
      <c r="AW100" s="19"/>
      <c r="AX100" s="19"/>
      <c r="AY100" s="59"/>
      <c r="AZ100" s="14"/>
      <c r="BA100" s="14"/>
      <c r="BB100" s="107" t="s">
        <v>4</v>
      </c>
      <c r="BC100" s="27">
        <f t="shared" si="61"/>
        <v>1</v>
      </c>
      <c r="BD100" s="41">
        <f t="shared" ref="BD100:BD105" si="65">IFERROR(BC100/BC$106,0)</f>
        <v>1</v>
      </c>
      <c r="BE100" s="14"/>
      <c r="BF100" s="14"/>
      <c r="BG100" s="14"/>
      <c r="BH100" s="65"/>
      <c r="BI100" s="63"/>
      <c r="BJ100" s="352"/>
      <c r="BK100" s="19"/>
      <c r="BL100" s="19"/>
      <c r="BM100" s="19"/>
      <c r="BN100" s="59"/>
      <c r="BO100" s="14"/>
      <c r="BP100" s="14"/>
      <c r="BQ100" s="107" t="s">
        <v>4</v>
      </c>
      <c r="BR100" s="27">
        <f t="shared" si="62"/>
        <v>1</v>
      </c>
      <c r="BS100" s="41">
        <f t="shared" ref="BS100:BS105" si="66">IFERROR(BR100/BR$106,0)</f>
        <v>1</v>
      </c>
      <c r="BT100" s="14"/>
      <c r="BU100" s="14"/>
      <c r="BV100" s="14"/>
      <c r="BW100" s="65"/>
      <c r="BX100" s="63"/>
      <c r="BY100" s="352"/>
      <c r="BZ100" s="14"/>
      <c r="CA100" s="14"/>
      <c r="CB100" s="21"/>
      <c r="CC100" s="21"/>
      <c r="CD100" s="180"/>
      <c r="CE100" s="181"/>
      <c r="CF100" s="31"/>
      <c r="CG100" s="52"/>
      <c r="CH100" s="52"/>
      <c r="CI100" s="99"/>
      <c r="CJ100" s="14"/>
      <c r="CK100" s="14"/>
      <c r="CL100" s="14"/>
      <c r="CM100" s="14"/>
      <c r="CN100" s="14"/>
      <c r="CO100" s="129"/>
      <c r="CP100" s="14"/>
      <c r="CQ100" s="47"/>
      <c r="CR100" s="14"/>
      <c r="CS100" s="14"/>
      <c r="CT100" s="14"/>
      <c r="CU100" s="14"/>
      <c r="CV100" s="180"/>
      <c r="CW100" s="190"/>
      <c r="CX100" s="191"/>
      <c r="CY100" s="52"/>
      <c r="CZ100" s="52"/>
      <c r="DA100" s="54"/>
      <c r="DB100" s="14"/>
      <c r="DC100" s="14"/>
      <c r="DD100" s="14"/>
      <c r="DE100" s="14"/>
      <c r="DF100" s="14"/>
      <c r="DG100" s="129"/>
      <c r="DH100" s="14"/>
      <c r="DI100" s="47"/>
      <c r="DJ100" s="14"/>
      <c r="DK100" s="62"/>
      <c r="DL100" s="19"/>
      <c r="DM100" s="59"/>
      <c r="DN100" s="14"/>
      <c r="DO100" s="14"/>
      <c r="DP100" s="107" t="s">
        <v>35</v>
      </c>
      <c r="DQ100" s="27">
        <f>COUNTIFS(S30_stakeholder_category,"PP",Response_Q172_1,DP100,Response_Q173_5,"&lt;&gt;0")</f>
        <v>0</v>
      </c>
      <c r="DR100" s="41" t="str">
        <f>IF(DQ104=0,"",DQ100/DQ104)</f>
        <v/>
      </c>
      <c r="DS100" s="14"/>
      <c r="DT100" s="14"/>
      <c r="DU100" s="14"/>
      <c r="DV100" s="14"/>
      <c r="DW100" s="14"/>
      <c r="DX100" s="14"/>
      <c r="DY100" s="14"/>
      <c r="DZ100" s="14"/>
      <c r="EA100" s="14"/>
      <c r="EB100" s="14"/>
      <c r="EC100" s="14"/>
      <c r="ED100" s="14"/>
      <c r="EE100" s="14"/>
      <c r="EF100" s="14"/>
      <c r="EG100" s="14"/>
      <c r="EH100" s="14"/>
      <c r="EI100" s="14"/>
      <c r="EJ100" s="14"/>
      <c r="EK100" s="14"/>
      <c r="EL100" s="14"/>
    </row>
    <row r="101" spans="1:142" x14ac:dyDescent="0.25">
      <c r="A101" s="14"/>
      <c r="B101" s="62"/>
      <c r="C101" s="19"/>
      <c r="D101" s="59"/>
      <c r="E101" s="14"/>
      <c r="F101" s="14"/>
      <c r="G101" s="107" t="s">
        <v>36</v>
      </c>
      <c r="H101" s="27">
        <f>COUNTIFS(S30_stakeholder_category,"PP",Response_Q173_5,G101)</f>
        <v>0</v>
      </c>
      <c r="I101" s="41" t="str">
        <f t="shared" si="63"/>
        <v/>
      </c>
      <c r="J101" s="14"/>
      <c r="K101" s="14"/>
      <c r="L101" s="14"/>
      <c r="M101" s="14"/>
      <c r="N101" s="14"/>
      <c r="O101" s="14"/>
      <c r="P101" s="14"/>
      <c r="Q101" s="47"/>
      <c r="R101" s="19"/>
      <c r="S101" s="14"/>
      <c r="T101" s="19"/>
      <c r="U101" s="59"/>
      <c r="V101" s="14"/>
      <c r="W101" s="14"/>
      <c r="X101" s="107" t="s">
        <v>33</v>
      </c>
      <c r="Y101" s="27">
        <f t="shared" si="58"/>
        <v>0</v>
      </c>
      <c r="Z101" s="41">
        <f t="shared" si="59"/>
        <v>0</v>
      </c>
      <c r="AA101" s="14"/>
      <c r="AB101" s="14"/>
      <c r="AC101" s="14"/>
      <c r="AD101" s="65"/>
      <c r="AE101" s="63"/>
      <c r="AF101" s="47"/>
      <c r="AG101" s="19"/>
      <c r="AH101" s="14"/>
      <c r="AI101" s="19"/>
      <c r="AJ101" s="59"/>
      <c r="AK101" s="14"/>
      <c r="AL101" s="14"/>
      <c r="AM101" s="107" t="s">
        <v>33</v>
      </c>
      <c r="AN101" s="27">
        <f t="shared" si="60"/>
        <v>0</v>
      </c>
      <c r="AO101" s="41">
        <f t="shared" si="64"/>
        <v>0</v>
      </c>
      <c r="AP101" s="14"/>
      <c r="AQ101" s="14"/>
      <c r="AR101" s="14"/>
      <c r="AS101" s="65"/>
      <c r="AT101" s="63"/>
      <c r="AU101" s="47"/>
      <c r="AV101" s="14"/>
      <c r="AW101" s="14"/>
      <c r="AX101" s="19"/>
      <c r="AY101" s="59"/>
      <c r="AZ101" s="14"/>
      <c r="BA101" s="14"/>
      <c r="BB101" s="107" t="s">
        <v>33</v>
      </c>
      <c r="BC101" s="27">
        <f t="shared" si="61"/>
        <v>0</v>
      </c>
      <c r="BD101" s="41">
        <f t="shared" si="65"/>
        <v>0</v>
      </c>
      <c r="BE101" s="14"/>
      <c r="BF101" s="14"/>
      <c r="BG101" s="14"/>
      <c r="BH101" s="65"/>
      <c r="BI101" s="63"/>
      <c r="BJ101" s="352"/>
      <c r="BK101" s="19"/>
      <c r="BL101" s="14"/>
      <c r="BM101" s="19"/>
      <c r="BN101" s="59"/>
      <c r="BO101" s="14"/>
      <c r="BP101" s="14"/>
      <c r="BQ101" s="107" t="s">
        <v>33</v>
      </c>
      <c r="BR101" s="27">
        <f t="shared" si="62"/>
        <v>0</v>
      </c>
      <c r="BS101" s="41">
        <f t="shared" si="66"/>
        <v>0</v>
      </c>
      <c r="BT101" s="14"/>
      <c r="BU101" s="14"/>
      <c r="BV101" s="14"/>
      <c r="BW101" s="65"/>
      <c r="BX101" s="63"/>
      <c r="BY101" s="352"/>
      <c r="BZ101" s="14"/>
      <c r="CA101" s="14"/>
      <c r="CB101" s="21"/>
      <c r="CC101" s="21"/>
      <c r="CD101" s="180"/>
      <c r="CE101" s="181"/>
      <c r="CF101" s="31"/>
      <c r="CG101" s="52"/>
      <c r="CH101" s="52"/>
      <c r="CI101" s="99"/>
      <c r="CJ101" s="14"/>
      <c r="CK101" s="14"/>
      <c r="CL101" s="14"/>
      <c r="CM101" s="14"/>
      <c r="CN101" s="14"/>
      <c r="CO101" s="129"/>
      <c r="CP101" s="14"/>
      <c r="CQ101" s="47"/>
      <c r="CR101" s="14"/>
      <c r="CS101" s="14"/>
      <c r="CT101" s="14"/>
      <c r="CU101" s="14"/>
      <c r="CV101" s="180"/>
      <c r="CW101" s="190"/>
      <c r="CX101" s="191"/>
      <c r="CY101" s="52"/>
      <c r="CZ101" s="52"/>
      <c r="DA101" s="54"/>
      <c r="DB101" s="14"/>
      <c r="DC101" s="14"/>
      <c r="DD101" s="14"/>
      <c r="DE101" s="14"/>
      <c r="DF101" s="14"/>
      <c r="DG101" s="129"/>
      <c r="DH101" s="14"/>
      <c r="DI101" s="47"/>
      <c r="DJ101" s="14"/>
      <c r="DK101" s="62"/>
      <c r="DL101" s="19"/>
      <c r="DM101" s="59"/>
      <c r="DN101" s="14"/>
      <c r="DO101" s="14"/>
      <c r="DP101" s="107" t="s">
        <v>36</v>
      </c>
      <c r="DQ101" s="27">
        <f>COUNTIFS(S30_stakeholder_category,"PP",Response_Q172_1,DP101,Response_Q173_5,"&lt;&gt;0")</f>
        <v>0</v>
      </c>
      <c r="DR101" s="41" t="str">
        <f>IF(DQ104=0,"",DQ101/DQ104)</f>
        <v/>
      </c>
      <c r="DS101" s="14"/>
      <c r="DT101" s="14"/>
      <c r="DU101" s="14"/>
      <c r="DV101" s="14"/>
      <c r="DW101" s="14"/>
      <c r="DX101" s="14"/>
      <c r="DY101" s="14"/>
      <c r="DZ101" s="14"/>
      <c r="EA101" s="14"/>
      <c r="EB101" s="14"/>
      <c r="EC101" s="14"/>
      <c r="ED101" s="14"/>
      <c r="EE101" s="14"/>
      <c r="EF101" s="14"/>
      <c r="EG101" s="14"/>
      <c r="EH101" s="14"/>
      <c r="EI101" s="14"/>
      <c r="EJ101" s="14"/>
      <c r="EK101" s="14"/>
      <c r="EL101" s="14"/>
    </row>
    <row r="102" spans="1:142" x14ac:dyDescent="0.25">
      <c r="A102" s="14"/>
      <c r="B102" s="62"/>
      <c r="C102" s="19"/>
      <c r="D102" s="59"/>
      <c r="E102" s="14"/>
      <c r="F102" s="14"/>
      <c r="G102" s="107" t="s">
        <v>38</v>
      </c>
      <c r="H102" s="27">
        <f>COUNTIFS(S30_stakeholder_category,"PP",Response_Q173_5,G102)</f>
        <v>0</v>
      </c>
      <c r="I102" s="41" t="str">
        <f t="shared" si="63"/>
        <v/>
      </c>
      <c r="J102" s="14"/>
      <c r="K102" s="14"/>
      <c r="L102" s="14"/>
      <c r="M102" s="14"/>
      <c r="N102" s="14"/>
      <c r="O102" s="14"/>
      <c r="P102" s="14"/>
      <c r="Q102" s="47"/>
      <c r="R102" s="19"/>
      <c r="S102" s="14"/>
      <c r="T102" s="19"/>
      <c r="U102" s="59"/>
      <c r="V102" s="14"/>
      <c r="W102" s="14"/>
      <c r="X102" s="107" t="s">
        <v>29</v>
      </c>
      <c r="Y102" s="27">
        <f t="shared" si="58"/>
        <v>0</v>
      </c>
      <c r="Z102" s="41">
        <f t="shared" si="59"/>
        <v>0</v>
      </c>
      <c r="AA102" s="14"/>
      <c r="AB102" s="14"/>
      <c r="AC102" s="14"/>
      <c r="AD102" s="65"/>
      <c r="AE102" s="63"/>
      <c r="AF102" s="47"/>
      <c r="AG102" s="19"/>
      <c r="AH102" s="14"/>
      <c r="AI102" s="19"/>
      <c r="AJ102" s="59"/>
      <c r="AK102" s="14"/>
      <c r="AL102" s="14"/>
      <c r="AM102" s="107" t="s">
        <v>29</v>
      </c>
      <c r="AN102" s="27">
        <f t="shared" si="60"/>
        <v>0</v>
      </c>
      <c r="AO102" s="41">
        <f t="shared" si="64"/>
        <v>0</v>
      </c>
      <c r="AP102" s="14"/>
      <c r="AQ102" s="14"/>
      <c r="AR102" s="14"/>
      <c r="AS102" s="65"/>
      <c r="AT102" s="63"/>
      <c r="AU102" s="47"/>
      <c r="AV102" s="14"/>
      <c r="AW102" s="14"/>
      <c r="AX102" s="19"/>
      <c r="AY102" s="59"/>
      <c r="AZ102" s="14"/>
      <c r="BA102" s="14"/>
      <c r="BB102" s="107" t="s">
        <v>29</v>
      </c>
      <c r="BC102" s="27">
        <f t="shared" si="61"/>
        <v>0</v>
      </c>
      <c r="BD102" s="41">
        <f t="shared" si="65"/>
        <v>0</v>
      </c>
      <c r="BE102" s="14"/>
      <c r="BF102" s="14"/>
      <c r="BG102" s="14"/>
      <c r="BH102" s="65"/>
      <c r="BI102" s="63"/>
      <c r="BJ102" s="352"/>
      <c r="BK102" s="19"/>
      <c r="BL102" s="14"/>
      <c r="BM102" s="19"/>
      <c r="BN102" s="59"/>
      <c r="BO102" s="14"/>
      <c r="BP102" s="14"/>
      <c r="BQ102" s="107" t="s">
        <v>29</v>
      </c>
      <c r="BR102" s="27">
        <f t="shared" si="62"/>
        <v>0</v>
      </c>
      <c r="BS102" s="41">
        <f t="shared" si="66"/>
        <v>0</v>
      </c>
      <c r="BT102" s="14"/>
      <c r="BU102" s="14"/>
      <c r="BV102" s="14"/>
      <c r="BW102" s="65"/>
      <c r="BX102" s="63"/>
      <c r="BY102" s="352"/>
      <c r="BZ102" s="14"/>
      <c r="CA102" s="14"/>
      <c r="CB102" s="21"/>
      <c r="CC102" s="21"/>
      <c r="CD102" s="180"/>
      <c r="CE102" s="181"/>
      <c r="CF102" s="31"/>
      <c r="CG102" s="52"/>
      <c r="CH102" s="52"/>
      <c r="CI102" s="99"/>
      <c r="CJ102" s="14"/>
      <c r="CK102" s="14"/>
      <c r="CL102" s="14"/>
      <c r="CM102" s="14"/>
      <c r="CN102" s="14"/>
      <c r="CO102" s="129"/>
      <c r="CP102" s="14"/>
      <c r="CQ102" s="47"/>
      <c r="CR102" s="14"/>
      <c r="CS102" s="14"/>
      <c r="CT102" s="14"/>
      <c r="CU102" s="14"/>
      <c r="CV102" s="180"/>
      <c r="CW102" s="190"/>
      <c r="CX102" s="191"/>
      <c r="CY102" s="52"/>
      <c r="CZ102" s="52"/>
      <c r="DA102" s="54"/>
      <c r="DB102" s="14"/>
      <c r="DC102" s="14"/>
      <c r="DD102" s="14"/>
      <c r="DE102" s="14"/>
      <c r="DF102" s="14"/>
      <c r="DG102" s="129"/>
      <c r="DH102" s="14"/>
      <c r="DI102" s="47"/>
      <c r="DJ102" s="14"/>
      <c r="DK102" s="62"/>
      <c r="DL102" s="19"/>
      <c r="DM102" s="59"/>
      <c r="DN102" s="14"/>
      <c r="DO102" s="14"/>
      <c r="DP102" s="107" t="s">
        <v>38</v>
      </c>
      <c r="DQ102" s="27">
        <f>COUNTIFS(S30_stakeholder_category,"PP",Response_Q172_1,DP102,Response_Q173_5,"&lt;&gt;0")</f>
        <v>0</v>
      </c>
      <c r="DR102" s="41" t="str">
        <f>IF(DQ104=0,"",DQ102/DQ104)</f>
        <v/>
      </c>
      <c r="DS102" s="14"/>
      <c r="DT102" s="14"/>
      <c r="DU102" s="14"/>
      <c r="DV102" s="14"/>
      <c r="DW102" s="14"/>
      <c r="DX102" s="14"/>
      <c r="DY102" s="14"/>
      <c r="DZ102" s="14"/>
      <c r="EA102" s="14"/>
      <c r="EB102" s="14"/>
      <c r="EC102" s="14"/>
      <c r="ED102" s="14"/>
      <c r="EE102" s="14"/>
      <c r="EF102" s="14"/>
      <c r="EG102" s="14"/>
      <c r="EH102" s="14"/>
      <c r="EI102" s="14"/>
      <c r="EJ102" s="14"/>
      <c r="EK102" s="14"/>
      <c r="EL102" s="14"/>
    </row>
    <row r="103" spans="1:142" x14ac:dyDescent="0.25">
      <c r="A103" s="14"/>
      <c r="B103" s="62"/>
      <c r="C103" s="19"/>
      <c r="D103" s="59"/>
      <c r="E103" s="14"/>
      <c r="F103" s="14"/>
      <c r="G103" s="107" t="s">
        <v>39</v>
      </c>
      <c r="H103" s="27">
        <f>COUNTIFS(S30_stakeholder_category,"PP",Response_Q173_5,G103)</f>
        <v>0</v>
      </c>
      <c r="I103" s="41" t="str">
        <f t="shared" si="63"/>
        <v/>
      </c>
      <c r="J103" s="14"/>
      <c r="K103" s="14"/>
      <c r="L103" s="14"/>
      <c r="M103" s="14"/>
      <c r="N103" s="14"/>
      <c r="O103" s="14"/>
      <c r="P103" s="14"/>
      <c r="Q103" s="47"/>
      <c r="R103" s="19"/>
      <c r="S103" s="62"/>
      <c r="T103" s="19"/>
      <c r="U103" s="59"/>
      <c r="V103" s="14"/>
      <c r="W103" s="14"/>
      <c r="X103" s="107" t="s">
        <v>3</v>
      </c>
      <c r="Y103" s="27">
        <f t="shared" si="58"/>
        <v>0</v>
      </c>
      <c r="Z103" s="41">
        <f t="shared" si="59"/>
        <v>0</v>
      </c>
      <c r="AA103" s="14"/>
      <c r="AB103" s="14"/>
      <c r="AC103" s="14"/>
      <c r="AD103" s="65"/>
      <c r="AE103" s="63"/>
      <c r="AF103" s="47"/>
      <c r="AG103" s="19"/>
      <c r="AH103" s="62"/>
      <c r="AI103" s="19"/>
      <c r="AJ103" s="59"/>
      <c r="AK103" s="14"/>
      <c r="AL103" s="14"/>
      <c r="AM103" s="107" t="s">
        <v>3</v>
      </c>
      <c r="AN103" s="27">
        <f t="shared" si="60"/>
        <v>0</v>
      </c>
      <c r="AO103" s="41">
        <f t="shared" si="64"/>
        <v>0</v>
      </c>
      <c r="AP103" s="14"/>
      <c r="AQ103" s="14"/>
      <c r="AR103" s="14"/>
      <c r="AS103" s="65"/>
      <c r="AT103" s="63"/>
      <c r="AU103" s="47"/>
      <c r="AV103" s="14"/>
      <c r="AW103" s="62"/>
      <c r="AX103" s="19"/>
      <c r="AY103" s="59"/>
      <c r="AZ103" s="14"/>
      <c r="BA103" s="14"/>
      <c r="BB103" s="107" t="s">
        <v>3</v>
      </c>
      <c r="BC103" s="27">
        <f t="shared" si="61"/>
        <v>0</v>
      </c>
      <c r="BD103" s="41">
        <f t="shared" si="65"/>
        <v>0</v>
      </c>
      <c r="BE103" s="14"/>
      <c r="BF103" s="14"/>
      <c r="BG103" s="14"/>
      <c r="BH103" s="65"/>
      <c r="BI103" s="63"/>
      <c r="BJ103" s="352"/>
      <c r="BK103" s="19"/>
      <c r="BL103" s="62"/>
      <c r="BM103" s="19"/>
      <c r="BN103" s="59"/>
      <c r="BO103" s="14"/>
      <c r="BP103" s="14"/>
      <c r="BQ103" s="107" t="s">
        <v>3</v>
      </c>
      <c r="BR103" s="27">
        <f t="shared" si="62"/>
        <v>0</v>
      </c>
      <c r="BS103" s="41">
        <f t="shared" si="66"/>
        <v>0</v>
      </c>
      <c r="BT103" s="14"/>
      <c r="BU103" s="14"/>
      <c r="BV103" s="14"/>
      <c r="BW103" s="65"/>
      <c r="BX103" s="63"/>
      <c r="BY103" s="352"/>
      <c r="BZ103" s="14"/>
      <c r="CA103" s="14"/>
      <c r="CB103" s="21"/>
      <c r="CC103" s="21"/>
      <c r="CD103" s="180"/>
      <c r="CE103" s="181"/>
      <c r="CF103" s="31"/>
      <c r="CG103" s="52"/>
      <c r="CH103" s="52"/>
      <c r="CI103" s="99"/>
      <c r="CJ103" s="14"/>
      <c r="CK103" s="14"/>
      <c r="CL103" s="14"/>
      <c r="CM103" s="14"/>
      <c r="CN103" s="14"/>
      <c r="CO103" s="129"/>
      <c r="CP103" s="14"/>
      <c r="CQ103" s="47"/>
      <c r="CR103" s="14"/>
      <c r="CS103" s="14"/>
      <c r="CT103" s="14"/>
      <c r="CU103" s="14"/>
      <c r="CV103" s="180"/>
      <c r="CW103" s="190"/>
      <c r="CX103" s="191"/>
      <c r="CY103" s="52"/>
      <c r="CZ103" s="52"/>
      <c r="DA103" s="54"/>
      <c r="DB103" s="14"/>
      <c r="DC103" s="14"/>
      <c r="DD103" s="14"/>
      <c r="DE103" s="14"/>
      <c r="DF103" s="14"/>
      <c r="DG103" s="129"/>
      <c r="DH103" s="14"/>
      <c r="DI103" s="47"/>
      <c r="DJ103" s="14"/>
      <c r="DK103" s="62"/>
      <c r="DL103" s="19"/>
      <c r="DM103" s="59"/>
      <c r="DN103" s="14"/>
      <c r="DO103" s="14"/>
      <c r="DP103" s="107" t="s">
        <v>39</v>
      </c>
      <c r="DQ103" s="27">
        <f>COUNTIFS(S30_stakeholder_category,"PP",Response_Q172_1,DP103,Response_Q173_5,"&lt;&gt;0")</f>
        <v>0</v>
      </c>
      <c r="DR103" s="41" t="str">
        <f>IF(DQ104=0,"",DQ103/DQ104)</f>
        <v/>
      </c>
      <c r="DS103" s="14"/>
      <c r="DT103" s="14"/>
      <c r="DU103" s="14"/>
      <c r="DV103" s="14"/>
      <c r="DW103" s="14"/>
      <c r="DX103" s="14"/>
      <c r="DY103" s="14"/>
      <c r="DZ103" s="14"/>
      <c r="EA103" s="14"/>
      <c r="EB103" s="14"/>
      <c r="EC103" s="14"/>
      <c r="ED103" s="14"/>
      <c r="EE103" s="14"/>
      <c r="EF103" s="14"/>
      <c r="EG103" s="14"/>
      <c r="EH103" s="14"/>
      <c r="EI103" s="14"/>
      <c r="EJ103" s="14"/>
      <c r="EK103" s="14"/>
      <c r="EL103" s="14"/>
    </row>
    <row r="104" spans="1:142" x14ac:dyDescent="0.25">
      <c r="A104" s="14"/>
      <c r="B104" s="62"/>
      <c r="C104" s="19"/>
      <c r="D104" s="59"/>
      <c r="E104" s="14"/>
      <c r="F104" s="14"/>
      <c r="G104" s="86" t="s">
        <v>145</v>
      </c>
      <c r="H104" s="111">
        <f>COUNTIFS(S30_stakeholder_category,"PP",Response_Q173_5,"&lt;&gt;0")</f>
        <v>0</v>
      </c>
      <c r="I104" s="119" t="str">
        <f t="shared" si="63"/>
        <v/>
      </c>
      <c r="J104" s="14"/>
      <c r="K104" s="14"/>
      <c r="L104" s="14"/>
      <c r="M104" s="14"/>
      <c r="N104" s="14"/>
      <c r="O104" s="14"/>
      <c r="P104" s="14"/>
      <c r="Q104" s="47"/>
      <c r="R104" s="19"/>
      <c r="S104" s="62"/>
      <c r="T104" s="19"/>
      <c r="U104" s="59"/>
      <c r="V104" s="14"/>
      <c r="W104" s="14"/>
      <c r="X104" s="107" t="s">
        <v>54</v>
      </c>
      <c r="Y104" s="27">
        <f t="shared" si="58"/>
        <v>0</v>
      </c>
      <c r="Z104" s="41">
        <f t="shared" si="59"/>
        <v>0</v>
      </c>
      <c r="AA104" s="14"/>
      <c r="AB104" s="14"/>
      <c r="AC104" s="14"/>
      <c r="AD104" s="65"/>
      <c r="AE104" s="63"/>
      <c r="AF104" s="47"/>
      <c r="AG104" s="19"/>
      <c r="AH104" s="62"/>
      <c r="AI104" s="19"/>
      <c r="AJ104" s="59"/>
      <c r="AK104" s="14"/>
      <c r="AL104" s="14"/>
      <c r="AM104" s="107" t="s">
        <v>54</v>
      </c>
      <c r="AN104" s="27">
        <f t="shared" si="60"/>
        <v>0</v>
      </c>
      <c r="AO104" s="41">
        <f t="shared" si="64"/>
        <v>0</v>
      </c>
      <c r="AP104" s="14"/>
      <c r="AQ104" s="14"/>
      <c r="AR104" s="14"/>
      <c r="AS104" s="65"/>
      <c r="AT104" s="63"/>
      <c r="AU104" s="47"/>
      <c r="AV104" s="14"/>
      <c r="AW104" s="62"/>
      <c r="AX104" s="19"/>
      <c r="AY104" s="59"/>
      <c r="AZ104" s="14"/>
      <c r="BA104" s="14"/>
      <c r="BB104" s="107" t="s">
        <v>54</v>
      </c>
      <c r="BC104" s="27">
        <f t="shared" si="61"/>
        <v>0</v>
      </c>
      <c r="BD104" s="41">
        <f t="shared" si="65"/>
        <v>0</v>
      </c>
      <c r="BE104" s="14"/>
      <c r="BF104" s="14"/>
      <c r="BG104" s="14"/>
      <c r="BH104" s="65"/>
      <c r="BI104" s="63"/>
      <c r="BJ104" s="352"/>
      <c r="BK104" s="19"/>
      <c r="BL104" s="62"/>
      <c r="BM104" s="19"/>
      <c r="BN104" s="59"/>
      <c r="BO104" s="14"/>
      <c r="BP104" s="14"/>
      <c r="BQ104" s="107" t="s">
        <v>54</v>
      </c>
      <c r="BR104" s="27">
        <f t="shared" si="62"/>
        <v>0</v>
      </c>
      <c r="BS104" s="41">
        <f t="shared" si="66"/>
        <v>0</v>
      </c>
      <c r="BT104" s="14"/>
      <c r="BU104" s="14"/>
      <c r="BV104" s="14"/>
      <c r="BW104" s="65"/>
      <c r="BX104" s="63"/>
      <c r="BY104" s="352"/>
      <c r="BZ104" s="14"/>
      <c r="CA104" s="14"/>
      <c r="CB104" s="21"/>
      <c r="CC104" s="21"/>
      <c r="CD104" s="180"/>
      <c r="CE104" s="181"/>
      <c r="CF104" s="31"/>
      <c r="CG104" s="52"/>
      <c r="CH104" s="52"/>
      <c r="CI104" s="99"/>
      <c r="CJ104" s="14"/>
      <c r="CK104" s="14"/>
      <c r="CL104" s="14"/>
      <c r="CM104" s="14"/>
      <c r="CN104" s="14"/>
      <c r="CO104" s="129"/>
      <c r="CP104" s="14"/>
      <c r="CQ104" s="47"/>
      <c r="CR104" s="14"/>
      <c r="CS104" s="14"/>
      <c r="CT104" s="14"/>
      <c r="CU104" s="14"/>
      <c r="CV104" s="180"/>
      <c r="CW104" s="190"/>
      <c r="CX104" s="191"/>
      <c r="CY104" s="52"/>
      <c r="CZ104" s="52"/>
      <c r="DA104" s="54"/>
      <c r="DB104" s="14"/>
      <c r="DC104" s="14"/>
      <c r="DD104" s="14"/>
      <c r="DE104" s="14"/>
      <c r="DF104" s="14"/>
      <c r="DG104" s="129"/>
      <c r="DH104" s="14"/>
      <c r="DI104" s="47"/>
      <c r="DJ104" s="14"/>
      <c r="DK104" s="62"/>
      <c r="DL104" s="19"/>
      <c r="DM104" s="59"/>
      <c r="DN104" s="14"/>
      <c r="DO104" s="14"/>
      <c r="DP104" s="86" t="s">
        <v>145</v>
      </c>
      <c r="DQ104" s="111">
        <f>COUNTIFS(S30_stakeholder_category,"PP",Response_Q172_1,"&lt;&gt;0",Response_Q173_5,"&lt;&gt;0")</f>
        <v>0</v>
      </c>
      <c r="DR104" s="119" t="str">
        <f>IF(DQ104=0,"",DQ104/DQ104)</f>
        <v/>
      </c>
      <c r="DS104" s="14"/>
      <c r="DT104" s="14"/>
      <c r="DU104" s="14"/>
      <c r="DV104" s="14"/>
      <c r="DW104" s="14"/>
      <c r="DX104" s="14"/>
      <c r="DY104" s="14"/>
      <c r="DZ104" s="14"/>
      <c r="EA104" s="14"/>
      <c r="EB104" s="14"/>
      <c r="EC104" s="14"/>
      <c r="ED104" s="14"/>
      <c r="EE104" s="14"/>
      <c r="EF104" s="14"/>
      <c r="EG104" s="14"/>
      <c r="EH104" s="14"/>
      <c r="EI104" s="14"/>
      <c r="EJ104" s="14"/>
      <c r="EK104" s="14"/>
      <c r="EL104" s="14"/>
    </row>
    <row r="105" spans="1:142" x14ac:dyDescent="0.25">
      <c r="A105" s="14"/>
      <c r="B105" s="62"/>
      <c r="C105" s="19"/>
      <c r="D105" s="59"/>
      <c r="E105" s="14"/>
      <c r="F105" s="14"/>
      <c r="G105" s="14"/>
      <c r="H105" s="21"/>
      <c r="I105" s="21"/>
      <c r="J105" s="14"/>
      <c r="K105" s="14"/>
      <c r="L105" s="14"/>
      <c r="M105" s="14"/>
      <c r="N105" s="14"/>
      <c r="O105" s="14"/>
      <c r="P105" s="14"/>
      <c r="Q105" s="47"/>
      <c r="R105" s="19"/>
      <c r="S105" s="62"/>
      <c r="T105" s="19"/>
      <c r="U105" s="59"/>
      <c r="V105" s="14"/>
      <c r="W105" s="14"/>
      <c r="X105" s="107" t="s">
        <v>39</v>
      </c>
      <c r="Y105" s="27">
        <f t="shared" si="58"/>
        <v>0</v>
      </c>
      <c r="Z105" s="41">
        <f t="shared" si="59"/>
        <v>0</v>
      </c>
      <c r="AA105" s="14"/>
      <c r="AB105" s="14"/>
      <c r="AC105" s="14"/>
      <c r="AD105" s="65"/>
      <c r="AE105" s="63"/>
      <c r="AF105" s="47"/>
      <c r="AG105" s="19"/>
      <c r="AH105" s="62"/>
      <c r="AI105" s="19"/>
      <c r="AJ105" s="59"/>
      <c r="AK105" s="14"/>
      <c r="AL105" s="14"/>
      <c r="AM105" s="107" t="s">
        <v>39</v>
      </c>
      <c r="AN105" s="27">
        <f t="shared" si="60"/>
        <v>0</v>
      </c>
      <c r="AO105" s="41">
        <f t="shared" si="64"/>
        <v>0</v>
      </c>
      <c r="AP105" s="14"/>
      <c r="AQ105" s="14"/>
      <c r="AR105" s="14"/>
      <c r="AS105" s="65"/>
      <c r="AT105" s="63"/>
      <c r="AU105" s="47"/>
      <c r="AV105" s="14"/>
      <c r="AW105" s="62"/>
      <c r="AX105" s="19"/>
      <c r="AY105" s="59"/>
      <c r="AZ105" s="14"/>
      <c r="BA105" s="14"/>
      <c r="BB105" s="107" t="s">
        <v>39</v>
      </c>
      <c r="BC105" s="27">
        <f t="shared" si="61"/>
        <v>0</v>
      </c>
      <c r="BD105" s="41">
        <f t="shared" si="65"/>
        <v>0</v>
      </c>
      <c r="BE105" s="14"/>
      <c r="BF105" s="14"/>
      <c r="BG105" s="14"/>
      <c r="BH105" s="65"/>
      <c r="BI105" s="63"/>
      <c r="BJ105" s="352"/>
      <c r="BK105" s="19"/>
      <c r="BL105" s="62"/>
      <c r="BM105" s="19"/>
      <c r="BN105" s="59"/>
      <c r="BO105" s="14"/>
      <c r="BP105" s="14"/>
      <c r="BQ105" s="107" t="s">
        <v>39</v>
      </c>
      <c r="BR105" s="27">
        <f t="shared" si="62"/>
        <v>0</v>
      </c>
      <c r="BS105" s="41">
        <f t="shared" si="66"/>
        <v>0</v>
      </c>
      <c r="BT105" s="14"/>
      <c r="BU105" s="14"/>
      <c r="BV105" s="14"/>
      <c r="BW105" s="65"/>
      <c r="BX105" s="63"/>
      <c r="BY105" s="352"/>
      <c r="BZ105" s="14"/>
      <c r="CA105" s="14"/>
      <c r="CB105" s="21"/>
      <c r="CC105" s="21"/>
      <c r="CD105" s="180"/>
      <c r="CE105" s="181"/>
      <c r="CF105" s="31"/>
      <c r="CG105" s="52"/>
      <c r="CH105" s="52"/>
      <c r="CI105" s="99"/>
      <c r="CJ105" s="14"/>
      <c r="CK105" s="14"/>
      <c r="CL105" s="14"/>
      <c r="CM105" s="14"/>
      <c r="CN105" s="14"/>
      <c r="CO105" s="129"/>
      <c r="CP105" s="14"/>
      <c r="CQ105" s="47"/>
      <c r="CR105" s="14"/>
      <c r="CS105" s="14"/>
      <c r="CT105" s="14"/>
      <c r="CU105" s="14"/>
      <c r="CV105" s="180"/>
      <c r="CW105" s="190"/>
      <c r="CX105" s="191"/>
      <c r="CY105" s="52"/>
      <c r="CZ105" s="52"/>
      <c r="DA105" s="54"/>
      <c r="DB105" s="14"/>
      <c r="DC105" s="14"/>
      <c r="DD105" s="14"/>
      <c r="DE105" s="14"/>
      <c r="DF105" s="14"/>
      <c r="DG105" s="129"/>
      <c r="DH105" s="14"/>
      <c r="DI105" s="47"/>
      <c r="DJ105" s="14"/>
      <c r="DK105" s="62"/>
      <c r="DL105" s="19"/>
      <c r="DM105" s="59"/>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row>
    <row r="106" spans="1:142" x14ac:dyDescent="0.25">
      <c r="A106" s="14"/>
      <c r="B106" s="62"/>
      <c r="C106" s="19"/>
      <c r="D106" s="59"/>
      <c r="E106" s="14"/>
      <c r="F106" s="14"/>
      <c r="G106" s="14"/>
      <c r="H106" s="21"/>
      <c r="I106" s="21"/>
      <c r="J106" s="14"/>
      <c r="K106" s="14"/>
      <c r="L106" s="14"/>
      <c r="M106" s="14"/>
      <c r="N106" s="14"/>
      <c r="O106" s="14"/>
      <c r="P106" s="14"/>
      <c r="Q106" s="47"/>
      <c r="R106" s="19"/>
      <c r="S106" s="62"/>
      <c r="T106" s="19"/>
      <c r="U106" s="59"/>
      <c r="V106" s="14"/>
      <c r="W106" s="14"/>
      <c r="X106" s="86" t="s">
        <v>145</v>
      </c>
      <c r="Y106" s="111">
        <f>COUNTIFS(S30_stakeholder_category,"PP",Response_Q176_3,"&lt;&gt;0")</f>
        <v>0</v>
      </c>
      <c r="Z106" s="119">
        <f t="shared" si="59"/>
        <v>0</v>
      </c>
      <c r="AA106" s="14"/>
      <c r="AB106" s="14"/>
      <c r="AC106" s="14"/>
      <c r="AD106" s="65"/>
      <c r="AE106" s="63"/>
      <c r="AF106" s="47"/>
      <c r="AG106" s="19"/>
      <c r="AH106" s="62"/>
      <c r="AI106" s="19"/>
      <c r="AJ106" s="59"/>
      <c r="AK106" s="14"/>
      <c r="AL106" s="14"/>
      <c r="AM106" s="86" t="s">
        <v>145</v>
      </c>
      <c r="AN106" s="111">
        <f>COUNTIFS(S30_stakeholder_category,"PP",Response_30c_CaseA,"&lt;&gt;0")</f>
        <v>1</v>
      </c>
      <c r="AO106" s="119">
        <f>IFERROR(AN106/AN$106,0)</f>
        <v>1</v>
      </c>
      <c r="AP106" s="14"/>
      <c r="AQ106" s="14"/>
      <c r="AR106" s="14"/>
      <c r="AS106" s="65"/>
      <c r="AT106" s="63"/>
      <c r="AU106" s="47"/>
      <c r="AV106" s="14"/>
      <c r="AW106" s="62"/>
      <c r="AX106" s="19"/>
      <c r="AY106" s="59"/>
      <c r="AZ106" s="14"/>
      <c r="BA106" s="14"/>
      <c r="BB106" s="86" t="s">
        <v>145</v>
      </c>
      <c r="BC106" s="111">
        <f>COUNTIFS(S30_stakeholder_category,"PP",Response_30c_CaseB,"&lt;&gt;0")</f>
        <v>1</v>
      </c>
      <c r="BD106" s="119">
        <f>IFERROR(BC106/BC$106,0)</f>
        <v>1</v>
      </c>
      <c r="BE106" s="14"/>
      <c r="BF106" s="14"/>
      <c r="BG106" s="14"/>
      <c r="BH106" s="65"/>
      <c r="BI106" s="63"/>
      <c r="BJ106" s="352"/>
      <c r="BK106" s="19"/>
      <c r="BL106" s="62"/>
      <c r="BM106" s="19"/>
      <c r="BN106" s="59"/>
      <c r="BO106" s="14"/>
      <c r="BP106" s="14"/>
      <c r="BQ106" s="86" t="s">
        <v>145</v>
      </c>
      <c r="BR106" s="111">
        <f>COUNTIFS(S30_stakeholder_category,"PP",Response_30c_CaseC,"&lt;&gt;0")</f>
        <v>1</v>
      </c>
      <c r="BS106" s="119">
        <f>IFERROR(BR106/BR$106,0)</f>
        <v>1</v>
      </c>
      <c r="BT106" s="14"/>
      <c r="BU106" s="14"/>
      <c r="BV106" s="14"/>
      <c r="BW106" s="65"/>
      <c r="BX106" s="63"/>
      <c r="BY106" s="352"/>
      <c r="BZ106" s="14"/>
      <c r="CA106" s="14"/>
      <c r="CB106" s="21"/>
      <c r="CC106" s="21"/>
      <c r="CD106" s="180"/>
      <c r="CE106" s="181"/>
      <c r="CF106" s="31"/>
      <c r="CG106" s="52"/>
      <c r="CH106" s="52"/>
      <c r="CI106" s="99"/>
      <c r="CJ106" s="14"/>
      <c r="CK106" s="14"/>
      <c r="CL106" s="14"/>
      <c r="CM106" s="14"/>
      <c r="CN106" s="14"/>
      <c r="CO106" s="129"/>
      <c r="CP106" s="14"/>
      <c r="CQ106" s="47"/>
      <c r="CR106" s="14"/>
      <c r="CS106" s="14"/>
      <c r="CT106" s="14"/>
      <c r="CU106" s="14"/>
      <c r="CV106" s="180"/>
      <c r="CW106" s="190"/>
      <c r="CX106" s="191"/>
      <c r="CY106" s="52"/>
      <c r="CZ106" s="52"/>
      <c r="DA106" s="54"/>
      <c r="DB106" s="14"/>
      <c r="DC106" s="14"/>
      <c r="DD106" s="14"/>
      <c r="DE106" s="14"/>
      <c r="DF106" s="14"/>
      <c r="DG106" s="129"/>
      <c r="DH106" s="14"/>
      <c r="DI106" s="47"/>
      <c r="DJ106" s="14"/>
      <c r="DK106" s="62"/>
      <c r="DL106" s="19"/>
      <c r="DM106" s="59"/>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row>
    <row r="107" spans="1:142" s="135" customFormat="1" ht="16.5" customHeight="1" x14ac:dyDescent="0.25">
      <c r="A107" s="14"/>
      <c r="B107" s="13"/>
      <c r="C107" s="13"/>
      <c r="D107" s="21"/>
      <c r="E107" s="14"/>
      <c r="F107" s="14"/>
      <c r="G107" s="14"/>
      <c r="H107" s="21"/>
      <c r="I107" s="21"/>
      <c r="J107" s="14"/>
      <c r="K107" s="14"/>
      <c r="L107" s="14"/>
      <c r="M107" s="14"/>
      <c r="N107" s="14"/>
      <c r="O107" s="14"/>
      <c r="P107" s="14"/>
      <c r="Q107" s="47"/>
      <c r="R107" s="19"/>
      <c r="S107" s="13"/>
      <c r="T107" s="13"/>
      <c r="U107" s="21"/>
      <c r="V107" s="14"/>
      <c r="W107" s="14"/>
      <c r="X107" s="14"/>
      <c r="Y107" s="14"/>
      <c r="Z107" s="14"/>
      <c r="AA107" s="14"/>
      <c r="AB107" s="14"/>
      <c r="AC107" s="14"/>
      <c r="AD107" s="65"/>
      <c r="AE107" s="63"/>
      <c r="AF107" s="47"/>
      <c r="AG107" s="19"/>
      <c r="AH107" s="13"/>
      <c r="AI107" s="13"/>
      <c r="AJ107" s="21"/>
      <c r="AK107" s="14"/>
      <c r="AL107" s="14"/>
      <c r="AM107" s="14"/>
      <c r="AN107" s="14"/>
      <c r="AO107" s="14"/>
      <c r="AP107" s="14"/>
      <c r="AQ107" s="14"/>
      <c r="AR107" s="14"/>
      <c r="AS107" s="65"/>
      <c r="AT107" s="63"/>
      <c r="AU107" s="47"/>
      <c r="AV107" s="14"/>
      <c r="AW107" s="13"/>
      <c r="AX107" s="13"/>
      <c r="AY107" s="21"/>
      <c r="AZ107" s="14"/>
      <c r="BA107" s="14"/>
      <c r="BB107" s="14"/>
      <c r="BC107" s="14"/>
      <c r="BD107" s="14"/>
      <c r="BE107" s="14"/>
      <c r="BF107" s="14"/>
      <c r="BG107" s="14"/>
      <c r="BH107" s="65"/>
      <c r="BI107" s="63"/>
      <c r="BJ107" s="352"/>
      <c r="BK107" s="19"/>
      <c r="BL107" s="13"/>
      <c r="BM107" s="13"/>
      <c r="BN107" s="21"/>
      <c r="BO107" s="14"/>
      <c r="BP107" s="14"/>
      <c r="BQ107" s="14"/>
      <c r="BR107" s="14"/>
      <c r="BS107" s="14"/>
      <c r="BT107" s="14"/>
      <c r="BU107" s="14"/>
      <c r="BV107" s="14"/>
      <c r="BW107" s="65"/>
      <c r="BX107" s="63"/>
      <c r="BY107" s="352"/>
      <c r="BZ107" s="14"/>
      <c r="CA107" s="14"/>
      <c r="CB107" s="98"/>
      <c r="CC107" s="21"/>
      <c r="CD107" s="180"/>
      <c r="CE107" s="181"/>
      <c r="CF107" s="31"/>
      <c r="CG107" s="31"/>
      <c r="CH107" s="31"/>
      <c r="CI107" s="14"/>
      <c r="CJ107" s="14"/>
      <c r="CK107" s="14"/>
      <c r="CL107" s="14"/>
      <c r="CM107" s="14"/>
      <c r="CN107" s="14"/>
      <c r="CO107" s="129"/>
      <c r="CP107" s="14"/>
      <c r="CQ107" s="47"/>
      <c r="CR107" s="14"/>
      <c r="CS107" s="14"/>
      <c r="CT107" s="14"/>
      <c r="CU107" s="14"/>
      <c r="CV107" s="180"/>
      <c r="CW107" s="190"/>
      <c r="CX107" s="191"/>
      <c r="CY107" s="31"/>
      <c r="CZ107" s="31"/>
      <c r="DA107" s="14"/>
      <c r="DB107" s="14"/>
      <c r="DC107" s="14"/>
      <c r="DD107" s="14"/>
      <c r="DE107" s="14"/>
      <c r="DF107" s="14"/>
      <c r="DG107" s="129"/>
      <c r="DH107" s="14"/>
      <c r="DI107" s="47"/>
      <c r="DJ107" s="14"/>
      <c r="DK107" s="13"/>
      <c r="DL107" s="13"/>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row>
    <row r="108" spans="1:142" s="131" customFormat="1" x14ac:dyDescent="0.25">
      <c r="A108" s="78"/>
      <c r="B108" s="78" t="s">
        <v>22</v>
      </c>
      <c r="C108" s="78" t="s">
        <v>136</v>
      </c>
      <c r="D108" s="79"/>
      <c r="E108" s="78"/>
      <c r="F108" s="78"/>
      <c r="G108" s="78"/>
      <c r="H108" s="79"/>
      <c r="I108" s="79"/>
      <c r="J108" s="78"/>
      <c r="K108" s="78"/>
      <c r="L108" s="78"/>
      <c r="M108" s="78"/>
      <c r="N108" s="78"/>
      <c r="O108" s="78"/>
      <c r="P108" s="78"/>
      <c r="Q108" s="82"/>
      <c r="R108" s="83"/>
      <c r="S108" s="78" t="str">
        <f>$B108</f>
        <v>Pellet users</v>
      </c>
      <c r="T108" s="78"/>
      <c r="U108" s="78"/>
      <c r="V108" s="78"/>
      <c r="W108" s="78"/>
      <c r="X108" s="78"/>
      <c r="Y108" s="78"/>
      <c r="Z108" s="78"/>
      <c r="AA108" s="78"/>
      <c r="AB108" s="78"/>
      <c r="AC108" s="78"/>
      <c r="AD108" s="80"/>
      <c r="AE108" s="81"/>
      <c r="AF108" s="82"/>
      <c r="AG108" s="83"/>
      <c r="AH108" s="78" t="str">
        <f>$B108</f>
        <v>Pellet users</v>
      </c>
      <c r="AI108" s="78"/>
      <c r="AJ108" s="78"/>
      <c r="AK108" s="78"/>
      <c r="AL108" s="78"/>
      <c r="AM108" s="78"/>
      <c r="AN108" s="78"/>
      <c r="AO108" s="78"/>
      <c r="AP108" s="78"/>
      <c r="AQ108" s="78"/>
      <c r="AR108" s="78"/>
      <c r="AS108" s="80"/>
      <c r="AT108" s="81"/>
      <c r="AU108" s="82"/>
      <c r="AV108" s="78"/>
      <c r="AW108" s="78" t="str">
        <f>$B108</f>
        <v>Pellet users</v>
      </c>
      <c r="AX108" s="78"/>
      <c r="AY108" s="78"/>
      <c r="AZ108" s="78"/>
      <c r="BA108" s="78"/>
      <c r="BB108" s="78"/>
      <c r="BC108" s="78"/>
      <c r="BD108" s="78"/>
      <c r="BE108" s="78"/>
      <c r="BF108" s="78"/>
      <c r="BG108" s="78"/>
      <c r="BH108" s="80"/>
      <c r="BI108" s="81"/>
      <c r="BJ108" s="373"/>
      <c r="BK108" s="83"/>
      <c r="BL108" s="78" t="str">
        <f>$B108</f>
        <v>Pellet users</v>
      </c>
      <c r="BM108" s="78"/>
      <c r="BN108" s="78"/>
      <c r="BO108" s="78"/>
      <c r="BP108" s="78"/>
      <c r="BQ108" s="78"/>
      <c r="BR108" s="78"/>
      <c r="BS108" s="78"/>
      <c r="BT108" s="78"/>
      <c r="BU108" s="78"/>
      <c r="BV108" s="78"/>
      <c r="BW108" s="80"/>
      <c r="BX108" s="81"/>
      <c r="BY108" s="373"/>
      <c r="BZ108" s="78"/>
      <c r="CA108" s="78" t="str">
        <f>$B108</f>
        <v>Pellet users</v>
      </c>
      <c r="CB108" s="79"/>
      <c r="CC108" s="79"/>
      <c r="CD108" s="182"/>
      <c r="CE108" s="182"/>
      <c r="CF108" s="79"/>
      <c r="CG108" s="78"/>
      <c r="CH108" s="78"/>
      <c r="CI108" s="78"/>
      <c r="CJ108" s="78"/>
      <c r="CK108" s="78"/>
      <c r="CL108" s="78"/>
      <c r="CM108" s="78"/>
      <c r="CN108" s="78"/>
      <c r="CO108" s="78"/>
      <c r="CP108" s="78"/>
      <c r="CQ108" s="82"/>
      <c r="CR108" s="78"/>
      <c r="CS108" s="78" t="str">
        <f>$B108</f>
        <v>Pellet users</v>
      </c>
      <c r="CT108" s="78"/>
      <c r="CU108" s="78"/>
      <c r="CV108" s="182"/>
      <c r="CW108" s="192"/>
      <c r="CX108" s="192"/>
      <c r="CY108" s="78"/>
      <c r="CZ108" s="78"/>
      <c r="DA108" s="78"/>
      <c r="DB108" s="78"/>
      <c r="DC108" s="78"/>
      <c r="DD108" s="78"/>
      <c r="DE108" s="78"/>
      <c r="DF108" s="78"/>
      <c r="DG108" s="78"/>
      <c r="DH108" s="78"/>
      <c r="DI108" s="82"/>
      <c r="DJ108" s="78"/>
      <c r="DK108" s="78" t="str">
        <f>$B108</f>
        <v>Pellet users</v>
      </c>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row>
    <row r="109" spans="1:142" x14ac:dyDescent="0.25">
      <c r="A109" s="14"/>
      <c r="B109" s="84" t="s">
        <v>301</v>
      </c>
      <c r="C109" s="84"/>
      <c r="D109" s="85"/>
      <c r="E109" s="84"/>
      <c r="F109" s="14"/>
      <c r="G109" s="14"/>
      <c r="H109" s="21"/>
      <c r="I109" s="21"/>
      <c r="J109" s="14"/>
      <c r="K109" s="14"/>
      <c r="L109" s="14"/>
      <c r="M109" s="14"/>
      <c r="N109" s="14"/>
      <c r="O109" s="14"/>
      <c r="P109" s="14"/>
      <c r="Q109" s="47"/>
      <c r="R109" s="19"/>
      <c r="S109" s="84" t="s">
        <v>322</v>
      </c>
      <c r="T109" s="84"/>
      <c r="U109" s="85"/>
      <c r="V109" s="84"/>
      <c r="W109" s="14"/>
      <c r="X109" s="14"/>
      <c r="Y109" s="14"/>
      <c r="Z109" s="14"/>
      <c r="AA109" s="14"/>
      <c r="AB109" s="14"/>
      <c r="AC109" s="14"/>
      <c r="AD109" s="65"/>
      <c r="AE109" s="63"/>
      <c r="AF109" s="47"/>
      <c r="AG109" s="19"/>
      <c r="AH109" s="84" t="s">
        <v>328</v>
      </c>
      <c r="AI109" s="84"/>
      <c r="AJ109" s="85"/>
      <c r="AK109" s="84"/>
      <c r="AL109" s="84"/>
      <c r="AM109" s="14"/>
      <c r="AN109" s="14"/>
      <c r="AO109" s="14"/>
      <c r="AP109" s="14"/>
      <c r="AQ109" s="14"/>
      <c r="AR109" s="14"/>
      <c r="AS109" s="65"/>
      <c r="AT109" s="63"/>
      <c r="AU109" s="47"/>
      <c r="AV109" s="14"/>
      <c r="AW109" s="84" t="s">
        <v>347</v>
      </c>
      <c r="AX109" s="84"/>
      <c r="AY109" s="85"/>
      <c r="AZ109" s="84"/>
      <c r="BA109" s="84"/>
      <c r="BB109" s="14"/>
      <c r="BC109" s="14"/>
      <c r="BD109" s="14"/>
      <c r="BE109" s="14"/>
      <c r="BF109" s="14"/>
      <c r="BG109" s="14"/>
      <c r="BH109" s="65"/>
      <c r="BI109" s="63"/>
      <c r="BJ109" s="352"/>
      <c r="BK109" s="19"/>
      <c r="BL109" s="84" t="s">
        <v>348</v>
      </c>
      <c r="BM109" s="84"/>
      <c r="BN109" s="85"/>
      <c r="BO109" s="84"/>
      <c r="BP109" s="84"/>
      <c r="BQ109" s="14"/>
      <c r="BR109" s="14"/>
      <c r="BS109" s="14"/>
      <c r="BT109" s="14"/>
      <c r="BU109" s="14"/>
      <c r="BV109" s="14"/>
      <c r="BW109" s="65"/>
      <c r="BX109" s="63"/>
      <c r="BY109" s="352"/>
      <c r="BZ109" s="14"/>
      <c r="CA109" s="148" t="s">
        <v>303</v>
      </c>
      <c r="CB109" s="85"/>
      <c r="CC109" s="85"/>
      <c r="CD109" s="185"/>
      <c r="CE109" s="185"/>
      <c r="CF109" s="152"/>
      <c r="CG109" s="14"/>
      <c r="CH109" s="14"/>
      <c r="CI109" s="14"/>
      <c r="CJ109" s="14"/>
      <c r="CK109" s="14"/>
      <c r="CL109" s="14"/>
      <c r="CM109" s="14"/>
      <c r="CN109" s="14"/>
      <c r="CO109" s="129"/>
      <c r="CP109" s="14"/>
      <c r="CQ109" s="47"/>
      <c r="CR109" s="14"/>
      <c r="CS109" s="148" t="s">
        <v>304</v>
      </c>
      <c r="CT109" s="84"/>
      <c r="CU109" s="85"/>
      <c r="CV109" s="186"/>
      <c r="CW109" s="193"/>
      <c r="CX109" s="193"/>
      <c r="CY109" s="14"/>
      <c r="CZ109" s="14"/>
      <c r="DA109" s="14"/>
      <c r="DB109" s="14"/>
      <c r="DC109" s="14"/>
      <c r="DD109" s="14"/>
      <c r="DE109" s="14"/>
      <c r="DF109" s="14"/>
      <c r="DG109" s="129"/>
      <c r="DH109" s="14"/>
      <c r="DI109" s="47"/>
      <c r="DJ109" s="14"/>
      <c r="DK109" s="84" t="s">
        <v>305</v>
      </c>
      <c r="DL109" s="84"/>
      <c r="DM109" s="85"/>
      <c r="DN109" s="8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row>
    <row r="110" spans="1:142" x14ac:dyDescent="0.25">
      <c r="A110" s="14"/>
      <c r="B110" s="14"/>
      <c r="C110" s="14"/>
      <c r="D110" s="15"/>
      <c r="E110" s="14"/>
      <c r="F110" s="14"/>
      <c r="G110" s="14"/>
      <c r="H110" s="21"/>
      <c r="I110" s="21"/>
      <c r="J110" s="14"/>
      <c r="K110" s="14"/>
      <c r="L110" s="14"/>
      <c r="M110" s="14"/>
      <c r="N110" s="14"/>
      <c r="O110" s="14"/>
      <c r="P110" s="14"/>
      <c r="Q110" s="47"/>
      <c r="R110" s="19"/>
      <c r="S110" s="14"/>
      <c r="T110" s="14"/>
      <c r="U110" s="15"/>
      <c r="V110" s="14"/>
      <c r="W110" s="14"/>
      <c r="X110" s="14"/>
      <c r="Y110" s="14"/>
      <c r="Z110" s="14"/>
      <c r="AA110" s="14"/>
      <c r="AB110" s="14"/>
      <c r="AC110" s="14"/>
      <c r="AD110" s="65"/>
      <c r="AE110" s="63"/>
      <c r="AF110" s="47"/>
      <c r="AG110" s="19"/>
      <c r="AH110" s="14"/>
      <c r="AI110" s="14"/>
      <c r="AJ110" s="15"/>
      <c r="AK110" s="14"/>
      <c r="AL110" s="14"/>
      <c r="AM110" s="14"/>
      <c r="AN110" s="14"/>
      <c r="AO110" s="14"/>
      <c r="AP110" s="14"/>
      <c r="AQ110" s="14"/>
      <c r="AR110" s="14"/>
      <c r="AS110" s="65"/>
      <c r="AT110" s="63"/>
      <c r="AU110" s="47"/>
      <c r="AV110" s="14"/>
      <c r="AW110" s="14"/>
      <c r="AX110" s="14"/>
      <c r="AY110" s="15"/>
      <c r="AZ110" s="14"/>
      <c r="BA110" s="14"/>
      <c r="BB110" s="14"/>
      <c r="BC110" s="14"/>
      <c r="BD110" s="14"/>
      <c r="BE110" s="14"/>
      <c r="BF110" s="14"/>
      <c r="BG110" s="14"/>
      <c r="BH110" s="65"/>
      <c r="BI110" s="63"/>
      <c r="BJ110" s="352"/>
      <c r="BK110" s="19"/>
      <c r="BL110" s="14"/>
      <c r="BM110" s="14"/>
      <c r="BN110" s="15"/>
      <c r="BO110" s="14"/>
      <c r="BP110" s="14"/>
      <c r="BQ110" s="14"/>
      <c r="BR110" s="14"/>
      <c r="BS110" s="14"/>
      <c r="BT110" s="14"/>
      <c r="BU110" s="14"/>
      <c r="BV110" s="14"/>
      <c r="BW110" s="65"/>
      <c r="BX110" s="63"/>
      <c r="BY110" s="352"/>
      <c r="BZ110" s="14"/>
      <c r="CA110" s="14"/>
      <c r="CB110" s="21"/>
      <c r="CC110" s="21"/>
      <c r="CD110" s="180"/>
      <c r="CE110" s="180"/>
      <c r="CF110" s="21"/>
      <c r="CG110" s="14"/>
      <c r="CH110" s="14"/>
      <c r="CI110" s="14"/>
      <c r="CJ110" s="14"/>
      <c r="CK110" s="14"/>
      <c r="CL110" s="14"/>
      <c r="CM110" s="14"/>
      <c r="CN110" s="14"/>
      <c r="CO110" s="129"/>
      <c r="CP110" s="14"/>
      <c r="CQ110" s="47"/>
      <c r="CR110" s="14"/>
      <c r="CS110" s="14"/>
      <c r="CT110" s="14"/>
      <c r="CU110" s="14"/>
      <c r="CV110" s="180"/>
      <c r="CW110" s="189"/>
      <c r="CX110" s="189"/>
      <c r="CY110" s="14"/>
      <c r="CZ110" s="14"/>
      <c r="DA110" s="14"/>
      <c r="DB110" s="14"/>
      <c r="DC110" s="14"/>
      <c r="DD110" s="14"/>
      <c r="DE110" s="14"/>
      <c r="DF110" s="14"/>
      <c r="DG110" s="129"/>
      <c r="DH110" s="14"/>
      <c r="DI110" s="47"/>
      <c r="DJ110" s="14"/>
      <c r="DK110" s="14"/>
      <c r="DL110" s="14"/>
      <c r="DM110" s="15"/>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row>
    <row r="111" spans="1:142" ht="27.6" x14ac:dyDescent="0.25">
      <c r="A111" s="14"/>
      <c r="B111" s="112" t="s">
        <v>23</v>
      </c>
      <c r="C111" s="113" t="s">
        <v>24</v>
      </c>
      <c r="D111" s="113" t="s">
        <v>145</v>
      </c>
      <c r="E111" s="113" t="s">
        <v>300</v>
      </c>
      <c r="F111" s="14"/>
      <c r="G111" s="14"/>
      <c r="H111" s="21"/>
      <c r="I111" s="21"/>
      <c r="J111" s="14"/>
      <c r="K111" s="19"/>
      <c r="L111" s="51"/>
      <c r="M111" s="51"/>
      <c r="N111" s="51"/>
      <c r="O111" s="51"/>
      <c r="P111" s="51"/>
      <c r="Q111" s="47"/>
      <c r="R111" s="19"/>
      <c r="S111" s="112" t="s">
        <v>23</v>
      </c>
      <c r="T111" s="113" t="s">
        <v>24</v>
      </c>
      <c r="U111" s="113" t="s">
        <v>145</v>
      </c>
      <c r="V111" s="113" t="s">
        <v>300</v>
      </c>
      <c r="W111" s="14"/>
      <c r="X111" s="14"/>
      <c r="Y111" s="14"/>
      <c r="Z111" s="14"/>
      <c r="AA111" s="56"/>
      <c r="AB111" s="56"/>
      <c r="AC111" s="56"/>
      <c r="AD111" s="65"/>
      <c r="AE111" s="63"/>
      <c r="AF111" s="47"/>
      <c r="AG111" s="19"/>
      <c r="AH111" s="112" t="s">
        <v>23</v>
      </c>
      <c r="AI111" s="113" t="s">
        <v>24</v>
      </c>
      <c r="AJ111" s="113" t="s">
        <v>145</v>
      </c>
      <c r="AK111" s="113" t="s">
        <v>300</v>
      </c>
      <c r="AL111" s="14"/>
      <c r="AM111" s="14"/>
      <c r="AN111" s="14"/>
      <c r="AO111" s="14"/>
      <c r="AP111" s="56"/>
      <c r="AQ111" s="56"/>
      <c r="AR111" s="56"/>
      <c r="AS111" s="65"/>
      <c r="AT111" s="63"/>
      <c r="AU111" s="47"/>
      <c r="AV111" s="14"/>
      <c r="AW111" s="112" t="s">
        <v>23</v>
      </c>
      <c r="AX111" s="113" t="s">
        <v>24</v>
      </c>
      <c r="AY111" s="113" t="s">
        <v>145</v>
      </c>
      <c r="AZ111" s="113" t="s">
        <v>300</v>
      </c>
      <c r="BA111" s="14"/>
      <c r="BB111" s="14"/>
      <c r="BC111" s="14"/>
      <c r="BD111" s="14"/>
      <c r="BE111" s="56"/>
      <c r="BF111" s="56"/>
      <c r="BG111" s="56"/>
      <c r="BH111" s="65"/>
      <c r="BI111" s="63"/>
      <c r="BJ111" s="352"/>
      <c r="BK111" s="19"/>
      <c r="BL111" s="112" t="s">
        <v>23</v>
      </c>
      <c r="BM111" s="113" t="s">
        <v>24</v>
      </c>
      <c r="BN111" s="113" t="s">
        <v>145</v>
      </c>
      <c r="BO111" s="113" t="s">
        <v>300</v>
      </c>
      <c r="BP111" s="14"/>
      <c r="BQ111" s="14"/>
      <c r="BR111" s="14"/>
      <c r="BS111" s="14"/>
      <c r="BT111" s="56"/>
      <c r="BU111" s="56"/>
      <c r="BV111" s="56"/>
      <c r="BW111" s="65"/>
      <c r="BX111" s="63"/>
      <c r="BY111" s="352"/>
      <c r="BZ111" s="14"/>
      <c r="CA111" s="112" t="s">
        <v>23</v>
      </c>
      <c r="CB111" s="113" t="s">
        <v>145</v>
      </c>
      <c r="CC111" s="21"/>
      <c r="CD111" s="180"/>
      <c r="CE111" s="180"/>
      <c r="CF111" s="21"/>
      <c r="CG111" s="14"/>
      <c r="CH111" s="14"/>
      <c r="CI111" s="14"/>
      <c r="CJ111" s="14"/>
      <c r="CK111" s="14"/>
      <c r="CL111" s="14"/>
      <c r="CM111" s="14"/>
      <c r="CN111" s="14"/>
      <c r="CO111" s="129"/>
      <c r="CP111" s="17"/>
      <c r="CQ111" s="47"/>
      <c r="CR111" s="14"/>
      <c r="CS111" s="112" t="s">
        <v>23</v>
      </c>
      <c r="CT111" s="113" t="s">
        <v>145</v>
      </c>
      <c r="CU111" s="14"/>
      <c r="CV111" s="180"/>
      <c r="CW111" s="189"/>
      <c r="CX111" s="189"/>
      <c r="CY111" s="14"/>
      <c r="CZ111" s="14"/>
      <c r="DA111" s="14"/>
      <c r="DB111" s="14"/>
      <c r="DC111" s="14"/>
      <c r="DD111" s="14"/>
      <c r="DE111" s="14"/>
      <c r="DF111" s="14"/>
      <c r="DG111" s="129"/>
      <c r="DH111" s="17"/>
      <c r="DI111" s="47"/>
      <c r="DJ111" s="17"/>
      <c r="DK111" s="112" t="s">
        <v>23</v>
      </c>
      <c r="DL111" s="113" t="s">
        <v>24</v>
      </c>
      <c r="DM111" s="113" t="s">
        <v>145</v>
      </c>
      <c r="DN111" s="113" t="s">
        <v>300</v>
      </c>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row>
    <row r="112" spans="1:142" x14ac:dyDescent="0.25">
      <c r="A112" s="14"/>
      <c r="B112" s="57" t="s">
        <v>22</v>
      </c>
      <c r="C112" s="121" t="str">
        <f>IF(H131=0,"na",IF(COUNTIF(H126:H130,MAX(H126:H130))&gt;COUNTIF(G126:G130,"&lt;&gt;""")/2,"No clear choice of the most common response",INDEX(G126:G130,MATCH(MAX(H126:H130),H126:H130,0),1)))</f>
        <v>Definitely not</v>
      </c>
      <c r="D112" s="58">
        <f>COUNTIFS(S30_stakeholder_category,"PU",Response_Q173_5,"&lt;&gt;0")</f>
        <v>1</v>
      </c>
      <c r="E112" s="121">
        <f>COUNTIFS(S30_stakeholder_category,"PU",Response_Q173_5,"I don’t know")</f>
        <v>0</v>
      </c>
      <c r="F112" s="14"/>
      <c r="G112" s="14"/>
      <c r="H112" s="21"/>
      <c r="I112" s="21"/>
      <c r="J112" s="14"/>
      <c r="K112" s="19"/>
      <c r="L112" s="40"/>
      <c r="M112" s="40"/>
      <c r="N112" s="40"/>
      <c r="O112" s="40"/>
      <c r="P112" s="40"/>
      <c r="Q112" s="47"/>
      <c r="R112" s="19"/>
      <c r="S112" s="34" t="s">
        <v>22</v>
      </c>
      <c r="T112" s="37" t="str">
        <f>IF(Y133=0,"na",IF(COUNTIF(Y126:Y132,MAX(Y126:Y132))&gt;COUNTIF(X126:X132,"&lt;&gt;""")/2,"No clear choice of the most common response",INDEX(X126:X132,MATCH(MAX(Y126:Y132),Y126:Y132,0),1)))</f>
        <v>Unlikely</v>
      </c>
      <c r="U112" s="33">
        <f>COUNTIFS(S30_stakeholder_category,"PU",Response_Q176_3,"&lt;&gt;0")</f>
        <v>1</v>
      </c>
      <c r="V112" s="37">
        <f>COUNTIFS(S30_stakeholder_category,"PU",Response_Q176_3,"I don’t know")</f>
        <v>0</v>
      </c>
      <c r="W112" s="14"/>
      <c r="X112" s="14"/>
      <c r="Y112" s="14"/>
      <c r="Z112" s="14"/>
      <c r="AA112" s="19"/>
      <c r="AB112" s="19"/>
      <c r="AC112" s="19"/>
      <c r="AD112" s="65"/>
      <c r="AE112" s="63"/>
      <c r="AF112" s="47"/>
      <c r="AG112" s="19"/>
      <c r="AH112" s="57" t="s">
        <v>22</v>
      </c>
      <c r="AI112" s="121" t="str">
        <f>IF(AN133=0,"na",IF(COUNTIF(AN126:AN132,MAX(AN126:AN132))&gt;COUNTIF(AM126:AM132,"&lt;&gt;""")/2,"No clear choice of the most common response",INDEX(AM126:AM132,MATCH(MAX(AN126:AN132),AN126:AN132,0),1)))</f>
        <v>Unlikely</v>
      </c>
      <c r="AJ112" s="58">
        <f>COUNTIFS(S30_stakeholder_category,"PU",Response_30c_CaseA,"&lt;&gt;0")</f>
        <v>1</v>
      </c>
      <c r="AK112" s="121">
        <f>COUNTIFS(S30_stakeholder_category,"PU",Response_30c_CaseA,"I don’t know")</f>
        <v>0</v>
      </c>
      <c r="AL112" s="14"/>
      <c r="AM112" s="14"/>
      <c r="AN112" s="14"/>
      <c r="AO112" s="14"/>
      <c r="AP112" s="19"/>
      <c r="AQ112" s="19"/>
      <c r="AR112" s="19"/>
      <c r="AS112" s="65"/>
      <c r="AT112" s="63"/>
      <c r="AU112" s="47"/>
      <c r="AV112" s="14"/>
      <c r="AW112" s="57" t="s">
        <v>22</v>
      </c>
      <c r="AX112" s="121" t="str">
        <f>IF(BC133=0,"na",IF(COUNTIF(BC126:BC132,MAX(BC126:BC132))&gt;COUNTIF(BB126:BB132,"&lt;&gt;""")/2,"No clear choice of the most common response",INDEX(BB126:BB132,MATCH(MAX(BC126:BC132),BC126:BC132,0),1)))</f>
        <v>Unlikely</v>
      </c>
      <c r="AY112" s="58">
        <f>COUNTIFS(S30_stakeholder_category,"PU",Response_30c_CaseB,"&lt;&gt;0")</f>
        <v>1</v>
      </c>
      <c r="AZ112" s="121">
        <f>COUNTIFS(S30_stakeholder_category,"PU",Response_30c_CaseB,"I don’t know")</f>
        <v>0</v>
      </c>
      <c r="BA112" s="14"/>
      <c r="BB112" s="14"/>
      <c r="BC112" s="14"/>
      <c r="BD112" s="14"/>
      <c r="BE112" s="19"/>
      <c r="BF112" s="19"/>
      <c r="BG112" s="19"/>
      <c r="BH112" s="65"/>
      <c r="BI112" s="63"/>
      <c r="BJ112" s="352"/>
      <c r="BK112" s="19"/>
      <c r="BL112" s="57" t="s">
        <v>22</v>
      </c>
      <c r="BM112" s="121" t="str">
        <f>IF(BR133=0,"na",IF(COUNTIF(BR126:BR132,MAX(BR126:BR132))&gt;COUNTIF(BQ126:BQ132,"&lt;&gt;""")/2,"No clear choice of the most common response",INDEX(BQ126:BQ132,MATCH(MAX(BR126:BR132),BR126:BR132,0),1)))</f>
        <v>Unlikely</v>
      </c>
      <c r="BN112" s="58">
        <f>COUNTIFS(S30_stakeholder_category,"PU",Response_30c_CaseC,"&lt;&gt;0")</f>
        <v>1</v>
      </c>
      <c r="BO112" s="121">
        <f>COUNTIFS(S30_stakeholder_category,"PU",Response_30c_CaseC,"I don’t know")</f>
        <v>0</v>
      </c>
      <c r="BP112" s="14"/>
      <c r="BQ112" s="14"/>
      <c r="BR112" s="14"/>
      <c r="BS112" s="14"/>
      <c r="BT112" s="19"/>
      <c r="BU112" s="19"/>
      <c r="BV112" s="19"/>
      <c r="BW112" s="65"/>
      <c r="BX112" s="63"/>
      <c r="BY112" s="352"/>
      <c r="BZ112" s="14"/>
      <c r="CA112" s="34" t="s">
        <v>22</v>
      </c>
      <c r="CB112" s="37">
        <f>MAX(SUM(CC118:CC124),SUM(CD118:CD124),SUM(CE118:CE124))</f>
        <v>1</v>
      </c>
      <c r="CC112" s="21"/>
      <c r="CD112" s="180"/>
      <c r="CE112" s="180"/>
      <c r="CF112" s="21"/>
      <c r="CG112" s="14"/>
      <c r="CH112" s="14"/>
      <c r="CI112" s="14"/>
      <c r="CJ112" s="14"/>
      <c r="CK112" s="14"/>
      <c r="CL112" s="14"/>
      <c r="CM112" s="14"/>
      <c r="CN112" s="14"/>
      <c r="CO112" s="129"/>
      <c r="CP112" s="29"/>
      <c r="CQ112" s="47"/>
      <c r="CR112" s="14"/>
      <c r="CS112" s="34" t="s">
        <v>22</v>
      </c>
      <c r="CT112" s="37">
        <f>MAX(SUM(CU118:CU124),SUM(CV118:CV124),SUM(CW118:CW124))</f>
        <v>0</v>
      </c>
      <c r="CU112" s="14"/>
      <c r="CV112" s="180"/>
      <c r="CW112" s="189"/>
      <c r="CX112" s="189"/>
      <c r="CY112" s="14"/>
      <c r="CZ112" s="14"/>
      <c r="DA112" s="14"/>
      <c r="DB112" s="14"/>
      <c r="DC112" s="14"/>
      <c r="DD112" s="14"/>
      <c r="DE112" s="14"/>
      <c r="DF112" s="14"/>
      <c r="DG112" s="129"/>
      <c r="DH112" s="29"/>
      <c r="DI112" s="47"/>
      <c r="DJ112" s="29"/>
      <c r="DK112" s="34" t="s">
        <v>22</v>
      </c>
      <c r="DL112" s="37" t="str">
        <f>IF(DQ131=0,"na",IF(COUNTIF(DQ126:DQ130,MAX(DQ126:DQ130))&gt;COUNTIF(DP126:DP130,"&lt;&gt;""")/2,"No clear choice of the most common response",INDEX(DP126:DP130,MATCH(MAX(DQ126:DQ130),DQ126:DQ130,0),1)))</f>
        <v>Sometimes</v>
      </c>
      <c r="DM112" s="33">
        <f>COUNTIFS(S30_stakeholder_category,"PU",Response_Q172_1,"&lt;&gt;0",Response_Q173_5,"&lt;&gt;0")</f>
        <v>1</v>
      </c>
      <c r="DN112" s="37">
        <f>DQ130</f>
        <v>0</v>
      </c>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row>
    <row r="113" spans="1:142" x14ac:dyDescent="0.25">
      <c r="A113" s="14"/>
      <c r="B113" s="57"/>
      <c r="C113" s="121" t="str">
        <f ca="1">IF(H131=0,"",IF(COUNTIF(H126:H130,MAX(H126:H130))=1,"",IF(COUNTIF(H126:H130,MAX(H126:H130))&gt;COUNTIF(G126:G130,"&lt;&gt;""")/2,"",INDEX(OFFSET(G126,MATCH(C112,G126:G131,0),0):G130,MATCH(MAX(H126:H130),OFFSET(H126,MATCH(C112,G126:G131,0),0):H130,0),1))))</f>
        <v/>
      </c>
      <c r="D113" s="58"/>
      <c r="E113" s="121"/>
      <c r="F113" s="14"/>
      <c r="G113" s="14"/>
      <c r="H113" s="21"/>
      <c r="I113" s="21"/>
      <c r="J113" s="14"/>
      <c r="K113" s="19"/>
      <c r="L113" s="40"/>
      <c r="M113" s="40"/>
      <c r="N113" s="40"/>
      <c r="O113" s="40"/>
      <c r="P113" s="40"/>
      <c r="Q113" s="47"/>
      <c r="R113" s="19"/>
      <c r="S113" s="34"/>
      <c r="T113" s="37" t="str">
        <f ca="1">IF(Y133=0,"",IF(COUNTIF(Y126:Y132,MAX(Y126:Y132))=1,"",IF(COUNTIF(Y126:Y132,MAX(Y126:Y132))&gt;COUNTIF(X126:X132,"&lt;&gt;""")/2,"",INDEX(OFFSET(X126,MATCH(T112,X126:X132,0),0):X132,MATCH(MAX(Y126:Y132),OFFSET(Y126,MATCH(T112,X126:X132,0),0):Y132,0),1))))</f>
        <v/>
      </c>
      <c r="U113" s="33"/>
      <c r="V113" s="37"/>
      <c r="W113" s="14"/>
      <c r="X113" s="14"/>
      <c r="Y113" s="14"/>
      <c r="Z113" s="14"/>
      <c r="AA113" s="19"/>
      <c r="AB113" s="19"/>
      <c r="AC113" s="19"/>
      <c r="AD113" s="65"/>
      <c r="AE113" s="63"/>
      <c r="AF113" s="47"/>
      <c r="AG113" s="19"/>
      <c r="AH113" s="57"/>
      <c r="AI113" s="121" t="str">
        <f ca="1">IF(AN133=0,"",IF(COUNTIF(AN126:AN132,MAX(AN126:AN132))=1,"",IF(COUNTIF(AN126:AN132,MAX(AN126:AN132))&gt;COUNTIF(AM126:AM132,"&lt;&gt;""")/2,"",INDEX(OFFSET(AM126,MATCH(AI112,AM126:AM132,0),0):AM132,MATCH(MAX(AN126:AN132),OFFSET(AN126,MATCH(AI112,AM126:AM132,0),0):AN132,0),1))))</f>
        <v/>
      </c>
      <c r="AJ113" s="58"/>
      <c r="AK113" s="121"/>
      <c r="AL113" s="14"/>
      <c r="AM113" s="14"/>
      <c r="AN113" s="14"/>
      <c r="AO113" s="14"/>
      <c r="AP113" s="19"/>
      <c r="AQ113" s="19"/>
      <c r="AR113" s="19"/>
      <c r="AS113" s="65"/>
      <c r="AT113" s="63"/>
      <c r="AU113" s="47"/>
      <c r="AV113" s="14"/>
      <c r="AW113" s="57"/>
      <c r="AX113" s="121" t="str">
        <f ca="1">IF(BC133=0,"",IF(COUNTIF(BC126:BC132,MAX(BC126:BC132))=1,"",IF(COUNTIF(BC126:BC132,MAX(BC126:BC132))&gt;COUNTIF(BB126:BB132,"&lt;&gt;""")/2,"",INDEX(OFFSET(BB126,MATCH(AX112,BB126:BB132,0),0):BB132,MATCH(MAX(BC126:BC132),OFFSET(BC126,MATCH(AX112,BB126:BB132,0),0):BC132,0),1))))</f>
        <v/>
      </c>
      <c r="AY113" s="58"/>
      <c r="AZ113" s="121"/>
      <c r="BA113" s="14"/>
      <c r="BB113" s="14"/>
      <c r="BC113" s="14"/>
      <c r="BD113" s="14"/>
      <c r="BE113" s="19"/>
      <c r="BF113" s="19"/>
      <c r="BG113" s="19"/>
      <c r="BH113" s="65"/>
      <c r="BI113" s="63"/>
      <c r="BJ113" s="352"/>
      <c r="BK113" s="19"/>
      <c r="BL113" s="57"/>
      <c r="BM113" s="121" t="str">
        <f ca="1">IF(BR133=0,"",IF(COUNTIF(BR126:BR132,MAX(BR126:BR132))=1,"",IF(COUNTIF(BR126:BR132,MAX(BR126:BR132))&gt;COUNTIF(BQ126:BQ132,"&lt;&gt;""")/2,"",INDEX(OFFSET(BQ126,MATCH(BM112,BQ126:BQ132,0),0):BQ132,MATCH(MAX(BR126:BR132),OFFSET(BR126,MATCH(BM112,BQ126:BQ132,0),0):BR132,0),1))))</f>
        <v/>
      </c>
      <c r="BN113" s="58"/>
      <c r="BO113" s="121"/>
      <c r="BP113" s="14"/>
      <c r="BQ113" s="14"/>
      <c r="BR113" s="14"/>
      <c r="BS113" s="14"/>
      <c r="BT113" s="19"/>
      <c r="BU113" s="19"/>
      <c r="BV113" s="19"/>
      <c r="BW113" s="65"/>
      <c r="BX113" s="63"/>
      <c r="BY113" s="352"/>
      <c r="BZ113" s="14"/>
      <c r="CA113" s="14"/>
      <c r="CB113" s="21"/>
      <c r="CC113" s="21"/>
      <c r="CD113" s="180"/>
      <c r="CE113" s="180"/>
      <c r="CF113" s="21"/>
      <c r="CG113" s="14"/>
      <c r="CH113" s="14"/>
      <c r="CI113" s="14"/>
      <c r="CJ113" s="14"/>
      <c r="CK113" s="14"/>
      <c r="CL113" s="14"/>
      <c r="CM113" s="14"/>
      <c r="CN113" s="14"/>
      <c r="CO113" s="129"/>
      <c r="CP113" s="29"/>
      <c r="CQ113" s="47"/>
      <c r="CR113" s="14"/>
      <c r="CS113" s="14"/>
      <c r="CT113" s="14"/>
      <c r="CU113" s="14"/>
      <c r="CV113" s="180"/>
      <c r="CW113" s="189"/>
      <c r="CX113" s="189"/>
      <c r="CY113" s="14"/>
      <c r="CZ113" s="14"/>
      <c r="DA113" s="14"/>
      <c r="DB113" s="14"/>
      <c r="DC113" s="14"/>
      <c r="DD113" s="14"/>
      <c r="DE113" s="14"/>
      <c r="DF113" s="14"/>
      <c r="DG113" s="129"/>
      <c r="DH113" s="29"/>
      <c r="DI113" s="47"/>
      <c r="DJ113" s="29"/>
      <c r="DK113" s="34"/>
      <c r="DL113" s="121" t="str">
        <f ca="1">IF(DQ131=0,"",IF(COUNTIF(DQ126:DQ130,MAX(DQ126:DQ130))=1,"",IF(COUNTIF(DQ126:DQ130,MAX(DQ126:DQ130))&gt;COUNTIF(DP126:DP130,"&lt;&gt;""")/2,"",INDEX(OFFSET(DP126,MATCH(DL112,DP126:DP131,0),0):DP130,MATCH(MAX(DQ126:DQ130),OFFSET(DQ126,MATCH(DL112,DP126:DP131,0),0):DQ130,0),1))))</f>
        <v/>
      </c>
      <c r="DM113" s="33"/>
      <c r="DN113" s="37"/>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row>
    <row r="114" spans="1:142" x14ac:dyDescent="0.25">
      <c r="A114" s="14"/>
      <c r="B114" s="57"/>
      <c r="C114" s="121" t="str">
        <f ca="1" xml:space="preserve"> IF(H131=0,"", IF(COUNTIF(H126:H130,MAX(H126:H130))&lt;=2,"",IF(COUNTIF(H126:H130,MAX(H126:H130))&gt;COUNTIF(G126:G130,"&lt;&gt;""")/2,"", INDEX(OFFSET(G126,MATCH(C113,G126:G131,0),0):G130,         MATCH(MAX(H126:H130),        OFFSET(H126,MATCH(C113,G126:G131,0),0):H130,0),1))))</f>
        <v/>
      </c>
      <c r="D114" s="58"/>
      <c r="E114" s="121"/>
      <c r="F114" s="14"/>
      <c r="G114" s="14"/>
      <c r="H114" s="21"/>
      <c r="I114" s="21"/>
      <c r="J114" s="14"/>
      <c r="K114" s="19"/>
      <c r="L114" s="40"/>
      <c r="M114" s="40"/>
      <c r="N114" s="40"/>
      <c r="O114" s="40"/>
      <c r="P114" s="40"/>
      <c r="Q114" s="47"/>
      <c r="R114" s="19"/>
      <c r="S114" s="34"/>
      <c r="T114" s="121" t="str">
        <f ca="1" xml:space="preserve"> IF(Y133=0,"",IF(Y133=0,"", IF(COUNTIF(Y126:Y132,MAX(Y126:Y132))&lt;=2,"",IF(COUNTIF(Y126:Y132,MAX(Y126:Y132))&gt;COUNTIF(X126:X132,"&lt;&gt;""")/2,"", INDEX(OFFSET(X126,MATCH(T113,X126:X132,0),0):X132,         MATCH(MAX(Y126:Y132),        OFFSET(Y126,MATCH(T113,X126:X132,0),0):Y132,0),1)))))</f>
        <v/>
      </c>
      <c r="U114" s="33"/>
      <c r="V114" s="37"/>
      <c r="W114" s="14"/>
      <c r="X114" s="14"/>
      <c r="Y114" s="14"/>
      <c r="Z114" s="14"/>
      <c r="AA114" s="19"/>
      <c r="AB114" s="19"/>
      <c r="AC114" s="19"/>
      <c r="AD114" s="65"/>
      <c r="AE114" s="63"/>
      <c r="AF114" s="47"/>
      <c r="AG114" s="19"/>
      <c r="AH114" s="57"/>
      <c r="AI114" s="121" t="str">
        <f ca="1" xml:space="preserve"> IF(AN133=0,"",IF(AN133=0,"", IF(COUNTIF(AN126:AN132,MAX(AN126:AN132))&lt;=2,"",IF(COUNTIF(AN126:AN132,MAX(AN126:AN132))&gt;COUNTIF(AM126:AM132,"&lt;&gt;""")/2,"", INDEX(OFFSET(AM126,MATCH(AI113,AM126:AM132,0),0):AM132,         MATCH(MAX(AN126:AN132),        OFFSET(AN126,MATCH(AI113,AM126:AM132,0),0):AN132,0),1)))))</f>
        <v/>
      </c>
      <c r="AJ114" s="58"/>
      <c r="AK114" s="121"/>
      <c r="AL114" s="14"/>
      <c r="AM114" s="14"/>
      <c r="AN114" s="14"/>
      <c r="AO114" s="14"/>
      <c r="AP114" s="19"/>
      <c r="AQ114" s="19"/>
      <c r="AR114" s="19"/>
      <c r="AS114" s="65"/>
      <c r="AT114" s="63"/>
      <c r="AU114" s="47"/>
      <c r="AV114" s="14"/>
      <c r="AW114" s="57"/>
      <c r="AX114" s="121" t="str">
        <f ca="1" xml:space="preserve"> IF(BC133=0,"",IF(BC133=0,"", IF(COUNTIF(BC126:BC132,MAX(BC126:BC132))&lt;=2,"",IF(COUNTIF(BC126:BC132,MAX(BC126:BC132))&gt;COUNTIF(BB126:BB132,"&lt;&gt;""")/2,"", INDEX(OFFSET(BB126,MATCH(AX113,BB126:BB132,0),0):BB132,         MATCH(MAX(BC126:BC132),        OFFSET(BC126,MATCH(AX113,BB126:BB132,0),0):BC132,0),1)))))</f>
        <v/>
      </c>
      <c r="AY114" s="58"/>
      <c r="AZ114" s="121"/>
      <c r="BA114" s="14"/>
      <c r="BB114" s="14"/>
      <c r="BC114" s="14"/>
      <c r="BD114" s="14"/>
      <c r="BE114" s="19"/>
      <c r="BF114" s="19"/>
      <c r="BG114" s="19"/>
      <c r="BH114" s="65"/>
      <c r="BI114" s="63"/>
      <c r="BJ114" s="352"/>
      <c r="BK114" s="19"/>
      <c r="BL114" s="57"/>
      <c r="BM114" s="121" t="str">
        <f ca="1" xml:space="preserve"> IF(BR133=0,"",IF(BR133=0,"", IF(COUNTIF(BR126:BR132,MAX(BR126:BR132))&lt;=2,"",IF(COUNTIF(BR126:BR132,MAX(BR126:BR132))&gt;COUNTIF(BQ126:BQ132,"&lt;&gt;""")/2,"", INDEX(OFFSET(BQ126,MATCH(BM113,BQ126:BQ132,0),0):BQ132,         MATCH(MAX(BR126:BR132),        OFFSET(BR126,MATCH(BM113,BQ126:BQ132,0),0):BR132,0),1)))))</f>
        <v/>
      </c>
      <c r="BN114" s="58"/>
      <c r="BO114" s="121"/>
      <c r="BP114" s="14"/>
      <c r="BQ114" s="14"/>
      <c r="BR114" s="14"/>
      <c r="BS114" s="14"/>
      <c r="BT114" s="19"/>
      <c r="BU114" s="19"/>
      <c r="BV114" s="19"/>
      <c r="BW114" s="65"/>
      <c r="BX114" s="63"/>
      <c r="BY114" s="352"/>
      <c r="BZ114" s="14"/>
      <c r="CA114" s="14"/>
      <c r="CB114" s="21"/>
      <c r="CC114" s="21"/>
      <c r="CD114" s="180"/>
      <c r="CE114" s="180"/>
      <c r="CF114" s="21"/>
      <c r="CG114" s="14"/>
      <c r="CH114" s="14"/>
      <c r="CI114" s="14"/>
      <c r="CJ114" s="14"/>
      <c r="CK114" s="14"/>
      <c r="CL114" s="14"/>
      <c r="CM114" s="14"/>
      <c r="CN114" s="14"/>
      <c r="CO114" s="129"/>
      <c r="CP114" s="29"/>
      <c r="CQ114" s="47"/>
      <c r="CR114" s="14"/>
      <c r="CS114" s="14"/>
      <c r="CT114" s="14"/>
      <c r="CU114" s="14"/>
      <c r="CV114" s="180"/>
      <c r="CW114" s="189"/>
      <c r="CX114" s="189"/>
      <c r="CY114" s="14"/>
      <c r="CZ114" s="14"/>
      <c r="DA114" s="14"/>
      <c r="DB114" s="14"/>
      <c r="DC114" s="14"/>
      <c r="DD114" s="14"/>
      <c r="DE114" s="14"/>
      <c r="DF114" s="14"/>
      <c r="DG114" s="129"/>
      <c r="DH114" s="29"/>
      <c r="DI114" s="47"/>
      <c r="DJ114" s="29"/>
      <c r="DK114" s="34"/>
      <c r="DL114" s="121" t="str">
        <f ca="1" xml:space="preserve"> IF(DQ131=0,"",IF(DQ131=0,"", IF(COUNTIF(DQ126:DQ130,MAX(DQ126:DQ130))&lt;=2,"",IF(COUNTIF(DQ126:DQ130,MAX(DQ126:DQ130))&gt;COUNTIF(DP126:DP130,"&lt;&gt;""")/2,"", INDEX(OFFSET(DP126,MATCH(DL113,DP126:DP131,0),0):DP130,         MATCH(MAX(DQ126:DQ130),        OFFSET(DQ126,MATCH(DL113,DP126:DP131,0),0):DQ130,0),1)))))</f>
        <v/>
      </c>
      <c r="DM114" s="33"/>
      <c r="DN114" s="37"/>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row>
    <row r="115" spans="1:142" x14ac:dyDescent="0.25">
      <c r="A115" s="14"/>
      <c r="B115" s="14"/>
      <c r="C115" s="14"/>
      <c r="D115" s="27"/>
      <c r="E115" s="14"/>
      <c r="F115" s="14"/>
      <c r="G115" s="14"/>
      <c r="H115" s="21"/>
      <c r="I115" s="21"/>
      <c r="J115" s="14"/>
      <c r="K115" s="19"/>
      <c r="L115" s="40"/>
      <c r="M115" s="40"/>
      <c r="N115" s="40"/>
      <c r="O115" s="40"/>
      <c r="P115" s="40"/>
      <c r="Q115" s="47"/>
      <c r="R115" s="19"/>
      <c r="S115" s="19"/>
      <c r="T115" s="19"/>
      <c r="U115" s="14"/>
      <c r="V115" s="14"/>
      <c r="W115" s="14"/>
      <c r="X115" s="14"/>
      <c r="Y115" s="14"/>
      <c r="Z115" s="14"/>
      <c r="AA115" s="19"/>
      <c r="AB115" s="19"/>
      <c r="AC115" s="19"/>
      <c r="AD115" s="65"/>
      <c r="AE115" s="63"/>
      <c r="AF115" s="47"/>
      <c r="AG115" s="19"/>
      <c r="AH115" s="19"/>
      <c r="AI115" s="19"/>
      <c r="AJ115" s="14"/>
      <c r="AK115" s="14"/>
      <c r="AL115" s="14"/>
      <c r="AM115" s="14"/>
      <c r="AN115" s="14"/>
      <c r="AO115" s="14"/>
      <c r="AP115" s="19"/>
      <c r="AQ115" s="19"/>
      <c r="AR115" s="19"/>
      <c r="AS115" s="65"/>
      <c r="AT115" s="63"/>
      <c r="AU115" s="47"/>
      <c r="AV115" s="14"/>
      <c r="AW115" s="19"/>
      <c r="AX115" s="19"/>
      <c r="AY115" s="14"/>
      <c r="AZ115" s="14"/>
      <c r="BA115" s="14"/>
      <c r="BB115" s="14"/>
      <c r="BC115" s="14"/>
      <c r="BD115" s="14"/>
      <c r="BE115" s="19"/>
      <c r="BF115" s="19"/>
      <c r="BG115" s="19"/>
      <c r="BH115" s="65"/>
      <c r="BI115" s="63"/>
      <c r="BJ115" s="352"/>
      <c r="BK115" s="19"/>
      <c r="BL115" s="19"/>
      <c r="BM115" s="19"/>
      <c r="BN115" s="14"/>
      <c r="BO115" s="14"/>
      <c r="BP115" s="14"/>
      <c r="BQ115" s="14"/>
      <c r="BR115" s="14"/>
      <c r="BS115" s="14"/>
      <c r="BT115" s="19"/>
      <c r="BU115" s="19"/>
      <c r="BV115" s="19"/>
      <c r="BW115" s="65"/>
      <c r="BX115" s="63"/>
      <c r="BY115" s="352"/>
      <c r="BZ115" s="14"/>
      <c r="CA115" s="14"/>
      <c r="CB115" s="21"/>
      <c r="CC115" s="21"/>
      <c r="CD115" s="180"/>
      <c r="CE115" s="180"/>
      <c r="CF115" s="21"/>
      <c r="CG115" s="14"/>
      <c r="CH115" s="14"/>
      <c r="CI115" s="14"/>
      <c r="CJ115" s="14"/>
      <c r="CK115" s="14"/>
      <c r="CL115" s="14"/>
      <c r="CM115" s="14"/>
      <c r="CN115" s="14"/>
      <c r="CO115" s="129"/>
      <c r="CP115" s="29"/>
      <c r="CQ115" s="47"/>
      <c r="CR115" s="14"/>
      <c r="CS115" s="14"/>
      <c r="CT115" s="14"/>
      <c r="CU115" s="14"/>
      <c r="CV115" s="180"/>
      <c r="CW115" s="189"/>
      <c r="CX115" s="189"/>
      <c r="CY115" s="14"/>
      <c r="CZ115" s="14"/>
      <c r="DA115" s="14"/>
      <c r="DB115" s="14"/>
      <c r="DC115" s="14"/>
      <c r="DD115" s="14"/>
      <c r="DE115" s="14"/>
      <c r="DF115" s="14"/>
      <c r="DG115" s="129"/>
      <c r="DH115" s="29"/>
      <c r="DI115" s="47"/>
      <c r="DJ115" s="29"/>
      <c r="DK115" s="14"/>
      <c r="DL115" s="14"/>
      <c r="DM115" s="27"/>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row>
    <row r="116" spans="1:142" x14ac:dyDescent="0.25">
      <c r="A116" s="14"/>
      <c r="B116" s="14"/>
      <c r="C116" s="14"/>
      <c r="D116" s="27"/>
      <c r="E116" s="14"/>
      <c r="F116" s="14"/>
      <c r="G116" s="14"/>
      <c r="H116" s="21"/>
      <c r="I116" s="21"/>
      <c r="J116" s="14"/>
      <c r="K116" s="19"/>
      <c r="L116" s="40"/>
      <c r="M116" s="40"/>
      <c r="N116" s="40"/>
      <c r="O116" s="40"/>
      <c r="P116" s="40"/>
      <c r="Q116" s="47"/>
      <c r="R116" s="19"/>
      <c r="S116" s="19"/>
      <c r="T116" s="19"/>
      <c r="U116" s="14"/>
      <c r="V116" s="14"/>
      <c r="W116" s="14"/>
      <c r="X116" s="14"/>
      <c r="Y116" s="14"/>
      <c r="Z116" s="14"/>
      <c r="AA116" s="19"/>
      <c r="AB116" s="19"/>
      <c r="AC116" s="19"/>
      <c r="AD116" s="65"/>
      <c r="AE116" s="63"/>
      <c r="AF116" s="47"/>
      <c r="AG116" s="19"/>
      <c r="AH116" s="19"/>
      <c r="AI116" s="19"/>
      <c r="AJ116" s="14"/>
      <c r="AK116" s="14"/>
      <c r="AL116" s="14"/>
      <c r="AM116" s="14"/>
      <c r="AN116" s="14"/>
      <c r="AO116" s="14"/>
      <c r="AP116" s="19"/>
      <c r="AQ116" s="19"/>
      <c r="AR116" s="19"/>
      <c r="AS116" s="65"/>
      <c r="AT116" s="63"/>
      <c r="AU116" s="47"/>
      <c r="AV116" s="14"/>
      <c r="AW116" s="19"/>
      <c r="AX116" s="19"/>
      <c r="AY116" s="14"/>
      <c r="AZ116" s="14"/>
      <c r="BA116" s="14"/>
      <c r="BB116" s="14"/>
      <c r="BC116" s="14"/>
      <c r="BD116" s="14"/>
      <c r="BE116" s="19"/>
      <c r="BF116" s="19"/>
      <c r="BG116" s="19"/>
      <c r="BH116" s="65"/>
      <c r="BI116" s="63"/>
      <c r="BJ116" s="352"/>
      <c r="BK116" s="19"/>
      <c r="BL116" s="19"/>
      <c r="BM116" s="19"/>
      <c r="BN116" s="14"/>
      <c r="BO116" s="14"/>
      <c r="BP116" s="14"/>
      <c r="BQ116" s="14"/>
      <c r="BR116" s="14"/>
      <c r="BS116" s="14"/>
      <c r="BT116" s="19"/>
      <c r="BU116" s="19"/>
      <c r="BV116" s="19"/>
      <c r="BW116" s="65"/>
      <c r="BX116" s="63"/>
      <c r="BY116" s="352"/>
      <c r="BZ116" s="14"/>
      <c r="CA116" s="14"/>
      <c r="CB116" s="21"/>
      <c r="CC116" s="21"/>
      <c r="CD116" s="180"/>
      <c r="CE116" s="180"/>
      <c r="CF116" s="21"/>
      <c r="CG116" s="14"/>
      <c r="CH116" s="14"/>
      <c r="CI116" s="14"/>
      <c r="CJ116" s="14"/>
      <c r="CK116" s="14"/>
      <c r="CL116" s="14"/>
      <c r="CM116" s="14"/>
      <c r="CN116" s="14"/>
      <c r="CO116" s="129"/>
      <c r="CP116" s="29"/>
      <c r="CQ116" s="47"/>
      <c r="CR116" s="14"/>
      <c r="CS116" s="14"/>
      <c r="CT116" s="14"/>
      <c r="CU116" s="14"/>
      <c r="CV116" s="180"/>
      <c r="CW116" s="189"/>
      <c r="CX116" s="189"/>
      <c r="CY116" s="14"/>
      <c r="CZ116" s="14"/>
      <c r="DA116" s="14"/>
      <c r="DB116" s="14"/>
      <c r="DC116" s="14"/>
      <c r="DD116" s="14"/>
      <c r="DE116" s="14"/>
      <c r="DF116" s="14"/>
      <c r="DG116" s="129"/>
      <c r="DH116" s="29"/>
      <c r="DI116" s="47"/>
      <c r="DJ116" s="29"/>
      <c r="DK116" s="14"/>
      <c r="DL116" s="14"/>
      <c r="DM116" s="27"/>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row>
    <row r="117" spans="1:142" ht="27.6" x14ac:dyDescent="0.25">
      <c r="A117" s="14"/>
      <c r="B117" s="14"/>
      <c r="C117" s="14"/>
      <c r="D117" s="27"/>
      <c r="E117" s="14"/>
      <c r="F117" s="14"/>
      <c r="G117" s="14"/>
      <c r="H117" s="21"/>
      <c r="I117" s="21"/>
      <c r="J117" s="14"/>
      <c r="K117" s="19"/>
      <c r="L117" s="40"/>
      <c r="M117" s="40"/>
      <c r="N117" s="40"/>
      <c r="O117" s="40"/>
      <c r="P117" s="40"/>
      <c r="Q117" s="47"/>
      <c r="R117" s="19"/>
      <c r="S117" s="19"/>
      <c r="T117" s="19"/>
      <c r="U117" s="14"/>
      <c r="V117" s="14"/>
      <c r="W117" s="14"/>
      <c r="X117" s="14"/>
      <c r="Y117" s="14"/>
      <c r="Z117" s="14"/>
      <c r="AA117" s="19"/>
      <c r="AB117" s="19"/>
      <c r="AC117" s="19"/>
      <c r="AD117" s="65"/>
      <c r="AE117" s="63"/>
      <c r="AF117" s="47"/>
      <c r="AG117" s="19"/>
      <c r="AH117" s="19"/>
      <c r="AI117" s="19"/>
      <c r="AJ117" s="14"/>
      <c r="AK117" s="14"/>
      <c r="AL117" s="14"/>
      <c r="AM117" s="14"/>
      <c r="AN117" s="14"/>
      <c r="AO117" s="14"/>
      <c r="AP117" s="19"/>
      <c r="AQ117" s="19"/>
      <c r="AR117" s="19"/>
      <c r="AS117" s="65"/>
      <c r="AT117" s="63"/>
      <c r="AU117" s="47"/>
      <c r="AV117" s="14"/>
      <c r="AW117" s="19"/>
      <c r="AX117" s="19"/>
      <c r="AY117" s="14"/>
      <c r="AZ117" s="14"/>
      <c r="BA117" s="14"/>
      <c r="BB117" s="14"/>
      <c r="BC117" s="14"/>
      <c r="BD117" s="14"/>
      <c r="BE117" s="19"/>
      <c r="BF117" s="19"/>
      <c r="BG117" s="19"/>
      <c r="BH117" s="65"/>
      <c r="BI117" s="63"/>
      <c r="BJ117" s="352"/>
      <c r="BK117" s="19"/>
      <c r="BL117" s="19"/>
      <c r="BM117" s="19"/>
      <c r="BN117" s="14"/>
      <c r="BO117" s="14"/>
      <c r="BP117" s="14"/>
      <c r="BQ117" s="14"/>
      <c r="BR117" s="14"/>
      <c r="BS117" s="14"/>
      <c r="BT117" s="19"/>
      <c r="BU117" s="19"/>
      <c r="BV117" s="19"/>
      <c r="BW117" s="65"/>
      <c r="BX117" s="63"/>
      <c r="BY117" s="352"/>
      <c r="BZ117" s="14"/>
      <c r="CA117" s="109" t="s">
        <v>14</v>
      </c>
      <c r="CB117" s="110" t="s">
        <v>164</v>
      </c>
      <c r="CC117" s="110" t="s">
        <v>149</v>
      </c>
      <c r="CD117" s="184" t="s">
        <v>150</v>
      </c>
      <c r="CE117" s="184" t="s">
        <v>151</v>
      </c>
      <c r="CF117" s="110" t="s">
        <v>152</v>
      </c>
      <c r="CG117" s="14"/>
      <c r="CH117" s="109"/>
      <c r="CI117" s="110" t="s">
        <v>5</v>
      </c>
      <c r="CJ117" s="110" t="s">
        <v>4</v>
      </c>
      <c r="CK117" s="110" t="s">
        <v>33</v>
      </c>
      <c r="CL117" s="110" t="s">
        <v>29</v>
      </c>
      <c r="CM117" s="110" t="s">
        <v>3</v>
      </c>
      <c r="CN117" s="110" t="s">
        <v>54</v>
      </c>
      <c r="CO117" s="328" t="s">
        <v>160</v>
      </c>
      <c r="CP117" s="29"/>
      <c r="CQ117" s="47"/>
      <c r="CR117" s="14"/>
      <c r="CS117" s="109" t="s">
        <v>14</v>
      </c>
      <c r="CT117" s="110" t="s">
        <v>164</v>
      </c>
      <c r="CU117" s="110" t="s">
        <v>149</v>
      </c>
      <c r="CV117" s="184" t="s">
        <v>150</v>
      </c>
      <c r="CW117" s="184" t="s">
        <v>151</v>
      </c>
      <c r="CX117" s="194" t="s">
        <v>152</v>
      </c>
      <c r="CY117" s="14"/>
      <c r="CZ117" s="109" t="s">
        <v>14</v>
      </c>
      <c r="DA117" s="110" t="s">
        <v>5</v>
      </c>
      <c r="DB117" s="110" t="s">
        <v>4</v>
      </c>
      <c r="DC117" s="110" t="s">
        <v>33</v>
      </c>
      <c r="DD117" s="110" t="s">
        <v>29</v>
      </c>
      <c r="DE117" s="110" t="s">
        <v>3</v>
      </c>
      <c r="DF117" s="110" t="s">
        <v>54</v>
      </c>
      <c r="DG117" s="328" t="s">
        <v>160</v>
      </c>
      <c r="DH117" s="29"/>
      <c r="DI117" s="47"/>
      <c r="DJ117" s="29"/>
      <c r="DK117" s="19"/>
      <c r="DL117" s="19"/>
      <c r="DM117" s="27"/>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row>
    <row r="118" spans="1:142" x14ac:dyDescent="0.25">
      <c r="A118" s="14"/>
      <c r="B118" s="14"/>
      <c r="C118" s="14"/>
      <c r="D118" s="21"/>
      <c r="E118" s="14"/>
      <c r="F118" s="14"/>
      <c r="G118" s="14"/>
      <c r="H118" s="21"/>
      <c r="I118" s="15"/>
      <c r="J118" s="13"/>
      <c r="K118" s="14"/>
      <c r="L118" s="14"/>
      <c r="M118" s="14"/>
      <c r="N118" s="14"/>
      <c r="O118" s="14"/>
      <c r="P118" s="14"/>
      <c r="Q118" s="47"/>
      <c r="R118" s="19"/>
      <c r="S118" s="19"/>
      <c r="T118" s="19"/>
      <c r="U118" s="14"/>
      <c r="V118" s="14"/>
      <c r="W118" s="14"/>
      <c r="X118" s="14"/>
      <c r="Y118" s="14"/>
      <c r="Z118" s="14"/>
      <c r="AA118" s="19"/>
      <c r="AB118" s="19"/>
      <c r="AC118" s="19"/>
      <c r="AD118" s="65"/>
      <c r="AE118" s="63"/>
      <c r="AF118" s="47"/>
      <c r="AG118" s="19"/>
      <c r="AH118" s="19"/>
      <c r="AI118" s="19"/>
      <c r="AJ118" s="14"/>
      <c r="AK118" s="14"/>
      <c r="AL118" s="14"/>
      <c r="AM118" s="14"/>
      <c r="AN118" s="14"/>
      <c r="AO118" s="14"/>
      <c r="AP118" s="19"/>
      <c r="AQ118" s="19"/>
      <c r="AR118" s="19"/>
      <c r="AS118" s="65"/>
      <c r="AT118" s="63"/>
      <c r="AU118" s="47"/>
      <c r="AV118" s="14"/>
      <c r="AW118" s="19"/>
      <c r="AX118" s="19"/>
      <c r="AY118" s="14"/>
      <c r="AZ118" s="14"/>
      <c r="BA118" s="14"/>
      <c r="BB118" s="14"/>
      <c r="BC118" s="14"/>
      <c r="BD118" s="14"/>
      <c r="BE118" s="19"/>
      <c r="BF118" s="19"/>
      <c r="BG118" s="19"/>
      <c r="BH118" s="65"/>
      <c r="BI118" s="63"/>
      <c r="BJ118" s="352"/>
      <c r="BK118" s="19"/>
      <c r="BL118" s="19"/>
      <c r="BM118" s="19"/>
      <c r="BN118" s="14"/>
      <c r="BO118" s="14"/>
      <c r="BP118" s="14"/>
      <c r="BQ118" s="14"/>
      <c r="BR118" s="14"/>
      <c r="BS118" s="14"/>
      <c r="BT118" s="19"/>
      <c r="BU118" s="19"/>
      <c r="BV118" s="19"/>
      <c r="BW118" s="65"/>
      <c r="BX118" s="63"/>
      <c r="BY118" s="352"/>
      <c r="BZ118" s="14"/>
      <c r="CA118" s="140" t="s">
        <v>701</v>
      </c>
      <c r="CB118" s="27">
        <f>COUNTIFS(S30_stakeholder_category,"PU",Response_Q177_1,"&lt;&gt;0",Response_Q173_5,"&lt;&gt;0")</f>
        <v>0</v>
      </c>
      <c r="CC118" s="37">
        <f>COUNTIFS(S30_stakeholder_category,"PU",Response_Q177_1,1,Response_Q173_5,"&lt;&gt;""0")</f>
        <v>1</v>
      </c>
      <c r="CD118" s="37">
        <f>COUNTIFS(S30_stakeholder_category,"PU",Response_Q177_1,2,Response_Q173_5,"&lt;&gt;""0")</f>
        <v>1</v>
      </c>
      <c r="CE118" s="37">
        <f>COUNTIFS(S30_stakeholder_category,"PU",Response_Q177_1,3,Response_Q173_5,"&lt;&gt;""0")</f>
        <v>0</v>
      </c>
      <c r="CF118" s="97">
        <f>IF(CB112=0,0,SUMPRODUCT(CC118:CE118,Rank_score)/$CB112)</f>
        <v>5</v>
      </c>
      <c r="CG118" s="14"/>
      <c r="CH118" s="140" t="s">
        <v>701</v>
      </c>
      <c r="CI118" s="27">
        <f t="shared" ref="CI118:CN118" si="67">COUNTIFS(S30_stakeholder_category,"PU",Response_Q177_1,"&lt;&gt;0",Response_Q177_2,CI$63,Response_Q173_5,"&lt;&gt;0")</f>
        <v>0</v>
      </c>
      <c r="CJ118" s="27">
        <f t="shared" si="67"/>
        <v>0</v>
      </c>
      <c r="CK118" s="27">
        <f t="shared" si="67"/>
        <v>0</v>
      </c>
      <c r="CL118" s="27">
        <f t="shared" si="67"/>
        <v>0</v>
      </c>
      <c r="CM118" s="27">
        <f t="shared" si="67"/>
        <v>0</v>
      </c>
      <c r="CN118" s="27">
        <f t="shared" si="67"/>
        <v>0</v>
      </c>
      <c r="CO118" s="141" t="str">
        <f t="shared" ref="CO118:CO124" si="68">IF(ISBLANK(CH118),"",IF(CF118=0,not_ranked,IF(SUM(CI118:CN118)=0,not_estimated,IFERROR(SUMPRODUCT(CI118:CN118,Likekihood_score)/SUM(CI118:CN118),0))))</f>
        <v>Ranked, but likelihood not estimated</v>
      </c>
      <c r="CP118" s="29"/>
      <c r="CQ118" s="47"/>
      <c r="CR118" s="14"/>
      <c r="CS118" s="140" t="s">
        <v>373</v>
      </c>
      <c r="CT118" s="27">
        <f>COUNTIFS(S30_stakeholder_category,"PU",Response_Q178_1,"&lt;&gt;0",Response_Q173_5,"&lt;&gt;0")</f>
        <v>0</v>
      </c>
      <c r="CU118" s="37">
        <f>COUNTIFS(S30_stakeholder_category,"PU",Response_Q178_1,1,Response_Q173_5,"&lt;&gt;0")</f>
        <v>0</v>
      </c>
      <c r="CV118" s="37">
        <f>COUNTIFS(S30_stakeholder_category,"PU",Response_Q178_1,2,Response_Q173_5,"&lt;&gt;0")</f>
        <v>0</v>
      </c>
      <c r="CW118" s="37">
        <f>COUNTIFS(S30_stakeholder_category,"PU",Response_Q178_1,3,Response_Q173_5,"&lt;&gt;0")</f>
        <v>0</v>
      </c>
      <c r="CX118" s="37">
        <f>IF(CT112=0,0,SUMPRODUCT(CU118:CW118,Rank_score)/CT$58)</f>
        <v>0</v>
      </c>
      <c r="CY118" s="14"/>
      <c r="CZ118" s="140" t="s">
        <v>373</v>
      </c>
      <c r="DA118" s="27">
        <f t="shared" ref="DA118:DF118" si="69">COUNTIFS(S30_stakeholder_category,"PU",Response_Q178_1,"&lt;&gt;0",Response_Q178_2,DA$63,Response_Q173_5,"&lt;&gt;0")</f>
        <v>0</v>
      </c>
      <c r="DB118" s="27">
        <f t="shared" si="69"/>
        <v>0</v>
      </c>
      <c r="DC118" s="27">
        <f t="shared" si="69"/>
        <v>0</v>
      </c>
      <c r="DD118" s="27">
        <f t="shared" si="69"/>
        <v>0</v>
      </c>
      <c r="DE118" s="27">
        <f t="shared" si="69"/>
        <v>0</v>
      </c>
      <c r="DF118" s="27">
        <f t="shared" si="69"/>
        <v>0</v>
      </c>
      <c r="DG118" s="141" t="str">
        <f t="shared" ref="DG118:DG125" si="70">IF(ISBLANK(CZ118),"",IF(CX118=0,not_ranked,IF(SUM(DA118:DF118)=0,not_estimated,IFERROR(SUMPRODUCT(DA118:DF118,Likekihood_score)/SUM(DA118:DF118),0))))</f>
        <v>Factor not ranked</v>
      </c>
      <c r="DH118" s="29"/>
      <c r="DI118" s="47"/>
      <c r="DJ118" s="29"/>
      <c r="DK118" s="19"/>
      <c r="DL118" s="19"/>
      <c r="DM118" s="14"/>
      <c r="DN118" s="14"/>
      <c r="DO118" s="14"/>
      <c r="DP118" s="14"/>
      <c r="DQ118" s="14"/>
      <c r="DR118" s="13"/>
      <c r="DS118" s="13"/>
      <c r="DT118" s="14"/>
      <c r="DU118" s="14"/>
      <c r="DV118" s="14"/>
      <c r="DW118" s="14"/>
      <c r="DX118" s="14"/>
      <c r="DY118" s="14"/>
      <c r="DZ118" s="14"/>
      <c r="EA118" s="14"/>
      <c r="EB118" s="14"/>
      <c r="EC118" s="14"/>
      <c r="ED118" s="14"/>
      <c r="EE118" s="14"/>
      <c r="EF118" s="14"/>
      <c r="EG118" s="14"/>
      <c r="EH118" s="14"/>
      <c r="EI118" s="14"/>
      <c r="EJ118" s="14"/>
      <c r="EK118" s="14"/>
      <c r="EL118" s="14"/>
    </row>
    <row r="119" spans="1:142" ht="14.4" x14ac:dyDescent="0.25">
      <c r="A119" s="14"/>
      <c r="B119" s="60"/>
      <c r="C119" s="19"/>
      <c r="D119" s="59"/>
      <c r="E119" s="14"/>
      <c r="F119" s="14"/>
      <c r="G119" s="14"/>
      <c r="H119" s="21"/>
      <c r="I119" s="21"/>
      <c r="J119" s="14"/>
      <c r="K119" s="14"/>
      <c r="L119" s="14"/>
      <c r="M119" s="14"/>
      <c r="N119" s="14"/>
      <c r="O119" s="14"/>
      <c r="P119" s="14"/>
      <c r="Q119" s="47"/>
      <c r="R119" s="19"/>
      <c r="S119" s="19"/>
      <c r="T119" s="19"/>
      <c r="U119" s="14"/>
      <c r="V119" s="14"/>
      <c r="W119" s="14"/>
      <c r="X119" s="14"/>
      <c r="Y119" s="14"/>
      <c r="Z119" s="14"/>
      <c r="AA119" s="19"/>
      <c r="AB119" s="19"/>
      <c r="AC119" s="19"/>
      <c r="AD119" s="65"/>
      <c r="AE119" s="63"/>
      <c r="AF119" s="47"/>
      <c r="AG119" s="19"/>
      <c r="AH119" s="19"/>
      <c r="AI119" s="19"/>
      <c r="AJ119" s="14"/>
      <c r="AK119" s="14"/>
      <c r="AL119" s="14"/>
      <c r="AM119" s="14"/>
      <c r="AN119" s="14"/>
      <c r="AO119" s="14"/>
      <c r="AP119" s="19"/>
      <c r="AQ119" s="19"/>
      <c r="AR119" s="19"/>
      <c r="AS119" s="65"/>
      <c r="AT119" s="63"/>
      <c r="AU119" s="47"/>
      <c r="AV119" s="14"/>
      <c r="AW119" s="19"/>
      <c r="AX119" s="19"/>
      <c r="AY119" s="14"/>
      <c r="AZ119" s="14"/>
      <c r="BA119" s="14"/>
      <c r="BB119" s="14"/>
      <c r="BC119" s="14"/>
      <c r="BD119" s="14"/>
      <c r="BE119" s="19"/>
      <c r="BF119" s="19"/>
      <c r="BG119" s="19"/>
      <c r="BH119" s="65"/>
      <c r="BI119" s="63"/>
      <c r="BJ119" s="352"/>
      <c r="BK119" s="19"/>
      <c r="BL119" s="19"/>
      <c r="BM119" s="19"/>
      <c r="BN119" s="14"/>
      <c r="BO119" s="14"/>
      <c r="BP119" s="14"/>
      <c r="BQ119" s="14"/>
      <c r="BR119" s="14"/>
      <c r="BS119" s="14"/>
      <c r="BT119" s="19"/>
      <c r="BU119" s="19"/>
      <c r="BV119" s="19"/>
      <c r="BW119" s="65"/>
      <c r="BX119" s="63"/>
      <c r="BY119" s="352"/>
      <c r="BZ119" s="14"/>
      <c r="CA119" s="140" t="s">
        <v>344</v>
      </c>
      <c r="CB119" s="27">
        <f>COUNTIFS(S30_stakeholder_category,"PU",Response_Q177_3,"&lt;&gt;0",Response_Q173_5,"&lt;&gt;0")</f>
        <v>0</v>
      </c>
      <c r="CC119" s="37">
        <f>COUNTIFS(S30_stakeholder_category,"PU",Response_Q177_3,1,Response_Q173_5,"&lt;&gt;0")</f>
        <v>0</v>
      </c>
      <c r="CD119" s="37">
        <f>COUNTIFS(S30_stakeholder_category,"PU",Response_Q177_3,2,Response_Q173_5,"&lt;&gt;0")</f>
        <v>0</v>
      </c>
      <c r="CE119" s="37">
        <f>COUNTIFS(S30_stakeholder_category,"PU",Response_Q177_3,3,Response_Q173_5,"&lt;&gt;0")</f>
        <v>0</v>
      </c>
      <c r="CF119" s="97">
        <f>IF(CB112=0,0,SUMPRODUCT(CC119:CE119,Rank_score)/$CB112)</f>
        <v>0</v>
      </c>
      <c r="CG119" s="14"/>
      <c r="CH119" s="140" t="s">
        <v>344</v>
      </c>
      <c r="CI119" s="27">
        <f t="shared" ref="CI119:CN119" si="71">COUNTIFS(S30_stakeholder_category,"PU",Response_Q177_3,"&lt;&gt;0",Response_Q177_4,CI$63,Response_Q173_5,"&lt;&gt;0")</f>
        <v>0</v>
      </c>
      <c r="CJ119" s="27">
        <f t="shared" si="71"/>
        <v>0</v>
      </c>
      <c r="CK119" s="27">
        <f t="shared" si="71"/>
        <v>0</v>
      </c>
      <c r="CL119" s="27">
        <f t="shared" si="71"/>
        <v>0</v>
      </c>
      <c r="CM119" s="27">
        <f t="shared" si="71"/>
        <v>0</v>
      </c>
      <c r="CN119" s="27">
        <f t="shared" si="71"/>
        <v>0</v>
      </c>
      <c r="CO119" s="141" t="str">
        <f t="shared" si="68"/>
        <v>Factor not ranked</v>
      </c>
      <c r="CP119" s="14"/>
      <c r="CQ119" s="47"/>
      <c r="CR119" s="14"/>
      <c r="CS119" s="140" t="s">
        <v>338</v>
      </c>
      <c r="CT119" s="27">
        <f>COUNTIFS(S30_stakeholder_category,"PU",Response_Q178_3,"&lt;&gt;0",Response_Q173_5,"&lt;&gt;0")</f>
        <v>0</v>
      </c>
      <c r="CU119" s="37">
        <f>COUNTIFS(S30_stakeholder_category,"PU",Response_Q178_3,1,Response_Q173_5,"&lt;&gt;0")</f>
        <v>0</v>
      </c>
      <c r="CV119" s="37">
        <f>COUNTIFS(S30_stakeholder_category,"PU",Response_Q178_3,2,Response_Q173_5,"&lt;&gt;0")</f>
        <v>0</v>
      </c>
      <c r="CW119" s="37">
        <f>COUNTIFS(S30_stakeholder_category,"PU",Response_Q178_3,3,Response_Q173_5,"&lt;&gt;0")</f>
        <v>0</v>
      </c>
      <c r="CX119" s="37">
        <f>IF(CT112=0,0,SUMPRODUCT(CU119:CW119,Rank_score)/CT$58)</f>
        <v>0</v>
      </c>
      <c r="CY119" s="14"/>
      <c r="CZ119" s="140" t="s">
        <v>338</v>
      </c>
      <c r="DA119" s="27">
        <f t="shared" ref="DA119:DF119" si="72">COUNTIFS(S30_stakeholder_category,"PU",Response_Q178_3,"&lt;&gt;0",Response_Q178_4,DA$63,Response_Q173_5,"&lt;&gt;0")</f>
        <v>0</v>
      </c>
      <c r="DB119" s="27">
        <f t="shared" si="72"/>
        <v>0</v>
      </c>
      <c r="DC119" s="27">
        <f t="shared" si="72"/>
        <v>0</v>
      </c>
      <c r="DD119" s="27">
        <f t="shared" si="72"/>
        <v>0</v>
      </c>
      <c r="DE119" s="27">
        <f t="shared" si="72"/>
        <v>0</v>
      </c>
      <c r="DF119" s="27">
        <f t="shared" si="72"/>
        <v>0</v>
      </c>
      <c r="DG119" s="141" t="str">
        <f t="shared" si="70"/>
        <v>Factor not ranked</v>
      </c>
      <c r="DH119" s="14"/>
      <c r="DI119" s="47"/>
      <c r="DJ119" s="14"/>
      <c r="DK119" s="56"/>
      <c r="DL119" s="29"/>
      <c r="DM119" s="59"/>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row>
    <row r="120" spans="1:142" x14ac:dyDescent="0.25">
      <c r="A120" s="14"/>
      <c r="B120" s="62"/>
      <c r="C120" s="19"/>
      <c r="D120" s="59"/>
      <c r="E120" s="14"/>
      <c r="F120" s="14"/>
      <c r="G120" s="14"/>
      <c r="H120" s="21"/>
      <c r="I120" s="21"/>
      <c r="J120" s="14"/>
      <c r="K120" s="14"/>
      <c r="L120" s="14"/>
      <c r="M120" s="14"/>
      <c r="N120" s="14"/>
      <c r="O120" s="14"/>
      <c r="P120" s="14"/>
      <c r="Q120" s="47"/>
      <c r="R120" s="19"/>
      <c r="S120" s="19"/>
      <c r="T120" s="19"/>
      <c r="U120" s="14"/>
      <c r="V120" s="14"/>
      <c r="W120" s="14"/>
      <c r="X120" s="14"/>
      <c r="Y120" s="14"/>
      <c r="Z120" s="13"/>
      <c r="AA120" s="13"/>
      <c r="AB120" s="13"/>
      <c r="AC120" s="13"/>
      <c r="AD120" s="65"/>
      <c r="AE120" s="63"/>
      <c r="AF120" s="47"/>
      <c r="AG120" s="19"/>
      <c r="AH120" s="19"/>
      <c r="AI120" s="19"/>
      <c r="AJ120" s="14"/>
      <c r="AK120" s="14"/>
      <c r="AL120" s="14"/>
      <c r="AM120" s="14"/>
      <c r="AN120" s="14"/>
      <c r="AO120" s="13"/>
      <c r="AP120" s="13"/>
      <c r="AQ120" s="13"/>
      <c r="AR120" s="13"/>
      <c r="AS120" s="65"/>
      <c r="AT120" s="63"/>
      <c r="AU120" s="47"/>
      <c r="AV120" s="14"/>
      <c r="AW120" s="19"/>
      <c r="AX120" s="19"/>
      <c r="AY120" s="14"/>
      <c r="AZ120" s="14"/>
      <c r="BA120" s="14"/>
      <c r="BB120" s="14"/>
      <c r="BC120" s="14"/>
      <c r="BD120" s="13"/>
      <c r="BE120" s="13"/>
      <c r="BF120" s="13"/>
      <c r="BG120" s="13"/>
      <c r="BH120" s="65"/>
      <c r="BI120" s="63"/>
      <c r="BJ120" s="352"/>
      <c r="BK120" s="19"/>
      <c r="BL120" s="19"/>
      <c r="BM120" s="19"/>
      <c r="BN120" s="14"/>
      <c r="BO120" s="14"/>
      <c r="BP120" s="14"/>
      <c r="BQ120" s="14"/>
      <c r="BR120" s="14"/>
      <c r="BS120" s="13"/>
      <c r="BT120" s="13"/>
      <c r="BU120" s="13"/>
      <c r="BV120" s="13"/>
      <c r="BW120" s="65"/>
      <c r="BX120" s="63"/>
      <c r="BY120" s="352"/>
      <c r="BZ120" s="14"/>
      <c r="CA120" s="140" t="s">
        <v>146</v>
      </c>
      <c r="CB120" s="27">
        <f>COUNTIFS(S30_stakeholder_category,"PU",Response_Q177_5,"&lt;&gt;0",Response_Q173_5,"&lt;&gt;0")</f>
        <v>0</v>
      </c>
      <c r="CC120" s="37">
        <f>COUNTIFS(S30_stakeholder_category,"PU",Response_Q177_5,1,Response_Q173_5,"&lt;&gt;0")</f>
        <v>0</v>
      </c>
      <c r="CD120" s="37">
        <f>COUNTIFS(S30_stakeholder_category,"PU",Response_Q177_5,2,Response_Q173_5,"&lt;&gt;0")</f>
        <v>0</v>
      </c>
      <c r="CE120" s="37">
        <f>COUNTIFS(S30_stakeholder_category,"PU",Response_Q177_5,3,Response_Q173_5,"&lt;&gt;0")</f>
        <v>0</v>
      </c>
      <c r="CF120" s="97">
        <f>IF(CB112=0,0,SUMPRODUCT(CC120:CE120,Rank_score)/$CB112)</f>
        <v>0</v>
      </c>
      <c r="CG120" s="14"/>
      <c r="CH120" s="140" t="s">
        <v>146</v>
      </c>
      <c r="CI120" s="27">
        <f t="shared" ref="CI120:CN120" si="73">COUNTIFS(S30_stakeholder_category,"PU",Response_Q177_5,"&lt;&gt;0",Response_Q177_6,CI$63,Response_Q173_5,"&lt;&gt;0")</f>
        <v>0</v>
      </c>
      <c r="CJ120" s="27">
        <f t="shared" si="73"/>
        <v>0</v>
      </c>
      <c r="CK120" s="27">
        <f t="shared" si="73"/>
        <v>0</v>
      </c>
      <c r="CL120" s="27">
        <f t="shared" si="73"/>
        <v>0</v>
      </c>
      <c r="CM120" s="27">
        <f t="shared" si="73"/>
        <v>0</v>
      </c>
      <c r="CN120" s="27">
        <f t="shared" si="73"/>
        <v>0</v>
      </c>
      <c r="CO120" s="141" t="str">
        <f t="shared" si="68"/>
        <v>Factor not ranked</v>
      </c>
      <c r="CP120" s="14"/>
      <c r="CQ120" s="47"/>
      <c r="CR120" s="14"/>
      <c r="CS120" s="106" t="s">
        <v>339</v>
      </c>
      <c r="CT120" s="27">
        <f>COUNTIFS(S30_stakeholder_category,"PU",Response_Q178_5,"&lt;&gt;0",Response_Q173_5,"&lt;&gt;0")</f>
        <v>0</v>
      </c>
      <c r="CU120" s="37">
        <f>COUNTIFS(S30_stakeholder_category,"PU",Response_Q178_5,1,Response_Q173_5,"&lt;&gt;0")</f>
        <v>0</v>
      </c>
      <c r="CV120" s="37">
        <f>COUNTIFS(S30_stakeholder_category,"PU",Response_Q178_5,2,Response_Q173_5,"&lt;&gt;0")</f>
        <v>0</v>
      </c>
      <c r="CW120" s="37">
        <f>COUNTIFS(S30_stakeholder_category,"PU",Response_Q178_5,3,Response_Q173_5,"&lt;&gt;0")</f>
        <v>0</v>
      </c>
      <c r="CX120" s="37">
        <f>IF(CT112=0,0,SUMPRODUCT(CU120:CW120,Rank_score)/CT$58)</f>
        <v>0</v>
      </c>
      <c r="CY120" s="14"/>
      <c r="CZ120" s="106" t="s">
        <v>339</v>
      </c>
      <c r="DA120" s="27">
        <f t="shared" ref="DA120:DF120" si="74">COUNTIFS(S30_stakeholder_category,"PU",Response_Q178_5,"&lt;&gt;0",Response_Q178_6,DA$63,Response_Q173_5,"&lt;&gt;0")</f>
        <v>0</v>
      </c>
      <c r="DB120" s="27">
        <f t="shared" si="74"/>
        <v>0</v>
      </c>
      <c r="DC120" s="27">
        <f t="shared" si="74"/>
        <v>0</v>
      </c>
      <c r="DD120" s="27">
        <f t="shared" si="74"/>
        <v>0</v>
      </c>
      <c r="DE120" s="27">
        <f t="shared" si="74"/>
        <v>0</v>
      </c>
      <c r="DF120" s="27">
        <f t="shared" si="74"/>
        <v>0</v>
      </c>
      <c r="DG120" s="141" t="str">
        <f t="shared" si="70"/>
        <v>Factor not ranked</v>
      </c>
      <c r="DH120" s="14"/>
      <c r="DI120" s="47"/>
      <c r="DJ120" s="14"/>
      <c r="DK120" s="56"/>
      <c r="DL120" s="19"/>
      <c r="DM120" s="59"/>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row>
    <row r="121" spans="1:142" x14ac:dyDescent="0.25">
      <c r="A121" s="14"/>
      <c r="B121" s="62"/>
      <c r="C121" s="19"/>
      <c r="D121" s="59"/>
      <c r="E121" s="14"/>
      <c r="F121" s="14"/>
      <c r="G121" s="14"/>
      <c r="H121" s="21"/>
      <c r="I121" s="21"/>
      <c r="J121" s="14"/>
      <c r="K121" s="14"/>
      <c r="L121" s="14"/>
      <c r="M121" s="14"/>
      <c r="N121" s="14"/>
      <c r="O121" s="14"/>
      <c r="P121" s="14"/>
      <c r="Q121" s="47"/>
      <c r="R121" s="19"/>
      <c r="S121" s="19"/>
      <c r="T121" s="19"/>
      <c r="U121" s="19"/>
      <c r="V121" s="19"/>
      <c r="W121" s="14"/>
      <c r="X121" s="14"/>
      <c r="Y121" s="14"/>
      <c r="Z121" s="14"/>
      <c r="AA121" s="14"/>
      <c r="AB121" s="14"/>
      <c r="AC121" s="14"/>
      <c r="AD121" s="65"/>
      <c r="AE121" s="63"/>
      <c r="AF121" s="47"/>
      <c r="AG121" s="19"/>
      <c r="AH121" s="19"/>
      <c r="AI121" s="19"/>
      <c r="AJ121" s="19"/>
      <c r="AK121" s="19"/>
      <c r="AL121" s="14"/>
      <c r="AM121" s="14"/>
      <c r="AN121" s="14"/>
      <c r="AO121" s="14"/>
      <c r="AP121" s="14"/>
      <c r="AQ121" s="14"/>
      <c r="AR121" s="14"/>
      <c r="AS121" s="65"/>
      <c r="AT121" s="63"/>
      <c r="AU121" s="47"/>
      <c r="AV121" s="14"/>
      <c r="AW121" s="19"/>
      <c r="AX121" s="19"/>
      <c r="AY121" s="19"/>
      <c r="AZ121" s="19"/>
      <c r="BA121" s="14"/>
      <c r="BB121" s="14"/>
      <c r="BC121" s="14"/>
      <c r="BD121" s="14"/>
      <c r="BE121" s="14"/>
      <c r="BF121" s="14"/>
      <c r="BG121" s="14"/>
      <c r="BH121" s="65"/>
      <c r="BI121" s="63"/>
      <c r="BJ121" s="352"/>
      <c r="BK121" s="19"/>
      <c r="BL121" s="19"/>
      <c r="BM121" s="19"/>
      <c r="BN121" s="19"/>
      <c r="BO121" s="19"/>
      <c r="BP121" s="14"/>
      <c r="BQ121" s="14"/>
      <c r="BR121" s="14"/>
      <c r="BS121" s="14"/>
      <c r="BT121" s="14"/>
      <c r="BU121" s="14"/>
      <c r="BV121" s="14"/>
      <c r="BW121" s="65"/>
      <c r="BX121" s="63"/>
      <c r="BY121" s="352"/>
      <c r="BZ121" s="14"/>
      <c r="CA121" s="140" t="s">
        <v>147</v>
      </c>
      <c r="CB121" s="27">
        <f>COUNTIFS(S30_stakeholder_category,"PU",Response_Q177_7,"&lt;&gt;0",Response_Q173_5,"&lt;&gt;0")</f>
        <v>0</v>
      </c>
      <c r="CC121" s="37">
        <f>COUNTIFS(S30_stakeholder_category,"PU",Response_Q177_7,1,Response_Q173_5,"&lt;&gt;0")</f>
        <v>0</v>
      </c>
      <c r="CD121" s="37">
        <f>COUNTIFS(S30_stakeholder_category,"PU",Response_Q177_7,2,Response_Q173_5,"&lt;&gt;0")</f>
        <v>0</v>
      </c>
      <c r="CE121" s="37">
        <f>COUNTIFS(S30_stakeholder_category,"PU",Response_Q177_7,3,Response_Q173_5,"&lt;&gt;0")</f>
        <v>0</v>
      </c>
      <c r="CF121" s="97">
        <f>IF(CB112=0,0,SUMPRODUCT(CC121:CE121,Rank_score)/$CB112)</f>
        <v>0</v>
      </c>
      <c r="CG121" s="14"/>
      <c r="CH121" s="140" t="s">
        <v>147</v>
      </c>
      <c r="CI121" s="27">
        <f t="shared" ref="CI121:CN121" si="75">COUNTIFS(S30_stakeholder_category,"PU",Response_Q177_7,"&lt;&gt;0",Response_Q177_8,CI$63,Response_Q173_5,"&lt;&gt;0")</f>
        <v>0</v>
      </c>
      <c r="CJ121" s="27">
        <f t="shared" si="75"/>
        <v>0</v>
      </c>
      <c r="CK121" s="27">
        <f t="shared" si="75"/>
        <v>0</v>
      </c>
      <c r="CL121" s="27">
        <f t="shared" si="75"/>
        <v>0</v>
      </c>
      <c r="CM121" s="27">
        <f t="shared" si="75"/>
        <v>0</v>
      </c>
      <c r="CN121" s="27">
        <f t="shared" si="75"/>
        <v>0</v>
      </c>
      <c r="CO121" s="141" t="str">
        <f t="shared" si="68"/>
        <v>Factor not ranked</v>
      </c>
      <c r="CP121" s="14"/>
      <c r="CQ121" s="47"/>
      <c r="CR121" s="14"/>
      <c r="CS121" s="106" t="s">
        <v>345</v>
      </c>
      <c r="CT121" s="27">
        <f>COUNTIFS(S30_stakeholder_category,"PU",Response_Q178_7,"&lt;&gt;0",Response_Q173_5,"&lt;&gt;0")</f>
        <v>0</v>
      </c>
      <c r="CU121" s="37">
        <f>COUNTIFS(S30_stakeholder_category,"PU",Response_Q178_7,1,Response_Q173_5,"&lt;&gt;0")</f>
        <v>0</v>
      </c>
      <c r="CV121" s="37">
        <f>COUNTIFS(S30_stakeholder_category,"PU",Response_Q178_7,2,Response_Q173_5,"&lt;&gt;0")</f>
        <v>0</v>
      </c>
      <c r="CW121" s="37">
        <f>COUNTIFS(S30_stakeholder_category,"PU",Response_Q178_7,3,Response_Q173_5,"&lt;&gt;0")</f>
        <v>0</v>
      </c>
      <c r="CX121" s="37">
        <f>IF(CT112=0,0,SUMPRODUCT(CU121:CW121,Rank_score)/CT$58)</f>
        <v>0</v>
      </c>
      <c r="CY121" s="14"/>
      <c r="CZ121" s="106" t="s">
        <v>345</v>
      </c>
      <c r="DA121" s="27">
        <f t="shared" ref="DA121:DF121" si="76">COUNTIFS(S30_stakeholder_category,"PU",Response_Q178_7,"&lt;&gt;0",Response_Q178_8,DA$63,Response_Q173_5,"&lt;&gt;0")</f>
        <v>0</v>
      </c>
      <c r="DB121" s="27">
        <f t="shared" si="76"/>
        <v>0</v>
      </c>
      <c r="DC121" s="27">
        <f t="shared" si="76"/>
        <v>0</v>
      </c>
      <c r="DD121" s="27">
        <f t="shared" si="76"/>
        <v>0</v>
      </c>
      <c r="DE121" s="27">
        <f t="shared" si="76"/>
        <v>0</v>
      </c>
      <c r="DF121" s="27">
        <f t="shared" si="76"/>
        <v>0</v>
      </c>
      <c r="DG121" s="141" t="str">
        <f t="shared" si="70"/>
        <v>Factor not ranked</v>
      </c>
      <c r="DH121" s="14"/>
      <c r="DI121" s="47"/>
      <c r="DJ121" s="14"/>
      <c r="DK121" s="14"/>
      <c r="DL121" s="19"/>
      <c r="DM121" s="59"/>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row>
    <row r="122" spans="1:142" x14ac:dyDescent="0.25">
      <c r="A122" s="14"/>
      <c r="B122" s="62"/>
      <c r="C122" s="19"/>
      <c r="D122" s="59"/>
      <c r="E122" s="14"/>
      <c r="F122" s="14"/>
      <c r="G122" s="14"/>
      <c r="H122" s="21"/>
      <c r="I122" s="21"/>
      <c r="J122" s="14"/>
      <c r="K122" s="14"/>
      <c r="L122" s="14"/>
      <c r="M122" s="14"/>
      <c r="N122" s="14"/>
      <c r="O122" s="14"/>
      <c r="P122" s="14"/>
      <c r="Q122" s="47"/>
      <c r="R122" s="19"/>
      <c r="S122" s="19"/>
      <c r="T122" s="19"/>
      <c r="U122" s="59"/>
      <c r="V122" s="19"/>
      <c r="W122" s="14"/>
      <c r="X122" s="14"/>
      <c r="Y122" s="14"/>
      <c r="Z122" s="14"/>
      <c r="AA122" s="14"/>
      <c r="AB122" s="14"/>
      <c r="AC122" s="14"/>
      <c r="AD122" s="65"/>
      <c r="AE122" s="63"/>
      <c r="AF122" s="47"/>
      <c r="AG122" s="19"/>
      <c r="AH122" s="19"/>
      <c r="AI122" s="19"/>
      <c r="AJ122" s="59"/>
      <c r="AK122" s="19"/>
      <c r="AL122" s="14"/>
      <c r="AM122" s="14"/>
      <c r="AN122" s="14"/>
      <c r="AO122" s="14"/>
      <c r="AP122" s="14"/>
      <c r="AQ122" s="14"/>
      <c r="AR122" s="14"/>
      <c r="AS122" s="65"/>
      <c r="AT122" s="63"/>
      <c r="AU122" s="47"/>
      <c r="AV122" s="14"/>
      <c r="AW122" s="19"/>
      <c r="AX122" s="19"/>
      <c r="AY122" s="59"/>
      <c r="AZ122" s="19"/>
      <c r="BA122" s="14"/>
      <c r="BB122" s="14"/>
      <c r="BC122" s="14"/>
      <c r="BD122" s="14"/>
      <c r="BE122" s="14"/>
      <c r="BF122" s="14"/>
      <c r="BG122" s="14"/>
      <c r="BH122" s="65"/>
      <c r="BI122" s="63"/>
      <c r="BJ122" s="352"/>
      <c r="BK122" s="19"/>
      <c r="BL122" s="19"/>
      <c r="BM122" s="19"/>
      <c r="BN122" s="59"/>
      <c r="BO122" s="19"/>
      <c r="BP122" s="14"/>
      <c r="BQ122" s="14"/>
      <c r="BR122" s="14"/>
      <c r="BS122" s="14"/>
      <c r="BT122" s="14"/>
      <c r="BU122" s="14"/>
      <c r="BV122" s="14"/>
      <c r="BW122" s="65"/>
      <c r="BX122" s="63"/>
      <c r="BY122" s="352"/>
      <c r="BZ122" s="14"/>
      <c r="CA122" s="140" t="s">
        <v>341</v>
      </c>
      <c r="CB122" s="27">
        <f>COUNTIFS(S30_stakeholder_category,"PU",Response_Q177_9,"&lt;&gt;0",Response_Q173_5,"&lt;&gt;0")</f>
        <v>0</v>
      </c>
      <c r="CC122" s="37">
        <f>COUNTIFS(S30_stakeholder_category,"PU",Response_Q177_9,1,Response_Q173_5,"&lt;&gt;0")</f>
        <v>0</v>
      </c>
      <c r="CD122" s="37">
        <f>COUNTIFS(S30_stakeholder_category,"PU",Response_Q177_9,2,Response_Q173_5,"&lt;&gt;0")</f>
        <v>0</v>
      </c>
      <c r="CE122" s="37">
        <f>COUNTIFS(S30_stakeholder_category,"PU",Response_Q177_9,3,Response_Q173_5,"&lt;&gt;0")</f>
        <v>0</v>
      </c>
      <c r="CF122" s="97">
        <f>IF(CB112=0,0,SUMPRODUCT(CC122:CE122,Rank_score)/$CB112)</f>
        <v>0</v>
      </c>
      <c r="CG122" s="14"/>
      <c r="CH122" s="140" t="s">
        <v>341</v>
      </c>
      <c r="CI122" s="27">
        <f t="shared" ref="CI122:CN122" si="77">COUNTIFS(S30_stakeholder_category,"PU",Response_Q177_9,"&lt;&gt;0",Response_Q177_10,CI$63,Response_Q173_5,"&lt;&gt;0")</f>
        <v>0</v>
      </c>
      <c r="CJ122" s="27">
        <f t="shared" si="77"/>
        <v>0</v>
      </c>
      <c r="CK122" s="27">
        <f t="shared" si="77"/>
        <v>0</v>
      </c>
      <c r="CL122" s="27">
        <f t="shared" si="77"/>
        <v>0</v>
      </c>
      <c r="CM122" s="27">
        <f t="shared" si="77"/>
        <v>0</v>
      </c>
      <c r="CN122" s="27">
        <f t="shared" si="77"/>
        <v>0</v>
      </c>
      <c r="CO122" s="141" t="str">
        <f t="shared" si="68"/>
        <v>Factor not ranked</v>
      </c>
      <c r="CP122" s="14"/>
      <c r="CQ122" s="47"/>
      <c r="CR122" s="14"/>
      <c r="CS122" s="106" t="s">
        <v>561</v>
      </c>
      <c r="CT122" s="27">
        <f>COUNTIFS(S30_stakeholder_category,"PU",Response_Q178_9,"&lt;&gt;0",Response_Q173_5,"&lt;&gt;0")</f>
        <v>0</v>
      </c>
      <c r="CU122" s="37">
        <f>COUNTIFS(S30_stakeholder_category,"PU",Response_Q178_9,1,Response_Q173_5,"&lt;&gt;0")</f>
        <v>0</v>
      </c>
      <c r="CV122" s="37">
        <f>COUNTIFS(S30_stakeholder_category,"PU",Response_Q178_9,2,Response_Q173_5,"&lt;&gt;0")</f>
        <v>0</v>
      </c>
      <c r="CW122" s="37">
        <f>COUNTIFS(S30_stakeholder_category,"PU",Response_Q178_9,3,Response_Q173_5,"&lt;&gt;0")</f>
        <v>0</v>
      </c>
      <c r="CX122" s="37">
        <f>IF(CT112=0,0,SUMPRODUCT(CU122:CW122,Rank_score)/CT$58)</f>
        <v>0</v>
      </c>
      <c r="CY122" s="14"/>
      <c r="CZ122" s="106" t="s">
        <v>561</v>
      </c>
      <c r="DA122" s="27">
        <f t="shared" ref="DA122:DF122" si="78">COUNTIFS(S30_stakeholder_category,"PU",Response_Q178_9,"&lt;&gt;0",Response_Q178_10,DA$63,Response_Q173_5,"&lt;&gt;0")</f>
        <v>0</v>
      </c>
      <c r="DB122" s="27">
        <f t="shared" si="78"/>
        <v>0</v>
      </c>
      <c r="DC122" s="27">
        <f t="shared" si="78"/>
        <v>0</v>
      </c>
      <c r="DD122" s="27">
        <f t="shared" si="78"/>
        <v>0</v>
      </c>
      <c r="DE122" s="27">
        <f t="shared" si="78"/>
        <v>0</v>
      </c>
      <c r="DF122" s="27">
        <f t="shared" si="78"/>
        <v>0</v>
      </c>
      <c r="DG122" s="141" t="str">
        <f t="shared" si="70"/>
        <v>Factor not ranked</v>
      </c>
      <c r="DH122" s="14"/>
      <c r="DI122" s="47"/>
      <c r="DJ122" s="14"/>
      <c r="DK122" s="14"/>
      <c r="DL122" s="19"/>
      <c r="DM122" s="59"/>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row>
    <row r="123" spans="1:142" x14ac:dyDescent="0.25">
      <c r="A123" s="14"/>
      <c r="B123" s="62"/>
      <c r="C123" s="19"/>
      <c r="D123" s="59"/>
      <c r="E123" s="14"/>
      <c r="F123" s="14"/>
      <c r="G123" s="14"/>
      <c r="H123" s="21"/>
      <c r="I123" s="21"/>
      <c r="J123" s="14"/>
      <c r="K123" s="14"/>
      <c r="L123" s="14"/>
      <c r="M123" s="14"/>
      <c r="N123" s="14"/>
      <c r="O123" s="14"/>
      <c r="P123" s="14"/>
      <c r="Q123" s="47"/>
      <c r="R123" s="19"/>
      <c r="S123" s="19"/>
      <c r="T123" s="19"/>
      <c r="U123" s="59"/>
      <c r="V123" s="19"/>
      <c r="W123" s="14"/>
      <c r="X123" s="14"/>
      <c r="Y123" s="14"/>
      <c r="Z123" s="14"/>
      <c r="AA123" s="14"/>
      <c r="AB123" s="14"/>
      <c r="AC123" s="14"/>
      <c r="AD123" s="65"/>
      <c r="AE123" s="63"/>
      <c r="AF123" s="47"/>
      <c r="AG123" s="19"/>
      <c r="AH123" s="19"/>
      <c r="AI123" s="19"/>
      <c r="AJ123" s="59"/>
      <c r="AK123" s="19"/>
      <c r="AL123" s="14"/>
      <c r="AM123" s="14"/>
      <c r="AN123" s="14"/>
      <c r="AO123" s="14"/>
      <c r="AP123" s="14"/>
      <c r="AQ123" s="14"/>
      <c r="AR123" s="14"/>
      <c r="AS123" s="65"/>
      <c r="AT123" s="63"/>
      <c r="AU123" s="47"/>
      <c r="AV123" s="14"/>
      <c r="AW123" s="19"/>
      <c r="AX123" s="19"/>
      <c r="AY123" s="59"/>
      <c r="AZ123" s="19"/>
      <c r="BA123" s="14"/>
      <c r="BB123" s="14"/>
      <c r="BC123" s="14"/>
      <c r="BD123" s="14"/>
      <c r="BE123" s="14"/>
      <c r="BF123" s="14"/>
      <c r="BG123" s="14"/>
      <c r="BH123" s="65"/>
      <c r="BI123" s="63"/>
      <c r="BJ123" s="352"/>
      <c r="BK123" s="19"/>
      <c r="BL123" s="19"/>
      <c r="BM123" s="19"/>
      <c r="BN123" s="59"/>
      <c r="BO123" s="19"/>
      <c r="BP123" s="14"/>
      <c r="BQ123" s="14"/>
      <c r="BR123" s="14"/>
      <c r="BS123" s="14"/>
      <c r="BT123" s="14"/>
      <c r="BU123" s="14"/>
      <c r="BV123" s="14"/>
      <c r="BW123" s="65"/>
      <c r="BX123" s="63"/>
      <c r="BY123" s="352"/>
      <c r="BZ123" s="14"/>
      <c r="CA123" s="106" t="s">
        <v>148</v>
      </c>
      <c r="CB123" s="27">
        <f>COUNTIFS(S30_stakeholder_category,"PU",Response_Q177_11,"&lt;&gt;0",Response_Q173_5,"&lt;&gt;0")</f>
        <v>0</v>
      </c>
      <c r="CC123" s="37">
        <f>COUNTIFS(S30_stakeholder_category,"PU",Response_Q177_11,1,Response_Q173_5,"&lt;&gt;0")</f>
        <v>0</v>
      </c>
      <c r="CD123" s="37">
        <f>COUNTIFS(S30_stakeholder_category,"PU",Response_Q177_11,2,Response_Q173_5,"&lt;&gt;0")</f>
        <v>0</v>
      </c>
      <c r="CE123" s="37">
        <f>COUNTIFS(S30_stakeholder_category,"PU",Response_Q177_11,3,Response_Q173_5,"&lt;&gt;0")</f>
        <v>0</v>
      </c>
      <c r="CF123" s="97">
        <f>IF(CB112=0,0,SUMPRODUCT(CC123:CE123,Rank_score)/$CB112)</f>
        <v>0</v>
      </c>
      <c r="CG123" s="43"/>
      <c r="CH123" s="106" t="s">
        <v>148</v>
      </c>
      <c r="CI123" s="27">
        <f t="shared" ref="CI123:CN123" si="79">COUNTIFS(S30_stakeholder_category,"PU",Response_Q177_11,"&lt;&gt;0",Response_Q177_12,CI$63,Response_Q173_5,"&lt;&gt;0")</f>
        <v>0</v>
      </c>
      <c r="CJ123" s="27">
        <f t="shared" si="79"/>
        <v>0</v>
      </c>
      <c r="CK123" s="27">
        <f t="shared" si="79"/>
        <v>0</v>
      </c>
      <c r="CL123" s="27">
        <f t="shared" si="79"/>
        <v>0</v>
      </c>
      <c r="CM123" s="27">
        <f t="shared" si="79"/>
        <v>0</v>
      </c>
      <c r="CN123" s="27">
        <f t="shared" si="79"/>
        <v>0</v>
      </c>
      <c r="CO123" s="141" t="str">
        <f t="shared" si="68"/>
        <v>Factor not ranked</v>
      </c>
      <c r="CP123" s="14"/>
      <c r="CQ123" s="47"/>
      <c r="CR123" s="14"/>
      <c r="CS123" s="106" t="s">
        <v>49</v>
      </c>
      <c r="CT123" s="27">
        <f>COUNTIFS(S30_stakeholder_category,"PU",Response_Q178_11,"&lt;&gt;0",Response_Q173_5,"&lt;&gt;0")</f>
        <v>0</v>
      </c>
      <c r="CU123" s="37">
        <f>COUNTIFS(S30_stakeholder_category,"PU",Response_Q178_11,1,Response_Q173_5,"&lt;&gt;0")</f>
        <v>0</v>
      </c>
      <c r="CV123" s="37">
        <f>COUNTIFS(S30_stakeholder_category,"PU",Response_Q178_11,2,Response_Q173_5,"&lt;&gt;0")</f>
        <v>0</v>
      </c>
      <c r="CW123" s="37">
        <f>COUNTIFS(S30_stakeholder_category,"PU",Response_Q178_11,3,Response_Q173_5,"&lt;&gt;0")</f>
        <v>0</v>
      </c>
      <c r="CX123" s="37">
        <f>IF(CT112=0,0,SUMPRODUCT(CU123:CW123,Rank_score)/CT$58)</f>
        <v>0</v>
      </c>
      <c r="CY123" s="43"/>
      <c r="CZ123" s="106" t="s">
        <v>49</v>
      </c>
      <c r="DA123" s="27">
        <f t="shared" ref="DA123:DF123" si="80">COUNTIFS(S30_stakeholder_category,"PU",Response_Q178_11,"&lt;&gt;0",Response_Q178_12,DA$63,Response_Q173_5,"&lt;&gt;0")</f>
        <v>0</v>
      </c>
      <c r="DB123" s="27">
        <f t="shared" si="80"/>
        <v>0</v>
      </c>
      <c r="DC123" s="27">
        <f t="shared" si="80"/>
        <v>0</v>
      </c>
      <c r="DD123" s="27">
        <f t="shared" si="80"/>
        <v>0</v>
      </c>
      <c r="DE123" s="27">
        <f t="shared" si="80"/>
        <v>0</v>
      </c>
      <c r="DF123" s="27">
        <f t="shared" si="80"/>
        <v>0</v>
      </c>
      <c r="DG123" s="141" t="str">
        <f t="shared" si="70"/>
        <v>Factor not ranked</v>
      </c>
      <c r="DH123" s="14"/>
      <c r="DI123" s="47"/>
      <c r="DJ123" s="14"/>
      <c r="DK123" s="14"/>
      <c r="DL123" s="19"/>
      <c r="DM123" s="59"/>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row>
    <row r="124" spans="1:142" x14ac:dyDescent="0.25">
      <c r="A124" s="14"/>
      <c r="B124" s="62"/>
      <c r="C124" s="19"/>
      <c r="D124" s="59"/>
      <c r="E124" s="14"/>
      <c r="F124" s="14"/>
      <c r="G124" s="14"/>
      <c r="H124" s="21"/>
      <c r="I124" s="21"/>
      <c r="J124" s="14"/>
      <c r="K124" s="14"/>
      <c r="L124" s="14"/>
      <c r="M124" s="14"/>
      <c r="N124" s="14"/>
      <c r="O124" s="14"/>
      <c r="P124" s="14"/>
      <c r="Q124" s="47"/>
      <c r="R124" s="19"/>
      <c r="S124" s="56"/>
      <c r="T124" s="29"/>
      <c r="U124" s="27"/>
      <c r="V124" s="19"/>
      <c r="W124" s="14"/>
      <c r="X124" s="14"/>
      <c r="Y124" s="14"/>
      <c r="Z124" s="14"/>
      <c r="AA124" s="14"/>
      <c r="AB124" s="14"/>
      <c r="AC124" s="14"/>
      <c r="AD124" s="65"/>
      <c r="AE124" s="63"/>
      <c r="AF124" s="47"/>
      <c r="AG124" s="19"/>
      <c r="AH124" s="56"/>
      <c r="AI124" s="29"/>
      <c r="AJ124" s="27"/>
      <c r="AK124" s="19"/>
      <c r="AL124" s="14"/>
      <c r="AM124" s="14"/>
      <c r="AN124" s="14"/>
      <c r="AO124" s="14"/>
      <c r="AP124" s="14"/>
      <c r="AQ124" s="14"/>
      <c r="AR124" s="14"/>
      <c r="AS124" s="65"/>
      <c r="AT124" s="63"/>
      <c r="AU124" s="47"/>
      <c r="AV124" s="14"/>
      <c r="AW124" s="56"/>
      <c r="AX124" s="29"/>
      <c r="AY124" s="27"/>
      <c r="AZ124" s="19"/>
      <c r="BA124" s="14"/>
      <c r="BB124" s="14"/>
      <c r="BC124" s="14"/>
      <c r="BD124" s="14"/>
      <c r="BE124" s="14"/>
      <c r="BF124" s="14"/>
      <c r="BG124" s="14"/>
      <c r="BH124" s="65"/>
      <c r="BI124" s="63"/>
      <c r="BJ124" s="352"/>
      <c r="BK124" s="19"/>
      <c r="BL124" s="56"/>
      <c r="BM124" s="29"/>
      <c r="BN124" s="27"/>
      <c r="BO124" s="19"/>
      <c r="BP124" s="14"/>
      <c r="BQ124" s="14"/>
      <c r="BR124" s="14"/>
      <c r="BS124" s="14"/>
      <c r="BT124" s="14"/>
      <c r="BU124" s="14"/>
      <c r="BV124" s="14"/>
      <c r="BW124" s="65"/>
      <c r="BX124" s="63"/>
      <c r="BY124" s="352"/>
      <c r="BZ124" s="14"/>
      <c r="CA124" s="107" t="s">
        <v>49</v>
      </c>
      <c r="CB124" s="27">
        <f>COUNTIFS(S30_stakeholder_category,"PU",Response_Q177_13,"&lt;&gt;0",Response_Q173_5,"&lt;&gt;0")</f>
        <v>0</v>
      </c>
      <c r="CC124" s="37">
        <f>COUNTIFS(S30_stakeholder_category,"PU",Response_Q177_13,1,Response_Q173_5,"&lt;&gt;0")</f>
        <v>0</v>
      </c>
      <c r="CD124" s="37">
        <f>COUNTIFS(S30_stakeholder_category,"PU",Response_Q177_13,2,Response_Q173_5,"&lt;&gt;0")</f>
        <v>0</v>
      </c>
      <c r="CE124" s="37">
        <f>COUNTIFS(S30_stakeholder_category,"PU",Response_Q177_13,3,Response_Q173_5,"&lt;&gt;0")</f>
        <v>0</v>
      </c>
      <c r="CF124" s="97">
        <f>IF(CB112=0,0,SUMPRODUCT(CC124:CE124,Rank_score)/$CB112)</f>
        <v>0</v>
      </c>
      <c r="CG124" s="29"/>
      <c r="CH124" s="107" t="s">
        <v>49</v>
      </c>
      <c r="CI124" s="27">
        <f t="shared" ref="CI124:CN124" si="81">COUNTIFS(S30_stakeholder_category,"PU",Response_Q177_13,"&lt;&gt;0",Response_Q177_14,CI$63,Response_Q173_5,"&lt;&gt;0")</f>
        <v>0</v>
      </c>
      <c r="CJ124" s="27">
        <f t="shared" si="81"/>
        <v>0</v>
      </c>
      <c r="CK124" s="27">
        <f t="shared" si="81"/>
        <v>0</v>
      </c>
      <c r="CL124" s="27">
        <f t="shared" si="81"/>
        <v>0</v>
      </c>
      <c r="CM124" s="27">
        <f t="shared" si="81"/>
        <v>0</v>
      </c>
      <c r="CN124" s="27">
        <f t="shared" si="81"/>
        <v>0</v>
      </c>
      <c r="CO124" s="141" t="str">
        <f t="shared" si="68"/>
        <v>Factor not ranked</v>
      </c>
      <c r="CP124" s="14"/>
      <c r="CQ124" s="47"/>
      <c r="CR124" s="14"/>
      <c r="CS124" s="107"/>
      <c r="CT124" s="27"/>
      <c r="CU124" s="37"/>
      <c r="CV124" s="37"/>
      <c r="CW124" s="37"/>
      <c r="CX124" s="37"/>
      <c r="CY124" s="29"/>
      <c r="CZ124" s="106"/>
      <c r="DA124" s="27"/>
      <c r="DB124" s="27"/>
      <c r="DC124" s="27"/>
      <c r="DD124" s="27"/>
      <c r="DE124" s="27"/>
      <c r="DF124" s="27"/>
      <c r="DG124" s="141" t="str">
        <f t="shared" si="70"/>
        <v/>
      </c>
      <c r="DH124" s="14"/>
      <c r="DI124" s="47"/>
      <c r="DJ124" s="14"/>
      <c r="DK124" s="62"/>
      <c r="DL124" s="19"/>
      <c r="DM124" s="59"/>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row>
    <row r="125" spans="1:142" x14ac:dyDescent="0.25">
      <c r="A125" s="14"/>
      <c r="B125" s="62"/>
      <c r="C125" s="19"/>
      <c r="D125" s="59"/>
      <c r="E125" s="14"/>
      <c r="F125" s="14"/>
      <c r="G125" s="109" t="s">
        <v>14</v>
      </c>
      <c r="H125" s="110" t="s">
        <v>6</v>
      </c>
      <c r="I125" s="110" t="s">
        <v>7</v>
      </c>
      <c r="J125" s="14"/>
      <c r="K125" s="14"/>
      <c r="L125" s="14"/>
      <c r="M125" s="14"/>
      <c r="N125" s="14"/>
      <c r="O125" s="14"/>
      <c r="P125" s="14"/>
      <c r="Q125" s="47"/>
      <c r="R125" s="19"/>
      <c r="S125" s="56"/>
      <c r="T125" s="19"/>
      <c r="U125" s="27"/>
      <c r="V125" s="19"/>
      <c r="W125" s="14"/>
      <c r="X125" s="109" t="s">
        <v>14</v>
      </c>
      <c r="Y125" s="110" t="s">
        <v>6</v>
      </c>
      <c r="Z125" s="110" t="s">
        <v>7</v>
      </c>
      <c r="AA125" s="14"/>
      <c r="AB125" s="14"/>
      <c r="AC125" s="14"/>
      <c r="AD125" s="65"/>
      <c r="AE125" s="63"/>
      <c r="AF125" s="47"/>
      <c r="AG125" s="19"/>
      <c r="AH125" s="56"/>
      <c r="AI125" s="19"/>
      <c r="AJ125" s="27"/>
      <c r="AK125" s="19"/>
      <c r="AL125" s="14"/>
      <c r="AM125" s="109" t="s">
        <v>14</v>
      </c>
      <c r="AN125" s="110" t="s">
        <v>6</v>
      </c>
      <c r="AO125" s="110" t="s">
        <v>7</v>
      </c>
      <c r="AP125" s="14"/>
      <c r="AQ125" s="14"/>
      <c r="AR125" s="14"/>
      <c r="AS125" s="65"/>
      <c r="AT125" s="63"/>
      <c r="AU125" s="47"/>
      <c r="AV125" s="14"/>
      <c r="AW125" s="56"/>
      <c r="AX125" s="19"/>
      <c r="AY125" s="27"/>
      <c r="AZ125" s="19"/>
      <c r="BA125" s="14"/>
      <c r="BB125" s="109" t="s">
        <v>14</v>
      </c>
      <c r="BC125" s="110" t="s">
        <v>6</v>
      </c>
      <c r="BD125" s="110" t="s">
        <v>7</v>
      </c>
      <c r="BE125" s="14"/>
      <c r="BF125" s="14"/>
      <c r="BG125" s="14"/>
      <c r="BH125" s="65"/>
      <c r="BI125" s="63"/>
      <c r="BJ125" s="352"/>
      <c r="BK125" s="19"/>
      <c r="BL125" s="56"/>
      <c r="BM125" s="19"/>
      <c r="BN125" s="27"/>
      <c r="BO125" s="19"/>
      <c r="BP125" s="14"/>
      <c r="BQ125" s="109" t="s">
        <v>14</v>
      </c>
      <c r="BR125" s="110" t="s">
        <v>6</v>
      </c>
      <c r="BS125" s="110" t="s">
        <v>7</v>
      </c>
      <c r="BT125" s="14"/>
      <c r="BU125" s="14"/>
      <c r="BV125" s="14"/>
      <c r="BW125" s="65"/>
      <c r="BX125" s="63"/>
      <c r="BY125" s="352"/>
      <c r="BZ125" s="14"/>
      <c r="CA125" s="86"/>
      <c r="CB125" s="111"/>
      <c r="CC125" s="111"/>
      <c r="CD125" s="179"/>
      <c r="CE125" s="179"/>
      <c r="CF125" s="108"/>
      <c r="CG125" s="29"/>
      <c r="CH125" s="109"/>
      <c r="CI125" s="109"/>
      <c r="CJ125" s="109"/>
      <c r="CK125" s="109"/>
      <c r="CL125" s="109"/>
      <c r="CM125" s="109"/>
      <c r="CN125" s="109"/>
      <c r="CO125" s="329"/>
      <c r="CP125" s="14"/>
      <c r="CQ125" s="47"/>
      <c r="CR125" s="14"/>
      <c r="CS125" s="107"/>
      <c r="CT125" s="27"/>
      <c r="CU125" s="37"/>
      <c r="CV125" s="37"/>
      <c r="CW125" s="37"/>
      <c r="CX125" s="37"/>
      <c r="CY125" s="29"/>
      <c r="CZ125" s="106"/>
      <c r="DA125" s="27"/>
      <c r="DB125" s="27"/>
      <c r="DC125" s="27"/>
      <c r="DD125" s="27"/>
      <c r="DE125" s="27"/>
      <c r="DF125" s="27"/>
      <c r="DG125" s="141" t="str">
        <f t="shared" si="70"/>
        <v/>
      </c>
      <c r="DH125" s="14"/>
      <c r="DI125" s="47"/>
      <c r="DJ125" s="14"/>
      <c r="DK125" s="62"/>
      <c r="DL125" s="19"/>
      <c r="DM125" s="59"/>
      <c r="DN125" s="14"/>
      <c r="DO125" s="14"/>
      <c r="DP125" s="109" t="s">
        <v>14</v>
      </c>
      <c r="DQ125" s="110" t="s">
        <v>6</v>
      </c>
      <c r="DR125" s="110" t="s">
        <v>7</v>
      </c>
      <c r="DS125" s="14"/>
      <c r="DT125" s="14"/>
      <c r="DU125" s="14"/>
      <c r="DV125" s="14"/>
      <c r="DW125" s="14"/>
      <c r="DX125" s="14"/>
      <c r="DY125" s="14"/>
      <c r="DZ125" s="14"/>
      <c r="EA125" s="14"/>
      <c r="EB125" s="14"/>
      <c r="EC125" s="14"/>
      <c r="ED125" s="14"/>
      <c r="EE125" s="14"/>
      <c r="EF125" s="14"/>
      <c r="EG125" s="14"/>
      <c r="EH125" s="14"/>
      <c r="EI125" s="14"/>
      <c r="EJ125" s="14"/>
      <c r="EK125" s="14"/>
      <c r="EL125" s="14"/>
    </row>
    <row r="126" spans="1:142" x14ac:dyDescent="0.25">
      <c r="A126" s="14"/>
      <c r="B126" s="19"/>
      <c r="C126" s="19"/>
      <c r="D126" s="59"/>
      <c r="E126" s="14"/>
      <c r="F126" s="14"/>
      <c r="G126" s="107" t="s">
        <v>34</v>
      </c>
      <c r="H126" s="27">
        <f>COUNTIFS(S30_stakeholder_category,"PU",Response_Q173_5,G126)</f>
        <v>1</v>
      </c>
      <c r="I126" s="41">
        <f>IFERROR(H126/H$131,"")</f>
        <v>1</v>
      </c>
      <c r="J126" s="14"/>
      <c r="K126" s="14"/>
      <c r="L126" s="14"/>
      <c r="M126" s="14"/>
      <c r="N126" s="14"/>
      <c r="O126" s="14"/>
      <c r="P126" s="14"/>
      <c r="Q126" s="47"/>
      <c r="R126" s="19"/>
      <c r="S126" s="19"/>
      <c r="T126" s="19"/>
      <c r="U126" s="27"/>
      <c r="V126" s="19"/>
      <c r="W126" s="14"/>
      <c r="X126" s="107" t="s">
        <v>5</v>
      </c>
      <c r="Y126" s="27">
        <f t="shared" ref="Y126:Y132" si="82">COUNTIFS(S30_stakeholder_category,"PU",Response_Q176_3,X126)</f>
        <v>0</v>
      </c>
      <c r="Z126" s="41">
        <f t="shared" ref="Z126:Z133" si="83">IFERROR(Y126/Y$133,0)</f>
        <v>0</v>
      </c>
      <c r="AA126" s="14"/>
      <c r="AB126" s="14"/>
      <c r="AC126" s="14"/>
      <c r="AD126" s="65"/>
      <c r="AE126" s="63"/>
      <c r="AF126" s="47"/>
      <c r="AG126" s="19"/>
      <c r="AH126" s="19"/>
      <c r="AI126" s="19"/>
      <c r="AJ126" s="27"/>
      <c r="AK126" s="19"/>
      <c r="AL126" s="14"/>
      <c r="AM126" s="107" t="s">
        <v>5</v>
      </c>
      <c r="AN126" s="27">
        <f t="shared" ref="AN126:AN132" si="84">COUNTIFS(S30_stakeholder_category,"PU",Response_30c_CaseA,AM126)</f>
        <v>0</v>
      </c>
      <c r="AO126" s="41">
        <f>IFERROR(AN126/AN$133,0)</f>
        <v>0</v>
      </c>
      <c r="AP126" s="14"/>
      <c r="AQ126" s="14"/>
      <c r="AR126" s="14"/>
      <c r="AS126" s="65"/>
      <c r="AT126" s="63"/>
      <c r="AU126" s="47"/>
      <c r="AV126" s="14"/>
      <c r="AW126" s="19"/>
      <c r="AX126" s="19"/>
      <c r="AY126" s="27"/>
      <c r="AZ126" s="19"/>
      <c r="BA126" s="14"/>
      <c r="BB126" s="107" t="s">
        <v>5</v>
      </c>
      <c r="BC126" s="27">
        <f t="shared" ref="BC126:BC132" si="85">COUNTIFS(S30_stakeholder_category,"PU",Response_30c_CaseB,BB126)</f>
        <v>0</v>
      </c>
      <c r="BD126" s="41">
        <f>IFERROR(BC126/BC$133,0)</f>
        <v>0</v>
      </c>
      <c r="BE126" s="14"/>
      <c r="BF126" s="14"/>
      <c r="BG126" s="14"/>
      <c r="BH126" s="65"/>
      <c r="BI126" s="63"/>
      <c r="BJ126" s="352"/>
      <c r="BK126" s="19"/>
      <c r="BL126" s="19"/>
      <c r="BM126" s="19"/>
      <c r="BN126" s="27"/>
      <c r="BO126" s="19"/>
      <c r="BP126" s="14"/>
      <c r="BQ126" s="107" t="s">
        <v>5</v>
      </c>
      <c r="BR126" s="27">
        <f t="shared" ref="BR126:BR132" si="86">COUNTIFS(S30_stakeholder_category,"PU",Response_30c_CaseC,BQ126)</f>
        <v>0</v>
      </c>
      <c r="BS126" s="41">
        <f>IFERROR(BR126/BR$133,0)</f>
        <v>0</v>
      </c>
      <c r="BT126" s="14"/>
      <c r="BU126" s="14"/>
      <c r="BV126" s="14"/>
      <c r="BW126" s="65"/>
      <c r="BX126" s="63"/>
      <c r="BY126" s="352"/>
      <c r="BZ126" s="14"/>
      <c r="CA126" s="19"/>
      <c r="CB126" s="27"/>
      <c r="CC126" s="27"/>
      <c r="CD126" s="37"/>
      <c r="CE126" s="181"/>
      <c r="CF126" s="31"/>
      <c r="CG126" s="52"/>
      <c r="CH126" s="52"/>
      <c r="CI126" s="99"/>
      <c r="CJ126" s="14"/>
      <c r="CK126" s="14"/>
      <c r="CL126" s="14"/>
      <c r="CM126" s="14"/>
      <c r="CN126" s="14"/>
      <c r="CO126" s="129"/>
      <c r="CP126" s="14"/>
      <c r="CQ126" s="47"/>
      <c r="CR126" s="14"/>
      <c r="CS126" s="86"/>
      <c r="CT126" s="111"/>
      <c r="CU126" s="86"/>
      <c r="CV126" s="179"/>
      <c r="CW126" s="188"/>
      <c r="CX126" s="179"/>
      <c r="CY126" s="29"/>
      <c r="CZ126" s="109"/>
      <c r="DA126" s="109"/>
      <c r="DB126" s="109"/>
      <c r="DC126" s="109"/>
      <c r="DD126" s="109"/>
      <c r="DE126" s="109"/>
      <c r="DF126" s="109"/>
      <c r="DG126" s="329"/>
      <c r="DH126" s="14"/>
      <c r="DI126" s="47"/>
      <c r="DJ126" s="14"/>
      <c r="DK126" s="62"/>
      <c r="DL126" s="19"/>
      <c r="DM126" s="59"/>
      <c r="DN126" s="14"/>
      <c r="DO126" s="14"/>
      <c r="DP126" s="107" t="s">
        <v>34</v>
      </c>
      <c r="DQ126" s="27">
        <f>COUNTIFS(S30_stakeholder_category,"PU",Response_Q172_1,DP126,Response_Q173_5,"&lt;&gt;0")</f>
        <v>0</v>
      </c>
      <c r="DR126" s="41">
        <f>IF(DQ131=0,"",DQ126/DQ131)</f>
        <v>0</v>
      </c>
      <c r="DS126" s="14"/>
      <c r="DT126" s="14"/>
      <c r="DU126" s="14"/>
      <c r="DV126" s="14"/>
      <c r="DW126" s="14"/>
      <c r="DX126" s="14"/>
      <c r="DY126" s="14"/>
      <c r="DZ126" s="14"/>
      <c r="EA126" s="14"/>
      <c r="EB126" s="14"/>
      <c r="EC126" s="14"/>
      <c r="ED126" s="14"/>
      <c r="EE126" s="14"/>
      <c r="EF126" s="14"/>
      <c r="EG126" s="14"/>
      <c r="EH126" s="14"/>
      <c r="EI126" s="14"/>
      <c r="EJ126" s="14"/>
      <c r="EK126" s="14"/>
      <c r="EL126" s="14"/>
    </row>
    <row r="127" spans="1:142" x14ac:dyDescent="0.25">
      <c r="A127" s="14"/>
      <c r="B127" s="19"/>
      <c r="C127" s="19"/>
      <c r="D127" s="59"/>
      <c r="E127" s="14"/>
      <c r="F127" s="14"/>
      <c r="G127" s="107" t="s">
        <v>35</v>
      </c>
      <c r="H127" s="27">
        <f>COUNTIFS(S30_stakeholder_category,"PU",Response_Q173_5,G127)</f>
        <v>0</v>
      </c>
      <c r="I127" s="41">
        <f t="shared" ref="I127:I131" si="87">IFERROR(H127/H$131,"")</f>
        <v>0</v>
      </c>
      <c r="J127" s="14"/>
      <c r="K127" s="14"/>
      <c r="L127" s="14"/>
      <c r="M127" s="14"/>
      <c r="N127" s="14"/>
      <c r="O127" s="14"/>
      <c r="P127" s="14"/>
      <c r="Q127" s="47"/>
      <c r="R127" s="19"/>
      <c r="S127" s="19"/>
      <c r="T127" s="19"/>
      <c r="U127" s="27"/>
      <c r="V127" s="19"/>
      <c r="W127" s="14"/>
      <c r="X127" s="107" t="s">
        <v>4</v>
      </c>
      <c r="Y127" s="27">
        <f t="shared" si="82"/>
        <v>1</v>
      </c>
      <c r="Z127" s="41">
        <f t="shared" si="83"/>
        <v>1</v>
      </c>
      <c r="AA127" s="14"/>
      <c r="AB127" s="14"/>
      <c r="AC127" s="14"/>
      <c r="AD127" s="65"/>
      <c r="AE127" s="63"/>
      <c r="AF127" s="47"/>
      <c r="AG127" s="19"/>
      <c r="AH127" s="19"/>
      <c r="AI127" s="19"/>
      <c r="AJ127" s="27"/>
      <c r="AK127" s="19"/>
      <c r="AL127" s="14"/>
      <c r="AM127" s="107" t="s">
        <v>4</v>
      </c>
      <c r="AN127" s="27">
        <f t="shared" si="84"/>
        <v>1</v>
      </c>
      <c r="AO127" s="41">
        <f t="shared" ref="AO127:AO133" si="88">IFERROR(AN127/AN$133,0)</f>
        <v>1</v>
      </c>
      <c r="AP127" s="14"/>
      <c r="AQ127" s="14"/>
      <c r="AR127" s="14"/>
      <c r="AS127" s="65"/>
      <c r="AT127" s="63"/>
      <c r="AU127" s="47"/>
      <c r="AV127" s="14"/>
      <c r="AW127" s="19"/>
      <c r="AX127" s="19"/>
      <c r="AY127" s="27"/>
      <c r="AZ127" s="19"/>
      <c r="BA127" s="14"/>
      <c r="BB127" s="107" t="s">
        <v>4</v>
      </c>
      <c r="BC127" s="27">
        <f t="shared" si="85"/>
        <v>1</v>
      </c>
      <c r="BD127" s="41">
        <f t="shared" ref="BD127:BD133" si="89">IFERROR(BC127/BC$133,0)</f>
        <v>1</v>
      </c>
      <c r="BE127" s="14"/>
      <c r="BF127" s="14"/>
      <c r="BG127" s="14"/>
      <c r="BH127" s="65"/>
      <c r="BI127" s="63"/>
      <c r="BJ127" s="352"/>
      <c r="BK127" s="19"/>
      <c r="BL127" s="19"/>
      <c r="BM127" s="19"/>
      <c r="BN127" s="27"/>
      <c r="BO127" s="19"/>
      <c r="BP127" s="14"/>
      <c r="BQ127" s="107" t="s">
        <v>4</v>
      </c>
      <c r="BR127" s="27">
        <f t="shared" si="86"/>
        <v>1</v>
      </c>
      <c r="BS127" s="41">
        <f t="shared" ref="BS127:BS133" si="90">IFERROR(BR127/BR$133,0)</f>
        <v>1</v>
      </c>
      <c r="BT127" s="14"/>
      <c r="BU127" s="14"/>
      <c r="BV127" s="14"/>
      <c r="BW127" s="65"/>
      <c r="BX127" s="63"/>
      <c r="BY127" s="352"/>
      <c r="BZ127" s="14"/>
      <c r="CA127" s="19"/>
      <c r="CB127" s="27"/>
      <c r="CC127" s="27"/>
      <c r="CD127" s="37"/>
      <c r="CE127" s="181"/>
      <c r="CF127" s="31"/>
      <c r="CG127" s="52"/>
      <c r="CH127" s="52"/>
      <c r="CI127" s="99"/>
      <c r="CJ127" s="14"/>
      <c r="CK127" s="14"/>
      <c r="CL127" s="14"/>
      <c r="CM127" s="14"/>
      <c r="CN127" s="14"/>
      <c r="CO127" s="129"/>
      <c r="CP127" s="14"/>
      <c r="CQ127" s="47"/>
      <c r="CR127" s="14"/>
      <c r="CS127" s="14"/>
      <c r="CT127" s="14"/>
      <c r="CU127" s="14"/>
      <c r="CV127" s="180"/>
      <c r="CW127" s="190"/>
      <c r="CX127" s="191"/>
      <c r="CY127" s="52"/>
      <c r="CZ127" s="52"/>
      <c r="DA127" s="54"/>
      <c r="DB127" s="14"/>
      <c r="DC127" s="14"/>
      <c r="DD127" s="14"/>
      <c r="DE127" s="14"/>
      <c r="DF127" s="14"/>
      <c r="DG127" s="129"/>
      <c r="DH127" s="14"/>
      <c r="DI127" s="47"/>
      <c r="DJ127" s="14"/>
      <c r="DK127" s="62"/>
      <c r="DL127" s="19"/>
      <c r="DM127" s="59"/>
      <c r="DN127" s="14"/>
      <c r="DO127" s="14"/>
      <c r="DP127" s="107" t="s">
        <v>35</v>
      </c>
      <c r="DQ127" s="27">
        <f>COUNTIFS(S30_stakeholder_category,"PU",Response_Q172_1,DP127,Response_Q173_5,"&lt;&gt;0")</f>
        <v>1</v>
      </c>
      <c r="DR127" s="41">
        <f>IF(DQ131=0,"",DQ127/DQ131)</f>
        <v>1</v>
      </c>
      <c r="DS127" s="14"/>
      <c r="DT127" s="14"/>
      <c r="DU127" s="14"/>
      <c r="DV127" s="14"/>
      <c r="DW127" s="14"/>
      <c r="DX127" s="14"/>
      <c r="DY127" s="14"/>
      <c r="DZ127" s="14"/>
      <c r="EA127" s="14"/>
      <c r="EB127" s="14"/>
      <c r="EC127" s="14"/>
      <c r="ED127" s="14"/>
      <c r="EE127" s="14"/>
      <c r="EF127" s="14"/>
      <c r="EG127" s="14"/>
      <c r="EH127" s="14"/>
      <c r="EI127" s="14"/>
      <c r="EJ127" s="14"/>
      <c r="EK127" s="14"/>
      <c r="EL127" s="14"/>
    </row>
    <row r="128" spans="1:142" x14ac:dyDescent="0.25">
      <c r="A128" s="14"/>
      <c r="B128" s="56"/>
      <c r="C128" s="29"/>
      <c r="D128" s="59"/>
      <c r="E128" s="14"/>
      <c r="F128" s="14"/>
      <c r="G128" s="107" t="s">
        <v>36</v>
      </c>
      <c r="H128" s="27">
        <f>COUNTIFS(S30_stakeholder_category,"PU",Response_Q173_5,G128)</f>
        <v>0</v>
      </c>
      <c r="I128" s="41">
        <f t="shared" si="87"/>
        <v>0</v>
      </c>
      <c r="J128" s="14"/>
      <c r="K128" s="14"/>
      <c r="L128" s="14"/>
      <c r="M128" s="14"/>
      <c r="N128" s="14"/>
      <c r="O128" s="14"/>
      <c r="P128" s="14"/>
      <c r="Q128" s="47"/>
      <c r="R128" s="19"/>
      <c r="S128" s="19"/>
      <c r="T128" s="19"/>
      <c r="U128" s="27"/>
      <c r="V128" s="19"/>
      <c r="W128" s="14"/>
      <c r="X128" s="107" t="s">
        <v>33</v>
      </c>
      <c r="Y128" s="27">
        <f t="shared" si="82"/>
        <v>0</v>
      </c>
      <c r="Z128" s="41">
        <f t="shared" si="83"/>
        <v>0</v>
      </c>
      <c r="AA128" s="14"/>
      <c r="AB128" s="14"/>
      <c r="AC128" s="14"/>
      <c r="AD128" s="65"/>
      <c r="AE128" s="63"/>
      <c r="AF128" s="47"/>
      <c r="AG128" s="19"/>
      <c r="AH128" s="19"/>
      <c r="AI128" s="19"/>
      <c r="AJ128" s="27"/>
      <c r="AK128" s="19"/>
      <c r="AL128" s="14"/>
      <c r="AM128" s="107" t="s">
        <v>33</v>
      </c>
      <c r="AN128" s="27">
        <f t="shared" si="84"/>
        <v>0</v>
      </c>
      <c r="AO128" s="41">
        <f t="shared" si="88"/>
        <v>0</v>
      </c>
      <c r="AP128" s="14"/>
      <c r="AQ128" s="14"/>
      <c r="AR128" s="14"/>
      <c r="AS128" s="65"/>
      <c r="AT128" s="63"/>
      <c r="AU128" s="47"/>
      <c r="AV128" s="14"/>
      <c r="AW128" s="19"/>
      <c r="AX128" s="19"/>
      <c r="AY128" s="27"/>
      <c r="AZ128" s="19"/>
      <c r="BA128" s="14"/>
      <c r="BB128" s="107" t="s">
        <v>33</v>
      </c>
      <c r="BC128" s="27">
        <f t="shared" si="85"/>
        <v>0</v>
      </c>
      <c r="BD128" s="41">
        <f t="shared" si="89"/>
        <v>0</v>
      </c>
      <c r="BE128" s="14"/>
      <c r="BF128" s="14"/>
      <c r="BG128" s="14"/>
      <c r="BH128" s="65"/>
      <c r="BI128" s="63"/>
      <c r="BJ128" s="352"/>
      <c r="BK128" s="19"/>
      <c r="BL128" s="19"/>
      <c r="BM128" s="19"/>
      <c r="BN128" s="27"/>
      <c r="BO128" s="19"/>
      <c r="BP128" s="14"/>
      <c r="BQ128" s="107" t="s">
        <v>33</v>
      </c>
      <c r="BR128" s="27">
        <f t="shared" si="86"/>
        <v>0</v>
      </c>
      <c r="BS128" s="41">
        <f t="shared" si="90"/>
        <v>0</v>
      </c>
      <c r="BT128" s="14"/>
      <c r="BU128" s="14"/>
      <c r="BV128" s="14"/>
      <c r="BW128" s="65"/>
      <c r="BX128" s="63"/>
      <c r="BY128" s="352"/>
      <c r="BZ128" s="14"/>
      <c r="CA128" s="19"/>
      <c r="CB128" s="27"/>
      <c r="CC128" s="27"/>
      <c r="CD128" s="37"/>
      <c r="CE128" s="181"/>
      <c r="CF128" s="31"/>
      <c r="CG128" s="52"/>
      <c r="CH128" s="52"/>
      <c r="CI128" s="99"/>
      <c r="CJ128" s="14"/>
      <c r="CK128" s="14"/>
      <c r="CL128" s="14"/>
      <c r="CM128" s="14"/>
      <c r="CN128" s="14"/>
      <c r="CO128" s="129"/>
      <c r="CP128" s="14"/>
      <c r="CQ128" s="47"/>
      <c r="CR128" s="14"/>
      <c r="CS128" s="14"/>
      <c r="CT128" s="14"/>
      <c r="CU128" s="14"/>
      <c r="CV128" s="180"/>
      <c r="CW128" s="190"/>
      <c r="CX128" s="191"/>
      <c r="CY128" s="52"/>
      <c r="CZ128" s="52"/>
      <c r="DA128" s="54"/>
      <c r="DB128" s="14"/>
      <c r="DC128" s="14"/>
      <c r="DD128" s="14"/>
      <c r="DE128" s="14"/>
      <c r="DF128" s="14"/>
      <c r="DG128" s="129"/>
      <c r="DH128" s="14"/>
      <c r="DI128" s="47"/>
      <c r="DJ128" s="14"/>
      <c r="DK128" s="62"/>
      <c r="DL128" s="19"/>
      <c r="DM128" s="59"/>
      <c r="DN128" s="14"/>
      <c r="DO128" s="14"/>
      <c r="DP128" s="107" t="s">
        <v>36</v>
      </c>
      <c r="DQ128" s="27">
        <f>COUNTIFS(S30_stakeholder_category,"PU",Response_Q172_1,DP128,Response_Q173_5,"&lt;&gt;0")</f>
        <v>0</v>
      </c>
      <c r="DR128" s="41">
        <f>IF(DQ131=0,"",DQ128/DQ131)</f>
        <v>0</v>
      </c>
      <c r="DS128" s="14"/>
      <c r="DT128" s="14"/>
      <c r="DU128" s="14"/>
      <c r="DV128" s="14"/>
      <c r="DW128" s="14"/>
      <c r="DX128" s="14"/>
      <c r="DY128" s="14"/>
      <c r="DZ128" s="14"/>
      <c r="EA128" s="14"/>
      <c r="EB128" s="14"/>
      <c r="EC128" s="14"/>
      <c r="ED128" s="14"/>
      <c r="EE128" s="14"/>
      <c r="EF128" s="14"/>
      <c r="EG128" s="14"/>
      <c r="EH128" s="14"/>
      <c r="EI128" s="14"/>
      <c r="EJ128" s="14"/>
      <c r="EK128" s="14"/>
      <c r="EL128" s="14"/>
    </row>
    <row r="129" spans="1:142" x14ac:dyDescent="0.25">
      <c r="A129" s="14"/>
      <c r="B129" s="56"/>
      <c r="C129" s="19"/>
      <c r="D129" s="59"/>
      <c r="E129" s="14"/>
      <c r="F129" s="14"/>
      <c r="G129" s="107" t="s">
        <v>38</v>
      </c>
      <c r="H129" s="27">
        <f>COUNTIFS(S30_stakeholder_category,"PU",Response_Q173_5,G129)</f>
        <v>0</v>
      </c>
      <c r="I129" s="41">
        <f t="shared" si="87"/>
        <v>0</v>
      </c>
      <c r="J129" s="14"/>
      <c r="K129" s="14"/>
      <c r="L129" s="14"/>
      <c r="M129" s="14"/>
      <c r="N129" s="14"/>
      <c r="O129" s="14"/>
      <c r="P129" s="14"/>
      <c r="Q129" s="47"/>
      <c r="R129" s="19"/>
      <c r="S129" s="19"/>
      <c r="T129" s="19"/>
      <c r="U129" s="27"/>
      <c r="V129" s="19"/>
      <c r="W129" s="14"/>
      <c r="X129" s="107" t="s">
        <v>29</v>
      </c>
      <c r="Y129" s="27">
        <f t="shared" si="82"/>
        <v>0</v>
      </c>
      <c r="Z129" s="41">
        <f t="shared" si="83"/>
        <v>0</v>
      </c>
      <c r="AA129" s="14"/>
      <c r="AB129" s="14"/>
      <c r="AC129" s="14"/>
      <c r="AD129" s="65"/>
      <c r="AE129" s="63"/>
      <c r="AF129" s="47"/>
      <c r="AG129" s="19"/>
      <c r="AH129" s="19"/>
      <c r="AI129" s="19"/>
      <c r="AJ129" s="27"/>
      <c r="AK129" s="19"/>
      <c r="AL129" s="14"/>
      <c r="AM129" s="107" t="s">
        <v>29</v>
      </c>
      <c r="AN129" s="27">
        <f t="shared" si="84"/>
        <v>0</v>
      </c>
      <c r="AO129" s="41">
        <f t="shared" si="88"/>
        <v>0</v>
      </c>
      <c r="AP129" s="14"/>
      <c r="AQ129" s="14"/>
      <c r="AR129" s="14"/>
      <c r="AS129" s="65"/>
      <c r="AT129" s="63"/>
      <c r="AU129" s="47"/>
      <c r="AV129" s="14"/>
      <c r="AW129" s="19"/>
      <c r="AX129" s="19"/>
      <c r="AY129" s="27"/>
      <c r="AZ129" s="19"/>
      <c r="BA129" s="14"/>
      <c r="BB129" s="107" t="s">
        <v>29</v>
      </c>
      <c r="BC129" s="27">
        <f t="shared" si="85"/>
        <v>0</v>
      </c>
      <c r="BD129" s="41">
        <f t="shared" si="89"/>
        <v>0</v>
      </c>
      <c r="BE129" s="14"/>
      <c r="BF129" s="14"/>
      <c r="BG129" s="14"/>
      <c r="BH129" s="65"/>
      <c r="BI129" s="63"/>
      <c r="BJ129" s="352"/>
      <c r="BK129" s="19"/>
      <c r="BL129" s="19"/>
      <c r="BM129" s="19"/>
      <c r="BN129" s="27"/>
      <c r="BO129" s="19"/>
      <c r="BP129" s="14"/>
      <c r="BQ129" s="107" t="s">
        <v>29</v>
      </c>
      <c r="BR129" s="27">
        <f t="shared" si="86"/>
        <v>0</v>
      </c>
      <c r="BS129" s="41">
        <f t="shared" si="90"/>
        <v>0</v>
      </c>
      <c r="BT129" s="14"/>
      <c r="BU129" s="14"/>
      <c r="BV129" s="14"/>
      <c r="BW129" s="65"/>
      <c r="BX129" s="63"/>
      <c r="BY129" s="352"/>
      <c r="BZ129" s="14"/>
      <c r="CA129" s="19"/>
      <c r="CB129" s="27"/>
      <c r="CC129" s="27"/>
      <c r="CD129" s="37"/>
      <c r="CE129" s="181"/>
      <c r="CF129" s="31"/>
      <c r="CG129" s="52"/>
      <c r="CH129" s="52"/>
      <c r="CI129" s="99"/>
      <c r="CJ129" s="14"/>
      <c r="CK129" s="14"/>
      <c r="CL129" s="14"/>
      <c r="CM129" s="14"/>
      <c r="CN129" s="14"/>
      <c r="CO129" s="129"/>
      <c r="CP129" s="14"/>
      <c r="CQ129" s="47"/>
      <c r="CR129" s="14"/>
      <c r="CS129" s="14"/>
      <c r="CT129" s="14"/>
      <c r="CU129" s="14"/>
      <c r="CV129" s="180"/>
      <c r="CW129" s="190"/>
      <c r="CX129" s="191"/>
      <c r="CY129" s="52"/>
      <c r="CZ129" s="52"/>
      <c r="DA129" s="54"/>
      <c r="DB129" s="14"/>
      <c r="DC129" s="14"/>
      <c r="DD129" s="14"/>
      <c r="DE129" s="14"/>
      <c r="DF129" s="14"/>
      <c r="DG129" s="129"/>
      <c r="DH129" s="14"/>
      <c r="DI129" s="47"/>
      <c r="DJ129" s="14"/>
      <c r="DK129" s="62"/>
      <c r="DL129" s="19"/>
      <c r="DM129" s="59"/>
      <c r="DN129" s="14"/>
      <c r="DO129" s="14"/>
      <c r="DP129" s="107" t="s">
        <v>38</v>
      </c>
      <c r="DQ129" s="27">
        <f>COUNTIFS(S30_stakeholder_category,"PU",Response_Q172_1,DP129,Response_Q173_5,"&lt;&gt;0")</f>
        <v>0</v>
      </c>
      <c r="DR129" s="41">
        <f>IF(DQ131=0,"",DQ129/DQ131)</f>
        <v>0</v>
      </c>
      <c r="DS129" s="14"/>
      <c r="DT129" s="14"/>
      <c r="DU129" s="14"/>
      <c r="DV129" s="14"/>
      <c r="DW129" s="14"/>
      <c r="DX129" s="14"/>
      <c r="DY129" s="14"/>
      <c r="DZ129" s="14"/>
      <c r="EA129" s="14"/>
      <c r="EB129" s="14"/>
      <c r="EC129" s="14"/>
      <c r="ED129" s="14"/>
      <c r="EE129" s="14"/>
      <c r="EF129" s="14"/>
      <c r="EG129" s="14"/>
      <c r="EH129" s="14"/>
      <c r="EI129" s="14"/>
      <c r="EJ129" s="14"/>
      <c r="EK129" s="14"/>
      <c r="EL129" s="14"/>
    </row>
    <row r="130" spans="1:142" ht="14.4" x14ac:dyDescent="0.25">
      <c r="A130" s="14"/>
      <c r="B130" s="14"/>
      <c r="C130" s="19"/>
      <c r="D130" s="15"/>
      <c r="E130" s="14"/>
      <c r="F130" s="14"/>
      <c r="G130" s="107" t="s">
        <v>39</v>
      </c>
      <c r="H130" s="27">
        <f>COUNTIFS(S30_stakeholder_category,"PU",Response_Q173_5,G130)</f>
        <v>0</v>
      </c>
      <c r="I130" s="41">
        <f t="shared" si="87"/>
        <v>0</v>
      </c>
      <c r="J130" s="14"/>
      <c r="K130" s="14"/>
      <c r="L130" s="14"/>
      <c r="M130" s="14"/>
      <c r="N130" s="14"/>
      <c r="O130" s="14"/>
      <c r="P130" s="14"/>
      <c r="Q130" s="47"/>
      <c r="R130" s="19"/>
      <c r="S130" s="60"/>
      <c r="T130" s="19"/>
      <c r="U130" s="59"/>
      <c r="V130" s="19"/>
      <c r="W130" s="14"/>
      <c r="X130" s="107" t="s">
        <v>3</v>
      </c>
      <c r="Y130" s="27">
        <f t="shared" si="82"/>
        <v>0</v>
      </c>
      <c r="Z130" s="41">
        <f t="shared" si="83"/>
        <v>0</v>
      </c>
      <c r="AA130" s="14"/>
      <c r="AB130" s="14"/>
      <c r="AC130" s="14"/>
      <c r="AD130" s="65"/>
      <c r="AE130" s="63"/>
      <c r="AF130" s="47"/>
      <c r="AG130" s="19"/>
      <c r="AH130" s="60"/>
      <c r="AI130" s="19"/>
      <c r="AJ130" s="59"/>
      <c r="AK130" s="19"/>
      <c r="AL130" s="14"/>
      <c r="AM130" s="107" t="s">
        <v>3</v>
      </c>
      <c r="AN130" s="27">
        <f t="shared" si="84"/>
        <v>0</v>
      </c>
      <c r="AO130" s="41">
        <f t="shared" si="88"/>
        <v>0</v>
      </c>
      <c r="AP130" s="14"/>
      <c r="AQ130" s="14"/>
      <c r="AR130" s="14"/>
      <c r="AS130" s="65"/>
      <c r="AT130" s="63"/>
      <c r="AU130" s="47"/>
      <c r="AV130" s="14"/>
      <c r="AW130" s="60"/>
      <c r="AX130" s="19"/>
      <c r="AY130" s="59"/>
      <c r="AZ130" s="19"/>
      <c r="BA130" s="14"/>
      <c r="BB130" s="107" t="s">
        <v>3</v>
      </c>
      <c r="BC130" s="27">
        <f t="shared" si="85"/>
        <v>0</v>
      </c>
      <c r="BD130" s="41">
        <f t="shared" si="89"/>
        <v>0</v>
      </c>
      <c r="BE130" s="14"/>
      <c r="BF130" s="14"/>
      <c r="BG130" s="14"/>
      <c r="BH130" s="65"/>
      <c r="BI130" s="63"/>
      <c r="BJ130" s="352"/>
      <c r="BK130" s="19"/>
      <c r="BL130" s="60"/>
      <c r="BM130" s="19"/>
      <c r="BN130" s="59"/>
      <c r="BO130" s="19"/>
      <c r="BP130" s="14"/>
      <c r="BQ130" s="107" t="s">
        <v>3</v>
      </c>
      <c r="BR130" s="27">
        <f t="shared" si="86"/>
        <v>0</v>
      </c>
      <c r="BS130" s="41">
        <f t="shared" si="90"/>
        <v>0</v>
      </c>
      <c r="BT130" s="14"/>
      <c r="BU130" s="14"/>
      <c r="BV130" s="14"/>
      <c r="BW130" s="65"/>
      <c r="BX130" s="63"/>
      <c r="BY130" s="352"/>
      <c r="BZ130" s="14"/>
      <c r="CA130" s="19"/>
      <c r="CB130" s="27"/>
      <c r="CC130" s="27"/>
      <c r="CD130" s="37"/>
      <c r="CE130" s="181"/>
      <c r="CF130" s="31"/>
      <c r="CG130" s="52"/>
      <c r="CH130" s="52"/>
      <c r="CI130" s="99"/>
      <c r="CJ130" s="14"/>
      <c r="CK130" s="14"/>
      <c r="CL130" s="14"/>
      <c r="CM130" s="14"/>
      <c r="CN130" s="14"/>
      <c r="CO130" s="129"/>
      <c r="CP130" s="14"/>
      <c r="CQ130" s="47"/>
      <c r="CR130" s="14"/>
      <c r="CS130" s="14"/>
      <c r="CT130" s="14"/>
      <c r="CU130" s="14"/>
      <c r="CV130" s="180"/>
      <c r="CW130" s="190"/>
      <c r="CX130" s="191"/>
      <c r="CY130" s="52"/>
      <c r="CZ130" s="52"/>
      <c r="DA130" s="54"/>
      <c r="DB130" s="14"/>
      <c r="DC130" s="14"/>
      <c r="DD130" s="14"/>
      <c r="DE130" s="14"/>
      <c r="DF130" s="14"/>
      <c r="DG130" s="129"/>
      <c r="DH130" s="14"/>
      <c r="DI130" s="47"/>
      <c r="DJ130" s="14"/>
      <c r="DK130" s="62"/>
      <c r="DL130" s="19"/>
      <c r="DM130" s="59"/>
      <c r="DN130" s="14"/>
      <c r="DO130" s="14"/>
      <c r="DP130" s="107" t="s">
        <v>39</v>
      </c>
      <c r="DQ130" s="27">
        <f>COUNTIFS(S30_stakeholder_category,"PU",Response_Q172_1,DP130,Response_Q173_5,"&lt;&gt;0")</f>
        <v>0</v>
      </c>
      <c r="DR130" s="41">
        <f>IF(DQ131=0,"",DQ130/DQ131)</f>
        <v>0</v>
      </c>
      <c r="DS130" s="14"/>
      <c r="DT130" s="14"/>
      <c r="DU130" s="14"/>
      <c r="DV130" s="14"/>
      <c r="DW130" s="14"/>
      <c r="DX130" s="14"/>
      <c r="DY130" s="14"/>
      <c r="DZ130" s="14"/>
      <c r="EA130" s="14"/>
      <c r="EB130" s="14"/>
      <c r="EC130" s="14"/>
      <c r="ED130" s="14"/>
      <c r="EE130" s="14"/>
      <c r="EF130" s="14"/>
      <c r="EG130" s="14"/>
      <c r="EH130" s="14"/>
      <c r="EI130" s="14"/>
      <c r="EJ130" s="14"/>
      <c r="EK130" s="14"/>
      <c r="EL130" s="14"/>
    </row>
    <row r="131" spans="1:142" ht="14.4" x14ac:dyDescent="0.25">
      <c r="A131" s="14"/>
      <c r="B131" s="14"/>
      <c r="C131" s="19"/>
      <c r="D131" s="15"/>
      <c r="E131" s="14"/>
      <c r="F131" s="14"/>
      <c r="G131" s="86" t="s">
        <v>145</v>
      </c>
      <c r="H131" s="111">
        <f>COUNTIFS(S30_stakeholder_category,"PU",Response_Q173_5,"&lt;&gt;0")</f>
        <v>1</v>
      </c>
      <c r="I131" s="119">
        <f t="shared" si="87"/>
        <v>1</v>
      </c>
      <c r="J131" s="14"/>
      <c r="K131" s="14"/>
      <c r="L131" s="14"/>
      <c r="M131" s="14"/>
      <c r="N131" s="14"/>
      <c r="O131" s="14"/>
      <c r="P131" s="14"/>
      <c r="Q131" s="47"/>
      <c r="R131" s="19"/>
      <c r="S131" s="61"/>
      <c r="T131" s="19"/>
      <c r="U131" s="59"/>
      <c r="V131" s="19"/>
      <c r="W131" s="14"/>
      <c r="X131" s="107" t="s">
        <v>54</v>
      </c>
      <c r="Y131" s="27">
        <f t="shared" si="82"/>
        <v>0</v>
      </c>
      <c r="Z131" s="41">
        <f t="shared" si="83"/>
        <v>0</v>
      </c>
      <c r="AA131" s="14"/>
      <c r="AB131" s="14"/>
      <c r="AC131" s="14"/>
      <c r="AD131" s="65"/>
      <c r="AE131" s="63"/>
      <c r="AF131" s="47"/>
      <c r="AG131" s="19"/>
      <c r="AH131" s="61"/>
      <c r="AI131" s="19"/>
      <c r="AJ131" s="59"/>
      <c r="AK131" s="19"/>
      <c r="AL131" s="14"/>
      <c r="AM131" s="107" t="s">
        <v>54</v>
      </c>
      <c r="AN131" s="27">
        <f t="shared" si="84"/>
        <v>0</v>
      </c>
      <c r="AO131" s="41">
        <f t="shared" si="88"/>
        <v>0</v>
      </c>
      <c r="AP131" s="14"/>
      <c r="AQ131" s="14"/>
      <c r="AR131" s="14"/>
      <c r="AS131" s="65"/>
      <c r="AT131" s="63"/>
      <c r="AU131" s="47"/>
      <c r="AV131" s="14"/>
      <c r="AW131" s="61"/>
      <c r="AX131" s="19"/>
      <c r="AY131" s="59"/>
      <c r="AZ131" s="19"/>
      <c r="BA131" s="14"/>
      <c r="BB131" s="107" t="s">
        <v>54</v>
      </c>
      <c r="BC131" s="27">
        <f t="shared" si="85"/>
        <v>0</v>
      </c>
      <c r="BD131" s="41">
        <f t="shared" si="89"/>
        <v>0</v>
      </c>
      <c r="BE131" s="14"/>
      <c r="BF131" s="14"/>
      <c r="BG131" s="14"/>
      <c r="BH131" s="65"/>
      <c r="BI131" s="63"/>
      <c r="BJ131" s="352"/>
      <c r="BK131" s="19"/>
      <c r="BL131" s="61"/>
      <c r="BM131" s="19"/>
      <c r="BN131" s="59"/>
      <c r="BO131" s="19"/>
      <c r="BP131" s="14"/>
      <c r="BQ131" s="107" t="s">
        <v>54</v>
      </c>
      <c r="BR131" s="27">
        <f t="shared" si="86"/>
        <v>0</v>
      </c>
      <c r="BS131" s="41">
        <f t="shared" si="90"/>
        <v>0</v>
      </c>
      <c r="BT131" s="14"/>
      <c r="BU131" s="14"/>
      <c r="BV131" s="14"/>
      <c r="BW131" s="65"/>
      <c r="BX131" s="63"/>
      <c r="BY131" s="352"/>
      <c r="BZ131" s="14"/>
      <c r="CA131" s="19"/>
      <c r="CB131" s="27"/>
      <c r="CC131" s="27"/>
      <c r="CD131" s="37"/>
      <c r="CE131" s="181"/>
      <c r="CF131" s="31"/>
      <c r="CG131" s="52"/>
      <c r="CH131" s="52"/>
      <c r="CI131" s="99"/>
      <c r="CJ131" s="14"/>
      <c r="CK131" s="14"/>
      <c r="CL131" s="14"/>
      <c r="CM131" s="14"/>
      <c r="CN131" s="14"/>
      <c r="CO131" s="129"/>
      <c r="CP131" s="14"/>
      <c r="CQ131" s="47"/>
      <c r="CR131" s="14"/>
      <c r="CS131" s="14"/>
      <c r="CT131" s="14"/>
      <c r="CU131" s="14"/>
      <c r="CV131" s="180"/>
      <c r="CW131" s="190"/>
      <c r="CX131" s="191"/>
      <c r="CY131" s="52"/>
      <c r="CZ131" s="52"/>
      <c r="DA131" s="54"/>
      <c r="DB131" s="14"/>
      <c r="DC131" s="14"/>
      <c r="DD131" s="14"/>
      <c r="DE131" s="14"/>
      <c r="DF131" s="14"/>
      <c r="DG131" s="129"/>
      <c r="DH131" s="14"/>
      <c r="DI131" s="47"/>
      <c r="DJ131" s="14"/>
      <c r="DK131" s="62"/>
      <c r="DL131" s="19"/>
      <c r="DM131" s="59"/>
      <c r="DN131" s="14"/>
      <c r="DO131" s="14"/>
      <c r="DP131" s="86" t="s">
        <v>145</v>
      </c>
      <c r="DQ131" s="111">
        <f>COUNTIFS(S30_stakeholder_category,"PU",Response_Q172_1,"&lt;&gt;0",Response_Q173_5,"&lt;&gt;0")</f>
        <v>1</v>
      </c>
      <c r="DR131" s="119">
        <f>IF(DQ131=0,"",DQ131/DQ131)</f>
        <v>1</v>
      </c>
      <c r="DS131" s="14"/>
      <c r="DT131" s="14"/>
      <c r="DU131" s="14"/>
      <c r="DV131" s="14"/>
      <c r="DW131" s="14"/>
      <c r="DX131" s="14"/>
      <c r="DY131" s="14"/>
      <c r="DZ131" s="14"/>
      <c r="EA131" s="14"/>
      <c r="EB131" s="14"/>
      <c r="EC131" s="14"/>
      <c r="ED131" s="14"/>
      <c r="EE131" s="14"/>
      <c r="EF131" s="14"/>
      <c r="EG131" s="14"/>
      <c r="EH131" s="14"/>
      <c r="EI131" s="14"/>
      <c r="EJ131" s="14"/>
      <c r="EK131" s="14"/>
      <c r="EL131" s="14"/>
    </row>
    <row r="132" spans="1:142" x14ac:dyDescent="0.25">
      <c r="A132" s="14"/>
      <c r="B132" s="14"/>
      <c r="C132" s="19"/>
      <c r="D132" s="15"/>
      <c r="E132" s="14"/>
      <c r="F132" s="14"/>
      <c r="G132" s="14"/>
      <c r="H132" s="21"/>
      <c r="I132" s="21"/>
      <c r="J132" s="14"/>
      <c r="K132" s="14"/>
      <c r="L132" s="14"/>
      <c r="M132" s="14"/>
      <c r="N132" s="14"/>
      <c r="O132" s="14"/>
      <c r="P132" s="14"/>
      <c r="Q132" s="47"/>
      <c r="R132" s="19"/>
      <c r="S132" s="62"/>
      <c r="T132" s="19"/>
      <c r="U132" s="59"/>
      <c r="V132" s="19"/>
      <c r="W132" s="14"/>
      <c r="X132" s="107" t="s">
        <v>39</v>
      </c>
      <c r="Y132" s="27">
        <f t="shared" si="82"/>
        <v>0</v>
      </c>
      <c r="Z132" s="41">
        <f t="shared" si="83"/>
        <v>0</v>
      </c>
      <c r="AA132" s="14"/>
      <c r="AB132" s="14"/>
      <c r="AC132" s="14"/>
      <c r="AD132" s="65"/>
      <c r="AE132" s="63"/>
      <c r="AF132" s="47"/>
      <c r="AG132" s="19"/>
      <c r="AH132" s="62"/>
      <c r="AI132" s="19"/>
      <c r="AJ132" s="59"/>
      <c r="AK132" s="19"/>
      <c r="AL132" s="14"/>
      <c r="AM132" s="107" t="s">
        <v>39</v>
      </c>
      <c r="AN132" s="27">
        <f t="shared" si="84"/>
        <v>0</v>
      </c>
      <c r="AO132" s="41">
        <f t="shared" si="88"/>
        <v>0</v>
      </c>
      <c r="AP132" s="14"/>
      <c r="AQ132" s="14"/>
      <c r="AR132" s="14"/>
      <c r="AS132" s="65"/>
      <c r="AT132" s="63"/>
      <c r="AU132" s="47"/>
      <c r="AV132" s="14"/>
      <c r="AW132" s="62"/>
      <c r="AX132" s="19"/>
      <c r="AY132" s="59"/>
      <c r="AZ132" s="19"/>
      <c r="BA132" s="14"/>
      <c r="BB132" s="107" t="s">
        <v>39</v>
      </c>
      <c r="BC132" s="27">
        <f t="shared" si="85"/>
        <v>0</v>
      </c>
      <c r="BD132" s="41">
        <f t="shared" si="89"/>
        <v>0</v>
      </c>
      <c r="BE132" s="14"/>
      <c r="BF132" s="14"/>
      <c r="BG132" s="14"/>
      <c r="BH132" s="65"/>
      <c r="BI132" s="63"/>
      <c r="BJ132" s="352"/>
      <c r="BK132" s="19"/>
      <c r="BL132" s="62"/>
      <c r="BM132" s="19"/>
      <c r="BN132" s="59"/>
      <c r="BO132" s="19"/>
      <c r="BP132" s="14"/>
      <c r="BQ132" s="107" t="s">
        <v>39</v>
      </c>
      <c r="BR132" s="27">
        <f t="shared" si="86"/>
        <v>0</v>
      </c>
      <c r="BS132" s="41">
        <f t="shared" si="90"/>
        <v>0</v>
      </c>
      <c r="BT132" s="14"/>
      <c r="BU132" s="14"/>
      <c r="BV132" s="14"/>
      <c r="BW132" s="65"/>
      <c r="BX132" s="63"/>
      <c r="BY132" s="352"/>
      <c r="BZ132" s="14"/>
      <c r="CA132" s="19"/>
      <c r="CB132" s="27"/>
      <c r="CC132" s="27"/>
      <c r="CD132" s="37"/>
      <c r="CE132" s="181"/>
      <c r="CF132" s="31"/>
      <c r="CG132" s="52"/>
      <c r="CH132" s="52"/>
      <c r="CI132" s="99"/>
      <c r="CJ132" s="14"/>
      <c r="CK132" s="14"/>
      <c r="CL132" s="14"/>
      <c r="CM132" s="14"/>
      <c r="CN132" s="14"/>
      <c r="CO132" s="129"/>
      <c r="CP132" s="14"/>
      <c r="CQ132" s="47"/>
      <c r="CR132" s="14"/>
      <c r="CS132" s="14"/>
      <c r="CT132" s="14"/>
      <c r="CU132" s="14"/>
      <c r="CV132" s="180"/>
      <c r="CW132" s="190"/>
      <c r="CX132" s="191"/>
      <c r="CY132" s="52"/>
      <c r="CZ132" s="52"/>
      <c r="DA132" s="54"/>
      <c r="DB132" s="14"/>
      <c r="DC132" s="14"/>
      <c r="DD132" s="14"/>
      <c r="DE132" s="14"/>
      <c r="DF132" s="14"/>
      <c r="DG132" s="129"/>
      <c r="DH132" s="14"/>
      <c r="DI132" s="47"/>
      <c r="DJ132" s="14"/>
      <c r="DK132" s="62"/>
      <c r="DL132" s="19"/>
      <c r="DM132" s="59"/>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row>
    <row r="133" spans="1:142" x14ac:dyDescent="0.25">
      <c r="A133" s="14"/>
      <c r="B133" s="69"/>
      <c r="C133" s="70"/>
      <c r="D133" s="15"/>
      <c r="E133" s="14"/>
      <c r="F133" s="14"/>
      <c r="G133" s="14"/>
      <c r="H133" s="21"/>
      <c r="I133" s="21"/>
      <c r="J133" s="14"/>
      <c r="K133" s="14"/>
      <c r="L133" s="14"/>
      <c r="M133" s="14"/>
      <c r="N133" s="14"/>
      <c r="O133" s="14"/>
      <c r="P133" s="14"/>
      <c r="Q133" s="47"/>
      <c r="R133" s="19"/>
      <c r="S133" s="62"/>
      <c r="T133" s="19"/>
      <c r="U133" s="59"/>
      <c r="V133" s="19"/>
      <c r="W133" s="14"/>
      <c r="X133" s="86" t="s">
        <v>145</v>
      </c>
      <c r="Y133" s="111">
        <f>COUNTIFS(S30_stakeholder_category,"PU",Response_Q176_3,"&lt;&gt;0")</f>
        <v>1</v>
      </c>
      <c r="Z133" s="119">
        <f t="shared" si="83"/>
        <v>1</v>
      </c>
      <c r="AA133" s="14"/>
      <c r="AB133" s="14"/>
      <c r="AC133" s="14"/>
      <c r="AD133" s="65"/>
      <c r="AE133" s="63"/>
      <c r="AF133" s="47"/>
      <c r="AG133" s="19"/>
      <c r="AH133" s="62"/>
      <c r="AI133" s="19"/>
      <c r="AJ133" s="59"/>
      <c r="AK133" s="19"/>
      <c r="AL133" s="14"/>
      <c r="AM133" s="86" t="s">
        <v>145</v>
      </c>
      <c r="AN133" s="111">
        <f>COUNTIFS(S30_stakeholder_category,"PU",Response_30c_CaseA,"&lt;&gt;0")</f>
        <v>1</v>
      </c>
      <c r="AO133" s="119">
        <f t="shared" si="88"/>
        <v>1</v>
      </c>
      <c r="AP133" s="14"/>
      <c r="AQ133" s="14"/>
      <c r="AR133" s="14"/>
      <c r="AS133" s="65"/>
      <c r="AT133" s="63"/>
      <c r="AU133" s="47"/>
      <c r="AV133" s="14"/>
      <c r="AW133" s="62"/>
      <c r="AX133" s="19"/>
      <c r="AY133" s="59"/>
      <c r="AZ133" s="19"/>
      <c r="BA133" s="14"/>
      <c r="BB133" s="86" t="s">
        <v>145</v>
      </c>
      <c r="BC133" s="111">
        <f>COUNTIFS(S30_stakeholder_category,"PU",Response_30c_CaseB,"&lt;&gt;0")</f>
        <v>1</v>
      </c>
      <c r="BD133" s="119">
        <f t="shared" si="89"/>
        <v>1</v>
      </c>
      <c r="BE133" s="14"/>
      <c r="BF133" s="14"/>
      <c r="BG133" s="14"/>
      <c r="BH133" s="65"/>
      <c r="BI133" s="63"/>
      <c r="BJ133" s="352"/>
      <c r="BK133" s="19"/>
      <c r="BL133" s="62"/>
      <c r="BM133" s="19"/>
      <c r="BN133" s="59"/>
      <c r="BO133" s="19"/>
      <c r="BP133" s="14"/>
      <c r="BQ133" s="86" t="s">
        <v>145</v>
      </c>
      <c r="BR133" s="111">
        <f>COUNTIFS(S30_stakeholder_category,"PU",Response_30c_CaseC,"&lt;&gt;0")</f>
        <v>1</v>
      </c>
      <c r="BS133" s="119">
        <f t="shared" si="90"/>
        <v>1</v>
      </c>
      <c r="BT133" s="14"/>
      <c r="BU133" s="14"/>
      <c r="BV133" s="14"/>
      <c r="BW133" s="65"/>
      <c r="BX133" s="63"/>
      <c r="BY133" s="352"/>
      <c r="BZ133" s="14"/>
      <c r="CA133" s="19"/>
      <c r="CB133" s="27"/>
      <c r="CC133" s="27"/>
      <c r="CD133" s="37"/>
      <c r="CE133" s="181"/>
      <c r="CF133" s="31"/>
      <c r="CG133" s="52"/>
      <c r="CH133" s="52"/>
      <c r="CI133" s="99"/>
      <c r="CJ133" s="14"/>
      <c r="CK133" s="14"/>
      <c r="CL133" s="14"/>
      <c r="CM133" s="14"/>
      <c r="CN133" s="14"/>
      <c r="CO133" s="129"/>
      <c r="CP133" s="14"/>
      <c r="CQ133" s="47"/>
      <c r="CR133" s="14"/>
      <c r="CS133" s="14"/>
      <c r="CT133" s="14"/>
      <c r="CU133" s="14"/>
      <c r="CV133" s="180"/>
      <c r="CW133" s="190"/>
      <c r="CX133" s="191"/>
      <c r="CY133" s="52"/>
      <c r="CZ133" s="52"/>
      <c r="DA133" s="54"/>
      <c r="DB133" s="14"/>
      <c r="DC133" s="14"/>
      <c r="DD133" s="14"/>
      <c r="DE133" s="14"/>
      <c r="DF133" s="14"/>
      <c r="DG133" s="129"/>
      <c r="DH133" s="14"/>
      <c r="DI133" s="47"/>
      <c r="DJ133" s="14"/>
      <c r="DK133" s="62"/>
      <c r="DL133" s="19"/>
      <c r="DM133" s="59"/>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row>
    <row r="134" spans="1:142" s="135" customFormat="1" ht="15.75" customHeight="1" x14ac:dyDescent="0.25">
      <c r="A134" s="14"/>
      <c r="B134" s="13"/>
      <c r="C134" s="13"/>
      <c r="D134" s="21"/>
      <c r="E134" s="14"/>
      <c r="F134" s="14"/>
      <c r="G134" s="14"/>
      <c r="H134" s="21"/>
      <c r="I134" s="21"/>
      <c r="J134" s="14"/>
      <c r="K134" s="14"/>
      <c r="L134" s="14"/>
      <c r="M134" s="14"/>
      <c r="N134" s="14"/>
      <c r="O134" s="14"/>
      <c r="P134" s="14"/>
      <c r="Q134" s="47"/>
      <c r="R134" s="19"/>
      <c r="S134" s="13"/>
      <c r="T134" s="13"/>
      <c r="U134" s="21"/>
      <c r="V134" s="14"/>
      <c r="W134" s="14"/>
      <c r="X134" s="14"/>
      <c r="Y134" s="14"/>
      <c r="Z134" s="14"/>
      <c r="AA134" s="14"/>
      <c r="AB134" s="14"/>
      <c r="AC134" s="14"/>
      <c r="AD134" s="65"/>
      <c r="AE134" s="63"/>
      <c r="AF134" s="47"/>
      <c r="AG134" s="19"/>
      <c r="AH134" s="13"/>
      <c r="AI134" s="13"/>
      <c r="AJ134" s="21"/>
      <c r="AK134" s="14"/>
      <c r="AL134" s="14"/>
      <c r="AM134" s="14"/>
      <c r="AN134" s="14"/>
      <c r="AO134" s="14"/>
      <c r="AP134" s="14"/>
      <c r="AQ134" s="14"/>
      <c r="AR134" s="14"/>
      <c r="AS134" s="65"/>
      <c r="AT134" s="63"/>
      <c r="AU134" s="47"/>
      <c r="AV134" s="14"/>
      <c r="AW134" s="13"/>
      <c r="AX134" s="13"/>
      <c r="AY134" s="21"/>
      <c r="AZ134" s="14"/>
      <c r="BA134" s="14"/>
      <c r="BB134" s="14"/>
      <c r="BC134" s="14"/>
      <c r="BD134" s="14"/>
      <c r="BE134" s="14"/>
      <c r="BF134" s="14"/>
      <c r="BG134" s="14"/>
      <c r="BH134" s="65"/>
      <c r="BI134" s="63"/>
      <c r="BJ134" s="352"/>
      <c r="BK134" s="19"/>
      <c r="BL134" s="13"/>
      <c r="BM134" s="13"/>
      <c r="BN134" s="21"/>
      <c r="BO134" s="14"/>
      <c r="BP134" s="14"/>
      <c r="BQ134" s="14"/>
      <c r="BR134" s="14"/>
      <c r="BS134" s="14"/>
      <c r="BT134" s="14"/>
      <c r="BU134" s="14"/>
      <c r="BV134" s="14"/>
      <c r="BW134" s="65"/>
      <c r="BX134" s="63"/>
      <c r="BY134" s="352"/>
      <c r="BZ134" s="14"/>
      <c r="CA134" s="19"/>
      <c r="CB134" s="27"/>
      <c r="CC134" s="27"/>
      <c r="CD134" s="37"/>
      <c r="CE134" s="181"/>
      <c r="CF134" s="31"/>
      <c r="CG134" s="31"/>
      <c r="CH134" s="31"/>
      <c r="CI134" s="14"/>
      <c r="CJ134" s="14"/>
      <c r="CK134" s="14"/>
      <c r="CL134" s="14"/>
      <c r="CM134" s="14"/>
      <c r="CN134" s="14"/>
      <c r="CO134" s="129"/>
      <c r="CP134" s="14"/>
      <c r="CQ134" s="47"/>
      <c r="CR134" s="14"/>
      <c r="CS134" s="14"/>
      <c r="CT134" s="14"/>
      <c r="CU134" s="14"/>
      <c r="CV134" s="180"/>
      <c r="CW134" s="190"/>
      <c r="CX134" s="191"/>
      <c r="CY134" s="31"/>
      <c r="CZ134" s="31"/>
      <c r="DA134" s="14"/>
      <c r="DB134" s="14"/>
      <c r="DC134" s="14"/>
      <c r="DD134" s="14"/>
      <c r="DE134" s="14"/>
      <c r="DF134" s="14"/>
      <c r="DG134" s="129"/>
      <c r="DH134" s="14"/>
      <c r="DI134" s="47"/>
      <c r="DJ134" s="14"/>
      <c r="DK134" s="13"/>
      <c r="DL134" s="13"/>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row>
    <row r="135" spans="1:142" s="131" customFormat="1" x14ac:dyDescent="0.25">
      <c r="A135" s="78"/>
      <c r="B135" s="78" t="s">
        <v>32</v>
      </c>
      <c r="C135" s="78" t="s">
        <v>138</v>
      </c>
      <c r="D135" s="79"/>
      <c r="E135" s="78"/>
      <c r="F135" s="78"/>
      <c r="G135" s="78"/>
      <c r="H135" s="79"/>
      <c r="I135" s="79"/>
      <c r="J135" s="78"/>
      <c r="K135" s="78"/>
      <c r="L135" s="78"/>
      <c r="M135" s="78"/>
      <c r="N135" s="78"/>
      <c r="O135" s="78"/>
      <c r="P135" s="78"/>
      <c r="Q135" s="82"/>
      <c r="R135" s="83"/>
      <c r="S135" s="78" t="str">
        <f>$B135</f>
        <v>Non-bioenergy wood users</v>
      </c>
      <c r="T135" s="78"/>
      <c r="U135" s="78"/>
      <c r="V135" s="78"/>
      <c r="W135" s="78"/>
      <c r="X135" s="78"/>
      <c r="Y135" s="78"/>
      <c r="Z135" s="78"/>
      <c r="AA135" s="78"/>
      <c r="AB135" s="78"/>
      <c r="AC135" s="78"/>
      <c r="AD135" s="80"/>
      <c r="AE135" s="81"/>
      <c r="AF135" s="82"/>
      <c r="AG135" s="83"/>
      <c r="AH135" s="78" t="str">
        <f>$B135</f>
        <v>Non-bioenergy wood users</v>
      </c>
      <c r="AI135" s="78"/>
      <c r="AJ135" s="78"/>
      <c r="AK135" s="78"/>
      <c r="AL135" s="78"/>
      <c r="AM135" s="78"/>
      <c r="AN135" s="78"/>
      <c r="AO135" s="78"/>
      <c r="AP135" s="78"/>
      <c r="AQ135" s="78"/>
      <c r="AR135" s="78"/>
      <c r="AS135" s="80"/>
      <c r="AT135" s="81"/>
      <c r="AU135" s="82"/>
      <c r="AV135" s="78"/>
      <c r="AW135" s="78" t="str">
        <f>$B135</f>
        <v>Non-bioenergy wood users</v>
      </c>
      <c r="AX135" s="78"/>
      <c r="AY135" s="78"/>
      <c r="AZ135" s="78"/>
      <c r="BA135" s="78"/>
      <c r="BB135" s="78"/>
      <c r="BC135" s="78"/>
      <c r="BD135" s="78"/>
      <c r="BE135" s="78"/>
      <c r="BF135" s="78"/>
      <c r="BG135" s="78"/>
      <c r="BH135" s="80"/>
      <c r="BI135" s="81"/>
      <c r="BJ135" s="373"/>
      <c r="BK135" s="83"/>
      <c r="BL135" s="78" t="str">
        <f>$B135</f>
        <v>Non-bioenergy wood users</v>
      </c>
      <c r="BM135" s="78"/>
      <c r="BN135" s="78"/>
      <c r="BO135" s="78"/>
      <c r="BP135" s="78"/>
      <c r="BQ135" s="78"/>
      <c r="BR135" s="78"/>
      <c r="BS135" s="78"/>
      <c r="BT135" s="78"/>
      <c r="BU135" s="78"/>
      <c r="BV135" s="78"/>
      <c r="BW135" s="80"/>
      <c r="BX135" s="81"/>
      <c r="BY135" s="373"/>
      <c r="BZ135" s="78"/>
      <c r="CA135" s="78" t="str">
        <f>$B135</f>
        <v>Non-bioenergy wood users</v>
      </c>
      <c r="CB135" s="79"/>
      <c r="CC135" s="79"/>
      <c r="CD135" s="182"/>
      <c r="CE135" s="182"/>
      <c r="CF135" s="79"/>
      <c r="CG135" s="78"/>
      <c r="CH135" s="78"/>
      <c r="CI135" s="78"/>
      <c r="CJ135" s="78"/>
      <c r="CK135" s="78"/>
      <c r="CL135" s="78"/>
      <c r="CM135" s="78"/>
      <c r="CN135" s="78"/>
      <c r="CO135" s="78"/>
      <c r="CP135" s="78"/>
      <c r="CQ135" s="82"/>
      <c r="CR135" s="78"/>
      <c r="CS135" s="78" t="str">
        <f>$B135</f>
        <v>Non-bioenergy wood users</v>
      </c>
      <c r="CT135" s="78"/>
      <c r="CU135" s="78"/>
      <c r="CV135" s="182"/>
      <c r="CW135" s="192"/>
      <c r="CX135" s="192"/>
      <c r="CY135" s="78"/>
      <c r="CZ135" s="78"/>
      <c r="DA135" s="78"/>
      <c r="DB135" s="78"/>
      <c r="DC135" s="78"/>
      <c r="DD135" s="78"/>
      <c r="DE135" s="78"/>
      <c r="DF135" s="78"/>
      <c r="DG135" s="78"/>
      <c r="DH135" s="78"/>
      <c r="DI135" s="82"/>
      <c r="DJ135" s="78"/>
      <c r="DK135" s="78" t="str">
        <f>$B135</f>
        <v>Non-bioenergy wood users</v>
      </c>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row>
    <row r="136" spans="1:142" ht="15" customHeight="1" x14ac:dyDescent="0.25">
      <c r="A136" s="14"/>
      <c r="B136" s="84" t="s">
        <v>301</v>
      </c>
      <c r="C136" s="84"/>
      <c r="D136" s="85"/>
      <c r="E136" s="84"/>
      <c r="F136" s="14"/>
      <c r="G136" s="14"/>
      <c r="H136" s="21"/>
      <c r="I136" s="21"/>
      <c r="J136" s="14"/>
      <c r="K136" s="14"/>
      <c r="L136" s="14"/>
      <c r="M136" s="14"/>
      <c r="N136" s="14"/>
      <c r="O136" s="14"/>
      <c r="P136" s="14"/>
      <c r="Q136" s="47"/>
      <c r="R136" s="19"/>
      <c r="S136" s="84" t="s">
        <v>322</v>
      </c>
      <c r="T136" s="84"/>
      <c r="U136" s="85"/>
      <c r="V136" s="84"/>
      <c r="W136" s="14"/>
      <c r="X136" s="14"/>
      <c r="Y136" s="14"/>
      <c r="Z136" s="14"/>
      <c r="AA136" s="14"/>
      <c r="AB136" s="14"/>
      <c r="AC136" s="14"/>
      <c r="AD136" s="65"/>
      <c r="AE136" s="63"/>
      <c r="AF136" s="47"/>
      <c r="AG136" s="19"/>
      <c r="AH136" s="84" t="s">
        <v>328</v>
      </c>
      <c r="AI136" s="84"/>
      <c r="AJ136" s="85"/>
      <c r="AK136" s="84"/>
      <c r="AL136" s="84"/>
      <c r="AM136" s="14"/>
      <c r="AN136" s="14"/>
      <c r="AO136" s="14"/>
      <c r="AP136" s="14"/>
      <c r="AQ136" s="14"/>
      <c r="AR136" s="14"/>
      <c r="AS136" s="65"/>
      <c r="AT136" s="63"/>
      <c r="AU136" s="47"/>
      <c r="AV136" s="14"/>
      <c r="AW136" s="84" t="s">
        <v>347</v>
      </c>
      <c r="AX136" s="84"/>
      <c r="AY136" s="85"/>
      <c r="AZ136" s="84"/>
      <c r="BA136" s="84"/>
      <c r="BB136" s="14"/>
      <c r="BC136" s="14"/>
      <c r="BD136" s="14"/>
      <c r="BE136" s="14"/>
      <c r="BF136" s="14"/>
      <c r="BG136" s="14"/>
      <c r="BH136" s="65"/>
      <c r="BI136" s="63"/>
      <c r="BJ136" s="352"/>
      <c r="BK136" s="19"/>
      <c r="BL136" s="84" t="s">
        <v>348</v>
      </c>
      <c r="BM136" s="84"/>
      <c r="BN136" s="85"/>
      <c r="BO136" s="84"/>
      <c r="BP136" s="84"/>
      <c r="BQ136" s="14"/>
      <c r="BR136" s="14"/>
      <c r="BS136" s="14"/>
      <c r="BT136" s="14"/>
      <c r="BU136" s="14"/>
      <c r="BV136" s="14"/>
      <c r="BW136" s="65"/>
      <c r="BX136" s="63"/>
      <c r="BY136" s="352"/>
      <c r="BZ136" s="14"/>
      <c r="CA136" s="148" t="s">
        <v>303</v>
      </c>
      <c r="CB136" s="85"/>
      <c r="CC136" s="85"/>
      <c r="CD136" s="185"/>
      <c r="CE136" s="185"/>
      <c r="CF136" s="147"/>
      <c r="CG136" s="17"/>
      <c r="CH136" s="14"/>
      <c r="CI136" s="14"/>
      <c r="CJ136" s="14"/>
      <c r="CK136" s="14"/>
      <c r="CL136" s="14"/>
      <c r="CM136" s="14"/>
      <c r="CN136" s="14"/>
      <c r="CO136" s="129"/>
      <c r="CP136" s="14"/>
      <c r="CQ136" s="47"/>
      <c r="CR136" s="14"/>
      <c r="CS136" s="148" t="s">
        <v>304</v>
      </c>
      <c r="CT136" s="84"/>
      <c r="CU136" s="85"/>
      <c r="CV136" s="186"/>
      <c r="CW136" s="193"/>
      <c r="CX136" s="193"/>
      <c r="CY136" s="14"/>
      <c r="CZ136" s="14"/>
      <c r="DA136" s="14"/>
      <c r="DB136" s="14"/>
      <c r="DC136" s="14"/>
      <c r="DD136" s="14"/>
      <c r="DE136" s="14"/>
      <c r="DF136" s="14"/>
      <c r="DG136" s="129"/>
      <c r="DH136" s="14"/>
      <c r="DI136" s="47"/>
      <c r="DJ136" s="14"/>
      <c r="DK136" s="84" t="s">
        <v>305</v>
      </c>
      <c r="DL136" s="84"/>
      <c r="DM136" s="85"/>
      <c r="DN136" s="8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row>
    <row r="137" spans="1:142" x14ac:dyDescent="0.25">
      <c r="A137" s="14"/>
      <c r="B137" s="14"/>
      <c r="C137" s="14"/>
      <c r="D137" s="15"/>
      <c r="E137" s="14"/>
      <c r="F137" s="14"/>
      <c r="G137" s="14"/>
      <c r="H137" s="21"/>
      <c r="I137" s="21"/>
      <c r="J137" s="14"/>
      <c r="K137" s="14"/>
      <c r="L137" s="14"/>
      <c r="M137" s="14"/>
      <c r="N137" s="14"/>
      <c r="O137" s="14"/>
      <c r="P137" s="14"/>
      <c r="Q137" s="47"/>
      <c r="R137" s="19"/>
      <c r="S137" s="14"/>
      <c r="T137" s="14"/>
      <c r="U137" s="15"/>
      <c r="V137" s="14"/>
      <c r="W137" s="14"/>
      <c r="X137" s="14"/>
      <c r="Y137" s="14"/>
      <c r="Z137" s="14"/>
      <c r="AA137" s="14"/>
      <c r="AB137" s="14"/>
      <c r="AC137" s="14"/>
      <c r="AD137" s="65"/>
      <c r="AE137" s="63"/>
      <c r="AF137" s="47"/>
      <c r="AG137" s="19"/>
      <c r="AH137" s="14"/>
      <c r="AI137" s="14"/>
      <c r="AJ137" s="15"/>
      <c r="AK137" s="14"/>
      <c r="AL137" s="14"/>
      <c r="AM137" s="14"/>
      <c r="AN137" s="14"/>
      <c r="AO137" s="14"/>
      <c r="AP137" s="14"/>
      <c r="AQ137" s="14"/>
      <c r="AR137" s="14"/>
      <c r="AS137" s="65"/>
      <c r="AT137" s="63"/>
      <c r="AU137" s="47"/>
      <c r="AV137" s="14"/>
      <c r="AW137" s="14"/>
      <c r="AX137" s="14"/>
      <c r="AY137" s="15"/>
      <c r="AZ137" s="14"/>
      <c r="BA137" s="14"/>
      <c r="BB137" s="14"/>
      <c r="BC137" s="14"/>
      <c r="BD137" s="14"/>
      <c r="BE137" s="14"/>
      <c r="BF137" s="14"/>
      <c r="BG137" s="14"/>
      <c r="BH137" s="65"/>
      <c r="BI137" s="63"/>
      <c r="BJ137" s="352"/>
      <c r="BK137" s="19"/>
      <c r="BL137" s="14"/>
      <c r="BM137" s="14"/>
      <c r="BN137" s="15"/>
      <c r="BO137" s="14"/>
      <c r="BP137" s="14"/>
      <c r="BQ137" s="14"/>
      <c r="BR137" s="14"/>
      <c r="BS137" s="14"/>
      <c r="BT137" s="14"/>
      <c r="BU137" s="14"/>
      <c r="BV137" s="14"/>
      <c r="BW137" s="65"/>
      <c r="BX137" s="63"/>
      <c r="BY137" s="352"/>
      <c r="BZ137" s="14"/>
      <c r="CA137" s="14"/>
      <c r="CB137" s="21"/>
      <c r="CC137" s="21"/>
      <c r="CD137" s="180"/>
      <c r="CE137" s="180"/>
      <c r="CF137" s="21"/>
      <c r="CG137" s="14"/>
      <c r="CH137" s="14"/>
      <c r="CI137" s="14"/>
      <c r="CJ137" s="14"/>
      <c r="CK137" s="14"/>
      <c r="CL137" s="14"/>
      <c r="CM137" s="14"/>
      <c r="CN137" s="14"/>
      <c r="CO137" s="129"/>
      <c r="CP137" s="14"/>
      <c r="CQ137" s="47"/>
      <c r="CR137" s="14"/>
      <c r="CS137" s="14"/>
      <c r="CT137" s="14"/>
      <c r="CU137" s="14"/>
      <c r="CV137" s="180"/>
      <c r="CW137" s="189"/>
      <c r="CX137" s="189"/>
      <c r="CY137" s="14"/>
      <c r="CZ137" s="14"/>
      <c r="DA137" s="14"/>
      <c r="DB137" s="14"/>
      <c r="DC137" s="14"/>
      <c r="DD137" s="14"/>
      <c r="DE137" s="14"/>
      <c r="DF137" s="14"/>
      <c r="DG137" s="129"/>
      <c r="DH137" s="14"/>
      <c r="DI137" s="47"/>
      <c r="DJ137" s="14"/>
      <c r="DK137" s="14"/>
      <c r="DL137" s="14"/>
      <c r="DM137" s="15"/>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row>
    <row r="138" spans="1:142" ht="27.6" x14ac:dyDescent="0.25">
      <c r="A138" s="14"/>
      <c r="B138" s="112" t="s">
        <v>23</v>
      </c>
      <c r="C138" s="113" t="s">
        <v>24</v>
      </c>
      <c r="D138" s="113" t="s">
        <v>145</v>
      </c>
      <c r="E138" s="113" t="s">
        <v>300</v>
      </c>
      <c r="F138" s="14"/>
      <c r="G138" s="14"/>
      <c r="H138" s="21"/>
      <c r="I138" s="21"/>
      <c r="J138" s="14"/>
      <c r="K138" s="19"/>
      <c r="L138" s="51"/>
      <c r="M138" s="51"/>
      <c r="N138" s="51"/>
      <c r="O138" s="51"/>
      <c r="P138" s="51"/>
      <c r="Q138" s="47"/>
      <c r="R138" s="19"/>
      <c r="S138" s="112" t="s">
        <v>23</v>
      </c>
      <c r="T138" s="113" t="s">
        <v>24</v>
      </c>
      <c r="U138" s="113" t="s">
        <v>145</v>
      </c>
      <c r="V138" s="113" t="s">
        <v>300</v>
      </c>
      <c r="W138" s="14"/>
      <c r="X138" s="14"/>
      <c r="Y138" s="14"/>
      <c r="Z138" s="14"/>
      <c r="AA138" s="56"/>
      <c r="AB138" s="56"/>
      <c r="AC138" s="56"/>
      <c r="AD138" s="65"/>
      <c r="AE138" s="63"/>
      <c r="AF138" s="47"/>
      <c r="AG138" s="19"/>
      <c r="AH138" s="112" t="s">
        <v>23</v>
      </c>
      <c r="AI138" s="113" t="s">
        <v>24</v>
      </c>
      <c r="AJ138" s="113" t="s">
        <v>145</v>
      </c>
      <c r="AK138" s="113" t="s">
        <v>300</v>
      </c>
      <c r="AL138" s="14"/>
      <c r="AM138" s="14"/>
      <c r="AN138" s="14"/>
      <c r="AO138" s="14"/>
      <c r="AP138" s="56"/>
      <c r="AQ138" s="56"/>
      <c r="AR138" s="56"/>
      <c r="AS138" s="65"/>
      <c r="AT138" s="63"/>
      <c r="AU138" s="47"/>
      <c r="AV138" s="14"/>
      <c r="AW138" s="112" t="s">
        <v>23</v>
      </c>
      <c r="AX138" s="113" t="s">
        <v>24</v>
      </c>
      <c r="AY138" s="113" t="s">
        <v>145</v>
      </c>
      <c r="AZ138" s="113" t="s">
        <v>300</v>
      </c>
      <c r="BA138" s="14"/>
      <c r="BB138" s="14"/>
      <c r="BC138" s="14"/>
      <c r="BD138" s="14"/>
      <c r="BE138" s="56"/>
      <c r="BF138" s="56"/>
      <c r="BG138" s="56"/>
      <c r="BH138" s="65"/>
      <c r="BI138" s="63"/>
      <c r="BJ138" s="352"/>
      <c r="BK138" s="19"/>
      <c r="BL138" s="112" t="s">
        <v>23</v>
      </c>
      <c r="BM138" s="113" t="s">
        <v>24</v>
      </c>
      <c r="BN138" s="113" t="s">
        <v>145</v>
      </c>
      <c r="BO138" s="113" t="s">
        <v>300</v>
      </c>
      <c r="BP138" s="14"/>
      <c r="BQ138" s="14"/>
      <c r="BR138" s="14"/>
      <c r="BS138" s="14"/>
      <c r="BT138" s="56"/>
      <c r="BU138" s="56"/>
      <c r="BV138" s="56"/>
      <c r="BW138" s="65"/>
      <c r="BX138" s="63"/>
      <c r="BY138" s="352"/>
      <c r="BZ138" s="14"/>
      <c r="CA138" s="112" t="s">
        <v>23</v>
      </c>
      <c r="CB138" s="113" t="s">
        <v>145</v>
      </c>
      <c r="CC138" s="21"/>
      <c r="CD138" s="180"/>
      <c r="CE138" s="180"/>
      <c r="CF138" s="21"/>
      <c r="CG138" s="14"/>
      <c r="CH138" s="14"/>
      <c r="CI138" s="14"/>
      <c r="CJ138" s="14"/>
      <c r="CK138" s="14"/>
      <c r="CL138" s="14"/>
      <c r="CM138" s="14"/>
      <c r="CN138" s="14"/>
      <c r="CO138" s="129"/>
      <c r="CP138" s="17"/>
      <c r="CQ138" s="47"/>
      <c r="CR138" s="14"/>
      <c r="CS138" s="112" t="s">
        <v>23</v>
      </c>
      <c r="CT138" s="113" t="s">
        <v>145</v>
      </c>
      <c r="CU138" s="14"/>
      <c r="CV138" s="180"/>
      <c r="CW138" s="189"/>
      <c r="CX138" s="189"/>
      <c r="CY138" s="14"/>
      <c r="CZ138" s="14"/>
      <c r="DA138" s="14"/>
      <c r="DB138" s="14"/>
      <c r="DC138" s="14"/>
      <c r="DD138" s="14"/>
      <c r="DE138" s="14"/>
      <c r="DF138" s="14"/>
      <c r="DG138" s="129"/>
      <c r="DH138" s="17"/>
      <c r="DI138" s="47"/>
      <c r="DJ138" s="17"/>
      <c r="DK138" s="112" t="s">
        <v>23</v>
      </c>
      <c r="DL138" s="113" t="s">
        <v>24</v>
      </c>
      <c r="DM138" s="113" t="s">
        <v>145</v>
      </c>
      <c r="DN138" s="113" t="s">
        <v>300</v>
      </c>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row>
    <row r="139" spans="1:142" x14ac:dyDescent="0.25">
      <c r="A139" s="14"/>
      <c r="B139" s="57" t="s">
        <v>32</v>
      </c>
      <c r="C139" s="121" t="str">
        <f>IF(H158=0,"na",IF(COUNTIF(H153:H157,MAX(H153:H157))&gt;COUNTIF(G153:G157,"&lt;&gt;""")/2,"No clear choice of the most common response",INDEX(G153:G157,MATCH(MAX(H153:H157),H153:H157,0),1)))</f>
        <v>na</v>
      </c>
      <c r="D139" s="58">
        <f>COUNTIFS(S30_stakeholder_category,"NB",Response_Q173_5,"&lt;&gt;0")</f>
        <v>0</v>
      </c>
      <c r="E139" s="121">
        <f>COUNTIFS(S30_stakeholder_category,"NB",Response_Q173_5,"I don’t know")</f>
        <v>0</v>
      </c>
      <c r="F139" s="14"/>
      <c r="G139" s="14"/>
      <c r="H139" s="21"/>
      <c r="I139" s="21"/>
      <c r="J139" s="14"/>
      <c r="K139" s="19"/>
      <c r="L139" s="40"/>
      <c r="M139" s="40"/>
      <c r="N139" s="40"/>
      <c r="O139" s="40"/>
      <c r="P139" s="40"/>
      <c r="Q139" s="47"/>
      <c r="R139" s="19"/>
      <c r="S139" s="34" t="s">
        <v>32</v>
      </c>
      <c r="T139" s="37" t="str">
        <f>IF(Y160=0,"na",IF(COUNTIF(Y153:Y159,MAX(Y153:Y159))&gt;COUNTIF(X153:X159,"&lt;&gt;""")/2,"No clear choice of the most common response",INDEX(X153:X159,MATCH(MAX(Y153:Y159),Y153:Y159,0),1)))</f>
        <v>na</v>
      </c>
      <c r="U139" s="33">
        <f>COUNTIFS(S30_stakeholder_category,"NB",Response_Q176_3,"&lt;&gt;0")</f>
        <v>0</v>
      </c>
      <c r="V139" s="37">
        <f>COUNTIFS(S30_stakeholder_category,"NB",Response_Q176_3,"I don’t know")</f>
        <v>0</v>
      </c>
      <c r="W139" s="14"/>
      <c r="X139" s="14"/>
      <c r="Y139" s="14"/>
      <c r="Z139" s="14"/>
      <c r="AA139" s="19"/>
      <c r="AB139" s="19"/>
      <c r="AC139" s="19"/>
      <c r="AD139" s="65"/>
      <c r="AE139" s="63"/>
      <c r="AF139" s="47"/>
      <c r="AG139" s="19"/>
      <c r="AH139" s="57" t="s">
        <v>32</v>
      </c>
      <c r="AI139" s="121" t="str">
        <f>IF(AN160=0,"na",IF(COUNTIF(AN153:AN159,MAX(AN153:AN159))&gt;COUNTIF(AM153:AM159,"&lt;&gt;""")/2,"No clear choice of the most common response",INDEX(AM153:AM159,MATCH(MAX(AN153:AN159),AN153:AN159,0),1)))</f>
        <v>Very unlikely</v>
      </c>
      <c r="AJ139" s="58">
        <f>COUNTIFS(S30_stakeholder_category,"NB",Response_30c_CaseA,"&lt;&gt;0")</f>
        <v>1</v>
      </c>
      <c r="AK139" s="121">
        <f>COUNTIFS(S30_stakeholder_category,"NB",Response_30c_CaseA,"I don’t know")</f>
        <v>0</v>
      </c>
      <c r="AL139" s="14"/>
      <c r="AM139" s="14"/>
      <c r="AN139" s="14"/>
      <c r="AO139" s="14"/>
      <c r="AP139" s="19"/>
      <c r="AQ139" s="19"/>
      <c r="AR139" s="19"/>
      <c r="AS139" s="65"/>
      <c r="AT139" s="63"/>
      <c r="AU139" s="47"/>
      <c r="AV139" s="14"/>
      <c r="AW139" s="57" t="s">
        <v>32</v>
      </c>
      <c r="AX139" s="121" t="str">
        <f>IF(BC160=0,"na",IF(COUNTIF(BC153:BC159,MAX(BC153:BC159))&gt;COUNTIF(BB153:BB159,"&lt;&gt;""")/2,"No clear choice of the most common response",INDEX(BB153:BB159,MATCH(MAX(BC153:BC159),BC153:BC159,0),1)))</f>
        <v>Very unlikely</v>
      </c>
      <c r="AY139" s="58">
        <f>COUNTIFS(S30_stakeholder_category,"NB",Response_30c_CaseB,"&lt;&gt;0")</f>
        <v>1</v>
      </c>
      <c r="AZ139" s="121">
        <f>COUNTIFS(S30_stakeholder_category,"NB",Response_30c_CaseB,"I don’t know")</f>
        <v>0</v>
      </c>
      <c r="BA139" s="14"/>
      <c r="BB139" s="14"/>
      <c r="BC139" s="14"/>
      <c r="BD139" s="14"/>
      <c r="BE139" s="19"/>
      <c r="BF139" s="19"/>
      <c r="BG139" s="19"/>
      <c r="BH139" s="65"/>
      <c r="BI139" s="63"/>
      <c r="BJ139" s="352"/>
      <c r="BK139" s="19"/>
      <c r="BL139" s="57" t="s">
        <v>32</v>
      </c>
      <c r="BM139" s="121" t="str">
        <f>IF(BR160=0,"na",IF(COUNTIF(BR153:BR159,MAX(BR153:BR159))&gt;COUNTIF(BQ153:BQ159,"&lt;&gt;""")/2,"No clear choice of the most common response",INDEX(BQ153:BQ159,MATCH(MAX(BR153:BR159),BR153:BR159,0),1)))</f>
        <v>Unlikely</v>
      </c>
      <c r="BN139" s="58">
        <f>COUNTIFS(S30_stakeholder_category,"NB",Response_30c_CaseC,"&lt;&gt;0")</f>
        <v>1</v>
      </c>
      <c r="BO139" s="121">
        <f>COUNTIFS(S30_stakeholder_category,"NB",Response_30c_CaseC,"I don’t know")</f>
        <v>0</v>
      </c>
      <c r="BP139" s="14"/>
      <c r="BQ139" s="14"/>
      <c r="BR139" s="14"/>
      <c r="BS139" s="14"/>
      <c r="BT139" s="19"/>
      <c r="BU139" s="19"/>
      <c r="BV139" s="19"/>
      <c r="BW139" s="65"/>
      <c r="BX139" s="63"/>
      <c r="BY139" s="352"/>
      <c r="BZ139" s="14"/>
      <c r="CA139" s="34" t="s">
        <v>32</v>
      </c>
      <c r="CB139" s="37">
        <f>MAX(SUM(CC145:CC151),SUM(CD145:CD151),SUM(CE145:CE151))</f>
        <v>1</v>
      </c>
      <c r="CC139" s="21"/>
      <c r="CD139" s="180"/>
      <c r="CE139" s="180"/>
      <c r="CF139" s="21"/>
      <c r="CG139" s="14"/>
      <c r="CH139" s="14"/>
      <c r="CI139" s="14"/>
      <c r="CJ139" s="14"/>
      <c r="CK139" s="14"/>
      <c r="CL139" s="14"/>
      <c r="CM139" s="14"/>
      <c r="CN139" s="14"/>
      <c r="CO139" s="129"/>
      <c r="CP139" s="29"/>
      <c r="CQ139" s="47"/>
      <c r="CR139" s="14"/>
      <c r="CS139" s="34" t="s">
        <v>32</v>
      </c>
      <c r="CT139" s="37">
        <f>MAX(SUM(CU145:CU151),SUM(CV145:CV151),SUM(CW145:CW151))</f>
        <v>0</v>
      </c>
      <c r="CU139" s="14"/>
      <c r="CV139" s="180"/>
      <c r="CW139" s="189"/>
      <c r="CX139" s="189"/>
      <c r="CY139" s="14"/>
      <c r="CZ139" s="14"/>
      <c r="DA139" s="14"/>
      <c r="DB139" s="14"/>
      <c r="DC139" s="14"/>
      <c r="DD139" s="14"/>
      <c r="DE139" s="14"/>
      <c r="DF139" s="14"/>
      <c r="DG139" s="129"/>
      <c r="DH139" s="29"/>
      <c r="DI139" s="47"/>
      <c r="DJ139" s="29"/>
      <c r="DK139" s="34" t="s">
        <v>32</v>
      </c>
      <c r="DL139" s="37" t="str">
        <f>IF(DQ158=0,"na",IF(COUNTIF(DQ153:DQ157,MAX(DQ153:DQ157))&gt;COUNTIF(DP153:DP157,"&lt;&gt;""")/2,"No clear choice of the most common response",INDEX(DP153:DP157,MATCH(MAX(DQ153:DQ157),DQ153:DQ157,0),1)))</f>
        <v>na</v>
      </c>
      <c r="DM139" s="33">
        <f>COUNTIFS(S30_stakeholder_category,"NB",Response_Q172_1,"&lt;&gt;0",Response_Q173_5,"&lt;&gt;0")</f>
        <v>0</v>
      </c>
      <c r="DN139" s="37">
        <f>DQ157</f>
        <v>0</v>
      </c>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row>
    <row r="140" spans="1:142" x14ac:dyDescent="0.25">
      <c r="A140" s="14"/>
      <c r="B140" s="57"/>
      <c r="C140" s="121" t="str">
        <f ca="1">IF(H158=0,"",IF(COUNTIF(H153:H157,MAX(H153:H157))=1,"",IF(COUNTIF(H153:H157,MAX(H153:H157))&gt;COUNTIF(G153:G157,"&lt;&gt;""")/2,"",INDEX(OFFSET(G153,MATCH(C139,G153:G158,0),0):G157,MATCH(MAX(H153:H157),OFFSET(H153,MATCH(C139,G153:G158,0),0):H157,0),1))))</f>
        <v/>
      </c>
      <c r="D140" s="58"/>
      <c r="E140" s="121"/>
      <c r="F140" s="14"/>
      <c r="G140" s="14"/>
      <c r="H140" s="21"/>
      <c r="I140" s="21"/>
      <c r="J140" s="14"/>
      <c r="K140" s="19"/>
      <c r="L140" s="40"/>
      <c r="M140" s="40"/>
      <c r="N140" s="40"/>
      <c r="O140" s="40"/>
      <c r="P140" s="40"/>
      <c r="Q140" s="47"/>
      <c r="R140" s="19"/>
      <c r="S140" s="34"/>
      <c r="T140" s="37" t="str">
        <f ca="1">IF(Y160=0,"",IF(COUNTIF(Y153:Y159,MAX(Y153:Y159))=1,"",IF(COUNTIF(Y153:Y159,MAX(Y153:Y159))&gt;COUNTIF(X153:X159,"&lt;&gt;""")/2,"",INDEX(OFFSET(X153,MATCH(T139,X153:X159,0),0):X159,MATCH(MAX(Y153:Y159),OFFSET(Y153,MATCH(T139,X153:X159,0),0):Y159,0),1))))</f>
        <v/>
      </c>
      <c r="U140" s="33"/>
      <c r="V140" s="37"/>
      <c r="W140" s="14"/>
      <c r="X140" s="14"/>
      <c r="Y140" s="14"/>
      <c r="Z140" s="14"/>
      <c r="AA140" s="19"/>
      <c r="AB140" s="19"/>
      <c r="AC140" s="19"/>
      <c r="AD140" s="65"/>
      <c r="AE140" s="63"/>
      <c r="AF140" s="47"/>
      <c r="AG140" s="19"/>
      <c r="AH140" s="57"/>
      <c r="AI140" s="121" t="str">
        <f ca="1">IF(AN160=0,"",IF(COUNTIF(AN153:AN159,MAX(AN153:AN159))=1,"",IF(COUNTIF(AN153:AN159,MAX(AN153:AN159))&gt;COUNTIF(AM153:AM159,"&lt;&gt;""")/2,"",INDEX(OFFSET(AM153,MATCH(AI139,AM153:AM159,0),0):AM159,MATCH(MAX(AN153:AN159),OFFSET(AN153,MATCH(AI139,AM153:AM159,0),0):AN159,0),1))))</f>
        <v/>
      </c>
      <c r="AJ140" s="58"/>
      <c r="AK140" s="121"/>
      <c r="AL140" s="14"/>
      <c r="AM140" s="14"/>
      <c r="AN140" s="14"/>
      <c r="AO140" s="14"/>
      <c r="AP140" s="19"/>
      <c r="AQ140" s="19"/>
      <c r="AR140" s="19"/>
      <c r="AS140" s="65"/>
      <c r="AT140" s="63"/>
      <c r="AU140" s="47"/>
      <c r="AV140" s="14"/>
      <c r="AW140" s="57"/>
      <c r="AX140" s="121" t="str">
        <f ca="1">IF(BC160=0,"",IF(COUNTIF(BC153:BC159,MAX(BC153:BC159))=1,"",IF(COUNTIF(BC153:BC159,MAX(BC153:BC159))&gt;COUNTIF(BB153:BB159,"&lt;&gt;""")/2,"",INDEX(OFFSET(BB153,MATCH(AX139,BB153:BB159,0),0):BB159,MATCH(MAX(BC153:BC159),OFFSET(BC153,MATCH(AX139,BB153:BB159,0),0):BC159,0),1))))</f>
        <v/>
      </c>
      <c r="AY140" s="58"/>
      <c r="AZ140" s="121"/>
      <c r="BA140" s="14"/>
      <c r="BB140" s="14"/>
      <c r="BC140" s="14"/>
      <c r="BD140" s="14"/>
      <c r="BE140" s="19"/>
      <c r="BF140" s="19"/>
      <c r="BG140" s="19"/>
      <c r="BH140" s="65"/>
      <c r="BI140" s="63"/>
      <c r="BJ140" s="352"/>
      <c r="BK140" s="19"/>
      <c r="BL140" s="57"/>
      <c r="BM140" s="121" t="str">
        <f ca="1">IF(BR160=0,"",IF(COUNTIF(BR153:BR159,MAX(BR153:BR159))=1,"",IF(COUNTIF(BR153:BR159,MAX(BR153:BR159))&gt;COUNTIF(BQ153:BQ159,"&lt;&gt;""")/2,"",INDEX(OFFSET(BQ153,MATCH(BM139,BQ153:BQ159,0),0):BQ159,MATCH(MAX(BR153:BR159),OFFSET(BR153,MATCH(BM139,BQ153:BQ159,0),0):BR159,0),1))))</f>
        <v/>
      </c>
      <c r="BN140" s="58"/>
      <c r="BO140" s="121"/>
      <c r="BP140" s="14"/>
      <c r="BQ140" s="14"/>
      <c r="BR140" s="14"/>
      <c r="BS140" s="14"/>
      <c r="BT140" s="19"/>
      <c r="BU140" s="19"/>
      <c r="BV140" s="19"/>
      <c r="BW140" s="65"/>
      <c r="BX140" s="63"/>
      <c r="BY140" s="352"/>
      <c r="BZ140" s="14"/>
      <c r="CA140" s="14"/>
      <c r="CB140" s="21"/>
      <c r="CC140" s="21"/>
      <c r="CD140" s="180"/>
      <c r="CE140" s="180"/>
      <c r="CF140" s="21"/>
      <c r="CG140" s="14"/>
      <c r="CH140" s="14"/>
      <c r="CI140" s="14"/>
      <c r="CJ140" s="14"/>
      <c r="CK140" s="14"/>
      <c r="CL140" s="14"/>
      <c r="CM140" s="14"/>
      <c r="CN140" s="14"/>
      <c r="CO140" s="129"/>
      <c r="CP140" s="29"/>
      <c r="CQ140" s="47"/>
      <c r="CR140" s="14"/>
      <c r="CS140" s="14"/>
      <c r="CT140" s="14"/>
      <c r="CU140" s="14"/>
      <c r="CV140" s="180"/>
      <c r="CW140" s="189"/>
      <c r="CX140" s="189"/>
      <c r="CY140" s="14"/>
      <c r="CZ140" s="14"/>
      <c r="DA140" s="14"/>
      <c r="DB140" s="14"/>
      <c r="DC140" s="14"/>
      <c r="DD140" s="14"/>
      <c r="DE140" s="14"/>
      <c r="DF140" s="14"/>
      <c r="DG140" s="129"/>
      <c r="DH140" s="29"/>
      <c r="DI140" s="47"/>
      <c r="DJ140" s="29"/>
      <c r="DK140" s="34"/>
      <c r="DL140" s="37" t="str">
        <f ca="1">IF(DQ158=0,"",IF(COUNTIF(DQ153:DQ157,MAX(DQ153:DQ157))=1,"",IF(COUNTIF(DQ153:DQ157,MAX(DQ153:DQ157))&gt;COUNTIF(DP153:DP157,"&lt;&gt;""")/2,"",INDEX(OFFSET(DP153,MATCH(DL139,DP153:DP158,0),0):DP157,MATCH(MAX(DQ153:DQ157),OFFSET(DQ153,MATCH(DL139,DP153:DP158,0),0):DQ157,0),1))))</f>
        <v/>
      </c>
      <c r="DM140" s="33"/>
      <c r="DN140" s="37"/>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row>
    <row r="141" spans="1:142" x14ac:dyDescent="0.25">
      <c r="A141" s="14"/>
      <c r="B141" s="57"/>
      <c r="C141" s="121" t="str">
        <f ca="1" xml:space="preserve"> IF(H158=0,"", IF(COUNTIF(H153:H157,MAX(H153:H157))&lt;=2,"",IF(COUNTIF(H153:H157,MAX(H153:H157))&gt;COUNTIF(G153:G157,"&lt;&gt;""")/2,"", INDEX(OFFSET(G153,MATCH(C140,G153:G158,0),0):G157,         MATCH(MAX(H153:H157),        OFFSET(H153,MATCH(C140,G153:G158,0),0):H157,0),1))))</f>
        <v/>
      </c>
      <c r="D141" s="58"/>
      <c r="E141" s="121"/>
      <c r="F141" s="14"/>
      <c r="G141" s="14"/>
      <c r="H141" s="21"/>
      <c r="I141" s="21"/>
      <c r="J141" s="14"/>
      <c r="K141" s="19"/>
      <c r="L141" s="40"/>
      <c r="M141" s="40"/>
      <c r="N141" s="40"/>
      <c r="O141" s="40"/>
      <c r="P141" s="40"/>
      <c r="Q141" s="47"/>
      <c r="R141" s="19"/>
      <c r="S141" s="34"/>
      <c r="T141" s="121" t="str">
        <f ca="1" xml:space="preserve"> IF(Y160=0,"",IF(Y160=0,"", IF(COUNTIF(Y153:Y159,MAX(Y153:Y159))&lt;=2,"",IF(COUNTIF(Y153:Y159,MAX(Y153:Y159))&gt;COUNTIF(X153:X159,"&lt;&gt;""")/2,"", INDEX(OFFSET(X153,MATCH(T140,X153:X159,0),0):X159,         MATCH(MAX(Y153:Y159),        OFFSET(Y153,MATCH(T140,X153:X159,0),0):Y159,0),1)))))</f>
        <v/>
      </c>
      <c r="U141" s="33"/>
      <c r="V141" s="37"/>
      <c r="W141" s="14"/>
      <c r="X141" s="14"/>
      <c r="Y141" s="14"/>
      <c r="Z141" s="14"/>
      <c r="AA141" s="19"/>
      <c r="AB141" s="19"/>
      <c r="AC141" s="19"/>
      <c r="AD141" s="65"/>
      <c r="AE141" s="63"/>
      <c r="AF141" s="47"/>
      <c r="AG141" s="19"/>
      <c r="AH141" s="57"/>
      <c r="AI141" s="121" t="str">
        <f ca="1" xml:space="preserve"> IF(AN160=0,"",IF(AN160=0,"", IF(COUNTIF(AN153:AN159,MAX(AN153:AN159))&lt;=2,"",IF(COUNTIF(AN153:AN159,MAX(AN153:AN159))&gt;COUNTIF(AM153:AM159,"&lt;&gt;""")/2,"", INDEX(OFFSET(AM153,MATCH(AI140,AM153:AM159,0),0):AM159,         MATCH(MAX(AN153:AN159),        OFFSET(AN153,MATCH(AI140,AM153:AM159,0),0):AN159,0),1)))))</f>
        <v/>
      </c>
      <c r="AJ141" s="58"/>
      <c r="AK141" s="121"/>
      <c r="AL141" s="14"/>
      <c r="AM141" s="14"/>
      <c r="AN141" s="14"/>
      <c r="AO141" s="14"/>
      <c r="AP141" s="19"/>
      <c r="AQ141" s="19"/>
      <c r="AR141" s="19"/>
      <c r="AS141" s="65"/>
      <c r="AT141" s="63"/>
      <c r="AU141" s="47"/>
      <c r="AV141" s="14"/>
      <c r="AW141" s="57"/>
      <c r="AX141" s="121" t="str">
        <f ca="1" xml:space="preserve"> IF(BC160=0,"",IF(BC160=0,"", IF(COUNTIF(BC153:BC159,MAX(BC153:BC159))&lt;=2,"",IF(COUNTIF(BC153:BC159,MAX(BC153:BC159))&gt;COUNTIF(BB153:BB159,"&lt;&gt;""")/2,"", INDEX(OFFSET(BB153,MATCH(AX140,BB153:BB159,0),0):BB159,         MATCH(MAX(BC153:BC159),        OFFSET(BC153,MATCH(AX140,BB153:BB159,0),0):BC159,0),1)))))</f>
        <v/>
      </c>
      <c r="AY141" s="58"/>
      <c r="AZ141" s="121"/>
      <c r="BA141" s="14"/>
      <c r="BB141" s="14"/>
      <c r="BC141" s="14"/>
      <c r="BD141" s="14"/>
      <c r="BE141" s="19"/>
      <c r="BF141" s="19"/>
      <c r="BG141" s="19"/>
      <c r="BH141" s="65"/>
      <c r="BI141" s="63"/>
      <c r="BJ141" s="352"/>
      <c r="BK141" s="19"/>
      <c r="BL141" s="57"/>
      <c r="BM141" s="121" t="str">
        <f ca="1" xml:space="preserve"> IF(BR160=0,"",IF(BR160=0,"", IF(COUNTIF(BR153:BR159,MAX(BR153:BR159))&lt;=2,"",IF(COUNTIF(BR153:BR159,MAX(BR153:BR159))&gt;COUNTIF(BQ153:BQ159,"&lt;&gt;""")/2,"", INDEX(OFFSET(BQ153,MATCH(BM140,BQ153:BQ159,0),0):BQ159,         MATCH(MAX(BR153:BR159),        OFFSET(BR153,MATCH(BM140,BQ153:BQ159,0),0):BR159,0),1)))))</f>
        <v/>
      </c>
      <c r="BN141" s="58"/>
      <c r="BO141" s="121"/>
      <c r="BP141" s="14"/>
      <c r="BQ141" s="14"/>
      <c r="BR141" s="14"/>
      <c r="BS141" s="14"/>
      <c r="BT141" s="19"/>
      <c r="BU141" s="19"/>
      <c r="BV141" s="19"/>
      <c r="BW141" s="65"/>
      <c r="BX141" s="63"/>
      <c r="BY141" s="352"/>
      <c r="BZ141" s="14"/>
      <c r="CA141" s="14"/>
      <c r="CB141" s="21"/>
      <c r="CC141" s="21"/>
      <c r="CD141" s="180"/>
      <c r="CE141" s="180"/>
      <c r="CF141" s="21"/>
      <c r="CG141" s="14"/>
      <c r="CH141" s="14"/>
      <c r="CI141" s="14"/>
      <c r="CJ141" s="14"/>
      <c r="CK141" s="14"/>
      <c r="CL141" s="14"/>
      <c r="CM141" s="14"/>
      <c r="CN141" s="14"/>
      <c r="CO141" s="129"/>
      <c r="CP141" s="29"/>
      <c r="CQ141" s="47"/>
      <c r="CR141" s="14"/>
      <c r="CS141" s="14"/>
      <c r="CT141" s="14"/>
      <c r="CU141" s="14"/>
      <c r="CV141" s="180"/>
      <c r="CW141" s="189"/>
      <c r="CX141" s="189"/>
      <c r="CY141" s="14"/>
      <c r="CZ141" s="14"/>
      <c r="DA141" s="14"/>
      <c r="DB141" s="14"/>
      <c r="DC141" s="14"/>
      <c r="DD141" s="14"/>
      <c r="DE141" s="14"/>
      <c r="DF141" s="14"/>
      <c r="DG141" s="129"/>
      <c r="DH141" s="29"/>
      <c r="DI141" s="47"/>
      <c r="DJ141" s="29"/>
      <c r="DK141" s="34"/>
      <c r="DL141" s="37" t="str">
        <f ca="1">IF(DQ158=0,"",IF(COUNTIF(DQ153:DQ157,MAX(DQ153:DQ157))&lt;=2,"",IF(COUNTIF(DQ153:DQ157,MAX(DQ153:DQ157))&gt;COUNTIF(DP153:DP157,"&lt;&gt;""")/2,"",INDEX(OFFSET(DP153,MATCH(DL140,DP153:DP158,0),0):DP157,MATCH(MAX(DQ153:DQ157),OFFSET(DQ153,MATCH(DL140,DP153:DP158,0),0):DQ157,0),1))))</f>
        <v/>
      </c>
      <c r="DM141" s="33"/>
      <c r="DN141" s="37"/>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row>
    <row r="142" spans="1:142" x14ac:dyDescent="0.25">
      <c r="A142" s="14"/>
      <c r="B142" s="14"/>
      <c r="C142" s="14"/>
      <c r="D142" s="27"/>
      <c r="E142" s="14"/>
      <c r="F142" s="14"/>
      <c r="G142" s="14"/>
      <c r="H142" s="21"/>
      <c r="I142" s="21"/>
      <c r="J142" s="14"/>
      <c r="K142" s="19"/>
      <c r="L142" s="40"/>
      <c r="M142" s="40"/>
      <c r="N142" s="40"/>
      <c r="O142" s="40"/>
      <c r="P142" s="40"/>
      <c r="Q142" s="47"/>
      <c r="R142" s="19"/>
      <c r="S142" s="19"/>
      <c r="T142" s="19"/>
      <c r="U142" s="19"/>
      <c r="V142" s="19"/>
      <c r="W142" s="14"/>
      <c r="X142" s="14"/>
      <c r="Y142" s="14"/>
      <c r="Z142" s="14"/>
      <c r="AA142" s="19"/>
      <c r="AB142" s="19"/>
      <c r="AC142" s="19"/>
      <c r="AD142" s="65"/>
      <c r="AE142" s="63"/>
      <c r="AF142" s="47"/>
      <c r="AG142" s="19"/>
      <c r="AH142" s="19"/>
      <c r="AI142" s="19"/>
      <c r="AJ142" s="19"/>
      <c r="AK142" s="19"/>
      <c r="AL142" s="14"/>
      <c r="AM142" s="14"/>
      <c r="AN142" s="14"/>
      <c r="AO142" s="14"/>
      <c r="AP142" s="19"/>
      <c r="AQ142" s="19"/>
      <c r="AR142" s="19"/>
      <c r="AS142" s="65"/>
      <c r="AT142" s="63"/>
      <c r="AU142" s="47"/>
      <c r="AV142" s="14"/>
      <c r="AW142" s="19"/>
      <c r="AX142" s="19"/>
      <c r="AY142" s="19"/>
      <c r="AZ142" s="19"/>
      <c r="BA142" s="14"/>
      <c r="BB142" s="14"/>
      <c r="BC142" s="14"/>
      <c r="BD142" s="14"/>
      <c r="BE142" s="19"/>
      <c r="BF142" s="19"/>
      <c r="BG142" s="19"/>
      <c r="BH142" s="65"/>
      <c r="BI142" s="63"/>
      <c r="BJ142" s="352"/>
      <c r="BK142" s="19"/>
      <c r="BL142" s="19"/>
      <c r="BM142" s="19"/>
      <c r="BN142" s="19"/>
      <c r="BO142" s="19"/>
      <c r="BP142" s="14"/>
      <c r="BQ142" s="14"/>
      <c r="BR142" s="14"/>
      <c r="BS142" s="14"/>
      <c r="BT142" s="19"/>
      <c r="BU142" s="19"/>
      <c r="BV142" s="19"/>
      <c r="BW142" s="65"/>
      <c r="BX142" s="63"/>
      <c r="BY142" s="352"/>
      <c r="BZ142" s="14"/>
      <c r="CA142" s="14"/>
      <c r="CB142" s="21"/>
      <c r="CC142" s="21"/>
      <c r="CD142" s="180"/>
      <c r="CE142" s="180"/>
      <c r="CF142" s="21"/>
      <c r="CG142" s="14"/>
      <c r="CH142" s="14"/>
      <c r="CI142" s="14"/>
      <c r="CJ142" s="14"/>
      <c r="CK142" s="14"/>
      <c r="CL142" s="14"/>
      <c r="CM142" s="14"/>
      <c r="CN142" s="14"/>
      <c r="CO142" s="129"/>
      <c r="CP142" s="29"/>
      <c r="CQ142" s="47"/>
      <c r="CR142" s="14"/>
      <c r="CS142" s="14"/>
      <c r="CT142" s="14"/>
      <c r="CU142" s="14"/>
      <c r="CV142" s="180"/>
      <c r="CW142" s="189"/>
      <c r="CX142" s="189"/>
      <c r="CY142" s="14"/>
      <c r="CZ142" s="14"/>
      <c r="DA142" s="14"/>
      <c r="DB142" s="14"/>
      <c r="DC142" s="14"/>
      <c r="DD142" s="14"/>
      <c r="DE142" s="14"/>
      <c r="DF142" s="14"/>
      <c r="DG142" s="129"/>
      <c r="DH142" s="29"/>
      <c r="DI142" s="47"/>
      <c r="DJ142" s="29"/>
      <c r="DK142" s="14"/>
      <c r="DL142" s="14"/>
      <c r="DM142" s="27"/>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row>
    <row r="143" spans="1:142" x14ac:dyDescent="0.25">
      <c r="A143" s="14"/>
      <c r="B143" s="14"/>
      <c r="C143" s="14"/>
      <c r="D143" s="27"/>
      <c r="E143" s="14"/>
      <c r="F143" s="14"/>
      <c r="G143" s="14"/>
      <c r="H143" s="21"/>
      <c r="I143" s="21"/>
      <c r="J143" s="14"/>
      <c r="K143" s="19"/>
      <c r="L143" s="40"/>
      <c r="M143" s="40"/>
      <c r="N143" s="40"/>
      <c r="O143" s="40"/>
      <c r="P143" s="40"/>
      <c r="Q143" s="47"/>
      <c r="R143" s="19"/>
      <c r="S143" s="19"/>
      <c r="T143" s="19"/>
      <c r="U143" s="19"/>
      <c r="V143" s="19"/>
      <c r="W143" s="14"/>
      <c r="X143" s="14"/>
      <c r="Y143" s="14"/>
      <c r="Z143" s="14"/>
      <c r="AA143" s="19"/>
      <c r="AB143" s="19"/>
      <c r="AC143" s="19"/>
      <c r="AD143" s="65"/>
      <c r="AE143" s="63"/>
      <c r="AF143" s="47"/>
      <c r="AG143" s="19"/>
      <c r="AH143" s="19"/>
      <c r="AI143" s="19"/>
      <c r="AJ143" s="19"/>
      <c r="AK143" s="19"/>
      <c r="AL143" s="14"/>
      <c r="AM143" s="14"/>
      <c r="AN143" s="14"/>
      <c r="AO143" s="14"/>
      <c r="AP143" s="19"/>
      <c r="AQ143" s="19"/>
      <c r="AR143" s="19"/>
      <c r="AS143" s="65"/>
      <c r="AT143" s="63"/>
      <c r="AU143" s="47"/>
      <c r="AV143" s="14"/>
      <c r="AW143" s="19"/>
      <c r="AX143" s="19"/>
      <c r="AY143" s="19"/>
      <c r="AZ143" s="19"/>
      <c r="BA143" s="14"/>
      <c r="BB143" s="14"/>
      <c r="BC143" s="14"/>
      <c r="BD143" s="14"/>
      <c r="BE143" s="19"/>
      <c r="BF143" s="19"/>
      <c r="BG143" s="19"/>
      <c r="BH143" s="65"/>
      <c r="BI143" s="63"/>
      <c r="BJ143" s="352"/>
      <c r="BK143" s="19"/>
      <c r="BL143" s="19"/>
      <c r="BM143" s="19"/>
      <c r="BN143" s="19"/>
      <c r="BO143" s="19"/>
      <c r="BP143" s="14"/>
      <c r="BQ143" s="14"/>
      <c r="BR143" s="14"/>
      <c r="BS143" s="14"/>
      <c r="BT143" s="19"/>
      <c r="BU143" s="19"/>
      <c r="BV143" s="19"/>
      <c r="BW143" s="65"/>
      <c r="BX143" s="63"/>
      <c r="BY143" s="352"/>
      <c r="BZ143" s="14"/>
      <c r="CA143" s="14"/>
      <c r="CB143" s="21"/>
      <c r="CC143" s="21"/>
      <c r="CD143" s="180"/>
      <c r="CE143" s="180"/>
      <c r="CF143" s="21"/>
      <c r="CG143" s="14"/>
      <c r="CH143" s="14"/>
      <c r="CI143" s="14"/>
      <c r="CJ143" s="14"/>
      <c r="CK143" s="14"/>
      <c r="CL143" s="14"/>
      <c r="CM143" s="14"/>
      <c r="CN143" s="14"/>
      <c r="CO143" s="129"/>
      <c r="CP143" s="29"/>
      <c r="CQ143" s="47"/>
      <c r="CR143" s="14"/>
      <c r="CS143" s="14"/>
      <c r="CT143" s="14"/>
      <c r="CU143" s="14"/>
      <c r="CV143" s="180"/>
      <c r="CW143" s="189"/>
      <c r="CX143" s="189"/>
      <c r="CY143" s="14"/>
      <c r="CZ143" s="14"/>
      <c r="DA143" s="14"/>
      <c r="DB143" s="14"/>
      <c r="DC143" s="14"/>
      <c r="DD143" s="14"/>
      <c r="DE143" s="14"/>
      <c r="DF143" s="14"/>
      <c r="DG143" s="129"/>
      <c r="DH143" s="29"/>
      <c r="DI143" s="47"/>
      <c r="DJ143" s="29"/>
      <c r="DK143" s="14"/>
      <c r="DL143" s="14"/>
      <c r="DM143" s="27"/>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row>
    <row r="144" spans="1:142" ht="27.6" x14ac:dyDescent="0.25">
      <c r="A144" s="14"/>
      <c r="B144" s="14"/>
      <c r="C144" s="14"/>
      <c r="D144" s="27"/>
      <c r="E144" s="14"/>
      <c r="F144" s="14"/>
      <c r="G144" s="14"/>
      <c r="H144" s="21"/>
      <c r="I144" s="21"/>
      <c r="J144" s="14"/>
      <c r="K144" s="19"/>
      <c r="L144" s="40"/>
      <c r="M144" s="40"/>
      <c r="N144" s="40"/>
      <c r="O144" s="40"/>
      <c r="P144" s="40"/>
      <c r="Q144" s="47"/>
      <c r="R144" s="19"/>
      <c r="S144" s="19"/>
      <c r="T144" s="19"/>
      <c r="U144" s="19"/>
      <c r="V144" s="19"/>
      <c r="W144" s="14"/>
      <c r="X144" s="14"/>
      <c r="Y144" s="14"/>
      <c r="Z144" s="14"/>
      <c r="AA144" s="19"/>
      <c r="AB144" s="19"/>
      <c r="AC144" s="19"/>
      <c r="AD144" s="65"/>
      <c r="AE144" s="63"/>
      <c r="AF144" s="47"/>
      <c r="AG144" s="19"/>
      <c r="AH144" s="19"/>
      <c r="AI144" s="19"/>
      <c r="AJ144" s="19"/>
      <c r="AK144" s="19"/>
      <c r="AL144" s="14"/>
      <c r="AM144" s="14"/>
      <c r="AN144" s="14"/>
      <c r="AO144" s="14"/>
      <c r="AP144" s="19"/>
      <c r="AQ144" s="19"/>
      <c r="AR144" s="19"/>
      <c r="AS144" s="65"/>
      <c r="AT144" s="63"/>
      <c r="AU144" s="47"/>
      <c r="AV144" s="14"/>
      <c r="AW144" s="19"/>
      <c r="AX144" s="19"/>
      <c r="AY144" s="19"/>
      <c r="AZ144" s="19"/>
      <c r="BA144" s="14"/>
      <c r="BB144" s="14"/>
      <c r="BC144" s="14"/>
      <c r="BD144" s="14"/>
      <c r="BE144" s="19"/>
      <c r="BF144" s="19"/>
      <c r="BG144" s="19"/>
      <c r="BH144" s="65"/>
      <c r="BI144" s="63"/>
      <c r="BJ144" s="352"/>
      <c r="BK144" s="19"/>
      <c r="BL144" s="19"/>
      <c r="BM144" s="19"/>
      <c r="BN144" s="19"/>
      <c r="BO144" s="19"/>
      <c r="BP144" s="14"/>
      <c r="BQ144" s="14"/>
      <c r="BR144" s="14"/>
      <c r="BS144" s="14"/>
      <c r="BT144" s="19"/>
      <c r="BU144" s="19"/>
      <c r="BV144" s="19"/>
      <c r="BW144" s="65"/>
      <c r="BX144" s="63"/>
      <c r="BY144" s="352"/>
      <c r="BZ144" s="14"/>
      <c r="CA144" s="109" t="s">
        <v>14</v>
      </c>
      <c r="CB144" s="110" t="s">
        <v>164</v>
      </c>
      <c r="CC144" s="110" t="s">
        <v>149</v>
      </c>
      <c r="CD144" s="184" t="s">
        <v>150</v>
      </c>
      <c r="CE144" s="184" t="s">
        <v>151</v>
      </c>
      <c r="CF144" s="110" t="s">
        <v>152</v>
      </c>
      <c r="CG144" s="14"/>
      <c r="CH144" s="109"/>
      <c r="CI144" s="110" t="s">
        <v>5</v>
      </c>
      <c r="CJ144" s="110" t="s">
        <v>4</v>
      </c>
      <c r="CK144" s="110" t="s">
        <v>33</v>
      </c>
      <c r="CL144" s="110" t="s">
        <v>29</v>
      </c>
      <c r="CM144" s="110" t="s">
        <v>3</v>
      </c>
      <c r="CN144" s="110" t="s">
        <v>54</v>
      </c>
      <c r="CO144" s="328" t="s">
        <v>160</v>
      </c>
      <c r="CP144" s="29"/>
      <c r="CQ144" s="47"/>
      <c r="CR144" s="14"/>
      <c r="CS144" s="109" t="s">
        <v>14</v>
      </c>
      <c r="CT144" s="110" t="s">
        <v>164</v>
      </c>
      <c r="CU144" s="110" t="s">
        <v>149</v>
      </c>
      <c r="CV144" s="184" t="s">
        <v>150</v>
      </c>
      <c r="CW144" s="184" t="s">
        <v>151</v>
      </c>
      <c r="CX144" s="194" t="s">
        <v>152</v>
      </c>
      <c r="CY144" s="14"/>
      <c r="CZ144" s="109" t="s">
        <v>14</v>
      </c>
      <c r="DA144" s="110" t="s">
        <v>5</v>
      </c>
      <c r="DB144" s="110" t="s">
        <v>4</v>
      </c>
      <c r="DC144" s="110" t="s">
        <v>33</v>
      </c>
      <c r="DD144" s="110" t="s">
        <v>29</v>
      </c>
      <c r="DE144" s="110" t="s">
        <v>3</v>
      </c>
      <c r="DF144" s="110" t="s">
        <v>54</v>
      </c>
      <c r="DG144" s="328" t="s">
        <v>160</v>
      </c>
      <c r="DH144" s="29"/>
      <c r="DI144" s="47"/>
      <c r="DJ144" s="29"/>
      <c r="DK144" s="19"/>
      <c r="DL144" s="19"/>
      <c r="DM144" s="27"/>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row>
    <row r="145" spans="1:142" x14ac:dyDescent="0.25">
      <c r="A145" s="14"/>
      <c r="B145" s="14"/>
      <c r="C145" s="14"/>
      <c r="D145" s="21"/>
      <c r="E145" s="14"/>
      <c r="F145" s="14"/>
      <c r="G145" s="14"/>
      <c r="H145" s="21"/>
      <c r="I145" s="21"/>
      <c r="J145" s="14"/>
      <c r="K145" s="14"/>
      <c r="L145" s="14"/>
      <c r="M145" s="14"/>
      <c r="N145" s="14"/>
      <c r="O145" s="14"/>
      <c r="P145" s="14"/>
      <c r="Q145" s="47"/>
      <c r="R145" s="19"/>
      <c r="S145" s="19"/>
      <c r="T145" s="19"/>
      <c r="U145" s="19"/>
      <c r="V145" s="19"/>
      <c r="W145" s="14"/>
      <c r="X145" s="14"/>
      <c r="Y145" s="14"/>
      <c r="Z145" s="14"/>
      <c r="AA145" s="19"/>
      <c r="AB145" s="19"/>
      <c r="AC145" s="19"/>
      <c r="AD145" s="65"/>
      <c r="AE145" s="63"/>
      <c r="AF145" s="47"/>
      <c r="AG145" s="19"/>
      <c r="AH145" s="19"/>
      <c r="AI145" s="19"/>
      <c r="AJ145" s="19"/>
      <c r="AK145" s="19"/>
      <c r="AL145" s="14"/>
      <c r="AM145" s="14"/>
      <c r="AN145" s="14"/>
      <c r="AO145" s="14"/>
      <c r="AP145" s="19"/>
      <c r="AQ145" s="19"/>
      <c r="AR145" s="19"/>
      <c r="AS145" s="65"/>
      <c r="AT145" s="63"/>
      <c r="AU145" s="47"/>
      <c r="AV145" s="14"/>
      <c r="AW145" s="19"/>
      <c r="AX145" s="19"/>
      <c r="AY145" s="19"/>
      <c r="AZ145" s="19"/>
      <c r="BA145" s="14"/>
      <c r="BB145" s="14"/>
      <c r="BC145" s="14"/>
      <c r="BD145" s="14"/>
      <c r="BE145" s="19"/>
      <c r="BF145" s="19"/>
      <c r="BG145" s="19"/>
      <c r="BH145" s="65"/>
      <c r="BI145" s="63"/>
      <c r="BJ145" s="352"/>
      <c r="BK145" s="19"/>
      <c r="BL145" s="19"/>
      <c r="BM145" s="19"/>
      <c r="BN145" s="19"/>
      <c r="BO145" s="19"/>
      <c r="BP145" s="14"/>
      <c r="BQ145" s="14"/>
      <c r="BR145" s="14"/>
      <c r="BS145" s="14"/>
      <c r="BT145" s="19"/>
      <c r="BU145" s="19"/>
      <c r="BV145" s="19"/>
      <c r="BW145" s="65"/>
      <c r="BX145" s="63"/>
      <c r="BY145" s="352"/>
      <c r="BZ145" s="14"/>
      <c r="CA145" s="140" t="s">
        <v>701</v>
      </c>
      <c r="CB145" s="27">
        <f>COUNTIFS(S30_stakeholder_category,"NB",Response_Q177_1,"&lt;&gt;0",Response_Q173_5,"&lt;&gt;0")</f>
        <v>0</v>
      </c>
      <c r="CC145" s="37">
        <f>COUNTIFS(S30_stakeholder_category,"NB",Response_Q177_1,1,Response_Q173_5,"&lt;&gt;""0")</f>
        <v>1</v>
      </c>
      <c r="CD145" s="37">
        <f>COUNTIFS(S30_stakeholder_category,"NB",Response_Q177_1,2,Response_Q173_5,"&lt;&gt;""0")</f>
        <v>0</v>
      </c>
      <c r="CE145" s="37">
        <f>COUNTIFS(S30_stakeholder_category,"NB",Response_Q177_1,3,Response_Q173_5,"&lt;&gt;""0")</f>
        <v>0</v>
      </c>
      <c r="CF145" s="97">
        <f>IF(CB139=0,0,SUMPRODUCT(CC145:CE145,Rank_score)/$CB139)</f>
        <v>3</v>
      </c>
      <c r="CG145" s="14"/>
      <c r="CH145" s="140" t="s">
        <v>701</v>
      </c>
      <c r="CI145" s="27">
        <f t="shared" ref="CI145:CN145" si="91">COUNTIFS(S30_stakeholder_category,"NB",Response_Q177_1,"&lt;&gt;0",Response_Q177_2,CI$63,Response_Q173_5,"&lt;&gt;0")</f>
        <v>0</v>
      </c>
      <c r="CJ145" s="27">
        <f t="shared" si="91"/>
        <v>0</v>
      </c>
      <c r="CK145" s="27">
        <f t="shared" si="91"/>
        <v>0</v>
      </c>
      <c r="CL145" s="27">
        <f t="shared" si="91"/>
        <v>0</v>
      </c>
      <c r="CM145" s="27">
        <f t="shared" si="91"/>
        <v>0</v>
      </c>
      <c r="CN145" s="27">
        <f t="shared" si="91"/>
        <v>0</v>
      </c>
      <c r="CO145" s="141" t="str">
        <f t="shared" ref="CO145:CO151" si="92">IF(ISBLANK(CH145),"",IF(CF145=0,not_ranked,IF(SUM(CI145:CN145)=0,not_estimated,IFERROR(SUMPRODUCT(CI145:CN145,Likekihood_score)/SUM(CI145:CN145),0))))</f>
        <v>Ranked, but likelihood not estimated</v>
      </c>
      <c r="CP145" s="29"/>
      <c r="CQ145" s="47"/>
      <c r="CR145" s="14"/>
      <c r="CS145" s="140" t="s">
        <v>373</v>
      </c>
      <c r="CT145" s="27">
        <f>COUNTIFS(S30_stakeholder_category,"NB",Response_Q178_1,"&lt;&gt;0",Response_Q173_5,"&lt;&gt;0")</f>
        <v>0</v>
      </c>
      <c r="CU145" s="37">
        <f>COUNTIFS(S30_stakeholder_category,"NB",Response_Q178_1,1,Response_Q173_5,"&lt;&gt;0")</f>
        <v>0</v>
      </c>
      <c r="CV145" s="37">
        <f>COUNTIFS(S30_stakeholder_category,"NB",Response_Q178_1,2,Response_Q173_5,"&lt;&gt;0")</f>
        <v>0</v>
      </c>
      <c r="CW145" s="37">
        <f>COUNTIFS(S30_stakeholder_category,"NB",Response_Q178_1,3,Response_Q173_5,"&lt;&gt;0")</f>
        <v>0</v>
      </c>
      <c r="CX145" s="37">
        <f>IF(CT139=0,0,SUMPRODUCT(CU145:CW145,Rank_score)/CT$58)</f>
        <v>0</v>
      </c>
      <c r="CY145" s="14"/>
      <c r="CZ145" s="140" t="s">
        <v>373</v>
      </c>
      <c r="DA145" s="27">
        <f t="shared" ref="DA145:DF145" si="93">COUNTIFS(S30_stakeholder_category,"NB",Response_Q178_1,"&lt;&gt;0",Response_Q178_2,DA$63,Response_Q173_5,"&lt;&gt;0")</f>
        <v>0</v>
      </c>
      <c r="DB145" s="27">
        <f t="shared" si="93"/>
        <v>0</v>
      </c>
      <c r="DC145" s="27">
        <f t="shared" si="93"/>
        <v>0</v>
      </c>
      <c r="DD145" s="27">
        <f t="shared" si="93"/>
        <v>0</v>
      </c>
      <c r="DE145" s="27">
        <f t="shared" si="93"/>
        <v>0</v>
      </c>
      <c r="DF145" s="27">
        <f t="shared" si="93"/>
        <v>0</v>
      </c>
      <c r="DG145" s="141" t="str">
        <f t="shared" ref="DG145:DG152" si="94">IF(ISBLANK(CZ145),"",IF(CX145=0,not_ranked,IF(SUM(DA145:DF145)=0,not_estimated,IFERROR(SUMPRODUCT(DA145:DF145,Likekihood_score)/SUM(DA145:DF145),0))))</f>
        <v>Factor not ranked</v>
      </c>
      <c r="DH145" s="29"/>
      <c r="DI145" s="47"/>
      <c r="DJ145" s="29"/>
      <c r="DK145" s="19"/>
      <c r="DL145" s="19"/>
      <c r="DM145" s="14"/>
      <c r="DN145" s="14"/>
      <c r="DO145" s="14"/>
      <c r="DP145" s="14"/>
      <c r="DQ145" s="14"/>
      <c r="DR145" s="13"/>
      <c r="DS145" s="13"/>
      <c r="DT145" s="14"/>
      <c r="DU145" s="14"/>
      <c r="DV145" s="14"/>
      <c r="DW145" s="14"/>
      <c r="DX145" s="14"/>
      <c r="DY145" s="14"/>
      <c r="DZ145" s="14"/>
      <c r="EA145" s="14"/>
      <c r="EB145" s="14"/>
      <c r="EC145" s="14"/>
      <c r="ED145" s="14"/>
      <c r="EE145" s="14"/>
      <c r="EF145" s="14"/>
      <c r="EG145" s="14"/>
      <c r="EH145" s="14"/>
      <c r="EI145" s="14"/>
      <c r="EJ145" s="14"/>
      <c r="EK145" s="14"/>
      <c r="EL145" s="14"/>
    </row>
    <row r="146" spans="1:142" ht="14.4" x14ac:dyDescent="0.25">
      <c r="A146" s="14"/>
      <c r="B146" s="60"/>
      <c r="C146" s="19"/>
      <c r="D146" s="59"/>
      <c r="E146" s="14"/>
      <c r="F146" s="14"/>
      <c r="G146" s="14"/>
      <c r="H146" s="21"/>
      <c r="I146" s="21"/>
      <c r="J146" s="14"/>
      <c r="K146" s="14"/>
      <c r="L146" s="14"/>
      <c r="M146" s="14"/>
      <c r="N146" s="14"/>
      <c r="O146" s="14"/>
      <c r="P146" s="14"/>
      <c r="Q146" s="47"/>
      <c r="R146" s="19"/>
      <c r="S146" s="19"/>
      <c r="T146" s="19"/>
      <c r="U146" s="19"/>
      <c r="V146" s="19"/>
      <c r="W146" s="14"/>
      <c r="X146" s="14"/>
      <c r="Y146" s="14"/>
      <c r="Z146" s="14"/>
      <c r="AA146" s="19"/>
      <c r="AB146" s="19"/>
      <c r="AC146" s="19"/>
      <c r="AD146" s="65"/>
      <c r="AE146" s="63"/>
      <c r="AF146" s="47"/>
      <c r="AG146" s="19"/>
      <c r="AH146" s="19"/>
      <c r="AI146" s="19"/>
      <c r="AJ146" s="19"/>
      <c r="AK146" s="19"/>
      <c r="AL146" s="14"/>
      <c r="AM146" s="14"/>
      <c r="AN146" s="14"/>
      <c r="AO146" s="14"/>
      <c r="AP146" s="19"/>
      <c r="AQ146" s="19"/>
      <c r="AR146" s="19"/>
      <c r="AS146" s="65"/>
      <c r="AT146" s="63"/>
      <c r="AU146" s="47"/>
      <c r="AV146" s="14"/>
      <c r="AW146" s="19"/>
      <c r="AX146" s="19"/>
      <c r="AY146" s="19"/>
      <c r="AZ146" s="19"/>
      <c r="BA146" s="14"/>
      <c r="BB146" s="14"/>
      <c r="BC146" s="14"/>
      <c r="BD146" s="14"/>
      <c r="BE146" s="19"/>
      <c r="BF146" s="19"/>
      <c r="BG146" s="19"/>
      <c r="BH146" s="65"/>
      <c r="BI146" s="63"/>
      <c r="BJ146" s="352"/>
      <c r="BK146" s="19"/>
      <c r="BL146" s="19"/>
      <c r="BM146" s="19"/>
      <c r="BN146" s="19"/>
      <c r="BO146" s="19"/>
      <c r="BP146" s="14"/>
      <c r="BQ146" s="14"/>
      <c r="BR146" s="14"/>
      <c r="BS146" s="14"/>
      <c r="BT146" s="19"/>
      <c r="BU146" s="19"/>
      <c r="BV146" s="19"/>
      <c r="BW146" s="65"/>
      <c r="BX146" s="63"/>
      <c r="BY146" s="352"/>
      <c r="BZ146" s="14"/>
      <c r="CA146" s="140" t="s">
        <v>344</v>
      </c>
      <c r="CB146" s="27">
        <f>COUNTIFS(S30_stakeholder_category,"NB",Response_Q177_3,"&lt;&gt;0",Response_Q173_5,"&lt;&gt;0")</f>
        <v>0</v>
      </c>
      <c r="CC146" s="37">
        <f>COUNTIFS(S30_stakeholder_category,"NB",Response_Q177_3,1,Response_Q173_5,"&lt;&gt;0")</f>
        <v>0</v>
      </c>
      <c r="CD146" s="37">
        <f>COUNTIFS(S30_stakeholder_category,"NB",Response_Q177_3,2,Response_Q173_5,"&lt;&gt;0")</f>
        <v>0</v>
      </c>
      <c r="CE146" s="37">
        <f>COUNTIFS(S30_stakeholder_category,"NB",Response_Q177_3,3,Response_Q173_5,"&lt;&gt;0")</f>
        <v>0</v>
      </c>
      <c r="CF146" s="97">
        <f>IF(CB139=0,0,SUMPRODUCT(CC146:CE146,Rank_score)/$CB139)</f>
        <v>0</v>
      </c>
      <c r="CG146" s="14"/>
      <c r="CH146" s="140" t="s">
        <v>344</v>
      </c>
      <c r="CI146" s="27">
        <f t="shared" ref="CI146:CN146" si="95">COUNTIFS(S30_stakeholder_category,"NB",Response_Q177_3,"&lt;&gt;0",Response_Q177_4,CI$63,Response_Q173_5,"&lt;&gt;0")</f>
        <v>0</v>
      </c>
      <c r="CJ146" s="27">
        <f t="shared" si="95"/>
        <v>0</v>
      </c>
      <c r="CK146" s="27">
        <f t="shared" si="95"/>
        <v>0</v>
      </c>
      <c r="CL146" s="27">
        <f t="shared" si="95"/>
        <v>0</v>
      </c>
      <c r="CM146" s="27">
        <f t="shared" si="95"/>
        <v>0</v>
      </c>
      <c r="CN146" s="27">
        <f t="shared" si="95"/>
        <v>0</v>
      </c>
      <c r="CO146" s="141" t="str">
        <f t="shared" si="92"/>
        <v>Factor not ranked</v>
      </c>
      <c r="CP146" s="14"/>
      <c r="CQ146" s="47"/>
      <c r="CR146" s="14"/>
      <c r="CS146" s="140" t="s">
        <v>338</v>
      </c>
      <c r="CT146" s="27">
        <f>COUNTIFS(S30_stakeholder_category,"NB",Response_Q178_3,"&lt;&gt;0",Response_Q173_5,"&lt;&gt;0")</f>
        <v>0</v>
      </c>
      <c r="CU146" s="37">
        <f>COUNTIFS(S30_stakeholder_category,"NB",Response_Q178_3,1,Response_Q173_5,"&lt;&gt;0")</f>
        <v>0</v>
      </c>
      <c r="CV146" s="37">
        <f>COUNTIFS(S30_stakeholder_category,"NB",Response_Q178_3,2,Response_Q173_5,"&lt;&gt;0")</f>
        <v>0</v>
      </c>
      <c r="CW146" s="37">
        <f>COUNTIFS(S30_stakeholder_category,"NB",Response_Q178_3,3,Response_Q173_5,"&lt;&gt;0")</f>
        <v>0</v>
      </c>
      <c r="CX146" s="37">
        <f>IF(CT139=0,0,SUMPRODUCT(CU146:CW146,Rank_score)/CT$58)</f>
        <v>0</v>
      </c>
      <c r="CY146" s="14"/>
      <c r="CZ146" s="140" t="s">
        <v>338</v>
      </c>
      <c r="DA146" s="27">
        <f t="shared" ref="DA146:DF146" si="96">COUNTIFS(S30_stakeholder_category,"NB",Response_Q178_3,"&lt;&gt;0",Response_Q178_4,DA$63,Response_Q173_5,"&lt;&gt;0")</f>
        <v>0</v>
      </c>
      <c r="DB146" s="27">
        <f t="shared" si="96"/>
        <v>0</v>
      </c>
      <c r="DC146" s="27">
        <f t="shared" si="96"/>
        <v>0</v>
      </c>
      <c r="DD146" s="27">
        <f t="shared" si="96"/>
        <v>0</v>
      </c>
      <c r="DE146" s="27">
        <f t="shared" si="96"/>
        <v>0</v>
      </c>
      <c r="DF146" s="27">
        <f t="shared" si="96"/>
        <v>0</v>
      </c>
      <c r="DG146" s="141" t="str">
        <f t="shared" si="94"/>
        <v>Factor not ranked</v>
      </c>
      <c r="DH146" s="14"/>
      <c r="DI146" s="47"/>
      <c r="DJ146" s="14"/>
      <c r="DK146" s="56"/>
      <c r="DL146" s="29"/>
      <c r="DM146" s="59"/>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row>
    <row r="147" spans="1:142" x14ac:dyDescent="0.25">
      <c r="A147" s="14"/>
      <c r="B147" s="62"/>
      <c r="C147" s="19"/>
      <c r="D147" s="59"/>
      <c r="E147" s="14"/>
      <c r="F147" s="14"/>
      <c r="G147" s="14"/>
      <c r="H147" s="21"/>
      <c r="I147" s="21"/>
      <c r="J147" s="14"/>
      <c r="K147" s="14"/>
      <c r="L147" s="14"/>
      <c r="M147" s="14"/>
      <c r="N147" s="14"/>
      <c r="O147" s="14"/>
      <c r="P147" s="14"/>
      <c r="Q147" s="47"/>
      <c r="R147" s="19"/>
      <c r="S147" s="19"/>
      <c r="T147" s="19"/>
      <c r="U147" s="19"/>
      <c r="V147" s="19"/>
      <c r="W147" s="14"/>
      <c r="X147" s="14"/>
      <c r="Y147" s="14"/>
      <c r="Z147" s="13"/>
      <c r="AA147" s="13"/>
      <c r="AB147" s="13"/>
      <c r="AC147" s="13"/>
      <c r="AD147" s="65"/>
      <c r="AE147" s="63"/>
      <c r="AF147" s="47"/>
      <c r="AG147" s="19"/>
      <c r="AH147" s="19"/>
      <c r="AI147" s="19"/>
      <c r="AJ147" s="19"/>
      <c r="AK147" s="19"/>
      <c r="AL147" s="14"/>
      <c r="AM147" s="14"/>
      <c r="AN147" s="14"/>
      <c r="AO147" s="13"/>
      <c r="AP147" s="13"/>
      <c r="AQ147" s="13"/>
      <c r="AR147" s="13"/>
      <c r="AS147" s="65"/>
      <c r="AT147" s="63"/>
      <c r="AU147" s="47"/>
      <c r="AV147" s="14"/>
      <c r="AW147" s="19"/>
      <c r="AX147" s="19"/>
      <c r="AY147" s="19"/>
      <c r="AZ147" s="19"/>
      <c r="BA147" s="14"/>
      <c r="BB147" s="14"/>
      <c r="BC147" s="14"/>
      <c r="BD147" s="13"/>
      <c r="BE147" s="13"/>
      <c r="BF147" s="13"/>
      <c r="BG147" s="13"/>
      <c r="BH147" s="65"/>
      <c r="BI147" s="63"/>
      <c r="BJ147" s="352"/>
      <c r="BK147" s="19"/>
      <c r="BL147" s="19"/>
      <c r="BM147" s="19"/>
      <c r="BN147" s="19"/>
      <c r="BO147" s="19"/>
      <c r="BP147" s="14"/>
      <c r="BQ147" s="14"/>
      <c r="BR147" s="14"/>
      <c r="BS147" s="13"/>
      <c r="BT147" s="13"/>
      <c r="BU147" s="13"/>
      <c r="BV147" s="13"/>
      <c r="BW147" s="65"/>
      <c r="BX147" s="63"/>
      <c r="BY147" s="352"/>
      <c r="BZ147" s="14"/>
      <c r="CA147" s="140" t="s">
        <v>146</v>
      </c>
      <c r="CB147" s="27">
        <f>COUNTIFS(S30_stakeholder_category,"NB",Response_Q177_5,"&lt;&gt;0",Response_Q173_5,"&lt;&gt;0")</f>
        <v>0</v>
      </c>
      <c r="CC147" s="37">
        <f>COUNTIFS(S30_stakeholder_category,"NB",Response_Q177_5,1,Response_Q173_5,"&lt;&gt;0")</f>
        <v>0</v>
      </c>
      <c r="CD147" s="37">
        <f>COUNTIFS(S30_stakeholder_category,"NB",Response_Q177_5,2,Response_Q173_5,"&lt;&gt;0")</f>
        <v>0</v>
      </c>
      <c r="CE147" s="37">
        <f>COUNTIFS(S30_stakeholder_category,"NB",Response_Q177_5,3,Response_Q173_5,"&lt;&gt;0")</f>
        <v>0</v>
      </c>
      <c r="CF147" s="97">
        <f>IF(CB139=0,0,SUMPRODUCT(CC147:CE147,Rank_score)/$CB139)</f>
        <v>0</v>
      </c>
      <c r="CG147" s="14"/>
      <c r="CH147" s="140" t="s">
        <v>146</v>
      </c>
      <c r="CI147" s="27">
        <f t="shared" ref="CI147:CN147" si="97">COUNTIFS(S30_stakeholder_category,"NB",Response_Q177_5,"&lt;&gt;0",Response_Q177_6,CI$63,Response_Q173_5,"&lt;&gt;0")</f>
        <v>0</v>
      </c>
      <c r="CJ147" s="27">
        <f t="shared" si="97"/>
        <v>0</v>
      </c>
      <c r="CK147" s="27">
        <f t="shared" si="97"/>
        <v>0</v>
      </c>
      <c r="CL147" s="27">
        <f t="shared" si="97"/>
        <v>0</v>
      </c>
      <c r="CM147" s="27">
        <f t="shared" si="97"/>
        <v>0</v>
      </c>
      <c r="CN147" s="27">
        <f t="shared" si="97"/>
        <v>0</v>
      </c>
      <c r="CO147" s="141" t="str">
        <f t="shared" si="92"/>
        <v>Factor not ranked</v>
      </c>
      <c r="CP147" s="14"/>
      <c r="CQ147" s="47"/>
      <c r="CR147" s="14"/>
      <c r="CS147" s="106" t="s">
        <v>339</v>
      </c>
      <c r="CT147" s="27">
        <f>COUNTIFS(S30_stakeholder_category,"NB",Response_Q178_5,"&lt;&gt;0",Response_Q173_5,"&lt;&gt;0")</f>
        <v>0</v>
      </c>
      <c r="CU147" s="37">
        <f>COUNTIFS(S30_stakeholder_category,"NB",Response_Q178_5,1,Response_Q173_5,"&lt;&gt;0")</f>
        <v>0</v>
      </c>
      <c r="CV147" s="37">
        <f>COUNTIFS(S30_stakeholder_category,"NB",Response_Q178_5,2,Response_Q173_5,"&lt;&gt;0")</f>
        <v>0</v>
      </c>
      <c r="CW147" s="37">
        <f>COUNTIFS(S30_stakeholder_category,"NB",Response_Q178_5,3,Response_Q173_5,"&lt;&gt;0")</f>
        <v>0</v>
      </c>
      <c r="CX147" s="37">
        <f>IF(CT139=0,0,SUMPRODUCT(CU147:CW147,Rank_score)/CT$58)</f>
        <v>0</v>
      </c>
      <c r="CY147" s="14"/>
      <c r="CZ147" s="106" t="s">
        <v>339</v>
      </c>
      <c r="DA147" s="27">
        <f t="shared" ref="DA147:DF147" si="98">COUNTIFS(S30_stakeholder_category,"NB",Response_Q178_5,"&lt;&gt;0",Response_Q178_6,DA$63,Response_Q173_5,"&lt;&gt;0")</f>
        <v>0</v>
      </c>
      <c r="DB147" s="27">
        <f t="shared" si="98"/>
        <v>0</v>
      </c>
      <c r="DC147" s="27">
        <f t="shared" si="98"/>
        <v>0</v>
      </c>
      <c r="DD147" s="27">
        <f t="shared" si="98"/>
        <v>0</v>
      </c>
      <c r="DE147" s="27">
        <f t="shared" si="98"/>
        <v>0</v>
      </c>
      <c r="DF147" s="27">
        <f t="shared" si="98"/>
        <v>0</v>
      </c>
      <c r="DG147" s="141" t="str">
        <f t="shared" si="94"/>
        <v>Factor not ranked</v>
      </c>
      <c r="DH147" s="14"/>
      <c r="DI147" s="47"/>
      <c r="DJ147" s="14"/>
      <c r="DK147" s="56"/>
      <c r="DL147" s="19"/>
      <c r="DM147" s="59"/>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row>
    <row r="148" spans="1:142" x14ac:dyDescent="0.25">
      <c r="A148" s="14"/>
      <c r="B148" s="62"/>
      <c r="C148" s="19"/>
      <c r="D148" s="59"/>
      <c r="E148" s="14"/>
      <c r="F148" s="14"/>
      <c r="G148" s="14"/>
      <c r="H148" s="21"/>
      <c r="I148" s="21"/>
      <c r="J148" s="14"/>
      <c r="K148" s="14"/>
      <c r="L148" s="14"/>
      <c r="M148" s="14"/>
      <c r="N148" s="14"/>
      <c r="O148" s="14"/>
      <c r="P148" s="14"/>
      <c r="Q148" s="47"/>
      <c r="R148" s="19"/>
      <c r="S148" s="19"/>
      <c r="T148" s="14"/>
      <c r="U148" s="14"/>
      <c r="V148" s="14"/>
      <c r="W148" s="14"/>
      <c r="X148" s="14"/>
      <c r="Y148" s="14"/>
      <c r="Z148" s="14"/>
      <c r="AA148" s="14"/>
      <c r="AB148" s="14"/>
      <c r="AC148" s="14"/>
      <c r="AD148" s="65"/>
      <c r="AE148" s="63"/>
      <c r="AF148" s="47"/>
      <c r="AG148" s="19"/>
      <c r="AH148" s="19"/>
      <c r="AI148" s="14"/>
      <c r="AJ148" s="14"/>
      <c r="AK148" s="14"/>
      <c r="AL148" s="14"/>
      <c r="AM148" s="14"/>
      <c r="AN148" s="14"/>
      <c r="AO148" s="14"/>
      <c r="AP148" s="14"/>
      <c r="AQ148" s="14"/>
      <c r="AR148" s="14"/>
      <c r="AS148" s="65"/>
      <c r="AT148" s="63"/>
      <c r="AU148" s="47"/>
      <c r="AV148" s="14"/>
      <c r="AW148" s="19"/>
      <c r="AX148" s="14"/>
      <c r="AY148" s="14"/>
      <c r="AZ148" s="14"/>
      <c r="BA148" s="14"/>
      <c r="BB148" s="14"/>
      <c r="BC148" s="14"/>
      <c r="BD148" s="14"/>
      <c r="BE148" s="14"/>
      <c r="BF148" s="14"/>
      <c r="BG148" s="14"/>
      <c r="BH148" s="65"/>
      <c r="BI148" s="63"/>
      <c r="BJ148" s="352"/>
      <c r="BK148" s="19"/>
      <c r="BL148" s="19"/>
      <c r="BM148" s="14"/>
      <c r="BN148" s="14"/>
      <c r="BO148" s="14"/>
      <c r="BP148" s="14"/>
      <c r="BQ148" s="14"/>
      <c r="BR148" s="14"/>
      <c r="BS148" s="14"/>
      <c r="BT148" s="14"/>
      <c r="BU148" s="14"/>
      <c r="BV148" s="14"/>
      <c r="BW148" s="65"/>
      <c r="BX148" s="63"/>
      <c r="BY148" s="352"/>
      <c r="BZ148" s="14"/>
      <c r="CA148" s="140" t="s">
        <v>147</v>
      </c>
      <c r="CB148" s="27">
        <f>COUNTIFS(S30_stakeholder_category,"NB",Response_Q177_7,"&lt;&gt;0",Response_Q173_5,"&lt;&gt;0")</f>
        <v>0</v>
      </c>
      <c r="CC148" s="37">
        <f>COUNTIFS(S30_stakeholder_category,"NB",Response_Q177_7,1,Response_Q173_5,"&lt;&gt;0")</f>
        <v>0</v>
      </c>
      <c r="CD148" s="37">
        <f>COUNTIFS(S30_stakeholder_category,"NB",Response_Q177_7,2,Response_Q173_5,"&lt;&gt;0")</f>
        <v>0</v>
      </c>
      <c r="CE148" s="37">
        <f>COUNTIFS(S30_stakeholder_category,"NB",Response_Q177_7,3,Response_Q173_5,"&lt;&gt;0")</f>
        <v>0</v>
      </c>
      <c r="CF148" s="97">
        <f>IF(CB139=0,0,SUMPRODUCT(CC148:CE148,Rank_score)/$CB139)</f>
        <v>0</v>
      </c>
      <c r="CG148" s="14"/>
      <c r="CH148" s="140" t="s">
        <v>147</v>
      </c>
      <c r="CI148" s="27">
        <f t="shared" ref="CI148:CN148" si="99">COUNTIFS(S30_stakeholder_category,"NB",Response_Q177_7,"&lt;&gt;0",Response_Q177_8,CI$63,Response_Q173_5,"&lt;&gt;0")</f>
        <v>0</v>
      </c>
      <c r="CJ148" s="27">
        <f t="shared" si="99"/>
        <v>0</v>
      </c>
      <c r="CK148" s="27">
        <f t="shared" si="99"/>
        <v>0</v>
      </c>
      <c r="CL148" s="27">
        <f t="shared" si="99"/>
        <v>0</v>
      </c>
      <c r="CM148" s="27">
        <f t="shared" si="99"/>
        <v>0</v>
      </c>
      <c r="CN148" s="27">
        <f t="shared" si="99"/>
        <v>0</v>
      </c>
      <c r="CO148" s="141" t="str">
        <f t="shared" si="92"/>
        <v>Factor not ranked</v>
      </c>
      <c r="CP148" s="14"/>
      <c r="CQ148" s="47"/>
      <c r="CR148" s="14"/>
      <c r="CS148" s="106" t="s">
        <v>345</v>
      </c>
      <c r="CT148" s="27">
        <f>COUNTIFS(S30_stakeholder_category,"NB",Response_Q178_7,"&lt;&gt;0",Response_Q173_5,"&lt;&gt;0")</f>
        <v>0</v>
      </c>
      <c r="CU148" s="37">
        <f>COUNTIFS(S30_stakeholder_category,"NB",Response_Q178_7,1,Response_Q173_5,"&lt;&gt;0")</f>
        <v>0</v>
      </c>
      <c r="CV148" s="37">
        <f>COUNTIFS(S30_stakeholder_category,"NB",Response_Q178_7,2,Response_Q173_5,"&lt;&gt;0")</f>
        <v>0</v>
      </c>
      <c r="CW148" s="37">
        <f>COUNTIFS(S30_stakeholder_category,"NB",Response_Q178_7,3,Response_Q173_5,"&lt;&gt;0")</f>
        <v>0</v>
      </c>
      <c r="CX148" s="37">
        <f>IF(CT139=0,0,SUMPRODUCT(CU148:CW148,Rank_score)/CT$58)</f>
        <v>0</v>
      </c>
      <c r="CY148" s="14"/>
      <c r="CZ148" s="106" t="s">
        <v>345</v>
      </c>
      <c r="DA148" s="27">
        <f t="shared" ref="DA148:DF148" si="100">COUNTIFS(S30_stakeholder_category,"NB",Response_Q178_7,"&lt;&gt;0",Response_Q178_8,DA$63,Response_Q173_5,"&lt;&gt;0")</f>
        <v>0</v>
      </c>
      <c r="DB148" s="27">
        <f t="shared" si="100"/>
        <v>0</v>
      </c>
      <c r="DC148" s="27">
        <f t="shared" si="100"/>
        <v>0</v>
      </c>
      <c r="DD148" s="27">
        <f t="shared" si="100"/>
        <v>0</v>
      </c>
      <c r="DE148" s="27">
        <f t="shared" si="100"/>
        <v>0</v>
      </c>
      <c r="DF148" s="27">
        <f t="shared" si="100"/>
        <v>0</v>
      </c>
      <c r="DG148" s="141" t="str">
        <f t="shared" si="94"/>
        <v>Factor not ranked</v>
      </c>
      <c r="DH148" s="14"/>
      <c r="DI148" s="47"/>
      <c r="DJ148" s="14"/>
      <c r="DK148" s="14"/>
      <c r="DL148" s="19"/>
      <c r="DM148" s="59"/>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row>
    <row r="149" spans="1:142" x14ac:dyDescent="0.25">
      <c r="A149" s="14"/>
      <c r="B149" s="19"/>
      <c r="C149" s="19"/>
      <c r="D149" s="59"/>
      <c r="E149" s="14"/>
      <c r="F149" s="14"/>
      <c r="G149" s="14"/>
      <c r="H149" s="21"/>
      <c r="I149" s="21"/>
      <c r="J149" s="14"/>
      <c r="K149" s="14"/>
      <c r="L149" s="14"/>
      <c r="M149" s="14"/>
      <c r="N149" s="14"/>
      <c r="O149" s="14"/>
      <c r="P149" s="14"/>
      <c r="Q149" s="47"/>
      <c r="R149" s="19"/>
      <c r="S149" s="19"/>
      <c r="T149" s="19"/>
      <c r="U149" s="15"/>
      <c r="V149" s="14"/>
      <c r="W149" s="14"/>
      <c r="X149" s="14"/>
      <c r="Y149" s="14"/>
      <c r="Z149" s="14"/>
      <c r="AA149" s="14"/>
      <c r="AB149" s="14"/>
      <c r="AC149" s="14"/>
      <c r="AD149" s="65"/>
      <c r="AE149" s="63"/>
      <c r="AF149" s="47"/>
      <c r="AG149" s="19"/>
      <c r="AH149" s="19"/>
      <c r="AI149" s="19"/>
      <c r="AJ149" s="15"/>
      <c r="AK149" s="14"/>
      <c r="AL149" s="14"/>
      <c r="AM149" s="14"/>
      <c r="AN149" s="14"/>
      <c r="AO149" s="14"/>
      <c r="AP149" s="14"/>
      <c r="AQ149" s="14"/>
      <c r="AR149" s="14"/>
      <c r="AS149" s="65"/>
      <c r="AT149" s="63"/>
      <c r="AU149" s="47"/>
      <c r="AV149" s="14"/>
      <c r="AW149" s="19"/>
      <c r="AX149" s="19"/>
      <c r="AY149" s="15"/>
      <c r="AZ149" s="14"/>
      <c r="BA149" s="14"/>
      <c r="BB149" s="14"/>
      <c r="BC149" s="14"/>
      <c r="BD149" s="14"/>
      <c r="BE149" s="14"/>
      <c r="BF149" s="14"/>
      <c r="BG149" s="14"/>
      <c r="BH149" s="65"/>
      <c r="BI149" s="63"/>
      <c r="BJ149" s="352"/>
      <c r="BK149" s="19"/>
      <c r="BL149" s="19"/>
      <c r="BM149" s="19"/>
      <c r="BN149" s="15"/>
      <c r="BO149" s="14"/>
      <c r="BP149" s="14"/>
      <c r="BQ149" s="14"/>
      <c r="BR149" s="14"/>
      <c r="BS149" s="14"/>
      <c r="BT149" s="14"/>
      <c r="BU149" s="14"/>
      <c r="BV149" s="14"/>
      <c r="BW149" s="65"/>
      <c r="BX149" s="63"/>
      <c r="BY149" s="352"/>
      <c r="BZ149" s="14"/>
      <c r="CA149" s="140" t="s">
        <v>341</v>
      </c>
      <c r="CB149" s="27">
        <f>COUNTIFS(S30_stakeholder_category,"NB",Response_Q177_9,"&lt;&gt;0",Response_Q173_5,"&lt;&gt;0")</f>
        <v>0</v>
      </c>
      <c r="CC149" s="37">
        <f>COUNTIFS(S30_stakeholder_category,"NB",Response_Q177_9,1,Response_Q173_5,"&lt;&gt;0")</f>
        <v>0</v>
      </c>
      <c r="CD149" s="37">
        <f>COUNTIFS(S30_stakeholder_category,"NB",Response_Q177_9,2,Response_Q173_5,"&lt;&gt;0")</f>
        <v>0</v>
      </c>
      <c r="CE149" s="37">
        <f>COUNTIFS(S30_stakeholder_category,"NB",Response_Q177_9,3,Response_Q173_5,"&lt;&gt;0")</f>
        <v>0</v>
      </c>
      <c r="CF149" s="97">
        <f>IF(CB139=0,0,SUMPRODUCT(CC149:CE149,Rank_score)/$CB139)</f>
        <v>0</v>
      </c>
      <c r="CG149" s="14"/>
      <c r="CH149" s="140" t="s">
        <v>341</v>
      </c>
      <c r="CI149" s="27">
        <f t="shared" ref="CI149:CN149" si="101">COUNTIFS(S30_stakeholder_category,"NB",Response_Q177_9,"&lt;&gt;0",Response_Q177_10,CI$63,Response_Q173_5,"&lt;&gt;0")</f>
        <v>0</v>
      </c>
      <c r="CJ149" s="27">
        <f t="shared" si="101"/>
        <v>0</v>
      </c>
      <c r="CK149" s="27">
        <f t="shared" si="101"/>
        <v>0</v>
      </c>
      <c r="CL149" s="27">
        <f t="shared" si="101"/>
        <v>0</v>
      </c>
      <c r="CM149" s="27">
        <f t="shared" si="101"/>
        <v>0</v>
      </c>
      <c r="CN149" s="27">
        <f t="shared" si="101"/>
        <v>0</v>
      </c>
      <c r="CO149" s="141" t="str">
        <f t="shared" si="92"/>
        <v>Factor not ranked</v>
      </c>
      <c r="CP149" s="14"/>
      <c r="CQ149" s="47"/>
      <c r="CR149" s="14"/>
      <c r="CS149" s="106" t="s">
        <v>561</v>
      </c>
      <c r="CT149" s="27">
        <f>COUNTIFS(S30_stakeholder_category,"NB",Response_Q178_9,"&lt;&gt;0",Response_Q173_5,"&lt;&gt;0")</f>
        <v>0</v>
      </c>
      <c r="CU149" s="37">
        <f>COUNTIFS(S30_stakeholder_category,"NB",Response_Q178_9,1,Response_Q173_5,"&lt;&gt;0")</f>
        <v>0</v>
      </c>
      <c r="CV149" s="37">
        <f>COUNTIFS(S30_stakeholder_category,"NB",Response_Q178_9,2,Response_Q173_5,"&lt;&gt;0")</f>
        <v>0</v>
      </c>
      <c r="CW149" s="37">
        <f>COUNTIFS(S30_stakeholder_category,"NB",Response_Q178_9,3,Response_Q173_5,"&lt;&gt;0")</f>
        <v>0</v>
      </c>
      <c r="CX149" s="37">
        <f>IF(CT139=0,0,SUMPRODUCT(CU149:CW149,Rank_score)/CT$58)</f>
        <v>0</v>
      </c>
      <c r="CY149" s="14"/>
      <c r="CZ149" s="106" t="s">
        <v>561</v>
      </c>
      <c r="DA149" s="27">
        <f t="shared" ref="DA149:DF149" si="102">COUNTIFS(S30_stakeholder_category,"NB",Response_Q178_9,"&lt;&gt;0",Response_Q178_10,DA$63,Response_Q173_5,"&lt;&gt;0")</f>
        <v>0</v>
      </c>
      <c r="DB149" s="27">
        <f t="shared" si="102"/>
        <v>0</v>
      </c>
      <c r="DC149" s="27">
        <f t="shared" si="102"/>
        <v>0</v>
      </c>
      <c r="DD149" s="27">
        <f t="shared" si="102"/>
        <v>0</v>
      </c>
      <c r="DE149" s="27">
        <f t="shared" si="102"/>
        <v>0</v>
      </c>
      <c r="DF149" s="27">
        <f t="shared" si="102"/>
        <v>0</v>
      </c>
      <c r="DG149" s="141" t="str">
        <f t="shared" si="94"/>
        <v>Factor not ranked</v>
      </c>
      <c r="DH149" s="14"/>
      <c r="DI149" s="47"/>
      <c r="DJ149" s="14"/>
      <c r="DK149" s="14"/>
      <c r="DL149" s="19"/>
      <c r="DM149" s="59"/>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row>
    <row r="150" spans="1:142" x14ac:dyDescent="0.25">
      <c r="A150" s="14"/>
      <c r="B150" s="19"/>
      <c r="C150" s="19"/>
      <c r="D150" s="59"/>
      <c r="E150" s="14"/>
      <c r="F150" s="14"/>
      <c r="G150" s="14"/>
      <c r="H150" s="21"/>
      <c r="I150" s="21"/>
      <c r="J150" s="14"/>
      <c r="K150" s="14"/>
      <c r="L150" s="14"/>
      <c r="M150" s="14"/>
      <c r="N150" s="14"/>
      <c r="O150" s="14"/>
      <c r="P150" s="14"/>
      <c r="Q150" s="47"/>
      <c r="R150" s="19"/>
      <c r="S150" s="19"/>
      <c r="T150" s="19"/>
      <c r="U150" s="59"/>
      <c r="V150" s="14"/>
      <c r="W150" s="14"/>
      <c r="X150" s="14"/>
      <c r="Y150" s="14"/>
      <c r="Z150" s="14"/>
      <c r="AA150" s="14"/>
      <c r="AB150" s="14"/>
      <c r="AC150" s="14"/>
      <c r="AD150" s="65"/>
      <c r="AE150" s="63"/>
      <c r="AF150" s="47"/>
      <c r="AG150" s="19"/>
      <c r="AH150" s="19"/>
      <c r="AI150" s="19"/>
      <c r="AJ150" s="59"/>
      <c r="AK150" s="14"/>
      <c r="AL150" s="14"/>
      <c r="AM150" s="14"/>
      <c r="AN150" s="14"/>
      <c r="AO150" s="14"/>
      <c r="AP150" s="14"/>
      <c r="AQ150" s="14"/>
      <c r="AR150" s="14"/>
      <c r="AS150" s="65"/>
      <c r="AT150" s="63"/>
      <c r="AU150" s="47"/>
      <c r="AV150" s="14"/>
      <c r="AW150" s="19"/>
      <c r="AX150" s="19"/>
      <c r="AY150" s="59"/>
      <c r="AZ150" s="14"/>
      <c r="BA150" s="14"/>
      <c r="BB150" s="14"/>
      <c r="BC150" s="14"/>
      <c r="BD150" s="14"/>
      <c r="BE150" s="14"/>
      <c r="BF150" s="14"/>
      <c r="BG150" s="14"/>
      <c r="BH150" s="65"/>
      <c r="BI150" s="63"/>
      <c r="BJ150" s="352"/>
      <c r="BK150" s="19"/>
      <c r="BL150" s="19"/>
      <c r="BM150" s="19"/>
      <c r="BN150" s="59"/>
      <c r="BO150" s="14"/>
      <c r="BP150" s="14"/>
      <c r="BQ150" s="14"/>
      <c r="BR150" s="14"/>
      <c r="BS150" s="14"/>
      <c r="BT150" s="14"/>
      <c r="BU150" s="14"/>
      <c r="BV150" s="14"/>
      <c r="BW150" s="65"/>
      <c r="BX150" s="63"/>
      <c r="BY150" s="352"/>
      <c r="BZ150" s="14"/>
      <c r="CA150" s="106" t="s">
        <v>148</v>
      </c>
      <c r="CB150" s="27">
        <f>COUNTIFS(S30_stakeholder_category,"NB",Response_Q177_11,"&lt;&gt;0",Response_Q173_5,"&lt;&gt;0")</f>
        <v>0</v>
      </c>
      <c r="CC150" s="37">
        <f>COUNTIFS(S30_stakeholder_category,"NB",Response_Q177_11,1,Response_Q173_5,"&lt;&gt;0")</f>
        <v>0</v>
      </c>
      <c r="CD150" s="37">
        <f>COUNTIFS(S30_stakeholder_category,"NB",Response_Q177_11,2,Response_Q173_5,"&lt;&gt;0")</f>
        <v>0</v>
      </c>
      <c r="CE150" s="37">
        <f>COUNTIFS(S30_stakeholder_category,"NB",Response_Q177_11,3,Response_Q173_5,"&lt;&gt;0")</f>
        <v>0</v>
      </c>
      <c r="CF150" s="97">
        <f>IF(CB139=0,0,SUMPRODUCT(CC150:CE150,Rank_score)/$CB139)</f>
        <v>0</v>
      </c>
      <c r="CG150" s="43"/>
      <c r="CH150" s="106" t="s">
        <v>148</v>
      </c>
      <c r="CI150" s="27">
        <f t="shared" ref="CI150:CN150" si="103">COUNTIFS(S30_stakeholder_category,"NB",Response_Q177_11,"&lt;&gt;0",Response_Q177_12,CI$63,Response_Q173_5,"&lt;&gt;0")</f>
        <v>0</v>
      </c>
      <c r="CJ150" s="27">
        <f t="shared" si="103"/>
        <v>0</v>
      </c>
      <c r="CK150" s="27">
        <f t="shared" si="103"/>
        <v>0</v>
      </c>
      <c r="CL150" s="27">
        <f t="shared" si="103"/>
        <v>0</v>
      </c>
      <c r="CM150" s="27">
        <f t="shared" si="103"/>
        <v>0</v>
      </c>
      <c r="CN150" s="27">
        <f t="shared" si="103"/>
        <v>0</v>
      </c>
      <c r="CO150" s="141" t="str">
        <f t="shared" si="92"/>
        <v>Factor not ranked</v>
      </c>
      <c r="CP150" s="14"/>
      <c r="CQ150" s="47"/>
      <c r="CR150" s="14"/>
      <c r="CS150" s="106" t="s">
        <v>49</v>
      </c>
      <c r="CT150" s="27">
        <f>COUNTIFS(S30_stakeholder_category,"NB",Response_Q178_11,"&lt;&gt;0",Response_Q173_5,"&lt;&gt;0")</f>
        <v>0</v>
      </c>
      <c r="CU150" s="37">
        <f>COUNTIFS(S30_stakeholder_category,"NB",Response_Q178_11,1,Response_Q173_5,"&lt;&gt;0")</f>
        <v>0</v>
      </c>
      <c r="CV150" s="37">
        <f>COUNTIFS(S30_stakeholder_category,"NB",Response_Q178_11,2,Response_Q173_5,"&lt;&gt;0")</f>
        <v>0</v>
      </c>
      <c r="CW150" s="37">
        <f>COUNTIFS(S30_stakeholder_category,"NB",Response_Q178_11,3,Response_Q173_5,"&lt;&gt;0")</f>
        <v>0</v>
      </c>
      <c r="CX150" s="37">
        <f>IF(CT139=0,0,SUMPRODUCT(CU150:CW150,Rank_score)/CT$58)</f>
        <v>0</v>
      </c>
      <c r="CY150" s="43"/>
      <c r="CZ150" s="106" t="s">
        <v>49</v>
      </c>
      <c r="DA150" s="27">
        <f t="shared" ref="DA150:DF150" si="104">COUNTIFS(S30_stakeholder_category,"NB",Response_Q178_11,"&lt;&gt;0",Response_Q178_12,DA$63,Response_Q173_5,"&lt;&gt;0")</f>
        <v>0</v>
      </c>
      <c r="DB150" s="27">
        <f t="shared" si="104"/>
        <v>0</v>
      </c>
      <c r="DC150" s="27">
        <f t="shared" si="104"/>
        <v>0</v>
      </c>
      <c r="DD150" s="27">
        <f t="shared" si="104"/>
        <v>0</v>
      </c>
      <c r="DE150" s="27">
        <f t="shared" si="104"/>
        <v>0</v>
      </c>
      <c r="DF150" s="27">
        <f t="shared" si="104"/>
        <v>0</v>
      </c>
      <c r="DG150" s="141" t="str">
        <f t="shared" si="94"/>
        <v>Factor not ranked</v>
      </c>
      <c r="DH150" s="14"/>
      <c r="DI150" s="47"/>
      <c r="DJ150" s="14"/>
      <c r="DK150" s="14"/>
      <c r="DL150" s="19"/>
      <c r="DM150" s="59"/>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row>
    <row r="151" spans="1:142" x14ac:dyDescent="0.25">
      <c r="A151" s="14"/>
      <c r="B151" s="56"/>
      <c r="C151" s="29"/>
      <c r="D151" s="59"/>
      <c r="E151" s="14"/>
      <c r="F151" s="14"/>
      <c r="G151" s="14"/>
      <c r="H151" s="21"/>
      <c r="I151" s="21"/>
      <c r="J151" s="14"/>
      <c r="K151" s="14"/>
      <c r="L151" s="14"/>
      <c r="M151" s="14"/>
      <c r="N151" s="14"/>
      <c r="O151" s="14"/>
      <c r="P151" s="14"/>
      <c r="Q151" s="47"/>
      <c r="R151" s="19"/>
      <c r="S151" s="56"/>
      <c r="T151" s="29"/>
      <c r="U151" s="27"/>
      <c r="V151" s="14"/>
      <c r="W151" s="14"/>
      <c r="X151" s="14"/>
      <c r="Y151" s="14"/>
      <c r="Z151" s="14"/>
      <c r="AA151" s="14"/>
      <c r="AB151" s="14"/>
      <c r="AC151" s="14"/>
      <c r="AD151" s="65"/>
      <c r="AE151" s="63"/>
      <c r="AF151" s="47"/>
      <c r="AG151" s="19"/>
      <c r="AH151" s="56"/>
      <c r="AI151" s="29"/>
      <c r="AJ151" s="27"/>
      <c r="AK151" s="14"/>
      <c r="AL151" s="14"/>
      <c r="AM151" s="14"/>
      <c r="AN151" s="14"/>
      <c r="AO151" s="14"/>
      <c r="AP151" s="14"/>
      <c r="AQ151" s="14"/>
      <c r="AR151" s="14"/>
      <c r="AS151" s="65"/>
      <c r="AT151" s="63"/>
      <c r="AU151" s="47"/>
      <c r="AV151" s="14"/>
      <c r="AW151" s="56"/>
      <c r="AX151" s="29"/>
      <c r="AY151" s="27"/>
      <c r="AZ151" s="14"/>
      <c r="BA151" s="14"/>
      <c r="BB151" s="14"/>
      <c r="BC151" s="14"/>
      <c r="BD151" s="14"/>
      <c r="BE151" s="14"/>
      <c r="BF151" s="14"/>
      <c r="BG151" s="14"/>
      <c r="BH151" s="65"/>
      <c r="BI151" s="63"/>
      <c r="BJ151" s="352"/>
      <c r="BK151" s="19"/>
      <c r="BL151" s="56"/>
      <c r="BM151" s="29"/>
      <c r="BN151" s="27"/>
      <c r="BO151" s="14"/>
      <c r="BP151" s="14"/>
      <c r="BQ151" s="14"/>
      <c r="BR151" s="14"/>
      <c r="BS151" s="14"/>
      <c r="BT151" s="14"/>
      <c r="BU151" s="14"/>
      <c r="BV151" s="14"/>
      <c r="BW151" s="65"/>
      <c r="BX151" s="63"/>
      <c r="BY151" s="352"/>
      <c r="BZ151" s="14"/>
      <c r="CA151" s="107" t="s">
        <v>49</v>
      </c>
      <c r="CB151" s="27">
        <f>COUNTIFS(S30_stakeholder_category,"NB",Response_Q177_13,"&lt;&gt;0",Response_Q173_5,"&lt;&gt;0")</f>
        <v>0</v>
      </c>
      <c r="CC151" s="37">
        <f>COUNTIFS(S30_stakeholder_category,"NB",Response_Q177_13,1,Response_Q173_5,"&lt;&gt;0")</f>
        <v>0</v>
      </c>
      <c r="CD151" s="37">
        <f>COUNTIFS(S30_stakeholder_category,"NB",Response_Q177_13,2,Response_Q173_5,"&lt;&gt;0")</f>
        <v>0</v>
      </c>
      <c r="CE151" s="37">
        <f>COUNTIFS(S30_stakeholder_category,"NB",Response_Q177_13,3,Response_Q173_5,"&lt;&gt;0")</f>
        <v>0</v>
      </c>
      <c r="CF151" s="97">
        <f>IF(CB139=0,0,SUMPRODUCT(CC151:CE151,Rank_score)/$CB139)</f>
        <v>0</v>
      </c>
      <c r="CG151" s="29"/>
      <c r="CH151" s="107" t="s">
        <v>49</v>
      </c>
      <c r="CI151" s="27">
        <f t="shared" ref="CI151:CN151" si="105">COUNTIFS(S30_stakeholder_category,"NB",Response_Q177_13,"&lt;&gt;0",Response_Q177_14,CI$63,Response_Q173_5,"&lt;&gt;0")</f>
        <v>0</v>
      </c>
      <c r="CJ151" s="27">
        <f t="shared" si="105"/>
        <v>0</v>
      </c>
      <c r="CK151" s="27">
        <f t="shared" si="105"/>
        <v>0</v>
      </c>
      <c r="CL151" s="27">
        <f t="shared" si="105"/>
        <v>0</v>
      </c>
      <c r="CM151" s="27">
        <f t="shared" si="105"/>
        <v>0</v>
      </c>
      <c r="CN151" s="27">
        <f t="shared" si="105"/>
        <v>0</v>
      </c>
      <c r="CO151" s="141" t="str">
        <f t="shared" si="92"/>
        <v>Factor not ranked</v>
      </c>
      <c r="CP151" s="14"/>
      <c r="CQ151" s="47"/>
      <c r="CR151" s="14"/>
      <c r="CS151" s="107"/>
      <c r="CT151" s="27"/>
      <c r="CU151" s="37"/>
      <c r="CV151" s="37"/>
      <c r="CW151" s="37"/>
      <c r="CX151" s="37"/>
      <c r="CY151" s="29"/>
      <c r="CZ151" s="106"/>
      <c r="DA151" s="27"/>
      <c r="DB151" s="27"/>
      <c r="DC151" s="27"/>
      <c r="DD151" s="27"/>
      <c r="DE151" s="27"/>
      <c r="DF151" s="27"/>
      <c r="DG151" s="141" t="str">
        <f t="shared" si="94"/>
        <v/>
      </c>
      <c r="DH151" s="14"/>
      <c r="DI151" s="47"/>
      <c r="DJ151" s="14"/>
      <c r="DK151" s="62"/>
      <c r="DL151" s="19"/>
      <c r="DM151" s="59"/>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row>
    <row r="152" spans="1:142" x14ac:dyDescent="0.25">
      <c r="A152" s="14"/>
      <c r="B152" s="56"/>
      <c r="C152" s="19"/>
      <c r="D152" s="59"/>
      <c r="E152" s="14"/>
      <c r="F152" s="14"/>
      <c r="G152" s="109" t="s">
        <v>14</v>
      </c>
      <c r="H152" s="110" t="s">
        <v>6</v>
      </c>
      <c r="I152" s="110" t="s">
        <v>7</v>
      </c>
      <c r="J152" s="14"/>
      <c r="K152" s="14"/>
      <c r="L152" s="14"/>
      <c r="M152" s="14"/>
      <c r="N152" s="14"/>
      <c r="O152" s="14"/>
      <c r="P152" s="14"/>
      <c r="Q152" s="47"/>
      <c r="R152" s="19"/>
      <c r="S152" s="56"/>
      <c r="T152" s="19"/>
      <c r="U152" s="27"/>
      <c r="V152" s="14"/>
      <c r="W152" s="14"/>
      <c r="X152" s="109" t="s">
        <v>14</v>
      </c>
      <c r="Y152" s="110" t="s">
        <v>6</v>
      </c>
      <c r="Z152" s="110" t="s">
        <v>7</v>
      </c>
      <c r="AA152" s="14"/>
      <c r="AB152" s="14"/>
      <c r="AC152" s="14"/>
      <c r="AD152" s="65"/>
      <c r="AE152" s="63"/>
      <c r="AF152" s="47"/>
      <c r="AG152" s="19"/>
      <c r="AH152" s="56"/>
      <c r="AI152" s="19"/>
      <c r="AJ152" s="27"/>
      <c r="AK152" s="14"/>
      <c r="AL152" s="14"/>
      <c r="AM152" s="109" t="s">
        <v>14</v>
      </c>
      <c r="AN152" s="110" t="s">
        <v>6</v>
      </c>
      <c r="AO152" s="110" t="s">
        <v>7</v>
      </c>
      <c r="AP152" s="14"/>
      <c r="AQ152" s="14"/>
      <c r="AR152" s="14"/>
      <c r="AS152" s="65"/>
      <c r="AT152" s="63"/>
      <c r="AU152" s="47"/>
      <c r="AV152" s="14"/>
      <c r="AW152" s="56"/>
      <c r="AX152" s="19"/>
      <c r="AY152" s="27"/>
      <c r="AZ152" s="14"/>
      <c r="BA152" s="14"/>
      <c r="BB152" s="109" t="s">
        <v>14</v>
      </c>
      <c r="BC152" s="110" t="s">
        <v>6</v>
      </c>
      <c r="BD152" s="110" t="s">
        <v>7</v>
      </c>
      <c r="BE152" s="14"/>
      <c r="BF152" s="14"/>
      <c r="BG152" s="14"/>
      <c r="BH152" s="65"/>
      <c r="BI152" s="63"/>
      <c r="BJ152" s="352"/>
      <c r="BK152" s="19"/>
      <c r="BL152" s="56"/>
      <c r="BM152" s="19"/>
      <c r="BN152" s="27"/>
      <c r="BO152" s="14"/>
      <c r="BP152" s="14"/>
      <c r="BQ152" s="109" t="s">
        <v>14</v>
      </c>
      <c r="BR152" s="110" t="s">
        <v>6</v>
      </c>
      <c r="BS152" s="110" t="s">
        <v>7</v>
      </c>
      <c r="BT152" s="14"/>
      <c r="BU152" s="14"/>
      <c r="BV152" s="14"/>
      <c r="BW152" s="65"/>
      <c r="BX152" s="63"/>
      <c r="BY152" s="352"/>
      <c r="BZ152" s="14"/>
      <c r="CA152" s="86"/>
      <c r="CB152" s="111"/>
      <c r="CC152" s="111"/>
      <c r="CD152" s="179"/>
      <c r="CE152" s="179"/>
      <c r="CF152" s="108"/>
      <c r="CG152" s="29"/>
      <c r="CH152" s="109"/>
      <c r="CI152" s="109"/>
      <c r="CJ152" s="109"/>
      <c r="CK152" s="109"/>
      <c r="CL152" s="109"/>
      <c r="CM152" s="109"/>
      <c r="CN152" s="109"/>
      <c r="CO152" s="329"/>
      <c r="CP152" s="14"/>
      <c r="CQ152" s="47"/>
      <c r="CR152" s="14"/>
      <c r="CS152" s="107"/>
      <c r="CT152" s="27"/>
      <c r="CU152" s="37"/>
      <c r="CV152" s="37"/>
      <c r="CW152" s="37"/>
      <c r="CX152" s="37"/>
      <c r="CY152" s="29"/>
      <c r="CZ152" s="106"/>
      <c r="DA152" s="27"/>
      <c r="DB152" s="27"/>
      <c r="DC152" s="27"/>
      <c r="DD152" s="27"/>
      <c r="DE152" s="27"/>
      <c r="DF152" s="27"/>
      <c r="DG152" s="141" t="str">
        <f t="shared" si="94"/>
        <v/>
      </c>
      <c r="DH152" s="14"/>
      <c r="DI152" s="47"/>
      <c r="DJ152" s="14"/>
      <c r="DK152" s="62"/>
      <c r="DL152" s="19"/>
      <c r="DM152" s="59"/>
      <c r="DN152" s="14"/>
      <c r="DO152" s="14"/>
      <c r="DP152" s="109" t="s">
        <v>14</v>
      </c>
      <c r="DQ152" s="110" t="s">
        <v>6</v>
      </c>
      <c r="DR152" s="110" t="s">
        <v>7</v>
      </c>
      <c r="DS152" s="14"/>
      <c r="DT152" s="14"/>
      <c r="DU152" s="14"/>
      <c r="DV152" s="14"/>
      <c r="DW152" s="14"/>
      <c r="DX152" s="14"/>
      <c r="DY152" s="14"/>
      <c r="DZ152" s="14"/>
      <c r="EA152" s="14"/>
      <c r="EB152" s="14"/>
      <c r="EC152" s="14"/>
      <c r="ED152" s="14"/>
      <c r="EE152" s="14"/>
      <c r="EF152" s="14"/>
      <c r="EG152" s="14"/>
      <c r="EH152" s="14"/>
      <c r="EI152" s="14"/>
      <c r="EJ152" s="14"/>
      <c r="EK152" s="14"/>
      <c r="EL152" s="14"/>
    </row>
    <row r="153" spans="1:142" x14ac:dyDescent="0.25">
      <c r="A153" s="14"/>
      <c r="B153" s="14"/>
      <c r="C153" s="19"/>
      <c r="D153" s="59"/>
      <c r="E153" s="14"/>
      <c r="F153" s="14"/>
      <c r="G153" s="107" t="s">
        <v>34</v>
      </c>
      <c r="H153" s="27">
        <f>COUNTIFS(S30_stakeholder_category,"NB",Response_Q173_5,G153)</f>
        <v>0</v>
      </c>
      <c r="I153" s="41" t="str">
        <f>IFERROR(H153/H$158,"")</f>
        <v/>
      </c>
      <c r="J153" s="14"/>
      <c r="K153" s="14"/>
      <c r="L153" s="14"/>
      <c r="M153" s="14"/>
      <c r="N153" s="14"/>
      <c r="O153" s="14"/>
      <c r="P153" s="14"/>
      <c r="Q153" s="47"/>
      <c r="R153" s="19"/>
      <c r="S153" s="19"/>
      <c r="T153" s="19"/>
      <c r="U153" s="27"/>
      <c r="V153" s="14"/>
      <c r="W153" s="14"/>
      <c r="X153" s="107" t="s">
        <v>5</v>
      </c>
      <c r="Y153" s="27">
        <f t="shared" ref="Y153:Y159" si="106">COUNTIFS(S30_stakeholder_category,"NB",Response_Q176_3,X153)</f>
        <v>0</v>
      </c>
      <c r="Z153" s="41">
        <f t="shared" ref="Z153:Z160" si="107">IFERROR(Y153/Y$160,0)</f>
        <v>0</v>
      </c>
      <c r="AA153" s="14"/>
      <c r="AB153" s="14"/>
      <c r="AC153" s="14"/>
      <c r="AD153" s="65"/>
      <c r="AE153" s="63"/>
      <c r="AF153" s="47"/>
      <c r="AG153" s="19"/>
      <c r="AH153" s="19"/>
      <c r="AI153" s="19"/>
      <c r="AJ153" s="27"/>
      <c r="AK153" s="14"/>
      <c r="AL153" s="14"/>
      <c r="AM153" s="107" t="s">
        <v>5</v>
      </c>
      <c r="AN153" s="27">
        <f t="shared" ref="AN153:AN159" si="108">COUNTIFS(S30_stakeholder_category,"NB",Response_30c_CaseA,AM153)</f>
        <v>1</v>
      </c>
      <c r="AO153" s="41">
        <f>IFERROR(AN153/AN$160,0)</f>
        <v>1</v>
      </c>
      <c r="AP153" s="14"/>
      <c r="AQ153" s="14"/>
      <c r="AR153" s="14"/>
      <c r="AS153" s="65"/>
      <c r="AT153" s="63"/>
      <c r="AU153" s="47"/>
      <c r="AV153" s="14"/>
      <c r="AW153" s="19"/>
      <c r="AX153" s="19"/>
      <c r="AY153" s="27"/>
      <c r="AZ153" s="14"/>
      <c r="BA153" s="14"/>
      <c r="BB153" s="107" t="s">
        <v>5</v>
      </c>
      <c r="BC153" s="27">
        <f t="shared" ref="BC153:BC159" si="109">COUNTIFS(S30_stakeholder_category,"NB",Response_30c_CaseB,BB153)</f>
        <v>1</v>
      </c>
      <c r="BD153" s="41">
        <f>IFERROR(BC153/BC$160,0)</f>
        <v>1</v>
      </c>
      <c r="BE153" s="14"/>
      <c r="BF153" s="14"/>
      <c r="BG153" s="14"/>
      <c r="BH153" s="65"/>
      <c r="BI153" s="63"/>
      <c r="BJ153" s="352"/>
      <c r="BK153" s="19"/>
      <c r="BL153" s="19"/>
      <c r="BM153" s="19"/>
      <c r="BN153" s="27"/>
      <c r="BO153" s="14"/>
      <c r="BP153" s="14"/>
      <c r="BQ153" s="107" t="s">
        <v>5</v>
      </c>
      <c r="BR153" s="27">
        <f t="shared" ref="BR153:BR159" si="110">COUNTIFS(S30_stakeholder_category,"NB",Response_30c_CaseC,BQ153)</f>
        <v>0</v>
      </c>
      <c r="BS153" s="41">
        <f>IFERROR(BR153/BR$160,0)</f>
        <v>0</v>
      </c>
      <c r="BT153" s="14"/>
      <c r="BU153" s="14"/>
      <c r="BV153" s="14"/>
      <c r="BW153" s="65"/>
      <c r="BX153" s="63"/>
      <c r="BY153" s="352"/>
      <c r="BZ153" s="14"/>
      <c r="CA153" s="14"/>
      <c r="CB153" s="21"/>
      <c r="CC153" s="21"/>
      <c r="CD153" s="180"/>
      <c r="CE153" s="181"/>
      <c r="CF153" s="31"/>
      <c r="CG153" s="52"/>
      <c r="CH153" s="52"/>
      <c r="CI153" s="99"/>
      <c r="CJ153" s="14"/>
      <c r="CK153" s="14"/>
      <c r="CL153" s="14"/>
      <c r="CM153" s="14"/>
      <c r="CN153" s="14"/>
      <c r="CO153" s="129"/>
      <c r="CP153" s="14"/>
      <c r="CQ153" s="47"/>
      <c r="CR153" s="14"/>
      <c r="CS153" s="86"/>
      <c r="CT153" s="111"/>
      <c r="CU153" s="86"/>
      <c r="CV153" s="179"/>
      <c r="CW153" s="188"/>
      <c r="CX153" s="179"/>
      <c r="CY153" s="29"/>
      <c r="CZ153" s="109"/>
      <c r="DA153" s="109"/>
      <c r="DB153" s="109"/>
      <c r="DC153" s="109"/>
      <c r="DD153" s="109"/>
      <c r="DE153" s="109"/>
      <c r="DF153" s="109"/>
      <c r="DG153" s="329"/>
      <c r="DH153" s="14"/>
      <c r="DI153" s="47"/>
      <c r="DJ153" s="14"/>
      <c r="DK153" s="62"/>
      <c r="DL153" s="19"/>
      <c r="DM153" s="59"/>
      <c r="DN153" s="14"/>
      <c r="DO153" s="14"/>
      <c r="DP153" s="107" t="s">
        <v>34</v>
      </c>
      <c r="DQ153" s="27">
        <f>COUNTIFS(S30_stakeholder_category,"NB",Response_Q172_1,DP153,Response_Q173_5,"&lt;&gt;0")</f>
        <v>0</v>
      </c>
      <c r="DR153" s="41" t="str">
        <f>IF(DQ158=0,"",DQ153/DQ158)</f>
        <v/>
      </c>
      <c r="DS153" s="14"/>
      <c r="DT153" s="14"/>
      <c r="DU153" s="14"/>
      <c r="DV153" s="14"/>
      <c r="DW153" s="14"/>
      <c r="DX153" s="14"/>
      <c r="DY153" s="14"/>
      <c r="DZ153" s="14"/>
      <c r="EA153" s="14"/>
      <c r="EB153" s="14"/>
      <c r="EC153" s="14"/>
      <c r="ED153" s="14"/>
      <c r="EE153" s="14"/>
      <c r="EF153" s="14"/>
      <c r="EG153" s="14"/>
      <c r="EH153" s="14"/>
      <c r="EI153" s="14"/>
      <c r="EJ153" s="14"/>
      <c r="EK153" s="14"/>
      <c r="EL153" s="14"/>
    </row>
    <row r="154" spans="1:142" x14ac:dyDescent="0.25">
      <c r="A154" s="14"/>
      <c r="B154" s="14"/>
      <c r="C154" s="19"/>
      <c r="D154" s="59"/>
      <c r="E154" s="14"/>
      <c r="F154" s="14"/>
      <c r="G154" s="107" t="s">
        <v>35</v>
      </c>
      <c r="H154" s="27">
        <f>COUNTIFS(S30_stakeholder_category,"NB",Response_Q173_5,G154)</f>
        <v>0</v>
      </c>
      <c r="I154" s="41" t="str">
        <f t="shared" ref="I154:I158" si="111">IFERROR(H154/H$158,"")</f>
        <v/>
      </c>
      <c r="J154" s="14"/>
      <c r="K154" s="14"/>
      <c r="L154" s="14"/>
      <c r="M154" s="14"/>
      <c r="N154" s="14"/>
      <c r="O154" s="14"/>
      <c r="P154" s="14"/>
      <c r="Q154" s="47"/>
      <c r="R154" s="19"/>
      <c r="S154" s="19"/>
      <c r="T154" s="19"/>
      <c r="U154" s="27"/>
      <c r="V154" s="14"/>
      <c r="W154" s="14"/>
      <c r="X154" s="107" t="s">
        <v>4</v>
      </c>
      <c r="Y154" s="27">
        <f t="shared" si="106"/>
        <v>0</v>
      </c>
      <c r="Z154" s="41">
        <f t="shared" si="107"/>
        <v>0</v>
      </c>
      <c r="AA154" s="14"/>
      <c r="AB154" s="14"/>
      <c r="AC154" s="14"/>
      <c r="AD154" s="65"/>
      <c r="AE154" s="63"/>
      <c r="AF154" s="47"/>
      <c r="AG154" s="19"/>
      <c r="AH154" s="19"/>
      <c r="AI154" s="19"/>
      <c r="AJ154" s="27"/>
      <c r="AK154" s="14"/>
      <c r="AL154" s="14"/>
      <c r="AM154" s="107" t="s">
        <v>4</v>
      </c>
      <c r="AN154" s="27">
        <f t="shared" si="108"/>
        <v>0</v>
      </c>
      <c r="AO154" s="41">
        <f t="shared" ref="AO154:AO160" si="112">IFERROR(AN154/AN$160,0)</f>
        <v>0</v>
      </c>
      <c r="AP154" s="14"/>
      <c r="AQ154" s="14"/>
      <c r="AR154" s="14"/>
      <c r="AS154" s="65"/>
      <c r="AT154" s="63"/>
      <c r="AU154" s="47"/>
      <c r="AV154" s="14"/>
      <c r="AW154" s="19"/>
      <c r="AX154" s="19"/>
      <c r="AY154" s="27"/>
      <c r="AZ154" s="14"/>
      <c r="BA154" s="14"/>
      <c r="BB154" s="107" t="s">
        <v>4</v>
      </c>
      <c r="BC154" s="27">
        <f t="shared" si="109"/>
        <v>0</v>
      </c>
      <c r="BD154" s="41">
        <f t="shared" ref="BD154:BD160" si="113">IFERROR(BC154/BC$160,0)</f>
        <v>0</v>
      </c>
      <c r="BE154" s="14"/>
      <c r="BF154" s="14"/>
      <c r="BG154" s="14"/>
      <c r="BH154" s="65"/>
      <c r="BI154" s="63"/>
      <c r="BJ154" s="352"/>
      <c r="BK154" s="19"/>
      <c r="BL154" s="19"/>
      <c r="BM154" s="19"/>
      <c r="BN154" s="27"/>
      <c r="BO154" s="14"/>
      <c r="BP154" s="14"/>
      <c r="BQ154" s="107" t="s">
        <v>4</v>
      </c>
      <c r="BR154" s="27">
        <f t="shared" si="110"/>
        <v>1</v>
      </c>
      <c r="BS154" s="41">
        <f t="shared" ref="BS154:BS160" si="114">IFERROR(BR154/BR$160,0)</f>
        <v>1</v>
      </c>
      <c r="BT154" s="14"/>
      <c r="BU154" s="14"/>
      <c r="BV154" s="14"/>
      <c r="BW154" s="65"/>
      <c r="BX154" s="63"/>
      <c r="BY154" s="352"/>
      <c r="BZ154" s="14"/>
      <c r="CA154" s="14"/>
      <c r="CB154" s="21"/>
      <c r="CC154" s="21"/>
      <c r="CD154" s="180"/>
      <c r="CE154" s="181"/>
      <c r="CF154" s="31"/>
      <c r="CG154" s="52"/>
      <c r="CH154" s="52"/>
      <c r="CI154" s="99"/>
      <c r="CJ154" s="14"/>
      <c r="CK154" s="14"/>
      <c r="CL154" s="14"/>
      <c r="CM154" s="14"/>
      <c r="CN154" s="14"/>
      <c r="CO154" s="129"/>
      <c r="CP154" s="14"/>
      <c r="CQ154" s="47"/>
      <c r="CR154" s="14"/>
      <c r="CS154" s="14"/>
      <c r="CT154" s="14"/>
      <c r="CU154" s="14"/>
      <c r="CV154" s="180"/>
      <c r="CW154" s="190"/>
      <c r="CX154" s="191"/>
      <c r="CY154" s="52"/>
      <c r="CZ154" s="52"/>
      <c r="DA154" s="54"/>
      <c r="DB154" s="14"/>
      <c r="DC154" s="14"/>
      <c r="DD154" s="14"/>
      <c r="DE154" s="14"/>
      <c r="DF154" s="14"/>
      <c r="DG154" s="129"/>
      <c r="DH154" s="14"/>
      <c r="DI154" s="47"/>
      <c r="DJ154" s="14"/>
      <c r="DK154" s="62"/>
      <c r="DL154" s="19"/>
      <c r="DM154" s="59"/>
      <c r="DN154" s="14"/>
      <c r="DO154" s="14"/>
      <c r="DP154" s="107" t="s">
        <v>35</v>
      </c>
      <c r="DQ154" s="27">
        <f>COUNTIFS(S30_stakeholder_category,"NB",Response_Q172_1,DP154,Response_Q173_5,"&lt;&gt;0")</f>
        <v>0</v>
      </c>
      <c r="DR154" s="41" t="str">
        <f>IF(DQ158=0,"",DQ154/DQ158)</f>
        <v/>
      </c>
      <c r="DS154" s="14"/>
      <c r="DT154" s="14"/>
      <c r="DU154" s="14"/>
      <c r="DV154" s="14"/>
      <c r="DW154" s="14"/>
      <c r="DX154" s="14"/>
      <c r="DY154" s="14"/>
      <c r="DZ154" s="14"/>
      <c r="EA154" s="14"/>
      <c r="EB154" s="14"/>
      <c r="EC154" s="14"/>
      <c r="ED154" s="14"/>
      <c r="EE154" s="14"/>
      <c r="EF154" s="14"/>
      <c r="EG154" s="14"/>
      <c r="EH154" s="14"/>
      <c r="EI154" s="14"/>
      <c r="EJ154" s="14"/>
      <c r="EK154" s="14"/>
      <c r="EL154" s="14"/>
    </row>
    <row r="155" spans="1:142" x14ac:dyDescent="0.25">
      <c r="A155" s="14"/>
      <c r="B155" s="14"/>
      <c r="C155" s="19"/>
      <c r="D155" s="59"/>
      <c r="E155" s="14"/>
      <c r="F155" s="14"/>
      <c r="G155" s="107" t="s">
        <v>36</v>
      </c>
      <c r="H155" s="27">
        <f>COUNTIFS(S30_stakeholder_category,"NB",Response_Q173_5,G155)</f>
        <v>0</v>
      </c>
      <c r="I155" s="41" t="str">
        <f t="shared" si="111"/>
        <v/>
      </c>
      <c r="J155" s="14"/>
      <c r="K155" s="14"/>
      <c r="L155" s="14"/>
      <c r="M155" s="14"/>
      <c r="N155" s="14"/>
      <c r="O155" s="14"/>
      <c r="P155" s="14"/>
      <c r="Q155" s="47"/>
      <c r="R155" s="19"/>
      <c r="S155" s="19"/>
      <c r="T155" s="19"/>
      <c r="U155" s="27"/>
      <c r="V155" s="14"/>
      <c r="W155" s="14"/>
      <c r="X155" s="107" t="s">
        <v>33</v>
      </c>
      <c r="Y155" s="27">
        <f t="shared" si="106"/>
        <v>0</v>
      </c>
      <c r="Z155" s="41">
        <f t="shared" si="107"/>
        <v>0</v>
      </c>
      <c r="AA155" s="14"/>
      <c r="AB155" s="14"/>
      <c r="AC155" s="14"/>
      <c r="AD155" s="65"/>
      <c r="AE155" s="63"/>
      <c r="AF155" s="47"/>
      <c r="AG155" s="19"/>
      <c r="AH155" s="19"/>
      <c r="AI155" s="19"/>
      <c r="AJ155" s="27"/>
      <c r="AK155" s="14"/>
      <c r="AL155" s="14"/>
      <c r="AM155" s="107" t="s">
        <v>33</v>
      </c>
      <c r="AN155" s="27">
        <f t="shared" si="108"/>
        <v>0</v>
      </c>
      <c r="AO155" s="41">
        <f t="shared" si="112"/>
        <v>0</v>
      </c>
      <c r="AP155" s="14"/>
      <c r="AQ155" s="14"/>
      <c r="AR155" s="14"/>
      <c r="AS155" s="65"/>
      <c r="AT155" s="63"/>
      <c r="AU155" s="47"/>
      <c r="AV155" s="14"/>
      <c r="AW155" s="19"/>
      <c r="AX155" s="19"/>
      <c r="AY155" s="27"/>
      <c r="AZ155" s="14"/>
      <c r="BA155" s="14"/>
      <c r="BB155" s="107" t="s">
        <v>33</v>
      </c>
      <c r="BC155" s="27">
        <f t="shared" si="109"/>
        <v>0</v>
      </c>
      <c r="BD155" s="41">
        <f t="shared" si="113"/>
        <v>0</v>
      </c>
      <c r="BE155" s="14"/>
      <c r="BF155" s="14"/>
      <c r="BG155" s="14"/>
      <c r="BH155" s="65"/>
      <c r="BI155" s="63"/>
      <c r="BJ155" s="352"/>
      <c r="BK155" s="19"/>
      <c r="BL155" s="19"/>
      <c r="BM155" s="19"/>
      <c r="BN155" s="27"/>
      <c r="BO155" s="14"/>
      <c r="BP155" s="14"/>
      <c r="BQ155" s="107" t="s">
        <v>33</v>
      </c>
      <c r="BR155" s="27">
        <f t="shared" si="110"/>
        <v>0</v>
      </c>
      <c r="BS155" s="41">
        <f t="shared" si="114"/>
        <v>0</v>
      </c>
      <c r="BT155" s="14"/>
      <c r="BU155" s="14"/>
      <c r="BV155" s="14"/>
      <c r="BW155" s="65"/>
      <c r="BX155" s="63"/>
      <c r="BY155" s="352"/>
      <c r="BZ155" s="14"/>
      <c r="CA155" s="14"/>
      <c r="CB155" s="21"/>
      <c r="CC155" s="21"/>
      <c r="CD155" s="180"/>
      <c r="CE155" s="181"/>
      <c r="CF155" s="31"/>
      <c r="CG155" s="52"/>
      <c r="CH155" s="52"/>
      <c r="CI155" s="99"/>
      <c r="CJ155" s="14"/>
      <c r="CK155" s="14"/>
      <c r="CL155" s="14"/>
      <c r="CM155" s="14"/>
      <c r="CN155" s="14"/>
      <c r="CO155" s="129"/>
      <c r="CP155" s="14"/>
      <c r="CQ155" s="47"/>
      <c r="CR155" s="14"/>
      <c r="CS155" s="14"/>
      <c r="CT155" s="14"/>
      <c r="CU155" s="14"/>
      <c r="CV155" s="180"/>
      <c r="CW155" s="190"/>
      <c r="CX155" s="191"/>
      <c r="CY155" s="52"/>
      <c r="CZ155" s="52"/>
      <c r="DA155" s="54"/>
      <c r="DB155" s="14"/>
      <c r="DC155" s="14"/>
      <c r="DD155" s="14"/>
      <c r="DE155" s="14"/>
      <c r="DF155" s="14"/>
      <c r="DG155" s="129"/>
      <c r="DH155" s="14"/>
      <c r="DI155" s="47"/>
      <c r="DJ155" s="14"/>
      <c r="DK155" s="62"/>
      <c r="DL155" s="19"/>
      <c r="DM155" s="59"/>
      <c r="DN155" s="14"/>
      <c r="DO155" s="14"/>
      <c r="DP155" s="107" t="s">
        <v>36</v>
      </c>
      <c r="DQ155" s="27">
        <f>COUNTIFS(S30_stakeholder_category,"NB",Response_Q172_1,DP155,Response_Q173_5,"&lt;&gt;0")</f>
        <v>0</v>
      </c>
      <c r="DR155" s="41" t="str">
        <f>IF(DQ158=0,"",DQ155/DQ158)</f>
        <v/>
      </c>
      <c r="DS155" s="14"/>
      <c r="DT155" s="14"/>
      <c r="DU155" s="14"/>
      <c r="DV155" s="14"/>
      <c r="DW155" s="14"/>
      <c r="DX155" s="14"/>
      <c r="DY155" s="14"/>
      <c r="DZ155" s="14"/>
      <c r="EA155" s="14"/>
      <c r="EB155" s="14"/>
      <c r="EC155" s="14"/>
      <c r="ED155" s="14"/>
      <c r="EE155" s="14"/>
      <c r="EF155" s="14"/>
      <c r="EG155" s="14"/>
      <c r="EH155" s="14"/>
      <c r="EI155" s="14"/>
      <c r="EJ155" s="14"/>
      <c r="EK155" s="14"/>
      <c r="EL155" s="14"/>
    </row>
    <row r="156" spans="1:142" x14ac:dyDescent="0.25">
      <c r="A156" s="14"/>
      <c r="B156" s="62"/>
      <c r="C156" s="19"/>
      <c r="D156" s="59"/>
      <c r="E156" s="14"/>
      <c r="F156" s="14"/>
      <c r="G156" s="107" t="s">
        <v>38</v>
      </c>
      <c r="H156" s="27">
        <f>COUNTIFS(S30_stakeholder_category,"NB",Response_Q173_5,G156)</f>
        <v>0</v>
      </c>
      <c r="I156" s="41" t="str">
        <f t="shared" si="111"/>
        <v/>
      </c>
      <c r="J156" s="14"/>
      <c r="K156" s="14"/>
      <c r="L156" s="14"/>
      <c r="M156" s="14"/>
      <c r="N156" s="14"/>
      <c r="O156" s="14"/>
      <c r="P156" s="14"/>
      <c r="Q156" s="47"/>
      <c r="R156" s="19"/>
      <c r="S156" s="19"/>
      <c r="T156" s="19"/>
      <c r="U156" s="27"/>
      <c r="V156" s="14"/>
      <c r="W156" s="14"/>
      <c r="X156" s="107" t="s">
        <v>29</v>
      </c>
      <c r="Y156" s="27">
        <f t="shared" si="106"/>
        <v>0</v>
      </c>
      <c r="Z156" s="41">
        <f t="shared" si="107"/>
        <v>0</v>
      </c>
      <c r="AA156" s="14"/>
      <c r="AB156" s="14"/>
      <c r="AC156" s="14"/>
      <c r="AD156" s="65"/>
      <c r="AE156" s="63"/>
      <c r="AF156" s="47"/>
      <c r="AG156" s="19"/>
      <c r="AH156" s="19"/>
      <c r="AI156" s="19"/>
      <c r="AJ156" s="27"/>
      <c r="AK156" s="14"/>
      <c r="AL156" s="14"/>
      <c r="AM156" s="107" t="s">
        <v>29</v>
      </c>
      <c r="AN156" s="27">
        <f t="shared" si="108"/>
        <v>0</v>
      </c>
      <c r="AO156" s="41">
        <f t="shared" si="112"/>
        <v>0</v>
      </c>
      <c r="AP156" s="14"/>
      <c r="AQ156" s="14"/>
      <c r="AR156" s="14"/>
      <c r="AS156" s="65"/>
      <c r="AT156" s="63"/>
      <c r="AU156" s="47"/>
      <c r="AV156" s="14"/>
      <c r="AW156" s="19"/>
      <c r="AX156" s="19"/>
      <c r="AY156" s="27"/>
      <c r="AZ156" s="14"/>
      <c r="BA156" s="14"/>
      <c r="BB156" s="107" t="s">
        <v>29</v>
      </c>
      <c r="BC156" s="27">
        <f t="shared" si="109"/>
        <v>0</v>
      </c>
      <c r="BD156" s="41">
        <f t="shared" si="113"/>
        <v>0</v>
      </c>
      <c r="BE156" s="14"/>
      <c r="BF156" s="14"/>
      <c r="BG156" s="14"/>
      <c r="BH156" s="65"/>
      <c r="BI156" s="63"/>
      <c r="BJ156" s="352"/>
      <c r="BK156" s="19"/>
      <c r="BL156" s="19"/>
      <c r="BM156" s="19"/>
      <c r="BN156" s="27"/>
      <c r="BO156" s="14"/>
      <c r="BP156" s="14"/>
      <c r="BQ156" s="107" t="s">
        <v>29</v>
      </c>
      <c r="BR156" s="27">
        <f t="shared" si="110"/>
        <v>0</v>
      </c>
      <c r="BS156" s="41">
        <f t="shared" si="114"/>
        <v>0</v>
      </c>
      <c r="BT156" s="14"/>
      <c r="BU156" s="14"/>
      <c r="BV156" s="14"/>
      <c r="BW156" s="65"/>
      <c r="BX156" s="63"/>
      <c r="BY156" s="352"/>
      <c r="BZ156" s="14"/>
      <c r="CA156" s="14"/>
      <c r="CB156" s="21"/>
      <c r="CC156" s="21"/>
      <c r="CD156" s="180"/>
      <c r="CE156" s="181"/>
      <c r="CF156" s="31"/>
      <c r="CG156" s="52"/>
      <c r="CH156" s="52"/>
      <c r="CI156" s="99"/>
      <c r="CJ156" s="14"/>
      <c r="CK156" s="14"/>
      <c r="CL156" s="14"/>
      <c r="CM156" s="14"/>
      <c r="CN156" s="14"/>
      <c r="CO156" s="129"/>
      <c r="CP156" s="14"/>
      <c r="CQ156" s="47"/>
      <c r="CR156" s="14"/>
      <c r="CS156" s="14"/>
      <c r="CT156" s="14"/>
      <c r="CU156" s="14"/>
      <c r="CV156" s="180"/>
      <c r="CW156" s="190"/>
      <c r="CX156" s="191"/>
      <c r="CY156" s="52"/>
      <c r="CZ156" s="52"/>
      <c r="DA156" s="54"/>
      <c r="DB156" s="14"/>
      <c r="DC156" s="14"/>
      <c r="DD156" s="14"/>
      <c r="DE156" s="14"/>
      <c r="DF156" s="14"/>
      <c r="DG156" s="129"/>
      <c r="DH156" s="14"/>
      <c r="DI156" s="47"/>
      <c r="DJ156" s="14"/>
      <c r="DK156" s="62"/>
      <c r="DL156" s="19"/>
      <c r="DM156" s="59"/>
      <c r="DN156" s="14"/>
      <c r="DO156" s="14"/>
      <c r="DP156" s="107" t="s">
        <v>38</v>
      </c>
      <c r="DQ156" s="27">
        <f>COUNTIFS(S30_stakeholder_category,"NB",Response_Q172_1,DP156,Response_Q173_5,"&lt;&gt;0")</f>
        <v>0</v>
      </c>
      <c r="DR156" s="41" t="str">
        <f>IF(DQ158=0,"",DQ156/DQ158)</f>
        <v/>
      </c>
      <c r="DS156" s="14"/>
      <c r="DT156" s="14"/>
      <c r="DU156" s="14"/>
      <c r="DV156" s="14"/>
      <c r="DW156" s="14"/>
      <c r="DX156" s="14"/>
      <c r="DY156" s="14"/>
      <c r="DZ156" s="14"/>
      <c r="EA156" s="14"/>
      <c r="EB156" s="14"/>
      <c r="EC156" s="14"/>
      <c r="ED156" s="14"/>
      <c r="EE156" s="14"/>
      <c r="EF156" s="14"/>
      <c r="EG156" s="14"/>
      <c r="EH156" s="14"/>
      <c r="EI156" s="14"/>
      <c r="EJ156" s="14"/>
      <c r="EK156" s="14"/>
      <c r="EL156" s="14"/>
    </row>
    <row r="157" spans="1:142" ht="14.4" x14ac:dyDescent="0.25">
      <c r="A157" s="14"/>
      <c r="B157" s="62"/>
      <c r="C157" s="19"/>
      <c r="D157" s="59"/>
      <c r="E157" s="14"/>
      <c r="F157" s="14"/>
      <c r="G157" s="107" t="s">
        <v>39</v>
      </c>
      <c r="H157" s="27">
        <f>COUNTIFS(S30_stakeholder_category,"NB",Response_Q173_5,G157)</f>
        <v>0</v>
      </c>
      <c r="I157" s="41" t="str">
        <f t="shared" si="111"/>
        <v/>
      </c>
      <c r="J157" s="14"/>
      <c r="K157" s="14"/>
      <c r="L157" s="14"/>
      <c r="M157" s="14"/>
      <c r="N157" s="14"/>
      <c r="O157" s="14"/>
      <c r="P157" s="14"/>
      <c r="Q157" s="47"/>
      <c r="R157" s="19"/>
      <c r="S157" s="60"/>
      <c r="T157" s="19"/>
      <c r="U157" s="59"/>
      <c r="V157" s="14"/>
      <c r="W157" s="14"/>
      <c r="X157" s="107" t="s">
        <v>3</v>
      </c>
      <c r="Y157" s="27">
        <f t="shared" si="106"/>
        <v>0</v>
      </c>
      <c r="Z157" s="41">
        <f t="shared" si="107"/>
        <v>0</v>
      </c>
      <c r="AA157" s="14"/>
      <c r="AB157" s="14"/>
      <c r="AC157" s="14"/>
      <c r="AD157" s="65"/>
      <c r="AE157" s="63"/>
      <c r="AF157" s="47"/>
      <c r="AG157" s="19"/>
      <c r="AH157" s="60"/>
      <c r="AI157" s="19"/>
      <c r="AJ157" s="59"/>
      <c r="AK157" s="14"/>
      <c r="AL157" s="14"/>
      <c r="AM157" s="107" t="s">
        <v>3</v>
      </c>
      <c r="AN157" s="27">
        <f t="shared" si="108"/>
        <v>0</v>
      </c>
      <c r="AO157" s="41">
        <f t="shared" si="112"/>
        <v>0</v>
      </c>
      <c r="AP157" s="14"/>
      <c r="AQ157" s="14"/>
      <c r="AR157" s="14"/>
      <c r="AS157" s="65"/>
      <c r="AT157" s="63"/>
      <c r="AU157" s="47"/>
      <c r="AV157" s="14"/>
      <c r="AW157" s="60"/>
      <c r="AX157" s="19"/>
      <c r="AY157" s="59"/>
      <c r="AZ157" s="14"/>
      <c r="BA157" s="14"/>
      <c r="BB157" s="107" t="s">
        <v>3</v>
      </c>
      <c r="BC157" s="27">
        <f t="shared" si="109"/>
        <v>0</v>
      </c>
      <c r="BD157" s="41">
        <f t="shared" si="113"/>
        <v>0</v>
      </c>
      <c r="BE157" s="14"/>
      <c r="BF157" s="14"/>
      <c r="BG157" s="14"/>
      <c r="BH157" s="65"/>
      <c r="BI157" s="63"/>
      <c r="BJ157" s="352"/>
      <c r="BK157" s="19"/>
      <c r="BL157" s="60"/>
      <c r="BM157" s="19"/>
      <c r="BN157" s="59"/>
      <c r="BO157" s="14"/>
      <c r="BP157" s="14"/>
      <c r="BQ157" s="107" t="s">
        <v>3</v>
      </c>
      <c r="BR157" s="27">
        <f t="shared" si="110"/>
        <v>0</v>
      </c>
      <c r="BS157" s="41">
        <f t="shared" si="114"/>
        <v>0</v>
      </c>
      <c r="BT157" s="14"/>
      <c r="BU157" s="14"/>
      <c r="BV157" s="14"/>
      <c r="BW157" s="65"/>
      <c r="BX157" s="63"/>
      <c r="BY157" s="352"/>
      <c r="BZ157" s="14"/>
      <c r="CA157" s="14"/>
      <c r="CB157" s="21"/>
      <c r="CC157" s="21"/>
      <c r="CD157" s="180"/>
      <c r="CE157" s="181"/>
      <c r="CF157" s="31"/>
      <c r="CG157" s="52"/>
      <c r="CH157" s="52"/>
      <c r="CI157" s="99"/>
      <c r="CJ157" s="14"/>
      <c r="CK157" s="14"/>
      <c r="CL157" s="14"/>
      <c r="CM157" s="14"/>
      <c r="CN157" s="14"/>
      <c r="CO157" s="129"/>
      <c r="CP157" s="14"/>
      <c r="CQ157" s="47"/>
      <c r="CR157" s="14"/>
      <c r="CS157" s="14"/>
      <c r="CT157" s="14"/>
      <c r="CU157" s="14"/>
      <c r="CV157" s="180"/>
      <c r="CW157" s="190"/>
      <c r="CX157" s="191"/>
      <c r="CY157" s="52"/>
      <c r="CZ157" s="52"/>
      <c r="DA157" s="54"/>
      <c r="DB157" s="14"/>
      <c r="DC157" s="14"/>
      <c r="DD157" s="14"/>
      <c r="DE157" s="14"/>
      <c r="DF157" s="14"/>
      <c r="DG157" s="129"/>
      <c r="DH157" s="14"/>
      <c r="DI157" s="47"/>
      <c r="DJ157" s="14"/>
      <c r="DK157" s="62"/>
      <c r="DL157" s="19"/>
      <c r="DM157" s="59"/>
      <c r="DN157" s="14"/>
      <c r="DO157" s="14"/>
      <c r="DP157" s="107" t="s">
        <v>39</v>
      </c>
      <c r="DQ157" s="27">
        <f>COUNTIFS(S30_stakeholder_category,"NB",Response_Q172_1,DP157,Response_Q173_5,"&lt;&gt;0")</f>
        <v>0</v>
      </c>
      <c r="DR157" s="41" t="str">
        <f>IF(DQ158=0,"",DQ157/DQ158)</f>
        <v/>
      </c>
      <c r="DS157" s="14"/>
      <c r="DT157" s="14"/>
      <c r="DU157" s="14"/>
      <c r="DV157" s="14"/>
      <c r="DW157" s="14"/>
      <c r="DX157" s="14"/>
      <c r="DY157" s="14"/>
      <c r="DZ157" s="14"/>
      <c r="EA157" s="14"/>
      <c r="EB157" s="14"/>
      <c r="EC157" s="14"/>
      <c r="ED157" s="14"/>
      <c r="EE157" s="14"/>
      <c r="EF157" s="14"/>
      <c r="EG157" s="14"/>
      <c r="EH157" s="14"/>
      <c r="EI157" s="14"/>
      <c r="EJ157" s="14"/>
      <c r="EK157" s="14"/>
      <c r="EL157" s="14"/>
    </row>
    <row r="158" spans="1:142" ht="14.4" x14ac:dyDescent="0.25">
      <c r="A158" s="14"/>
      <c r="B158" s="62"/>
      <c r="C158" s="19"/>
      <c r="D158" s="59"/>
      <c r="E158" s="14"/>
      <c r="F158" s="14"/>
      <c r="G158" s="86" t="s">
        <v>145</v>
      </c>
      <c r="H158" s="111">
        <f>COUNTIFS(S30_stakeholder_category,"NB",Response_Q173_5,"&lt;&gt;0")</f>
        <v>0</v>
      </c>
      <c r="I158" s="119" t="str">
        <f t="shared" si="111"/>
        <v/>
      </c>
      <c r="J158" s="14"/>
      <c r="K158" s="14"/>
      <c r="L158" s="14"/>
      <c r="M158" s="14"/>
      <c r="N158" s="14"/>
      <c r="O158" s="14"/>
      <c r="P158" s="14"/>
      <c r="Q158" s="47"/>
      <c r="R158" s="19"/>
      <c r="S158" s="61"/>
      <c r="T158" s="19"/>
      <c r="U158" s="59"/>
      <c r="V158" s="14"/>
      <c r="W158" s="14"/>
      <c r="X158" s="107" t="s">
        <v>54</v>
      </c>
      <c r="Y158" s="27">
        <f t="shared" si="106"/>
        <v>0</v>
      </c>
      <c r="Z158" s="41">
        <f t="shared" si="107"/>
        <v>0</v>
      </c>
      <c r="AA158" s="14"/>
      <c r="AB158" s="14"/>
      <c r="AC158" s="14"/>
      <c r="AD158" s="65"/>
      <c r="AE158" s="63"/>
      <c r="AF158" s="47"/>
      <c r="AG158" s="19"/>
      <c r="AH158" s="61"/>
      <c r="AI158" s="19"/>
      <c r="AJ158" s="59"/>
      <c r="AK158" s="14"/>
      <c r="AL158" s="14"/>
      <c r="AM158" s="107" t="s">
        <v>54</v>
      </c>
      <c r="AN158" s="27">
        <f t="shared" si="108"/>
        <v>0</v>
      </c>
      <c r="AO158" s="41">
        <f t="shared" si="112"/>
        <v>0</v>
      </c>
      <c r="AP158" s="14"/>
      <c r="AQ158" s="14"/>
      <c r="AR158" s="14"/>
      <c r="AS158" s="65"/>
      <c r="AT158" s="63"/>
      <c r="AU158" s="47"/>
      <c r="AV158" s="14"/>
      <c r="AW158" s="61"/>
      <c r="AX158" s="19"/>
      <c r="AY158" s="59"/>
      <c r="AZ158" s="14"/>
      <c r="BA158" s="14"/>
      <c r="BB158" s="107" t="s">
        <v>54</v>
      </c>
      <c r="BC158" s="27">
        <f t="shared" si="109"/>
        <v>0</v>
      </c>
      <c r="BD158" s="41">
        <f t="shared" si="113"/>
        <v>0</v>
      </c>
      <c r="BE158" s="14"/>
      <c r="BF158" s="14"/>
      <c r="BG158" s="14"/>
      <c r="BH158" s="65"/>
      <c r="BI158" s="63"/>
      <c r="BJ158" s="352"/>
      <c r="BK158" s="19"/>
      <c r="BL158" s="61"/>
      <c r="BM158" s="19"/>
      <c r="BN158" s="59"/>
      <c r="BO158" s="14"/>
      <c r="BP158" s="14"/>
      <c r="BQ158" s="107" t="s">
        <v>54</v>
      </c>
      <c r="BR158" s="27">
        <f t="shared" si="110"/>
        <v>0</v>
      </c>
      <c r="BS158" s="41">
        <f t="shared" si="114"/>
        <v>0</v>
      </c>
      <c r="BT158" s="14"/>
      <c r="BU158" s="14"/>
      <c r="BV158" s="14"/>
      <c r="BW158" s="65"/>
      <c r="BX158" s="63"/>
      <c r="BY158" s="352"/>
      <c r="BZ158" s="14"/>
      <c r="CA158" s="14"/>
      <c r="CB158" s="21"/>
      <c r="CC158" s="21"/>
      <c r="CD158" s="180"/>
      <c r="CE158" s="181"/>
      <c r="CF158" s="31"/>
      <c r="CG158" s="52"/>
      <c r="CH158" s="52"/>
      <c r="CI158" s="99"/>
      <c r="CJ158" s="14"/>
      <c r="CK158" s="14"/>
      <c r="CL158" s="14"/>
      <c r="CM158" s="14"/>
      <c r="CN158" s="14"/>
      <c r="CO158" s="129"/>
      <c r="CP158" s="14"/>
      <c r="CQ158" s="47"/>
      <c r="CR158" s="14"/>
      <c r="CS158" s="14"/>
      <c r="CT158" s="14"/>
      <c r="CU158" s="14"/>
      <c r="CV158" s="180"/>
      <c r="CW158" s="190"/>
      <c r="CX158" s="191"/>
      <c r="CY158" s="52"/>
      <c r="CZ158" s="52"/>
      <c r="DA158" s="54"/>
      <c r="DB158" s="14"/>
      <c r="DC158" s="14"/>
      <c r="DD158" s="14"/>
      <c r="DE158" s="14"/>
      <c r="DF158" s="14"/>
      <c r="DG158" s="129"/>
      <c r="DH158" s="14"/>
      <c r="DI158" s="47"/>
      <c r="DJ158" s="14"/>
      <c r="DK158" s="62"/>
      <c r="DL158" s="19"/>
      <c r="DM158" s="59"/>
      <c r="DN158" s="14"/>
      <c r="DO158" s="14"/>
      <c r="DP158" s="86" t="s">
        <v>145</v>
      </c>
      <c r="DQ158" s="111">
        <f>COUNTIFS(S30_stakeholder_category,"NB",Response_Q172_1,"&lt;&gt;0",Response_Q173_5,"&lt;&gt;0")</f>
        <v>0</v>
      </c>
      <c r="DR158" s="119" t="str">
        <f>IF(DQ158=0,"",DQ158/DQ158)</f>
        <v/>
      </c>
      <c r="DS158" s="14"/>
      <c r="DT158" s="14"/>
      <c r="DU158" s="14"/>
      <c r="DV158" s="14"/>
      <c r="DW158" s="14"/>
      <c r="DX158" s="14"/>
      <c r="DY158" s="14"/>
      <c r="DZ158" s="14"/>
      <c r="EA158" s="14"/>
      <c r="EB158" s="14"/>
      <c r="EC158" s="14"/>
      <c r="ED158" s="14"/>
      <c r="EE158" s="14"/>
      <c r="EF158" s="14"/>
      <c r="EG158" s="14"/>
      <c r="EH158" s="14"/>
      <c r="EI158" s="14"/>
      <c r="EJ158" s="14"/>
      <c r="EK158" s="14"/>
      <c r="EL158" s="14"/>
    </row>
    <row r="159" spans="1:142" x14ac:dyDescent="0.25">
      <c r="A159" s="14"/>
      <c r="B159" s="62"/>
      <c r="C159" s="19"/>
      <c r="D159" s="59"/>
      <c r="E159" s="14"/>
      <c r="F159" s="14"/>
      <c r="G159" s="14"/>
      <c r="H159" s="21"/>
      <c r="I159" s="21"/>
      <c r="J159" s="14"/>
      <c r="K159" s="14"/>
      <c r="L159" s="14"/>
      <c r="M159" s="14"/>
      <c r="N159" s="14"/>
      <c r="O159" s="14"/>
      <c r="P159" s="14"/>
      <c r="Q159" s="47"/>
      <c r="R159" s="19"/>
      <c r="S159" s="62"/>
      <c r="T159" s="19"/>
      <c r="U159" s="59"/>
      <c r="V159" s="14"/>
      <c r="W159" s="14"/>
      <c r="X159" s="107" t="s">
        <v>39</v>
      </c>
      <c r="Y159" s="27">
        <f t="shared" si="106"/>
        <v>0</v>
      </c>
      <c r="Z159" s="41">
        <f t="shared" si="107"/>
        <v>0</v>
      </c>
      <c r="AA159" s="14"/>
      <c r="AB159" s="14"/>
      <c r="AC159" s="14"/>
      <c r="AD159" s="65"/>
      <c r="AE159" s="63"/>
      <c r="AF159" s="47"/>
      <c r="AG159" s="19"/>
      <c r="AH159" s="62"/>
      <c r="AI159" s="19"/>
      <c r="AJ159" s="59"/>
      <c r="AK159" s="14"/>
      <c r="AL159" s="14"/>
      <c r="AM159" s="107" t="s">
        <v>39</v>
      </c>
      <c r="AN159" s="27">
        <f t="shared" si="108"/>
        <v>0</v>
      </c>
      <c r="AO159" s="41">
        <f t="shared" si="112"/>
        <v>0</v>
      </c>
      <c r="AP159" s="14"/>
      <c r="AQ159" s="14"/>
      <c r="AR159" s="14"/>
      <c r="AS159" s="65"/>
      <c r="AT159" s="63"/>
      <c r="AU159" s="47"/>
      <c r="AV159" s="14"/>
      <c r="AW159" s="62"/>
      <c r="AX159" s="19"/>
      <c r="AY159" s="59"/>
      <c r="AZ159" s="14"/>
      <c r="BA159" s="14"/>
      <c r="BB159" s="107" t="s">
        <v>39</v>
      </c>
      <c r="BC159" s="27">
        <f t="shared" si="109"/>
        <v>0</v>
      </c>
      <c r="BD159" s="41">
        <f t="shared" si="113"/>
        <v>0</v>
      </c>
      <c r="BE159" s="14"/>
      <c r="BF159" s="14"/>
      <c r="BG159" s="14"/>
      <c r="BH159" s="65"/>
      <c r="BI159" s="63"/>
      <c r="BJ159" s="352"/>
      <c r="BK159" s="19"/>
      <c r="BL159" s="62"/>
      <c r="BM159" s="19"/>
      <c r="BN159" s="59"/>
      <c r="BO159" s="14"/>
      <c r="BP159" s="14"/>
      <c r="BQ159" s="107" t="s">
        <v>39</v>
      </c>
      <c r="BR159" s="27">
        <f t="shared" si="110"/>
        <v>0</v>
      </c>
      <c r="BS159" s="41">
        <f t="shared" si="114"/>
        <v>0</v>
      </c>
      <c r="BT159" s="14"/>
      <c r="BU159" s="14"/>
      <c r="BV159" s="14"/>
      <c r="BW159" s="65"/>
      <c r="BX159" s="63"/>
      <c r="BY159" s="352"/>
      <c r="BZ159" s="14"/>
      <c r="CA159" s="14"/>
      <c r="CB159" s="21"/>
      <c r="CC159" s="21"/>
      <c r="CD159" s="180"/>
      <c r="CE159" s="181"/>
      <c r="CF159" s="31"/>
      <c r="CG159" s="52"/>
      <c r="CH159" s="52"/>
      <c r="CI159" s="99"/>
      <c r="CJ159" s="14"/>
      <c r="CK159" s="14"/>
      <c r="CL159" s="14"/>
      <c r="CM159" s="14"/>
      <c r="CN159" s="14"/>
      <c r="CO159" s="129"/>
      <c r="CP159" s="14"/>
      <c r="CQ159" s="47"/>
      <c r="CR159" s="14"/>
      <c r="CS159" s="14"/>
      <c r="CT159" s="14"/>
      <c r="CU159" s="14"/>
      <c r="CV159" s="180"/>
      <c r="CW159" s="190"/>
      <c r="CX159" s="191"/>
      <c r="CY159" s="52"/>
      <c r="CZ159" s="52"/>
      <c r="DA159" s="54"/>
      <c r="DB159" s="14"/>
      <c r="DC159" s="14"/>
      <c r="DD159" s="14"/>
      <c r="DE159" s="14"/>
      <c r="DF159" s="14"/>
      <c r="DG159" s="129"/>
      <c r="DH159" s="14"/>
      <c r="DI159" s="47"/>
      <c r="DJ159" s="14"/>
      <c r="DK159" s="62"/>
      <c r="DL159" s="19"/>
      <c r="DM159" s="59"/>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row>
    <row r="160" spans="1:142" x14ac:dyDescent="0.25">
      <c r="A160" s="14"/>
      <c r="B160" s="62"/>
      <c r="C160" s="19"/>
      <c r="D160" s="59"/>
      <c r="E160" s="14"/>
      <c r="F160" s="14"/>
      <c r="G160" s="14"/>
      <c r="H160" s="21"/>
      <c r="I160" s="21"/>
      <c r="J160" s="14"/>
      <c r="K160" s="14"/>
      <c r="L160" s="14"/>
      <c r="M160" s="14"/>
      <c r="N160" s="14"/>
      <c r="O160" s="14"/>
      <c r="P160" s="14"/>
      <c r="Q160" s="47"/>
      <c r="R160" s="19"/>
      <c r="S160" s="62"/>
      <c r="T160" s="19"/>
      <c r="U160" s="59"/>
      <c r="V160" s="14"/>
      <c r="W160" s="14"/>
      <c r="X160" s="86" t="s">
        <v>145</v>
      </c>
      <c r="Y160" s="111">
        <f>COUNTIFS(S30_stakeholder_category,"NB",Response_Q176_3,"&lt;&gt;0")</f>
        <v>0</v>
      </c>
      <c r="Z160" s="119">
        <f t="shared" si="107"/>
        <v>0</v>
      </c>
      <c r="AA160" s="14"/>
      <c r="AB160" s="14"/>
      <c r="AC160" s="14"/>
      <c r="AD160" s="65"/>
      <c r="AE160" s="63"/>
      <c r="AF160" s="47"/>
      <c r="AG160" s="19"/>
      <c r="AH160" s="62"/>
      <c r="AI160" s="19"/>
      <c r="AJ160" s="59"/>
      <c r="AK160" s="14"/>
      <c r="AL160" s="14"/>
      <c r="AM160" s="86" t="s">
        <v>145</v>
      </c>
      <c r="AN160" s="111">
        <f>COUNTIFS(S30_stakeholder_category,"NB",Response_30c_CaseA,"&lt;&gt;0")</f>
        <v>1</v>
      </c>
      <c r="AO160" s="119">
        <f t="shared" si="112"/>
        <v>1</v>
      </c>
      <c r="AP160" s="14"/>
      <c r="AQ160" s="14"/>
      <c r="AR160" s="14"/>
      <c r="AS160" s="65"/>
      <c r="AT160" s="63"/>
      <c r="AU160" s="47"/>
      <c r="AV160" s="14"/>
      <c r="AW160" s="62"/>
      <c r="AX160" s="19"/>
      <c r="AY160" s="59"/>
      <c r="AZ160" s="14"/>
      <c r="BA160" s="14"/>
      <c r="BB160" s="86" t="s">
        <v>145</v>
      </c>
      <c r="BC160" s="111">
        <f>COUNTIFS(S30_stakeholder_category,"NB",Response_30c_CaseB,"&lt;&gt;0")</f>
        <v>1</v>
      </c>
      <c r="BD160" s="119">
        <f t="shared" si="113"/>
        <v>1</v>
      </c>
      <c r="BE160" s="14"/>
      <c r="BF160" s="14"/>
      <c r="BG160" s="14"/>
      <c r="BH160" s="65"/>
      <c r="BI160" s="63"/>
      <c r="BJ160" s="352"/>
      <c r="BK160" s="19"/>
      <c r="BL160" s="62"/>
      <c r="BM160" s="19"/>
      <c r="BN160" s="59"/>
      <c r="BO160" s="14"/>
      <c r="BP160" s="14"/>
      <c r="BQ160" s="86" t="s">
        <v>145</v>
      </c>
      <c r="BR160" s="111">
        <f>COUNTIFS(S30_stakeholder_category,"NB",Response_30c_CaseC,"&lt;&gt;0")</f>
        <v>1</v>
      </c>
      <c r="BS160" s="119">
        <f t="shared" si="114"/>
        <v>1</v>
      </c>
      <c r="BT160" s="14"/>
      <c r="BU160" s="14"/>
      <c r="BV160" s="14"/>
      <c r="BW160" s="65"/>
      <c r="BX160" s="63"/>
      <c r="BY160" s="352"/>
      <c r="BZ160" s="14"/>
      <c r="CA160" s="14"/>
      <c r="CB160" s="21"/>
      <c r="CC160" s="21"/>
      <c r="CD160" s="180"/>
      <c r="CE160" s="181"/>
      <c r="CF160" s="31"/>
      <c r="CG160" s="52"/>
      <c r="CH160" s="52"/>
      <c r="CI160" s="99"/>
      <c r="CJ160" s="14"/>
      <c r="CK160" s="14"/>
      <c r="CL160" s="14"/>
      <c r="CM160" s="14"/>
      <c r="CN160" s="14"/>
      <c r="CO160" s="129"/>
      <c r="CP160" s="14"/>
      <c r="CQ160" s="47"/>
      <c r="CR160" s="14"/>
      <c r="CS160" s="14"/>
      <c r="CT160" s="14"/>
      <c r="CU160" s="14"/>
      <c r="CV160" s="180"/>
      <c r="CW160" s="190"/>
      <c r="CX160" s="191"/>
      <c r="CY160" s="52"/>
      <c r="CZ160" s="52"/>
      <c r="DA160" s="54"/>
      <c r="DB160" s="14"/>
      <c r="DC160" s="14"/>
      <c r="DD160" s="14"/>
      <c r="DE160" s="14"/>
      <c r="DF160" s="14"/>
      <c r="DG160" s="129"/>
      <c r="DH160" s="14"/>
      <c r="DI160" s="47"/>
      <c r="DJ160" s="14"/>
      <c r="DK160" s="62"/>
      <c r="DL160" s="19"/>
      <c r="DM160" s="59"/>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row>
    <row r="161" spans="1:142" s="135" customFormat="1" ht="15" customHeight="1" x14ac:dyDescent="0.25">
      <c r="A161" s="14"/>
      <c r="B161" s="13"/>
      <c r="C161" s="13"/>
      <c r="D161" s="21"/>
      <c r="E161" s="14"/>
      <c r="F161" s="14"/>
      <c r="G161" s="14"/>
      <c r="H161" s="21"/>
      <c r="I161" s="21"/>
      <c r="J161" s="14"/>
      <c r="K161" s="14"/>
      <c r="L161" s="14"/>
      <c r="M161" s="14"/>
      <c r="N161" s="14"/>
      <c r="O161" s="14"/>
      <c r="P161" s="14"/>
      <c r="Q161" s="47"/>
      <c r="R161" s="19"/>
      <c r="S161" s="13"/>
      <c r="T161" s="13"/>
      <c r="U161" s="21"/>
      <c r="V161" s="14"/>
      <c r="W161" s="14"/>
      <c r="X161" s="14"/>
      <c r="Y161" s="14"/>
      <c r="Z161" s="14"/>
      <c r="AA161" s="14"/>
      <c r="AB161" s="14"/>
      <c r="AC161" s="14"/>
      <c r="AD161" s="65"/>
      <c r="AE161" s="63"/>
      <c r="AF161" s="47"/>
      <c r="AG161" s="19"/>
      <c r="AH161" s="13"/>
      <c r="AI161" s="13"/>
      <c r="AJ161" s="21"/>
      <c r="AK161" s="14"/>
      <c r="AL161" s="14"/>
      <c r="AM161" s="14"/>
      <c r="AN161" s="14"/>
      <c r="AO161" s="14"/>
      <c r="AP161" s="14"/>
      <c r="AQ161" s="14"/>
      <c r="AR161" s="14"/>
      <c r="AS161" s="65"/>
      <c r="AT161" s="63"/>
      <c r="AU161" s="47"/>
      <c r="AV161" s="14"/>
      <c r="AW161" s="13"/>
      <c r="AX161" s="13"/>
      <c r="AY161" s="21"/>
      <c r="AZ161" s="14"/>
      <c r="BA161" s="14"/>
      <c r="BB161" s="14"/>
      <c r="BC161" s="14"/>
      <c r="BD161" s="14"/>
      <c r="BE161" s="14"/>
      <c r="BF161" s="14"/>
      <c r="BG161" s="14"/>
      <c r="BH161" s="65"/>
      <c r="BI161" s="63"/>
      <c r="BJ161" s="352"/>
      <c r="BK161" s="19"/>
      <c r="BL161" s="13"/>
      <c r="BM161" s="13"/>
      <c r="BN161" s="21"/>
      <c r="BO161" s="14"/>
      <c r="BP161" s="14"/>
      <c r="BQ161" s="14"/>
      <c r="BR161" s="14"/>
      <c r="BS161" s="14"/>
      <c r="BT161" s="14"/>
      <c r="BU161" s="14"/>
      <c r="BV161" s="14"/>
      <c r="BW161" s="65"/>
      <c r="BX161" s="63"/>
      <c r="BY161" s="352"/>
      <c r="BZ161" s="14"/>
      <c r="CA161" s="14"/>
      <c r="CB161" s="21"/>
      <c r="CC161" s="21"/>
      <c r="CD161" s="180"/>
      <c r="CE161" s="181"/>
      <c r="CF161" s="31"/>
      <c r="CG161" s="31"/>
      <c r="CH161" s="31"/>
      <c r="CI161" s="14"/>
      <c r="CJ161" s="14"/>
      <c r="CK161" s="14"/>
      <c r="CL161" s="14"/>
      <c r="CM161" s="14"/>
      <c r="CN161" s="14"/>
      <c r="CO161" s="129"/>
      <c r="CP161" s="14"/>
      <c r="CQ161" s="47"/>
      <c r="CR161" s="14"/>
      <c r="CS161" s="14"/>
      <c r="CT161" s="14"/>
      <c r="CU161" s="14"/>
      <c r="CV161" s="180"/>
      <c r="CW161" s="190"/>
      <c r="CX161" s="191"/>
      <c r="CY161" s="31"/>
      <c r="CZ161" s="31"/>
      <c r="DA161" s="14"/>
      <c r="DB161" s="14"/>
      <c r="DC161" s="14"/>
      <c r="DD161" s="14"/>
      <c r="DE161" s="14"/>
      <c r="DF161" s="14"/>
      <c r="DG161" s="129"/>
      <c r="DH161" s="14"/>
      <c r="DI161" s="47"/>
      <c r="DJ161" s="14"/>
      <c r="DK161" s="13"/>
      <c r="DL161" s="13"/>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row>
    <row r="162" spans="1:142" s="131" customFormat="1" x14ac:dyDescent="0.25">
      <c r="A162" s="78"/>
      <c r="B162" s="78" t="s">
        <v>153</v>
      </c>
      <c r="C162" s="78" t="s">
        <v>137</v>
      </c>
      <c r="D162" s="79"/>
      <c r="E162" s="78"/>
      <c r="F162" s="78"/>
      <c r="G162" s="78"/>
      <c r="H162" s="79"/>
      <c r="I162" s="79"/>
      <c r="J162" s="78"/>
      <c r="K162" s="78"/>
      <c r="L162" s="78"/>
      <c r="M162" s="78"/>
      <c r="N162" s="78"/>
      <c r="O162" s="78"/>
      <c r="P162" s="78"/>
      <c r="Q162" s="82"/>
      <c r="R162" s="83"/>
      <c r="S162" s="78" t="str">
        <f>$B162</f>
        <v>Policy makers and academia</v>
      </c>
      <c r="T162" s="78"/>
      <c r="U162" s="78"/>
      <c r="V162" s="78"/>
      <c r="W162" s="78"/>
      <c r="X162" s="78"/>
      <c r="Y162" s="78"/>
      <c r="Z162" s="78"/>
      <c r="AA162" s="78"/>
      <c r="AB162" s="78"/>
      <c r="AC162" s="78"/>
      <c r="AD162" s="80"/>
      <c r="AE162" s="81"/>
      <c r="AF162" s="82"/>
      <c r="AG162" s="83"/>
      <c r="AH162" s="78" t="str">
        <f>$B162</f>
        <v>Policy makers and academia</v>
      </c>
      <c r="AI162" s="78"/>
      <c r="AJ162" s="78"/>
      <c r="AK162" s="78"/>
      <c r="AL162" s="78"/>
      <c r="AM162" s="78"/>
      <c r="AN162" s="78"/>
      <c r="AO162" s="78"/>
      <c r="AP162" s="78"/>
      <c r="AQ162" s="78"/>
      <c r="AR162" s="78"/>
      <c r="AS162" s="80"/>
      <c r="AT162" s="81"/>
      <c r="AU162" s="82"/>
      <c r="AV162" s="78"/>
      <c r="AW162" s="78" t="str">
        <f>$B162</f>
        <v>Policy makers and academia</v>
      </c>
      <c r="AX162" s="78"/>
      <c r="AY162" s="78"/>
      <c r="AZ162" s="78"/>
      <c r="BA162" s="78"/>
      <c r="BB162" s="78"/>
      <c r="BC162" s="78"/>
      <c r="BD162" s="78"/>
      <c r="BE162" s="78"/>
      <c r="BF162" s="78"/>
      <c r="BG162" s="78"/>
      <c r="BH162" s="80"/>
      <c r="BI162" s="81"/>
      <c r="BJ162" s="373"/>
      <c r="BK162" s="83"/>
      <c r="BL162" s="78" t="str">
        <f>$B162</f>
        <v>Policy makers and academia</v>
      </c>
      <c r="BM162" s="78"/>
      <c r="BN162" s="78"/>
      <c r="BO162" s="78"/>
      <c r="BP162" s="78"/>
      <c r="BQ162" s="78"/>
      <c r="BR162" s="78"/>
      <c r="BS162" s="78"/>
      <c r="BT162" s="78"/>
      <c r="BU162" s="78"/>
      <c r="BV162" s="78"/>
      <c r="BW162" s="80"/>
      <c r="BX162" s="81"/>
      <c r="BY162" s="373"/>
      <c r="BZ162" s="78"/>
      <c r="CA162" s="78" t="str">
        <f>$B162</f>
        <v>Policy makers and academia</v>
      </c>
      <c r="CB162" s="79"/>
      <c r="CC162" s="79"/>
      <c r="CD162" s="182"/>
      <c r="CE162" s="182"/>
      <c r="CF162" s="79"/>
      <c r="CG162" s="78"/>
      <c r="CH162" s="78"/>
      <c r="CI162" s="78"/>
      <c r="CJ162" s="78"/>
      <c r="CK162" s="78"/>
      <c r="CL162" s="78"/>
      <c r="CM162" s="78"/>
      <c r="CN162" s="78"/>
      <c r="CO162" s="78"/>
      <c r="CP162" s="78"/>
      <c r="CQ162" s="82"/>
      <c r="CR162" s="78"/>
      <c r="CS162" s="78" t="str">
        <f>$B162</f>
        <v>Policy makers and academia</v>
      </c>
      <c r="CT162" s="78"/>
      <c r="CU162" s="78"/>
      <c r="CV162" s="182"/>
      <c r="CW162" s="192"/>
      <c r="CX162" s="192"/>
      <c r="CY162" s="78"/>
      <c r="CZ162" s="78"/>
      <c r="DA162" s="78"/>
      <c r="DB162" s="78"/>
      <c r="DC162" s="78"/>
      <c r="DD162" s="78"/>
      <c r="DE162" s="78"/>
      <c r="DF162" s="78"/>
      <c r="DG162" s="78"/>
      <c r="DH162" s="78"/>
      <c r="DI162" s="82"/>
      <c r="DJ162" s="78"/>
      <c r="DK162" s="78" t="str">
        <f>$B162</f>
        <v>Policy makers and academia</v>
      </c>
      <c r="DL162" s="78"/>
      <c r="DM162" s="78"/>
      <c r="DN162" s="78"/>
      <c r="DO162" s="78"/>
      <c r="DP162" s="78"/>
      <c r="DQ162" s="78"/>
      <c r="DR162" s="78"/>
      <c r="DS162" s="78"/>
      <c r="DT162" s="78"/>
      <c r="DU162" s="78"/>
      <c r="DV162" s="78"/>
      <c r="DW162" s="78"/>
      <c r="DX162" s="78"/>
      <c r="DY162" s="78"/>
      <c r="DZ162" s="78"/>
      <c r="EA162" s="78"/>
      <c r="EB162" s="78"/>
      <c r="EC162" s="78"/>
      <c r="ED162" s="78"/>
      <c r="EE162" s="78"/>
      <c r="EF162" s="78"/>
      <c r="EG162" s="78"/>
      <c r="EH162" s="78"/>
      <c r="EI162" s="78"/>
      <c r="EJ162" s="78"/>
      <c r="EK162" s="78"/>
      <c r="EL162" s="78"/>
    </row>
    <row r="163" spans="1:142" x14ac:dyDescent="0.25">
      <c r="A163" s="14"/>
      <c r="B163" s="84" t="s">
        <v>301</v>
      </c>
      <c r="C163" s="84"/>
      <c r="D163" s="85"/>
      <c r="E163" s="84"/>
      <c r="F163" s="14"/>
      <c r="G163" s="14"/>
      <c r="H163" s="21"/>
      <c r="I163" s="21"/>
      <c r="J163" s="14"/>
      <c r="K163" s="14"/>
      <c r="L163" s="14"/>
      <c r="M163" s="14"/>
      <c r="N163" s="14"/>
      <c r="O163" s="14"/>
      <c r="P163" s="14"/>
      <c r="Q163" s="47"/>
      <c r="R163" s="19"/>
      <c r="S163" s="84" t="s">
        <v>322</v>
      </c>
      <c r="T163" s="84"/>
      <c r="U163" s="85"/>
      <c r="V163" s="84"/>
      <c r="W163" s="14"/>
      <c r="X163" s="14"/>
      <c r="Y163" s="14"/>
      <c r="Z163" s="14"/>
      <c r="AA163" s="14"/>
      <c r="AB163" s="14"/>
      <c r="AC163" s="14"/>
      <c r="AD163" s="65"/>
      <c r="AE163" s="63"/>
      <c r="AF163" s="47"/>
      <c r="AG163" s="19"/>
      <c r="AH163" s="84" t="s">
        <v>328</v>
      </c>
      <c r="AI163" s="84"/>
      <c r="AJ163" s="85"/>
      <c r="AK163" s="84"/>
      <c r="AL163" s="84"/>
      <c r="AM163" s="14"/>
      <c r="AN163" s="14"/>
      <c r="AO163" s="14"/>
      <c r="AP163" s="14"/>
      <c r="AQ163" s="14"/>
      <c r="AR163" s="14"/>
      <c r="AS163" s="65"/>
      <c r="AT163" s="63"/>
      <c r="AU163" s="47"/>
      <c r="AV163" s="14"/>
      <c r="AW163" s="84" t="s">
        <v>347</v>
      </c>
      <c r="AX163" s="84"/>
      <c r="AY163" s="85"/>
      <c r="AZ163" s="84"/>
      <c r="BA163" s="84"/>
      <c r="BB163" s="14"/>
      <c r="BC163" s="14"/>
      <c r="BD163" s="14"/>
      <c r="BE163" s="14"/>
      <c r="BF163" s="14"/>
      <c r="BG163" s="14"/>
      <c r="BH163" s="65"/>
      <c r="BI163" s="63"/>
      <c r="BJ163" s="352"/>
      <c r="BK163" s="19"/>
      <c r="BL163" s="84" t="s">
        <v>348</v>
      </c>
      <c r="BM163" s="84"/>
      <c r="BN163" s="85"/>
      <c r="BO163" s="84"/>
      <c r="BP163" s="84"/>
      <c r="BQ163" s="14"/>
      <c r="BR163" s="14"/>
      <c r="BS163" s="14"/>
      <c r="BT163" s="14"/>
      <c r="BU163" s="14"/>
      <c r="BV163" s="14"/>
      <c r="BW163" s="65"/>
      <c r="BX163" s="63"/>
      <c r="BY163" s="352"/>
      <c r="BZ163" s="14"/>
      <c r="CA163" s="148" t="s">
        <v>303</v>
      </c>
      <c r="CB163" s="85"/>
      <c r="CC163" s="85"/>
      <c r="CD163" s="186"/>
      <c r="CE163" s="185"/>
      <c r="CF163" s="147"/>
      <c r="CG163" s="14"/>
      <c r="CH163" s="14"/>
      <c r="CI163" s="14"/>
      <c r="CJ163" s="14"/>
      <c r="CK163" s="14"/>
      <c r="CL163" s="14"/>
      <c r="CM163" s="14"/>
      <c r="CN163" s="14"/>
      <c r="CO163" s="129"/>
      <c r="CP163" s="14"/>
      <c r="CQ163" s="47"/>
      <c r="CR163" s="14"/>
      <c r="CS163" s="148" t="s">
        <v>304</v>
      </c>
      <c r="CT163" s="84"/>
      <c r="CU163" s="85"/>
      <c r="CV163" s="186"/>
      <c r="CW163" s="193"/>
      <c r="CX163" s="193"/>
      <c r="CY163" s="14"/>
      <c r="CZ163" s="14"/>
      <c r="DA163" s="14"/>
      <c r="DB163" s="14"/>
      <c r="DC163" s="14"/>
      <c r="DD163" s="14"/>
      <c r="DE163" s="14"/>
      <c r="DF163" s="14"/>
      <c r="DG163" s="129"/>
      <c r="DH163" s="14"/>
      <c r="DI163" s="47"/>
      <c r="DJ163" s="14"/>
      <c r="DK163" s="84" t="s">
        <v>305</v>
      </c>
      <c r="DL163" s="84"/>
      <c r="DM163" s="85"/>
      <c r="DN163" s="8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row>
    <row r="164" spans="1:142" x14ac:dyDescent="0.25">
      <c r="A164" s="14"/>
      <c r="B164" s="14"/>
      <c r="C164" s="14"/>
      <c r="D164" s="15"/>
      <c r="E164" s="14"/>
      <c r="F164" s="14"/>
      <c r="G164" s="14"/>
      <c r="H164" s="21"/>
      <c r="I164" s="21"/>
      <c r="J164" s="14"/>
      <c r="K164" s="19"/>
      <c r="L164" s="14"/>
      <c r="M164" s="14"/>
      <c r="N164" s="14"/>
      <c r="O164" s="14"/>
      <c r="P164" s="14"/>
      <c r="Q164" s="47"/>
      <c r="R164" s="19"/>
      <c r="S164" s="14"/>
      <c r="T164" s="14"/>
      <c r="U164" s="15"/>
      <c r="V164" s="14"/>
      <c r="W164" s="14"/>
      <c r="X164" s="14"/>
      <c r="Y164" s="14"/>
      <c r="Z164" s="14"/>
      <c r="AA164" s="14"/>
      <c r="AB164" s="14"/>
      <c r="AC164" s="14"/>
      <c r="AD164" s="65"/>
      <c r="AE164" s="63"/>
      <c r="AF164" s="47"/>
      <c r="AG164" s="19"/>
      <c r="AH164" s="14"/>
      <c r="AI164" s="14"/>
      <c r="AJ164" s="15"/>
      <c r="AK164" s="14"/>
      <c r="AL164" s="14"/>
      <c r="AM164" s="14"/>
      <c r="AN164" s="14"/>
      <c r="AO164" s="14"/>
      <c r="AP164" s="14"/>
      <c r="AQ164" s="14"/>
      <c r="AR164" s="14"/>
      <c r="AS164" s="65"/>
      <c r="AT164" s="63"/>
      <c r="AU164" s="47"/>
      <c r="AV164" s="14"/>
      <c r="AW164" s="14"/>
      <c r="AX164" s="14"/>
      <c r="AY164" s="15"/>
      <c r="AZ164" s="14"/>
      <c r="BA164" s="14"/>
      <c r="BB164" s="14"/>
      <c r="BC164" s="14"/>
      <c r="BD164" s="14"/>
      <c r="BE164" s="14"/>
      <c r="BF164" s="14"/>
      <c r="BG164" s="14"/>
      <c r="BH164" s="65"/>
      <c r="BI164" s="63"/>
      <c r="BJ164" s="352"/>
      <c r="BK164" s="19"/>
      <c r="BL164" s="14"/>
      <c r="BM164" s="14"/>
      <c r="BN164" s="15"/>
      <c r="BO164" s="14"/>
      <c r="BP164" s="14"/>
      <c r="BQ164" s="14"/>
      <c r="BR164" s="14"/>
      <c r="BS164" s="14"/>
      <c r="BT164" s="14"/>
      <c r="BU164" s="14"/>
      <c r="BV164" s="14"/>
      <c r="BW164" s="65"/>
      <c r="BX164" s="63"/>
      <c r="BY164" s="352"/>
      <c r="BZ164" s="14"/>
      <c r="CA164" s="14"/>
      <c r="CB164" s="21"/>
      <c r="CC164" s="21"/>
      <c r="CD164" s="180"/>
      <c r="CE164" s="180"/>
      <c r="CF164" s="21"/>
      <c r="CG164" s="14"/>
      <c r="CH164" s="14"/>
      <c r="CI164" s="14"/>
      <c r="CJ164" s="14"/>
      <c r="CK164" s="14"/>
      <c r="CL164" s="14"/>
      <c r="CM164" s="14"/>
      <c r="CN164" s="14"/>
      <c r="CO164" s="129"/>
      <c r="CP164" s="14"/>
      <c r="CQ164" s="47"/>
      <c r="CR164" s="14"/>
      <c r="CS164" s="14"/>
      <c r="CT164" s="14"/>
      <c r="CU164" s="14"/>
      <c r="CV164" s="180"/>
      <c r="CW164" s="189"/>
      <c r="CX164" s="189"/>
      <c r="CY164" s="14"/>
      <c r="CZ164" s="14"/>
      <c r="DA164" s="14"/>
      <c r="DB164" s="14"/>
      <c r="DC164" s="14"/>
      <c r="DD164" s="14"/>
      <c r="DE164" s="14"/>
      <c r="DF164" s="14"/>
      <c r="DG164" s="129"/>
      <c r="DH164" s="14"/>
      <c r="DI164" s="47"/>
      <c r="DJ164" s="14"/>
      <c r="DK164" s="14"/>
      <c r="DL164" s="14"/>
      <c r="DM164" s="15"/>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row>
    <row r="165" spans="1:142" ht="27.6" x14ac:dyDescent="0.25">
      <c r="A165" s="14"/>
      <c r="B165" s="112" t="s">
        <v>23</v>
      </c>
      <c r="C165" s="113" t="s">
        <v>24</v>
      </c>
      <c r="D165" s="113" t="s">
        <v>145</v>
      </c>
      <c r="E165" s="113" t="s">
        <v>300</v>
      </c>
      <c r="F165" s="14"/>
      <c r="G165" s="14"/>
      <c r="H165" s="21"/>
      <c r="I165" s="21"/>
      <c r="J165" s="14"/>
      <c r="K165" s="19"/>
      <c r="L165" s="51"/>
      <c r="M165" s="51"/>
      <c r="N165" s="51"/>
      <c r="O165" s="51"/>
      <c r="P165" s="51"/>
      <c r="Q165" s="47"/>
      <c r="R165" s="19"/>
      <c r="S165" s="112" t="s">
        <v>23</v>
      </c>
      <c r="T165" s="113" t="s">
        <v>24</v>
      </c>
      <c r="U165" s="113" t="s">
        <v>145</v>
      </c>
      <c r="V165" s="113" t="s">
        <v>300</v>
      </c>
      <c r="W165" s="14"/>
      <c r="X165" s="14"/>
      <c r="Y165" s="14"/>
      <c r="Z165" s="14"/>
      <c r="AA165" s="56"/>
      <c r="AB165" s="56"/>
      <c r="AC165" s="56"/>
      <c r="AD165" s="65"/>
      <c r="AE165" s="63"/>
      <c r="AF165" s="47"/>
      <c r="AG165" s="19"/>
      <c r="AH165" s="112" t="s">
        <v>23</v>
      </c>
      <c r="AI165" s="113" t="s">
        <v>24</v>
      </c>
      <c r="AJ165" s="113" t="s">
        <v>145</v>
      </c>
      <c r="AK165" s="113" t="s">
        <v>300</v>
      </c>
      <c r="AL165" s="14"/>
      <c r="AM165" s="14"/>
      <c r="AN165" s="14"/>
      <c r="AO165" s="14"/>
      <c r="AP165" s="56"/>
      <c r="AQ165" s="56"/>
      <c r="AR165" s="56"/>
      <c r="AS165" s="65"/>
      <c r="AT165" s="63"/>
      <c r="AU165" s="47"/>
      <c r="AV165" s="14"/>
      <c r="AW165" s="112" t="s">
        <v>23</v>
      </c>
      <c r="AX165" s="113" t="s">
        <v>24</v>
      </c>
      <c r="AY165" s="113" t="s">
        <v>145</v>
      </c>
      <c r="AZ165" s="113" t="s">
        <v>300</v>
      </c>
      <c r="BA165" s="14"/>
      <c r="BB165" s="14"/>
      <c r="BC165" s="14"/>
      <c r="BD165" s="14"/>
      <c r="BE165" s="56"/>
      <c r="BF165" s="56"/>
      <c r="BG165" s="56"/>
      <c r="BH165" s="65"/>
      <c r="BI165" s="63"/>
      <c r="BJ165" s="352"/>
      <c r="BK165" s="19"/>
      <c r="BL165" s="112" t="s">
        <v>23</v>
      </c>
      <c r="BM165" s="113" t="s">
        <v>24</v>
      </c>
      <c r="BN165" s="113" t="s">
        <v>145</v>
      </c>
      <c r="BO165" s="113" t="s">
        <v>300</v>
      </c>
      <c r="BP165" s="14"/>
      <c r="BQ165" s="14"/>
      <c r="BR165" s="14"/>
      <c r="BS165" s="14"/>
      <c r="BT165" s="56"/>
      <c r="BU165" s="56"/>
      <c r="BV165" s="56"/>
      <c r="BW165" s="65"/>
      <c r="BX165" s="63"/>
      <c r="BY165" s="352"/>
      <c r="BZ165" s="14"/>
      <c r="CA165" s="112" t="s">
        <v>23</v>
      </c>
      <c r="CB165" s="113" t="s">
        <v>145</v>
      </c>
      <c r="CC165" s="21"/>
      <c r="CD165" s="180"/>
      <c r="CE165" s="180"/>
      <c r="CF165" s="21"/>
      <c r="CG165" s="14"/>
      <c r="CH165" s="14"/>
      <c r="CI165" s="14"/>
      <c r="CJ165" s="14"/>
      <c r="CK165" s="14"/>
      <c r="CL165" s="14"/>
      <c r="CM165" s="14"/>
      <c r="CN165" s="14"/>
      <c r="CO165" s="129"/>
      <c r="CP165" s="17"/>
      <c r="CQ165" s="47"/>
      <c r="CR165" s="14"/>
      <c r="CS165" s="112" t="s">
        <v>23</v>
      </c>
      <c r="CT165" s="113" t="s">
        <v>145</v>
      </c>
      <c r="CU165" s="14"/>
      <c r="CV165" s="180"/>
      <c r="CW165" s="189"/>
      <c r="CX165" s="189"/>
      <c r="CY165" s="14"/>
      <c r="CZ165" s="14"/>
      <c r="DA165" s="14"/>
      <c r="DB165" s="14"/>
      <c r="DC165" s="14"/>
      <c r="DD165" s="14"/>
      <c r="DE165" s="14"/>
      <c r="DF165" s="14"/>
      <c r="DG165" s="129"/>
      <c r="DH165" s="17"/>
      <c r="DI165" s="47"/>
      <c r="DJ165" s="17"/>
      <c r="DK165" s="112" t="s">
        <v>23</v>
      </c>
      <c r="DL165" s="113" t="s">
        <v>24</v>
      </c>
      <c r="DM165" s="113" t="s">
        <v>145</v>
      </c>
      <c r="DN165" s="113" t="s">
        <v>300</v>
      </c>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row>
    <row r="166" spans="1:142" x14ac:dyDescent="0.25">
      <c r="A166" s="14"/>
      <c r="B166" s="57" t="s">
        <v>153</v>
      </c>
      <c r="C166" s="121" t="str">
        <f>IF(H185=0,"na",IF(COUNTIF(H180:H184,MAX(H180:H184))&gt;COUNTIF(G180:G184,"&lt;&gt;""")/2,"No clear choice of the most common response",INDEX(G180:G184,MATCH(MAX(H180:H184),H180:H184,0),1)))</f>
        <v>na</v>
      </c>
      <c r="D166" s="58">
        <f>COUNTIFS(S30_stakeholder_category,"PO",Response_Q173_5,"&lt;&gt;0")</f>
        <v>0</v>
      </c>
      <c r="E166" s="121">
        <f>COUNTIFS(S30_stakeholder_category,"PO",Response_Q173_5,"I don’t know")</f>
        <v>0</v>
      </c>
      <c r="F166" s="14"/>
      <c r="G166" s="14"/>
      <c r="H166" s="21"/>
      <c r="I166" s="21"/>
      <c r="J166" s="14"/>
      <c r="K166" s="19"/>
      <c r="L166" s="40"/>
      <c r="M166" s="40"/>
      <c r="N166" s="40"/>
      <c r="O166" s="40"/>
      <c r="P166" s="40"/>
      <c r="Q166" s="47"/>
      <c r="R166" s="19"/>
      <c r="S166" s="34" t="s">
        <v>153</v>
      </c>
      <c r="T166" s="37" t="str">
        <f>IF(Y187=0,"na",IF(COUNTIF(Y180:Y186,MAX(Y180:Y186))&gt;COUNTIF(X180:X186,"&lt;&gt;""")/2,"No clear choice of the most common response",INDEX(X180:X186,MATCH(MAX(Y180:Y186),Y180:Y186,0),1)))</f>
        <v>na</v>
      </c>
      <c r="U166" s="33">
        <f>COUNTIFS(S30_stakeholder_category,"PO",Response_Q176_3,"&lt;&gt;0")</f>
        <v>0</v>
      </c>
      <c r="V166" s="37">
        <f>COUNTIFS(S30_stakeholder_category,"PO",Response_Q176_3,"I don’t know")</f>
        <v>0</v>
      </c>
      <c r="W166" s="14"/>
      <c r="X166" s="14"/>
      <c r="Y166" s="14"/>
      <c r="Z166" s="14"/>
      <c r="AA166" s="19"/>
      <c r="AB166" s="19"/>
      <c r="AC166" s="19"/>
      <c r="AD166" s="65"/>
      <c r="AE166" s="63"/>
      <c r="AF166" s="47"/>
      <c r="AG166" s="19"/>
      <c r="AH166" s="57" t="s">
        <v>153</v>
      </c>
      <c r="AI166" s="121" t="str">
        <f>IF(AN187=0,"na",IF(COUNTIF(AN180:AN186,MAX(AN180:AN186))&gt;COUNTIF(AM180:AM186,"&lt;&gt;""")/2,"No clear choice of the most common response",INDEX(AM180:AM186,MATCH(MAX(AN180:AN186),AN180:AN186,0),1)))</f>
        <v>Very unlikely</v>
      </c>
      <c r="AJ166" s="58">
        <f>COUNTIFS(S30_stakeholder_category,"PO",Response_30c_CaseA,"&lt;&gt;0")</f>
        <v>1</v>
      </c>
      <c r="AK166" s="121">
        <f>COUNTIFS(S30_stakeholder_category,"PO",Response_30c_CaseA,"I don’t know")</f>
        <v>0</v>
      </c>
      <c r="AL166" s="14"/>
      <c r="AM166" s="14"/>
      <c r="AN166" s="14"/>
      <c r="AO166" s="14"/>
      <c r="AP166" s="19"/>
      <c r="AQ166" s="19"/>
      <c r="AR166" s="19"/>
      <c r="AS166" s="65"/>
      <c r="AT166" s="63"/>
      <c r="AU166" s="47"/>
      <c r="AV166" s="14"/>
      <c r="AW166" s="57" t="s">
        <v>153</v>
      </c>
      <c r="AX166" s="121" t="str">
        <f>IF(BC187=0,"na",IF(COUNTIF(BC180:BC186,MAX(BC180:BC186))&gt;COUNTIF(BB180:BB186,"&lt;&gt;""")/2,"No clear choice of the most common response",INDEX(BB180:BB186,MATCH(MAX(BC180:BC186),BC180:BC186,0),1)))</f>
        <v>Very unlikely</v>
      </c>
      <c r="AY166" s="58">
        <f>COUNTIFS(S30_stakeholder_category,"PO",Response_30c_CaseB,"&lt;&gt;0")</f>
        <v>1</v>
      </c>
      <c r="AZ166" s="121">
        <f>COUNTIFS(S30_stakeholder_category,"PO",Response_30c_CaseB,"I don’t know")</f>
        <v>0</v>
      </c>
      <c r="BA166" s="14"/>
      <c r="BB166" s="14"/>
      <c r="BC166" s="14"/>
      <c r="BD166" s="14"/>
      <c r="BE166" s="19"/>
      <c r="BF166" s="19"/>
      <c r="BG166" s="19"/>
      <c r="BH166" s="65"/>
      <c r="BI166" s="63"/>
      <c r="BJ166" s="352"/>
      <c r="BK166" s="19"/>
      <c r="BL166" s="57" t="s">
        <v>153</v>
      </c>
      <c r="BM166" s="121" t="str">
        <f>IF(BR187=0,"na",IF(COUNTIF(BR180:BR186,MAX(BR180:BR186))&gt;COUNTIF(BQ180:BQ186,"&lt;&gt;""")/2,"No clear choice of the most common response",INDEX(BQ180:BQ186,MATCH(MAX(BR180:BR186),BR180:BR186,0),1)))</f>
        <v>Very unlikely</v>
      </c>
      <c r="BN166" s="58">
        <f>COUNTIFS(S30_stakeholder_category,"PO",Response_30c_CaseC,"&lt;&gt;0")</f>
        <v>1</v>
      </c>
      <c r="BO166" s="121">
        <f>COUNTIFS(S30_stakeholder_category,"PO",Response_30c_CaseC,"I don’t know")</f>
        <v>0</v>
      </c>
      <c r="BP166" s="14"/>
      <c r="BQ166" s="14"/>
      <c r="BR166" s="14"/>
      <c r="BS166" s="14"/>
      <c r="BT166" s="19"/>
      <c r="BU166" s="19"/>
      <c r="BV166" s="19"/>
      <c r="BW166" s="65"/>
      <c r="BX166" s="63"/>
      <c r="BY166" s="352"/>
      <c r="BZ166" s="14"/>
      <c r="CA166" s="34" t="s">
        <v>153</v>
      </c>
      <c r="CB166" s="37">
        <f>MAX(SUM(CC172:CC178),SUM(CD172:CD178),SUM(CE172:CE178))</f>
        <v>2</v>
      </c>
      <c r="CC166" s="21"/>
      <c r="CD166" s="180"/>
      <c r="CE166" s="180"/>
      <c r="CF166" s="21"/>
      <c r="CG166" s="14"/>
      <c r="CH166" s="14"/>
      <c r="CI166" s="14"/>
      <c r="CJ166" s="14"/>
      <c r="CK166" s="14"/>
      <c r="CL166" s="14"/>
      <c r="CM166" s="14"/>
      <c r="CN166" s="14"/>
      <c r="CO166" s="129"/>
      <c r="CP166" s="29"/>
      <c r="CQ166" s="47"/>
      <c r="CR166" s="14"/>
      <c r="CS166" s="34" t="s">
        <v>153</v>
      </c>
      <c r="CT166" s="37">
        <f>MAX(SUM(CU172:CU178),SUM(CV172:CV178),SUM(CW172:CW178))</f>
        <v>0</v>
      </c>
      <c r="CU166" s="14"/>
      <c r="CV166" s="180"/>
      <c r="CW166" s="189"/>
      <c r="CX166" s="189"/>
      <c r="CY166" s="14"/>
      <c r="CZ166" s="14"/>
      <c r="DA166" s="14"/>
      <c r="DB166" s="14"/>
      <c r="DC166" s="14"/>
      <c r="DD166" s="14"/>
      <c r="DE166" s="14"/>
      <c r="DF166" s="14"/>
      <c r="DG166" s="129"/>
      <c r="DH166" s="29"/>
      <c r="DI166" s="47"/>
      <c r="DJ166" s="29"/>
      <c r="DK166" s="34" t="s">
        <v>153</v>
      </c>
      <c r="DL166" s="37" t="str">
        <f>IF(DQ185=0,"na",IF(COUNTIF(DQ180:DQ184,MAX(DQ180:DQ184))&gt;COUNTIF(DP180:DP184,"&lt;&gt;""")/2,"No clear choice of the most common response",INDEX(DP180:DP184,MATCH(MAX(DQ180:DQ184),DQ180:DQ184,0),1)))</f>
        <v>na</v>
      </c>
      <c r="DM166" s="33">
        <f>COUNTIFS(S30_stakeholder_category,"PO",Response_Q172_1,"&lt;&gt;0",Response_Q173_5,"&lt;&gt;0")</f>
        <v>0</v>
      </c>
      <c r="DN166" s="37">
        <f>DQ184</f>
        <v>0</v>
      </c>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row>
    <row r="167" spans="1:142" x14ac:dyDescent="0.25">
      <c r="A167" s="14"/>
      <c r="B167" s="57"/>
      <c r="C167" s="121" t="str">
        <f ca="1">IF(H185=0,"",IF(COUNTIF(H180:H184,MAX(H180:H184))=1,"",IF(COUNTIF(H180:H184,MAX(H180:H184))&gt;COUNTIF(G180:G184,"&lt;&gt;""")/2,"",INDEX(OFFSET(G180,MATCH(C166,G180:G185,0),0):G184,MATCH(MAX(H180:H184),OFFSET(H180,MATCH(C166,G180:G185,0),0):H184,0),1))))</f>
        <v/>
      </c>
      <c r="D167" s="58"/>
      <c r="E167" s="121"/>
      <c r="F167" s="14"/>
      <c r="G167" s="14"/>
      <c r="H167" s="21"/>
      <c r="I167" s="21"/>
      <c r="J167" s="14"/>
      <c r="K167" s="19"/>
      <c r="L167" s="40"/>
      <c r="M167" s="40"/>
      <c r="N167" s="40"/>
      <c r="O167" s="40"/>
      <c r="P167" s="40"/>
      <c r="Q167" s="47"/>
      <c r="R167" s="19"/>
      <c r="S167" s="34"/>
      <c r="T167" s="37" t="str">
        <f ca="1">IF(Y187=0,"",IF(COUNTIF(Y180:Y186,MAX(Y180:Y186))=1,"",IF(COUNTIF(Y180:Y186,MAX(Y180:Y186))&gt;COUNTIF(X180:X186,"&lt;&gt;""")/2,"",INDEX(OFFSET(X180,MATCH(T166,X180:X186,0),0):X186,MATCH(MAX(Y180:Y186),OFFSET(Y180,MATCH(T166,X180:X186,0),0):Y186,0),1))))</f>
        <v/>
      </c>
      <c r="U167" s="33"/>
      <c r="V167" s="37"/>
      <c r="W167" s="14"/>
      <c r="X167" s="14"/>
      <c r="Y167" s="14"/>
      <c r="Z167" s="14"/>
      <c r="AA167" s="19"/>
      <c r="AB167" s="19"/>
      <c r="AC167" s="19"/>
      <c r="AD167" s="65"/>
      <c r="AE167" s="63"/>
      <c r="AF167" s="47"/>
      <c r="AG167" s="19"/>
      <c r="AH167" s="57"/>
      <c r="AI167" s="121" t="str">
        <f ca="1">IF(AN187=0,"",IF(COUNTIF(AN180:AN186,MAX(AN180:AN186))=1,"",IF(COUNTIF(AN180:AN186,MAX(AN180:AN186))&gt;COUNTIF(AM180:AM186,"&lt;&gt;""")/2,"",INDEX(OFFSET(AM180,MATCH(AI166,AM180:AM186,0),0):AM186,MATCH(MAX(AN180:AN186),OFFSET(AN180,MATCH(AI166,AM180:AM186,0),0):AN186,0),1))))</f>
        <v/>
      </c>
      <c r="AJ167" s="58"/>
      <c r="AK167" s="121"/>
      <c r="AL167" s="14"/>
      <c r="AM167" s="14"/>
      <c r="AN167" s="14"/>
      <c r="AO167" s="14"/>
      <c r="AP167" s="19"/>
      <c r="AQ167" s="19"/>
      <c r="AR167" s="19"/>
      <c r="AS167" s="65"/>
      <c r="AT167" s="63"/>
      <c r="AU167" s="47"/>
      <c r="AV167" s="14"/>
      <c r="AW167" s="57"/>
      <c r="AX167" s="121" t="str">
        <f ca="1">IF(BC187=0,"",IF(COUNTIF(BC180:BC186,MAX(BC180:BC186))=1,"",IF(COUNTIF(BC180:BC186,MAX(BC180:BC186))&gt;COUNTIF(BB180:BB186,"&lt;&gt;""")/2,"",INDEX(OFFSET(BB180,MATCH(AX166,BB180:BB186,0),0):BB186,MATCH(MAX(BC180:BC186),OFFSET(BC180,MATCH(AX166,BB180:BB186,0),0):BC186,0),1))))</f>
        <v/>
      </c>
      <c r="AY167" s="58"/>
      <c r="AZ167" s="121"/>
      <c r="BA167" s="14"/>
      <c r="BB167" s="14"/>
      <c r="BC167" s="14"/>
      <c r="BD167" s="14"/>
      <c r="BE167" s="19"/>
      <c r="BF167" s="19"/>
      <c r="BG167" s="19"/>
      <c r="BH167" s="65"/>
      <c r="BI167" s="63"/>
      <c r="BJ167" s="352"/>
      <c r="BK167" s="19"/>
      <c r="BL167" s="57"/>
      <c r="BM167" s="121" t="str">
        <f ca="1">IF(BR187=0,"",IF(COUNTIF(BR180:BR186,MAX(BR180:BR186))=1,"",IF(COUNTIF(BR180:BR186,MAX(BR180:BR186))&gt;COUNTIF(BQ180:BQ186,"&lt;&gt;""")/2,"",INDEX(OFFSET(BQ180,MATCH(BM166,BQ180:BQ186,0),0):BQ186,MATCH(MAX(BR180:BR186),OFFSET(BR180,MATCH(BM166,BQ180:BQ186,0),0):BR186,0),1))))</f>
        <v/>
      </c>
      <c r="BN167" s="58"/>
      <c r="BO167" s="121"/>
      <c r="BP167" s="14"/>
      <c r="BQ167" s="14"/>
      <c r="BR167" s="14"/>
      <c r="BS167" s="14"/>
      <c r="BT167" s="19"/>
      <c r="BU167" s="19"/>
      <c r="BV167" s="19"/>
      <c r="BW167" s="65"/>
      <c r="BX167" s="63"/>
      <c r="BY167" s="352"/>
      <c r="BZ167" s="14"/>
      <c r="CA167" s="14"/>
      <c r="CB167" s="21"/>
      <c r="CC167" s="21"/>
      <c r="CD167" s="180"/>
      <c r="CE167" s="180"/>
      <c r="CF167" s="21"/>
      <c r="CG167" s="14"/>
      <c r="CH167" s="14"/>
      <c r="CI167" s="14"/>
      <c r="CJ167" s="14"/>
      <c r="CK167" s="14"/>
      <c r="CL167" s="14"/>
      <c r="CM167" s="14"/>
      <c r="CN167" s="14"/>
      <c r="CO167" s="129"/>
      <c r="CP167" s="29"/>
      <c r="CQ167" s="47"/>
      <c r="CR167" s="14"/>
      <c r="CS167" s="14"/>
      <c r="CT167" s="14"/>
      <c r="CU167" s="14"/>
      <c r="CV167" s="180"/>
      <c r="CW167" s="189"/>
      <c r="CX167" s="189"/>
      <c r="CY167" s="14"/>
      <c r="CZ167" s="14"/>
      <c r="DA167" s="14"/>
      <c r="DB167" s="14"/>
      <c r="DC167" s="14"/>
      <c r="DD167" s="14"/>
      <c r="DE167" s="14"/>
      <c r="DF167" s="14"/>
      <c r="DG167" s="129"/>
      <c r="DH167" s="29"/>
      <c r="DI167" s="47"/>
      <c r="DJ167" s="29"/>
      <c r="DK167" s="34"/>
      <c r="DL167" s="37" t="str">
        <f ca="1">IF(DQ185=0,"",IF(COUNTIF(DQ180:DQ184,MAX(DQ180:DQ184))=1,"",IF(COUNTIF(DQ180:DQ184,MAX(DQ180:DQ184))&gt;COUNTIF(DP180:DP184,"&lt;&gt;""")/2,"",INDEX(OFFSET(DP180,MATCH(DL166,DP180:DP185,0),0):DP184,MATCH(MAX(DQ180:DQ184),OFFSET(DQ180,MATCH(DL166,DP180:DP185,0),0):DQ184,0),1))))</f>
        <v/>
      </c>
      <c r="DM167" s="33"/>
      <c r="DN167" s="37"/>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row>
    <row r="168" spans="1:142" x14ac:dyDescent="0.25">
      <c r="A168" s="14"/>
      <c r="B168" s="57"/>
      <c r="C168" s="121" t="str">
        <f ca="1" xml:space="preserve"> IF(H185=0,"", IF(COUNTIF(H180:H184,MAX(H180:H184))&lt;=2,"",IF(COUNTIF(H180:H184,MAX(H180:H184))&gt;COUNTIF(G180:G184,"&lt;&gt;""")/2,"", INDEX(OFFSET(G180,MATCH(C167,G180:G185,0),0):G184,         MATCH(MAX(H180:H184),        OFFSET(H180,MATCH(C167,G180:G185,0),0):H184,0),1))))</f>
        <v/>
      </c>
      <c r="D168" s="58"/>
      <c r="E168" s="121"/>
      <c r="F168" s="14"/>
      <c r="G168" s="14"/>
      <c r="H168" s="21"/>
      <c r="I168" s="21"/>
      <c r="J168" s="14"/>
      <c r="K168" s="19"/>
      <c r="L168" s="40"/>
      <c r="M168" s="40"/>
      <c r="N168" s="40"/>
      <c r="O168" s="40"/>
      <c r="P168" s="40"/>
      <c r="Q168" s="47"/>
      <c r="R168" s="19"/>
      <c r="S168" s="34"/>
      <c r="T168" s="121" t="str">
        <f ca="1" xml:space="preserve"> IF(Y187=0,"",IF(Y187=0,"", IF(COUNTIF(Y180:Y186,MAX(Y180:Y186))&lt;=2,"",IF(COUNTIF(Y180:Y186,MAX(Y180:Y186))&gt;COUNTIF(X180:X186,"&lt;&gt;""")/2,"", INDEX(OFFSET(X180,MATCH(T167,X180:X186,0),0):X186,         MATCH(MAX(Y180:Y186),        OFFSET(Y180,MATCH(T167,X180:X186,0),0):Y186,0),1)))))</f>
        <v/>
      </c>
      <c r="U168" s="33"/>
      <c r="V168" s="37"/>
      <c r="W168" s="14"/>
      <c r="X168" s="14"/>
      <c r="Y168" s="14"/>
      <c r="Z168" s="14"/>
      <c r="AA168" s="19"/>
      <c r="AB168" s="19"/>
      <c r="AC168" s="19"/>
      <c r="AD168" s="65"/>
      <c r="AE168" s="63"/>
      <c r="AF168" s="47"/>
      <c r="AG168" s="19"/>
      <c r="AH168" s="57"/>
      <c r="AI168" s="121" t="str">
        <f ca="1" xml:space="preserve"> IF(AN187=0,"",IF(AN187=0,"", IF(COUNTIF(AN180:AN186,MAX(AN180:AN186))&lt;=2,"",IF(COUNTIF(AN180:AN186,MAX(AN180:AN186))&gt;COUNTIF(AM180:AM186,"&lt;&gt;""")/2,"", INDEX(OFFSET(AM180,MATCH(AI167,AM180:AM186,0),0):AM186,         MATCH(MAX(AN180:AN186),        OFFSET(AN180,MATCH(AI167,AM180:AM186,0),0):AN186,0),1)))))</f>
        <v/>
      </c>
      <c r="AJ168" s="58"/>
      <c r="AK168" s="121"/>
      <c r="AL168" s="14"/>
      <c r="AM168" s="14"/>
      <c r="AN168" s="14"/>
      <c r="AO168" s="14"/>
      <c r="AP168" s="19"/>
      <c r="AQ168" s="19"/>
      <c r="AR168" s="19"/>
      <c r="AS168" s="65"/>
      <c r="AT168" s="63"/>
      <c r="AU168" s="47"/>
      <c r="AV168" s="14"/>
      <c r="AW168" s="57"/>
      <c r="AX168" s="121" t="str">
        <f ca="1" xml:space="preserve"> IF(BC187=0,"",IF(BC187=0,"", IF(COUNTIF(BC180:BC186,MAX(BC180:BC186))&lt;=2,"",IF(COUNTIF(BC180:BC186,MAX(BC180:BC186))&gt;COUNTIF(BB180:BB186,"&lt;&gt;""")/2,"", INDEX(OFFSET(BB180,MATCH(AX167,BB180:BB186,0),0):BB186,         MATCH(MAX(BC180:BC186),        OFFSET(BC180,MATCH(AX167,BB180:BB186,0),0):BC186,0),1)))))</f>
        <v/>
      </c>
      <c r="AY168" s="58"/>
      <c r="AZ168" s="121"/>
      <c r="BA168" s="14"/>
      <c r="BB168" s="14"/>
      <c r="BC168" s="14"/>
      <c r="BD168" s="14"/>
      <c r="BE168" s="19"/>
      <c r="BF168" s="19"/>
      <c r="BG168" s="19"/>
      <c r="BH168" s="65"/>
      <c r="BI168" s="63"/>
      <c r="BJ168" s="352"/>
      <c r="BK168" s="19"/>
      <c r="BL168" s="57"/>
      <c r="BM168" s="121" t="str">
        <f ca="1" xml:space="preserve"> IF(BR187=0,"",IF(BR187=0,"", IF(COUNTIF(BR180:BR186,MAX(BR180:BR186))&lt;=2,"",IF(COUNTIF(BR180:BR186,MAX(BR180:BR186))&gt;COUNTIF(BQ180:BQ186,"&lt;&gt;""")/2,"", INDEX(OFFSET(BQ180,MATCH(BM167,BQ180:BQ186,0),0):BQ186,         MATCH(MAX(BR180:BR186),        OFFSET(BR180,MATCH(BM167,BQ180:BQ186,0),0):BR186,0),1)))))</f>
        <v/>
      </c>
      <c r="BN168" s="58"/>
      <c r="BO168" s="121"/>
      <c r="BP168" s="14"/>
      <c r="BQ168" s="14"/>
      <c r="BR168" s="14"/>
      <c r="BS168" s="14"/>
      <c r="BT168" s="19"/>
      <c r="BU168" s="19"/>
      <c r="BV168" s="19"/>
      <c r="BW168" s="65"/>
      <c r="BX168" s="63"/>
      <c r="BY168" s="352"/>
      <c r="BZ168" s="14"/>
      <c r="CA168" s="14"/>
      <c r="CB168" s="21"/>
      <c r="CC168" s="21"/>
      <c r="CD168" s="180"/>
      <c r="CE168" s="180"/>
      <c r="CF168" s="21"/>
      <c r="CG168" s="14"/>
      <c r="CH168" s="14"/>
      <c r="CI168" s="14"/>
      <c r="CJ168" s="14"/>
      <c r="CK168" s="14"/>
      <c r="CL168" s="14"/>
      <c r="CM168" s="14"/>
      <c r="CN168" s="14"/>
      <c r="CO168" s="129"/>
      <c r="CP168" s="29"/>
      <c r="CQ168" s="47"/>
      <c r="CR168" s="14"/>
      <c r="CS168" s="14"/>
      <c r="CT168" s="14"/>
      <c r="CU168" s="14"/>
      <c r="CV168" s="180"/>
      <c r="CW168" s="189"/>
      <c r="CX168" s="189"/>
      <c r="CY168" s="14"/>
      <c r="CZ168" s="14"/>
      <c r="DA168" s="14"/>
      <c r="DB168" s="14"/>
      <c r="DC168" s="14"/>
      <c r="DD168" s="14"/>
      <c r="DE168" s="14"/>
      <c r="DF168" s="14"/>
      <c r="DG168" s="129"/>
      <c r="DH168" s="29"/>
      <c r="DI168" s="47"/>
      <c r="DJ168" s="29"/>
      <c r="DK168" s="34"/>
      <c r="DL168" s="37" t="str">
        <f ca="1">IF(DQ185=0,"",IF(COUNTIF(DQ180:DQ184,MAX(DQ180:DQ184))&lt;=2,"",IF(COUNTIF(DQ180:DQ184,MAX(DQ180:DQ184))&gt;COUNTIF(DP180:DP184,"&lt;&gt;""")/2,"",INDEX(OFFSET(DP180,MATCH(DL167,DP180:DP185,0),0):DP184,MATCH(MAX(DQ180:DQ184),OFFSET(DQ180,MATCH(DL167,DP180:DP185,0),0):DQ184,0),1))))</f>
        <v/>
      </c>
      <c r="DM168" s="33"/>
      <c r="DN168" s="37"/>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row>
    <row r="169" spans="1:142" x14ac:dyDescent="0.25">
      <c r="A169" s="14"/>
      <c r="B169" s="14"/>
      <c r="C169" s="14"/>
      <c r="D169" s="27"/>
      <c r="E169" s="14"/>
      <c r="F169" s="14"/>
      <c r="G169" s="14"/>
      <c r="H169" s="21"/>
      <c r="I169" s="21"/>
      <c r="J169" s="14"/>
      <c r="K169" s="19"/>
      <c r="L169" s="40"/>
      <c r="M169" s="40"/>
      <c r="N169" s="40"/>
      <c r="O169" s="40"/>
      <c r="P169" s="40"/>
      <c r="Q169" s="47"/>
      <c r="R169" s="19"/>
      <c r="S169" s="19"/>
      <c r="T169" s="19"/>
      <c r="U169" s="19"/>
      <c r="V169" s="19"/>
      <c r="W169" s="14"/>
      <c r="X169" s="14"/>
      <c r="Y169" s="14"/>
      <c r="Z169" s="14"/>
      <c r="AA169" s="19"/>
      <c r="AB169" s="19"/>
      <c r="AC169" s="19"/>
      <c r="AD169" s="65"/>
      <c r="AE169" s="63"/>
      <c r="AF169" s="47"/>
      <c r="AG169" s="19"/>
      <c r="AH169" s="19"/>
      <c r="AI169" s="19"/>
      <c r="AJ169" s="19"/>
      <c r="AK169" s="19"/>
      <c r="AL169" s="14"/>
      <c r="AM169" s="14"/>
      <c r="AN169" s="14"/>
      <c r="AO169" s="14"/>
      <c r="AP169" s="19"/>
      <c r="AQ169" s="19"/>
      <c r="AR169" s="19"/>
      <c r="AS169" s="65"/>
      <c r="AT169" s="63"/>
      <c r="AU169" s="47"/>
      <c r="AV169" s="14"/>
      <c r="AW169" s="19"/>
      <c r="AX169" s="19"/>
      <c r="AY169" s="19"/>
      <c r="AZ169" s="19"/>
      <c r="BA169" s="14"/>
      <c r="BB169" s="14"/>
      <c r="BC169" s="14"/>
      <c r="BD169" s="14"/>
      <c r="BE169" s="19"/>
      <c r="BF169" s="19"/>
      <c r="BG169" s="19"/>
      <c r="BH169" s="65"/>
      <c r="BI169" s="63"/>
      <c r="BJ169" s="352"/>
      <c r="BK169" s="19"/>
      <c r="BL169" s="19"/>
      <c r="BM169" s="19"/>
      <c r="BN169" s="19"/>
      <c r="BO169" s="19"/>
      <c r="BP169" s="14"/>
      <c r="BQ169" s="14"/>
      <c r="BR169" s="14"/>
      <c r="BS169" s="14"/>
      <c r="BT169" s="19"/>
      <c r="BU169" s="19"/>
      <c r="BV169" s="19"/>
      <c r="BW169" s="65"/>
      <c r="BX169" s="63"/>
      <c r="BY169" s="352"/>
      <c r="BZ169" s="14"/>
      <c r="CA169" s="14"/>
      <c r="CB169" s="21"/>
      <c r="CC169" s="21"/>
      <c r="CD169" s="180"/>
      <c r="CE169" s="180"/>
      <c r="CF169" s="21"/>
      <c r="CG169" s="14"/>
      <c r="CH169" s="14"/>
      <c r="CI169" s="14"/>
      <c r="CJ169" s="14"/>
      <c r="CK169" s="14"/>
      <c r="CL169" s="14"/>
      <c r="CM169" s="14"/>
      <c r="CN169" s="14"/>
      <c r="CO169" s="129"/>
      <c r="CP169" s="29"/>
      <c r="CQ169" s="47"/>
      <c r="CR169" s="14"/>
      <c r="CS169" s="14"/>
      <c r="CT169" s="14"/>
      <c r="CU169" s="14"/>
      <c r="CV169" s="180"/>
      <c r="CW169" s="189"/>
      <c r="CX169" s="189"/>
      <c r="CY169" s="14"/>
      <c r="CZ169" s="14"/>
      <c r="DA169" s="14"/>
      <c r="DB169" s="14"/>
      <c r="DC169" s="14"/>
      <c r="DD169" s="14"/>
      <c r="DE169" s="14"/>
      <c r="DF169" s="14"/>
      <c r="DG169" s="129"/>
      <c r="DH169" s="29"/>
      <c r="DI169" s="47"/>
      <c r="DJ169" s="29"/>
      <c r="DK169" s="14"/>
      <c r="DL169" s="14"/>
      <c r="DM169" s="27"/>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row>
    <row r="170" spans="1:142" x14ac:dyDescent="0.25">
      <c r="A170" s="14"/>
      <c r="B170" s="14"/>
      <c r="C170" s="14"/>
      <c r="D170" s="27"/>
      <c r="E170" s="14"/>
      <c r="F170" s="14"/>
      <c r="G170" s="14"/>
      <c r="H170" s="21"/>
      <c r="I170" s="21"/>
      <c r="J170" s="14"/>
      <c r="K170" s="19"/>
      <c r="L170" s="40"/>
      <c r="M170" s="40"/>
      <c r="N170" s="40"/>
      <c r="O170" s="40"/>
      <c r="P170" s="40"/>
      <c r="Q170" s="47"/>
      <c r="R170" s="19"/>
      <c r="S170" s="19"/>
      <c r="T170" s="19"/>
      <c r="U170" s="19"/>
      <c r="V170" s="19"/>
      <c r="W170" s="14"/>
      <c r="X170" s="14"/>
      <c r="Y170" s="14"/>
      <c r="Z170" s="14"/>
      <c r="AA170" s="19"/>
      <c r="AB170" s="19"/>
      <c r="AC170" s="19"/>
      <c r="AD170" s="65"/>
      <c r="AE170" s="63"/>
      <c r="AF170" s="47"/>
      <c r="AG170" s="19"/>
      <c r="AH170" s="19"/>
      <c r="AI170" s="19"/>
      <c r="AJ170" s="19"/>
      <c r="AK170" s="19"/>
      <c r="AL170" s="14"/>
      <c r="AM170" s="14"/>
      <c r="AN170" s="14"/>
      <c r="AO170" s="14"/>
      <c r="AP170" s="19"/>
      <c r="AQ170" s="19"/>
      <c r="AR170" s="19"/>
      <c r="AS170" s="65"/>
      <c r="AT170" s="63"/>
      <c r="AU170" s="47"/>
      <c r="AV170" s="14"/>
      <c r="AW170" s="19"/>
      <c r="AX170" s="19"/>
      <c r="AY170" s="19"/>
      <c r="AZ170" s="19"/>
      <c r="BA170" s="14"/>
      <c r="BB170" s="14"/>
      <c r="BC170" s="14"/>
      <c r="BD170" s="14"/>
      <c r="BE170" s="19"/>
      <c r="BF170" s="19"/>
      <c r="BG170" s="19"/>
      <c r="BH170" s="65"/>
      <c r="BI170" s="63"/>
      <c r="BJ170" s="352"/>
      <c r="BK170" s="19"/>
      <c r="BL170" s="19"/>
      <c r="BM170" s="19"/>
      <c r="BN170" s="19"/>
      <c r="BO170" s="19"/>
      <c r="BP170" s="14"/>
      <c r="BQ170" s="14"/>
      <c r="BR170" s="14"/>
      <c r="BS170" s="14"/>
      <c r="BT170" s="19"/>
      <c r="BU170" s="19"/>
      <c r="BV170" s="19"/>
      <c r="BW170" s="65"/>
      <c r="BX170" s="63"/>
      <c r="BY170" s="352"/>
      <c r="BZ170" s="14"/>
      <c r="CA170" s="14"/>
      <c r="CB170" s="21"/>
      <c r="CC170" s="21"/>
      <c r="CD170" s="180"/>
      <c r="CE170" s="180"/>
      <c r="CF170" s="21"/>
      <c r="CG170" s="14"/>
      <c r="CH170" s="14"/>
      <c r="CI170" s="14"/>
      <c r="CJ170" s="14"/>
      <c r="CK170" s="14"/>
      <c r="CL170" s="14"/>
      <c r="CM170" s="14"/>
      <c r="CN170" s="14"/>
      <c r="CO170" s="129"/>
      <c r="CP170" s="29"/>
      <c r="CQ170" s="47"/>
      <c r="CR170" s="14"/>
      <c r="CS170" s="14"/>
      <c r="CT170" s="14"/>
      <c r="CU170" s="14"/>
      <c r="CV170" s="180"/>
      <c r="CW170" s="189"/>
      <c r="CX170" s="189"/>
      <c r="CY170" s="14"/>
      <c r="CZ170" s="14"/>
      <c r="DA170" s="14"/>
      <c r="DB170" s="14"/>
      <c r="DC170" s="14"/>
      <c r="DD170" s="14"/>
      <c r="DE170" s="14"/>
      <c r="DF170" s="14"/>
      <c r="DG170" s="129"/>
      <c r="DH170" s="29"/>
      <c r="DI170" s="47"/>
      <c r="DJ170" s="29"/>
      <c r="DK170" s="14"/>
      <c r="DL170" s="14"/>
      <c r="DM170" s="27"/>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row>
    <row r="171" spans="1:142" ht="27.6" x14ac:dyDescent="0.25">
      <c r="A171" s="14"/>
      <c r="B171" s="14"/>
      <c r="C171" s="14"/>
      <c r="D171" s="27"/>
      <c r="E171" s="14"/>
      <c r="F171" s="14"/>
      <c r="G171" s="14"/>
      <c r="H171" s="21"/>
      <c r="I171" s="21"/>
      <c r="J171" s="14"/>
      <c r="K171" s="19"/>
      <c r="L171" s="40"/>
      <c r="M171" s="40"/>
      <c r="N171" s="40"/>
      <c r="O171" s="40"/>
      <c r="P171" s="40"/>
      <c r="Q171" s="47"/>
      <c r="R171" s="19"/>
      <c r="S171" s="19"/>
      <c r="T171" s="19"/>
      <c r="U171" s="19"/>
      <c r="V171" s="19"/>
      <c r="W171" s="14"/>
      <c r="X171" s="14"/>
      <c r="Y171" s="14"/>
      <c r="Z171" s="14"/>
      <c r="AA171" s="19"/>
      <c r="AB171" s="19"/>
      <c r="AC171" s="19"/>
      <c r="AD171" s="65"/>
      <c r="AE171" s="63"/>
      <c r="AF171" s="47"/>
      <c r="AG171" s="19"/>
      <c r="AH171" s="19"/>
      <c r="AI171" s="19"/>
      <c r="AJ171" s="19"/>
      <c r="AK171" s="19"/>
      <c r="AL171" s="14"/>
      <c r="AM171" s="14"/>
      <c r="AN171" s="14"/>
      <c r="AO171" s="14"/>
      <c r="AP171" s="19"/>
      <c r="AQ171" s="19"/>
      <c r="AR171" s="19"/>
      <c r="AS171" s="65"/>
      <c r="AT171" s="63"/>
      <c r="AU171" s="47"/>
      <c r="AV171" s="14"/>
      <c r="AW171" s="19"/>
      <c r="AX171" s="19"/>
      <c r="AY171" s="19"/>
      <c r="AZ171" s="19"/>
      <c r="BA171" s="14"/>
      <c r="BB171" s="14"/>
      <c r="BC171" s="14"/>
      <c r="BD171" s="14"/>
      <c r="BE171" s="19"/>
      <c r="BF171" s="19"/>
      <c r="BG171" s="19"/>
      <c r="BH171" s="65"/>
      <c r="BI171" s="63"/>
      <c r="BJ171" s="352"/>
      <c r="BK171" s="19"/>
      <c r="BL171" s="19"/>
      <c r="BM171" s="19"/>
      <c r="BN171" s="19"/>
      <c r="BO171" s="19"/>
      <c r="BP171" s="14"/>
      <c r="BQ171" s="14"/>
      <c r="BR171" s="14"/>
      <c r="BS171" s="14"/>
      <c r="BT171" s="19"/>
      <c r="BU171" s="19"/>
      <c r="BV171" s="19"/>
      <c r="BW171" s="65"/>
      <c r="BX171" s="63"/>
      <c r="BY171" s="352"/>
      <c r="BZ171" s="14"/>
      <c r="CA171" s="109" t="s">
        <v>14</v>
      </c>
      <c r="CB171" s="110" t="s">
        <v>164</v>
      </c>
      <c r="CC171" s="110" t="s">
        <v>149</v>
      </c>
      <c r="CD171" s="184" t="s">
        <v>150</v>
      </c>
      <c r="CE171" s="184" t="s">
        <v>151</v>
      </c>
      <c r="CF171" s="110" t="s">
        <v>152</v>
      </c>
      <c r="CG171" s="14"/>
      <c r="CH171" s="109"/>
      <c r="CI171" s="110" t="s">
        <v>5</v>
      </c>
      <c r="CJ171" s="110" t="s">
        <v>4</v>
      </c>
      <c r="CK171" s="110" t="s">
        <v>33</v>
      </c>
      <c r="CL171" s="110" t="s">
        <v>29</v>
      </c>
      <c r="CM171" s="110" t="s">
        <v>3</v>
      </c>
      <c r="CN171" s="110" t="s">
        <v>54</v>
      </c>
      <c r="CO171" s="328" t="s">
        <v>160</v>
      </c>
      <c r="CP171" s="29"/>
      <c r="CQ171" s="47"/>
      <c r="CR171" s="14"/>
      <c r="CS171" s="109" t="s">
        <v>14</v>
      </c>
      <c r="CT171" s="110" t="s">
        <v>164</v>
      </c>
      <c r="CU171" s="110" t="s">
        <v>149</v>
      </c>
      <c r="CV171" s="184" t="s">
        <v>150</v>
      </c>
      <c r="CW171" s="184" t="s">
        <v>151</v>
      </c>
      <c r="CX171" s="194" t="s">
        <v>152</v>
      </c>
      <c r="CY171" s="14"/>
      <c r="CZ171" s="109" t="s">
        <v>14</v>
      </c>
      <c r="DA171" s="110" t="s">
        <v>5</v>
      </c>
      <c r="DB171" s="110" t="s">
        <v>4</v>
      </c>
      <c r="DC171" s="110" t="s">
        <v>33</v>
      </c>
      <c r="DD171" s="110" t="s">
        <v>29</v>
      </c>
      <c r="DE171" s="110" t="s">
        <v>3</v>
      </c>
      <c r="DF171" s="110" t="s">
        <v>54</v>
      </c>
      <c r="DG171" s="328" t="s">
        <v>160</v>
      </c>
      <c r="DH171" s="29"/>
      <c r="DI171" s="47"/>
      <c r="DJ171" s="29"/>
      <c r="DK171" s="19"/>
      <c r="DL171" s="19"/>
      <c r="DM171" s="27"/>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row>
    <row r="172" spans="1:142" x14ac:dyDescent="0.25">
      <c r="A172" s="14"/>
      <c r="B172" s="14"/>
      <c r="C172" s="14"/>
      <c r="D172" s="21"/>
      <c r="E172" s="14"/>
      <c r="F172" s="14"/>
      <c r="G172" s="14"/>
      <c r="H172" s="21"/>
      <c r="I172" s="21"/>
      <c r="J172" s="14"/>
      <c r="K172" s="19"/>
      <c r="L172" s="14"/>
      <c r="M172" s="14"/>
      <c r="N172" s="14"/>
      <c r="O172" s="14"/>
      <c r="P172" s="14"/>
      <c r="Q172" s="47"/>
      <c r="R172" s="19"/>
      <c r="S172" s="19"/>
      <c r="T172" s="19"/>
      <c r="U172" s="19"/>
      <c r="V172" s="19"/>
      <c r="W172" s="14"/>
      <c r="X172" s="14"/>
      <c r="Y172" s="14"/>
      <c r="Z172" s="14"/>
      <c r="AA172" s="19"/>
      <c r="AB172" s="19"/>
      <c r="AC172" s="19"/>
      <c r="AD172" s="65"/>
      <c r="AE172" s="63"/>
      <c r="AF172" s="47"/>
      <c r="AG172" s="19"/>
      <c r="AH172" s="19"/>
      <c r="AI172" s="19"/>
      <c r="AJ172" s="19"/>
      <c r="AK172" s="19"/>
      <c r="AL172" s="14"/>
      <c r="AM172" s="14"/>
      <c r="AN172" s="14"/>
      <c r="AO172" s="14"/>
      <c r="AP172" s="19"/>
      <c r="AQ172" s="19"/>
      <c r="AR172" s="19"/>
      <c r="AS172" s="65"/>
      <c r="AT172" s="63"/>
      <c r="AU172" s="47"/>
      <c r="AV172" s="14"/>
      <c r="AW172" s="19"/>
      <c r="AX172" s="19"/>
      <c r="AY172" s="19"/>
      <c r="AZ172" s="19"/>
      <c r="BA172" s="14"/>
      <c r="BB172" s="14"/>
      <c r="BC172" s="14"/>
      <c r="BD172" s="14"/>
      <c r="BE172" s="19"/>
      <c r="BF172" s="19"/>
      <c r="BG172" s="19"/>
      <c r="BH172" s="65"/>
      <c r="BI172" s="63"/>
      <c r="BJ172" s="352"/>
      <c r="BK172" s="19"/>
      <c r="BL172" s="19"/>
      <c r="BM172" s="19"/>
      <c r="BN172" s="19"/>
      <c r="BO172" s="19"/>
      <c r="BP172" s="14"/>
      <c r="BQ172" s="14"/>
      <c r="BR172" s="14"/>
      <c r="BS172" s="14"/>
      <c r="BT172" s="19"/>
      <c r="BU172" s="19"/>
      <c r="BV172" s="19"/>
      <c r="BW172" s="65"/>
      <c r="BX172" s="63"/>
      <c r="BY172" s="352"/>
      <c r="BZ172" s="14"/>
      <c r="CA172" s="140" t="s">
        <v>701</v>
      </c>
      <c r="CB172" s="27">
        <f>COUNTIFS(S30_stakeholder_category,"PO",Response_Q177_1,"&lt;&gt;0",Response_Q173_5,"&lt;&gt;0")</f>
        <v>0</v>
      </c>
      <c r="CC172" s="37">
        <f>COUNTIFS(S30_stakeholder_category,"PO",Response_Q177_1,1,Response_Q173_5,"&lt;&gt;""0")</f>
        <v>2</v>
      </c>
      <c r="CD172" s="37">
        <f>COUNTIFS(S30_stakeholder_category,"PO",Response_Q177_1,2,Response_Q173_5,"&lt;&gt;""0")</f>
        <v>1</v>
      </c>
      <c r="CE172" s="37">
        <f>COUNTIFS(S30_stakeholder_category,"PO",Response_Q177_1,3,Response_Q173_5,"&lt;&gt;""0")</f>
        <v>1</v>
      </c>
      <c r="CF172" s="97">
        <f>IF(CB166=0,0,SUMPRODUCT(CC172:CE172,Rank_score)/$CB166)</f>
        <v>4.5</v>
      </c>
      <c r="CG172" s="14"/>
      <c r="CH172" s="140" t="s">
        <v>701</v>
      </c>
      <c r="CI172" s="27">
        <f t="shared" ref="CI172:CN172" si="115">COUNTIFS(S30_stakeholder_category,"PO",Response_Q177_1,"&lt;&gt;0",Response_Q177_2,CI$63,Response_Q173_5,"&lt;&gt;0")</f>
        <v>0</v>
      </c>
      <c r="CJ172" s="27">
        <f t="shared" si="115"/>
        <v>0</v>
      </c>
      <c r="CK172" s="27">
        <f t="shared" si="115"/>
        <v>0</v>
      </c>
      <c r="CL172" s="27">
        <f t="shared" si="115"/>
        <v>0</v>
      </c>
      <c r="CM172" s="27">
        <f t="shared" si="115"/>
        <v>0</v>
      </c>
      <c r="CN172" s="27">
        <f t="shared" si="115"/>
        <v>0</v>
      </c>
      <c r="CO172" s="141" t="str">
        <f t="shared" ref="CO172:CO178" si="116">IF(ISBLANK(CH172),"",IF(CF172=0,not_ranked,IF(SUM(CI172:CN172)=0,not_estimated,IFERROR(SUMPRODUCT(CI172:CN172,Likekihood_score)/SUM(CI172:CN172),0))))</f>
        <v>Ranked, but likelihood not estimated</v>
      </c>
      <c r="CP172" s="29"/>
      <c r="CQ172" s="47"/>
      <c r="CR172" s="14"/>
      <c r="CS172" s="140" t="s">
        <v>373</v>
      </c>
      <c r="CT172" s="27">
        <f>COUNTIFS(S30_stakeholder_category,"PO",Response_Q178_1,"&lt;&gt;0",Response_Q173_5,"&lt;&gt;0")</f>
        <v>0</v>
      </c>
      <c r="CU172" s="37">
        <f>COUNTIFS(S30_stakeholder_category,"PO",Response_Q178_1,1,Response_Q173_5,"&lt;&gt;0")</f>
        <v>0</v>
      </c>
      <c r="CV172" s="37">
        <f>COUNTIFS(S30_stakeholder_category,"PO",Response_Q178_1,2,Response_Q173_5,"&lt;&gt;0")</f>
        <v>0</v>
      </c>
      <c r="CW172" s="37">
        <f>COUNTIFS(S30_stakeholder_category,"PO",Response_Q178_1,3,Response_Q173_5,"&lt;&gt;0")</f>
        <v>0</v>
      </c>
      <c r="CX172" s="37">
        <f>IF(CT166=0,0,SUMPRODUCT(CU172:CW172,Rank_score)/CT$58)</f>
        <v>0</v>
      </c>
      <c r="CY172" s="14"/>
      <c r="CZ172" s="140" t="s">
        <v>373</v>
      </c>
      <c r="DA172" s="27">
        <f t="shared" ref="DA172:DF172" si="117">COUNTIFS(S30_stakeholder_category,"PO",Response_Q178_1,"&lt;&gt;0",Response_Q178_2,DA$63,Response_Q173_5,"&lt;&gt;0")</f>
        <v>0</v>
      </c>
      <c r="DB172" s="27">
        <f t="shared" si="117"/>
        <v>0</v>
      </c>
      <c r="DC172" s="27">
        <f t="shared" si="117"/>
        <v>0</v>
      </c>
      <c r="DD172" s="27">
        <f t="shared" si="117"/>
        <v>0</v>
      </c>
      <c r="DE172" s="27">
        <f t="shared" si="117"/>
        <v>0</v>
      </c>
      <c r="DF172" s="27">
        <f t="shared" si="117"/>
        <v>0</v>
      </c>
      <c r="DG172" s="141" t="str">
        <f t="shared" ref="DG172:DG179" si="118">IF(ISBLANK(CZ172),"",IF(CX172=0,not_ranked,IF(SUM(DA172:DF172)=0,not_estimated,IFERROR(SUMPRODUCT(DA172:DF172,Likekihood_score)/SUM(DA172:DF172),0))))</f>
        <v>Factor not ranked</v>
      </c>
      <c r="DH172" s="29"/>
      <c r="DI172" s="47"/>
      <c r="DJ172" s="29"/>
      <c r="DK172" s="19"/>
      <c r="DL172" s="19"/>
      <c r="DM172" s="14"/>
      <c r="DN172" s="14"/>
      <c r="DO172" s="14"/>
      <c r="DP172" s="14"/>
      <c r="DQ172" s="14"/>
      <c r="DR172" s="13"/>
      <c r="DS172" s="13"/>
      <c r="DT172" s="14"/>
      <c r="DU172" s="14"/>
      <c r="DV172" s="14"/>
      <c r="DW172" s="14"/>
      <c r="DX172" s="14"/>
      <c r="DY172" s="14"/>
      <c r="DZ172" s="14"/>
      <c r="EA172" s="14"/>
      <c r="EB172" s="14"/>
      <c r="EC172" s="14"/>
      <c r="ED172" s="14"/>
      <c r="EE172" s="14"/>
      <c r="EF172" s="14"/>
      <c r="EG172" s="14"/>
      <c r="EH172" s="14"/>
      <c r="EI172" s="14"/>
      <c r="EJ172" s="14"/>
      <c r="EK172" s="14"/>
      <c r="EL172" s="14"/>
    </row>
    <row r="173" spans="1:142" ht="14.4" x14ac:dyDescent="0.25">
      <c r="A173" s="14"/>
      <c r="B173" s="60"/>
      <c r="C173" s="19"/>
      <c r="D173" s="59"/>
      <c r="E173" s="14"/>
      <c r="F173" s="14"/>
      <c r="G173" s="14"/>
      <c r="H173" s="21"/>
      <c r="I173" s="21"/>
      <c r="J173" s="14"/>
      <c r="K173" s="14"/>
      <c r="L173" s="14"/>
      <c r="M173" s="14"/>
      <c r="N173" s="14"/>
      <c r="O173" s="14"/>
      <c r="P173" s="14"/>
      <c r="Q173" s="47"/>
      <c r="R173" s="19"/>
      <c r="S173" s="19"/>
      <c r="T173" s="19"/>
      <c r="U173" s="19"/>
      <c r="V173" s="19"/>
      <c r="W173" s="14"/>
      <c r="X173" s="14"/>
      <c r="Y173" s="14"/>
      <c r="Z173" s="14"/>
      <c r="AA173" s="19"/>
      <c r="AB173" s="19"/>
      <c r="AC173" s="19"/>
      <c r="AD173" s="65"/>
      <c r="AE173" s="63"/>
      <c r="AF173" s="47"/>
      <c r="AG173" s="19"/>
      <c r="AH173" s="19"/>
      <c r="AI173" s="19"/>
      <c r="AJ173" s="19"/>
      <c r="AK173" s="19"/>
      <c r="AL173" s="14"/>
      <c r="AM173" s="14"/>
      <c r="AN173" s="14"/>
      <c r="AO173" s="14"/>
      <c r="AP173" s="19"/>
      <c r="AQ173" s="19"/>
      <c r="AR173" s="19"/>
      <c r="AS173" s="65"/>
      <c r="AT173" s="63"/>
      <c r="AU173" s="47"/>
      <c r="AV173" s="14"/>
      <c r="AW173" s="19"/>
      <c r="AX173" s="19"/>
      <c r="AY173" s="19"/>
      <c r="AZ173" s="19"/>
      <c r="BA173" s="14"/>
      <c r="BB173" s="14"/>
      <c r="BC173" s="14"/>
      <c r="BD173" s="14"/>
      <c r="BE173" s="19"/>
      <c r="BF173" s="19"/>
      <c r="BG173" s="19"/>
      <c r="BH173" s="65"/>
      <c r="BI173" s="63"/>
      <c r="BJ173" s="352"/>
      <c r="BK173" s="19"/>
      <c r="BL173" s="19"/>
      <c r="BM173" s="19"/>
      <c r="BN173" s="19"/>
      <c r="BO173" s="19"/>
      <c r="BP173" s="14"/>
      <c r="BQ173" s="14"/>
      <c r="BR173" s="14"/>
      <c r="BS173" s="14"/>
      <c r="BT173" s="19"/>
      <c r="BU173" s="19"/>
      <c r="BV173" s="19"/>
      <c r="BW173" s="65"/>
      <c r="BX173" s="63"/>
      <c r="BY173" s="352"/>
      <c r="BZ173" s="14"/>
      <c r="CA173" s="140" t="s">
        <v>344</v>
      </c>
      <c r="CB173" s="27">
        <f>COUNTIFS(S30_stakeholder_category,"PO",Response_Q177_3,"&lt;&gt;0",Response_Q173_5,"&lt;&gt;0")</f>
        <v>0</v>
      </c>
      <c r="CC173" s="37">
        <f>COUNTIFS(S30_stakeholder_category,"PO",Response_Q177_3,1,Response_Q173_5,"&lt;&gt;0")</f>
        <v>0</v>
      </c>
      <c r="CD173" s="37">
        <f>COUNTIFS(S30_stakeholder_category,"PO",Response_Q177_3,2,Response_Q173_5,"&lt;&gt;0")</f>
        <v>0</v>
      </c>
      <c r="CE173" s="37">
        <f>COUNTIFS(S30_stakeholder_category,"PO",Response_Q177_3,3,Response_Q173_5,"&lt;&gt;0")</f>
        <v>0</v>
      </c>
      <c r="CF173" s="97">
        <f>IF(CB166=0,0,SUMPRODUCT(CC173:CE173,Rank_score)/$CB166)</f>
        <v>0</v>
      </c>
      <c r="CG173" s="14"/>
      <c r="CH173" s="140" t="s">
        <v>344</v>
      </c>
      <c r="CI173" s="27">
        <f t="shared" ref="CI173:CN173" si="119">COUNTIFS(S30_stakeholder_category,"PO",Response_Q177_3,"&lt;&gt;0",Response_Q177_4,CI$63,Response_Q173_5,"&lt;&gt;0")</f>
        <v>0</v>
      </c>
      <c r="CJ173" s="27">
        <f t="shared" si="119"/>
        <v>0</v>
      </c>
      <c r="CK173" s="27">
        <f t="shared" si="119"/>
        <v>0</v>
      </c>
      <c r="CL173" s="27">
        <f t="shared" si="119"/>
        <v>0</v>
      </c>
      <c r="CM173" s="27">
        <f t="shared" si="119"/>
        <v>0</v>
      </c>
      <c r="CN173" s="27">
        <f t="shared" si="119"/>
        <v>0</v>
      </c>
      <c r="CO173" s="141" t="str">
        <f t="shared" si="116"/>
        <v>Factor not ranked</v>
      </c>
      <c r="CP173" s="14"/>
      <c r="CQ173" s="47"/>
      <c r="CR173" s="14"/>
      <c r="CS173" s="140" t="s">
        <v>338</v>
      </c>
      <c r="CT173" s="27">
        <f>COUNTIFS(S30_stakeholder_category,"PO",Response_Q178_3,"&lt;&gt;0",Response_Q173_5,"&lt;&gt;0")</f>
        <v>0</v>
      </c>
      <c r="CU173" s="37">
        <f>COUNTIFS(S30_stakeholder_category,"PO",Response_Q178_3,1,Response_Q173_5,"&lt;&gt;0")</f>
        <v>0</v>
      </c>
      <c r="CV173" s="37">
        <f>COUNTIFS(S30_stakeholder_category,"PO",Response_Q178_3,2,Response_Q173_5,"&lt;&gt;0")</f>
        <v>0</v>
      </c>
      <c r="CW173" s="37">
        <f>COUNTIFS(S30_stakeholder_category,"PO",Response_Q178_3,3,Response_Q173_5,"&lt;&gt;0")</f>
        <v>0</v>
      </c>
      <c r="CX173" s="37">
        <f>IF(CT166=0,0,SUMPRODUCT(CU173:CW173,Rank_score)/CT$58)</f>
        <v>0</v>
      </c>
      <c r="CY173" s="14"/>
      <c r="CZ173" s="140" t="s">
        <v>338</v>
      </c>
      <c r="DA173" s="27">
        <f t="shared" ref="DA173:DF173" si="120">COUNTIFS(S30_stakeholder_category,"PO",Response_Q178_3,"&lt;&gt;0",Response_Q178_4,DA$63,Response_Q173_5,"&lt;&gt;0")</f>
        <v>0</v>
      </c>
      <c r="DB173" s="27">
        <f t="shared" si="120"/>
        <v>0</v>
      </c>
      <c r="DC173" s="27">
        <f t="shared" si="120"/>
        <v>0</v>
      </c>
      <c r="DD173" s="27">
        <f t="shared" si="120"/>
        <v>0</v>
      </c>
      <c r="DE173" s="27">
        <f t="shared" si="120"/>
        <v>0</v>
      </c>
      <c r="DF173" s="27">
        <f t="shared" si="120"/>
        <v>0</v>
      </c>
      <c r="DG173" s="141" t="str">
        <f t="shared" si="118"/>
        <v>Factor not ranked</v>
      </c>
      <c r="DH173" s="14"/>
      <c r="DI173" s="47"/>
      <c r="DJ173" s="14"/>
      <c r="DK173" s="56"/>
      <c r="DL173" s="29"/>
      <c r="DM173" s="59"/>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row>
    <row r="174" spans="1:142" x14ac:dyDescent="0.25">
      <c r="A174" s="14"/>
      <c r="B174" s="62"/>
      <c r="C174" s="19"/>
      <c r="D174" s="59"/>
      <c r="E174" s="14"/>
      <c r="F174" s="14"/>
      <c r="G174" s="14"/>
      <c r="H174" s="21"/>
      <c r="I174" s="21"/>
      <c r="J174" s="14"/>
      <c r="K174" s="14"/>
      <c r="L174" s="14"/>
      <c r="M174" s="14"/>
      <c r="N174" s="14"/>
      <c r="O174" s="14"/>
      <c r="P174" s="14"/>
      <c r="Q174" s="47"/>
      <c r="R174" s="19"/>
      <c r="S174" s="19"/>
      <c r="T174" s="19"/>
      <c r="U174" s="19"/>
      <c r="V174" s="19"/>
      <c r="W174" s="14"/>
      <c r="X174" s="14"/>
      <c r="Y174" s="14"/>
      <c r="Z174" s="13"/>
      <c r="AA174" s="13"/>
      <c r="AB174" s="13"/>
      <c r="AC174" s="13"/>
      <c r="AD174" s="65"/>
      <c r="AE174" s="63"/>
      <c r="AF174" s="47"/>
      <c r="AG174" s="19"/>
      <c r="AH174" s="19"/>
      <c r="AI174" s="19"/>
      <c r="AJ174" s="19"/>
      <c r="AK174" s="19"/>
      <c r="AL174" s="14"/>
      <c r="AM174" s="14"/>
      <c r="AN174" s="14"/>
      <c r="AO174" s="13"/>
      <c r="AP174" s="13"/>
      <c r="AQ174" s="13"/>
      <c r="AR174" s="13"/>
      <c r="AS174" s="65"/>
      <c r="AT174" s="63"/>
      <c r="AU174" s="47"/>
      <c r="AV174" s="14"/>
      <c r="AW174" s="19"/>
      <c r="AX174" s="19"/>
      <c r="AY174" s="19"/>
      <c r="AZ174" s="19"/>
      <c r="BA174" s="14"/>
      <c r="BB174" s="14"/>
      <c r="BC174" s="14"/>
      <c r="BD174" s="13"/>
      <c r="BE174" s="13"/>
      <c r="BF174" s="13"/>
      <c r="BG174" s="13"/>
      <c r="BH174" s="65"/>
      <c r="BI174" s="63"/>
      <c r="BJ174" s="352"/>
      <c r="BK174" s="19"/>
      <c r="BL174" s="19"/>
      <c r="BM174" s="19"/>
      <c r="BN174" s="19"/>
      <c r="BO174" s="19"/>
      <c r="BP174" s="14"/>
      <c r="BQ174" s="14"/>
      <c r="BR174" s="14"/>
      <c r="BS174" s="13"/>
      <c r="BT174" s="13"/>
      <c r="BU174" s="13"/>
      <c r="BV174" s="13"/>
      <c r="BW174" s="65"/>
      <c r="BX174" s="63"/>
      <c r="BY174" s="352"/>
      <c r="BZ174" s="14"/>
      <c r="CA174" s="140" t="s">
        <v>146</v>
      </c>
      <c r="CB174" s="27">
        <f>COUNTIFS(S30_stakeholder_category,"PO",Response_Q177_5,"&lt;&gt;0",Response_Q173_5,"&lt;&gt;0")</f>
        <v>0</v>
      </c>
      <c r="CC174" s="37">
        <f>COUNTIFS(S30_stakeholder_category,"PO",Response_Q177_5,1,Response_Q173_5,"&lt;&gt;0")</f>
        <v>0</v>
      </c>
      <c r="CD174" s="37">
        <f>COUNTIFS(S30_stakeholder_category,"PO",Response_Q177_5,2,Response_Q173_5,"&lt;&gt;0")</f>
        <v>0</v>
      </c>
      <c r="CE174" s="37">
        <f>COUNTIFS(S30_stakeholder_category,"PO",Response_Q177_5,3,Response_Q173_5,"&lt;&gt;0")</f>
        <v>0</v>
      </c>
      <c r="CF174" s="97">
        <f>IF(CB166=0,0,SUMPRODUCT(CC174:CE174,Rank_score)/$CB166)</f>
        <v>0</v>
      </c>
      <c r="CG174" s="14"/>
      <c r="CH174" s="140" t="s">
        <v>146</v>
      </c>
      <c r="CI174" s="27">
        <f t="shared" ref="CI174:CN174" si="121">COUNTIFS(S30_stakeholder_category,"PO",Response_Q177_5,"&lt;&gt;0",Response_Q177_6,CI$63,Response_Q173_5,"&lt;&gt;0")</f>
        <v>0</v>
      </c>
      <c r="CJ174" s="27">
        <f t="shared" si="121"/>
        <v>0</v>
      </c>
      <c r="CK174" s="27">
        <f t="shared" si="121"/>
        <v>0</v>
      </c>
      <c r="CL174" s="27">
        <f t="shared" si="121"/>
        <v>0</v>
      </c>
      <c r="CM174" s="27">
        <f t="shared" si="121"/>
        <v>0</v>
      </c>
      <c r="CN174" s="27">
        <f t="shared" si="121"/>
        <v>0</v>
      </c>
      <c r="CO174" s="141" t="str">
        <f t="shared" si="116"/>
        <v>Factor not ranked</v>
      </c>
      <c r="CP174" s="14"/>
      <c r="CQ174" s="47"/>
      <c r="CR174" s="14"/>
      <c r="CS174" s="106" t="s">
        <v>339</v>
      </c>
      <c r="CT174" s="27">
        <f>COUNTIFS(S30_stakeholder_category,"PO",Response_Q178_5,"&lt;&gt;0",Response_Q173_5,"&lt;&gt;0")</f>
        <v>0</v>
      </c>
      <c r="CU174" s="37">
        <f>COUNTIFS(S30_stakeholder_category,"PO",Response_Q178_5,1,Response_Q173_5,"&lt;&gt;0")</f>
        <v>0</v>
      </c>
      <c r="CV174" s="37">
        <f>COUNTIFS(S30_stakeholder_category,"PO",Response_Q178_5,2,Response_Q173_5,"&lt;&gt;0")</f>
        <v>0</v>
      </c>
      <c r="CW174" s="37">
        <f>COUNTIFS(S30_stakeholder_category,"PO",Response_Q178_5,3,Response_Q173_5,"&lt;&gt;0")</f>
        <v>0</v>
      </c>
      <c r="CX174" s="37">
        <f>IF(CT166=0,0,SUMPRODUCT(CU174:CW174,Rank_score)/CT$58)</f>
        <v>0</v>
      </c>
      <c r="CY174" s="14"/>
      <c r="CZ174" s="106" t="s">
        <v>339</v>
      </c>
      <c r="DA174" s="27">
        <f t="shared" ref="DA174:DF174" si="122">COUNTIFS(S30_stakeholder_category,"PO",Response_Q178_5,"&lt;&gt;0",Response_Q178_6,DA$63,Response_Q173_5,"&lt;&gt;0")</f>
        <v>0</v>
      </c>
      <c r="DB174" s="27">
        <f t="shared" si="122"/>
        <v>0</v>
      </c>
      <c r="DC174" s="27">
        <f t="shared" si="122"/>
        <v>0</v>
      </c>
      <c r="DD174" s="27">
        <f t="shared" si="122"/>
        <v>0</v>
      </c>
      <c r="DE174" s="27">
        <f t="shared" si="122"/>
        <v>0</v>
      </c>
      <c r="DF174" s="27">
        <f t="shared" si="122"/>
        <v>0</v>
      </c>
      <c r="DG174" s="141" t="str">
        <f t="shared" si="118"/>
        <v>Factor not ranked</v>
      </c>
      <c r="DH174" s="14"/>
      <c r="DI174" s="47"/>
      <c r="DJ174" s="14"/>
      <c r="DK174" s="56"/>
      <c r="DL174" s="19"/>
      <c r="DM174" s="59"/>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row>
    <row r="175" spans="1:142" x14ac:dyDescent="0.25">
      <c r="A175" s="14"/>
      <c r="B175" s="62"/>
      <c r="C175" s="19"/>
      <c r="D175" s="59"/>
      <c r="E175" s="14"/>
      <c r="F175" s="14"/>
      <c r="G175" s="14"/>
      <c r="H175" s="21"/>
      <c r="I175" s="21"/>
      <c r="J175" s="14"/>
      <c r="K175" s="14"/>
      <c r="L175" s="14"/>
      <c r="M175" s="14"/>
      <c r="N175" s="14"/>
      <c r="O175" s="14"/>
      <c r="P175" s="14"/>
      <c r="Q175" s="47"/>
      <c r="R175" s="19"/>
      <c r="S175" s="19"/>
      <c r="T175" s="19"/>
      <c r="U175" s="59"/>
      <c r="V175" s="19"/>
      <c r="W175" s="14"/>
      <c r="X175" s="14"/>
      <c r="Y175" s="14"/>
      <c r="Z175" s="14"/>
      <c r="AA175" s="14"/>
      <c r="AB175" s="14"/>
      <c r="AC175" s="14"/>
      <c r="AD175" s="65"/>
      <c r="AE175" s="63"/>
      <c r="AF175" s="47"/>
      <c r="AG175" s="19"/>
      <c r="AH175" s="19"/>
      <c r="AI175" s="19"/>
      <c r="AJ175" s="59"/>
      <c r="AK175" s="19"/>
      <c r="AL175" s="14"/>
      <c r="AM175" s="14"/>
      <c r="AN175" s="14"/>
      <c r="AO175" s="14"/>
      <c r="AP175" s="14"/>
      <c r="AQ175" s="14"/>
      <c r="AR175" s="14"/>
      <c r="AS175" s="65"/>
      <c r="AT175" s="63"/>
      <c r="AU175" s="47"/>
      <c r="AV175" s="14"/>
      <c r="AW175" s="19"/>
      <c r="AX175" s="19"/>
      <c r="AY175" s="59"/>
      <c r="AZ175" s="19"/>
      <c r="BA175" s="14"/>
      <c r="BB175" s="14"/>
      <c r="BC175" s="14"/>
      <c r="BD175" s="14"/>
      <c r="BE175" s="14"/>
      <c r="BF175" s="14"/>
      <c r="BG175" s="14"/>
      <c r="BH175" s="65"/>
      <c r="BI175" s="63"/>
      <c r="BJ175" s="352"/>
      <c r="BK175" s="19"/>
      <c r="BL175" s="19"/>
      <c r="BM175" s="19"/>
      <c r="BN175" s="59"/>
      <c r="BO175" s="19"/>
      <c r="BP175" s="14"/>
      <c r="BQ175" s="14"/>
      <c r="BR175" s="14"/>
      <c r="BS175" s="14"/>
      <c r="BT175" s="14"/>
      <c r="BU175" s="14"/>
      <c r="BV175" s="14"/>
      <c r="BW175" s="65"/>
      <c r="BX175" s="63"/>
      <c r="BY175" s="352"/>
      <c r="BZ175" s="14"/>
      <c r="CA175" s="140" t="s">
        <v>147</v>
      </c>
      <c r="CB175" s="27">
        <f>COUNTIFS(S30_stakeholder_category,"PO",Response_Q177_7,"&lt;&gt;0",Response_Q173_5,"&lt;&gt;0")</f>
        <v>0</v>
      </c>
      <c r="CC175" s="37">
        <f>COUNTIFS(S30_stakeholder_category,"PO",Response_Q177_7,1,Response_Q173_5,"&lt;&gt;0")</f>
        <v>0</v>
      </c>
      <c r="CD175" s="37">
        <f>COUNTIFS(S30_stakeholder_category,"PO",Response_Q177_7,2,Response_Q173_5,"&lt;&gt;0")</f>
        <v>0</v>
      </c>
      <c r="CE175" s="37">
        <f>COUNTIFS(S30_stakeholder_category,"PO",Response_Q177_7,3,Response_Q173_5,"&lt;&gt;0")</f>
        <v>0</v>
      </c>
      <c r="CF175" s="97">
        <f>IF(CB166=0,0,SUMPRODUCT(CC175:CE175,Rank_score)/$CB166)</f>
        <v>0</v>
      </c>
      <c r="CG175" s="14"/>
      <c r="CH175" s="140" t="s">
        <v>147</v>
      </c>
      <c r="CI175" s="27">
        <f t="shared" ref="CI175:CN175" si="123">COUNTIFS(S30_stakeholder_category,"PO",Response_Q177_7,"&lt;&gt;0",Response_Q177_8,CI$63,Response_Q173_5,"&lt;&gt;0")</f>
        <v>0</v>
      </c>
      <c r="CJ175" s="27">
        <f t="shared" si="123"/>
        <v>0</v>
      </c>
      <c r="CK175" s="27">
        <f t="shared" si="123"/>
        <v>0</v>
      </c>
      <c r="CL175" s="27">
        <f t="shared" si="123"/>
        <v>0</v>
      </c>
      <c r="CM175" s="27">
        <f t="shared" si="123"/>
        <v>0</v>
      </c>
      <c r="CN175" s="27">
        <f t="shared" si="123"/>
        <v>0</v>
      </c>
      <c r="CO175" s="141" t="str">
        <f t="shared" si="116"/>
        <v>Factor not ranked</v>
      </c>
      <c r="CP175" s="14"/>
      <c r="CQ175" s="47"/>
      <c r="CR175" s="14"/>
      <c r="CS175" s="106" t="s">
        <v>345</v>
      </c>
      <c r="CT175" s="27">
        <f>COUNTIFS(S30_stakeholder_category,"PO",Response_Q178_7,"&lt;&gt;0",Response_Q173_5,"&lt;&gt;0")</f>
        <v>0</v>
      </c>
      <c r="CU175" s="37">
        <f>COUNTIFS(S30_stakeholder_category,"PO",Response_Q178_7,1,Response_Q173_5,"&lt;&gt;0")</f>
        <v>0</v>
      </c>
      <c r="CV175" s="37">
        <f>COUNTIFS(S30_stakeholder_category,"PO",Response_Q178_7,2,Response_Q173_5,"&lt;&gt;0")</f>
        <v>0</v>
      </c>
      <c r="CW175" s="37">
        <f>COUNTIFS(S30_stakeholder_category,"PO",Response_Q178_7,3,Response_Q173_5,"&lt;&gt;0")</f>
        <v>0</v>
      </c>
      <c r="CX175" s="37">
        <f>IF(CT166=0,0,SUMPRODUCT(CU175:CW175,Rank_score)/CT$58)</f>
        <v>0</v>
      </c>
      <c r="CY175" s="14"/>
      <c r="CZ175" s="106" t="s">
        <v>345</v>
      </c>
      <c r="DA175" s="27">
        <f t="shared" ref="DA175:DF175" si="124">COUNTIFS(S30_stakeholder_category,"PO",Response_Q178_7,"&lt;&gt;0",Response_Q178_8,DA$63,Response_Q173_5,"&lt;&gt;0")</f>
        <v>0</v>
      </c>
      <c r="DB175" s="27">
        <f t="shared" si="124"/>
        <v>0</v>
      </c>
      <c r="DC175" s="27">
        <f t="shared" si="124"/>
        <v>0</v>
      </c>
      <c r="DD175" s="27">
        <f t="shared" si="124"/>
        <v>0</v>
      </c>
      <c r="DE175" s="27">
        <f t="shared" si="124"/>
        <v>0</v>
      </c>
      <c r="DF175" s="27">
        <f t="shared" si="124"/>
        <v>0</v>
      </c>
      <c r="DG175" s="141" t="str">
        <f t="shared" si="118"/>
        <v>Factor not ranked</v>
      </c>
      <c r="DH175" s="14"/>
      <c r="DI175" s="47"/>
      <c r="DJ175" s="14"/>
      <c r="DK175" s="14"/>
      <c r="DL175" s="19"/>
      <c r="DM175" s="59"/>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row>
    <row r="176" spans="1:142" x14ac:dyDescent="0.25">
      <c r="A176" s="14"/>
      <c r="B176" s="19"/>
      <c r="C176" s="19"/>
      <c r="D176" s="59"/>
      <c r="E176" s="14"/>
      <c r="F176" s="14"/>
      <c r="G176" s="14"/>
      <c r="H176" s="21"/>
      <c r="I176" s="21"/>
      <c r="J176" s="14"/>
      <c r="K176" s="14"/>
      <c r="L176" s="14"/>
      <c r="M176" s="14"/>
      <c r="N176" s="14"/>
      <c r="O176" s="14"/>
      <c r="P176" s="14"/>
      <c r="Q176" s="47"/>
      <c r="R176" s="19"/>
      <c r="S176" s="19"/>
      <c r="T176" s="19"/>
      <c r="U176" s="59"/>
      <c r="V176" s="19"/>
      <c r="W176" s="14"/>
      <c r="X176" s="14"/>
      <c r="Y176" s="14"/>
      <c r="Z176" s="14"/>
      <c r="AA176" s="14"/>
      <c r="AB176" s="14"/>
      <c r="AC176" s="14"/>
      <c r="AD176" s="65"/>
      <c r="AE176" s="63"/>
      <c r="AF176" s="47"/>
      <c r="AG176" s="19"/>
      <c r="AH176" s="19"/>
      <c r="AI176" s="19"/>
      <c r="AJ176" s="59"/>
      <c r="AK176" s="19"/>
      <c r="AL176" s="14"/>
      <c r="AM176" s="14"/>
      <c r="AN176" s="14"/>
      <c r="AO176" s="14"/>
      <c r="AP176" s="14"/>
      <c r="AQ176" s="14"/>
      <c r="AR176" s="14"/>
      <c r="AS176" s="65"/>
      <c r="AT176" s="63"/>
      <c r="AU176" s="47"/>
      <c r="AV176" s="14"/>
      <c r="AW176" s="19"/>
      <c r="AX176" s="19"/>
      <c r="AY176" s="59"/>
      <c r="AZ176" s="19"/>
      <c r="BA176" s="14"/>
      <c r="BB176" s="14"/>
      <c r="BC176" s="14"/>
      <c r="BD176" s="14"/>
      <c r="BE176" s="14"/>
      <c r="BF176" s="14"/>
      <c r="BG176" s="14"/>
      <c r="BH176" s="65"/>
      <c r="BI176" s="63"/>
      <c r="BJ176" s="352"/>
      <c r="BK176" s="19"/>
      <c r="BL176" s="19"/>
      <c r="BM176" s="19"/>
      <c r="BN176" s="59"/>
      <c r="BO176" s="19"/>
      <c r="BP176" s="14"/>
      <c r="BQ176" s="14"/>
      <c r="BR176" s="14"/>
      <c r="BS176" s="14"/>
      <c r="BT176" s="14"/>
      <c r="BU176" s="14"/>
      <c r="BV176" s="14"/>
      <c r="BW176" s="65"/>
      <c r="BX176" s="63"/>
      <c r="BY176" s="352"/>
      <c r="BZ176" s="14"/>
      <c r="CA176" s="140" t="s">
        <v>341</v>
      </c>
      <c r="CB176" s="27">
        <f>COUNTIFS(S30_stakeholder_category,"PO",Response_Q177_9,"&lt;&gt;0",Response_Q173_5,"&lt;&gt;0")</f>
        <v>0</v>
      </c>
      <c r="CC176" s="37">
        <f>COUNTIFS(S30_stakeholder_category,"PO",Response_Q177_9,1,Response_Q173_5,"&lt;&gt;0")</f>
        <v>0</v>
      </c>
      <c r="CD176" s="37">
        <f>COUNTIFS(S30_stakeholder_category,"PO",Response_Q177_9,2,Response_Q173_5,"&lt;&gt;0")</f>
        <v>0</v>
      </c>
      <c r="CE176" s="37">
        <f>COUNTIFS(S30_stakeholder_category,"PO",Response_Q177_9,3,Response_Q173_5,"&lt;&gt;0")</f>
        <v>0</v>
      </c>
      <c r="CF176" s="97">
        <f>IF(CB166=0,0,SUMPRODUCT(CC176:CE176,Rank_score)/$CB166)</f>
        <v>0</v>
      </c>
      <c r="CG176" s="14"/>
      <c r="CH176" s="140" t="s">
        <v>341</v>
      </c>
      <c r="CI176" s="27">
        <f t="shared" ref="CI176:CN176" si="125">COUNTIFS(S30_stakeholder_category,"PO",Response_Q177_9,"&lt;&gt;0",Response_Q177_10,CI$63,Response_Q173_5,"&lt;&gt;0")</f>
        <v>0</v>
      </c>
      <c r="CJ176" s="27">
        <f t="shared" si="125"/>
        <v>0</v>
      </c>
      <c r="CK176" s="27">
        <f t="shared" si="125"/>
        <v>0</v>
      </c>
      <c r="CL176" s="27">
        <f t="shared" si="125"/>
        <v>0</v>
      </c>
      <c r="CM176" s="27">
        <f t="shared" si="125"/>
        <v>0</v>
      </c>
      <c r="CN176" s="27">
        <f t="shared" si="125"/>
        <v>0</v>
      </c>
      <c r="CO176" s="141" t="str">
        <f t="shared" si="116"/>
        <v>Factor not ranked</v>
      </c>
      <c r="CP176" s="14"/>
      <c r="CQ176" s="47"/>
      <c r="CR176" s="14"/>
      <c r="CS176" s="106" t="s">
        <v>561</v>
      </c>
      <c r="CT176" s="27">
        <f>COUNTIFS(S30_stakeholder_category,"PO",Response_Q178_9,"&lt;&gt;0",Response_Q173_5,"&lt;&gt;0")</f>
        <v>0</v>
      </c>
      <c r="CU176" s="37">
        <f>COUNTIFS(S30_stakeholder_category,"PO",Response_Q178_9,1,Response_Q173_5,"&lt;&gt;0")</f>
        <v>0</v>
      </c>
      <c r="CV176" s="37">
        <f>COUNTIFS(S30_stakeholder_category,"PO",Response_Q178_9,2,Response_Q173_5,"&lt;&gt;0")</f>
        <v>0</v>
      </c>
      <c r="CW176" s="37">
        <f>COUNTIFS(S30_stakeholder_category,"PO",Response_Q178_9,3,Response_Q173_5,"&lt;&gt;0")</f>
        <v>0</v>
      </c>
      <c r="CX176" s="37">
        <f>IF(CT166=0,0,SUMPRODUCT(CU176:CW176,Rank_score)/CT$58)</f>
        <v>0</v>
      </c>
      <c r="CY176" s="14"/>
      <c r="CZ176" s="106" t="s">
        <v>561</v>
      </c>
      <c r="DA176" s="27">
        <f t="shared" ref="DA176:DF176" si="126">COUNTIFS(S30_stakeholder_category,"PO",Response_Q178_9,"&lt;&gt;0",Response_Q178_10,DA$63,Response_Q173_5,"&lt;&gt;0")</f>
        <v>0</v>
      </c>
      <c r="DB176" s="27">
        <f t="shared" si="126"/>
        <v>0</v>
      </c>
      <c r="DC176" s="27">
        <f t="shared" si="126"/>
        <v>0</v>
      </c>
      <c r="DD176" s="27">
        <f t="shared" si="126"/>
        <v>0</v>
      </c>
      <c r="DE176" s="27">
        <f t="shared" si="126"/>
        <v>0</v>
      </c>
      <c r="DF176" s="27">
        <f t="shared" si="126"/>
        <v>0</v>
      </c>
      <c r="DG176" s="141" t="str">
        <f t="shared" si="118"/>
        <v>Factor not ranked</v>
      </c>
      <c r="DH176" s="14"/>
      <c r="DI176" s="47"/>
      <c r="DJ176" s="14"/>
      <c r="DK176" s="14"/>
      <c r="DL176" s="19"/>
      <c r="DM176" s="59"/>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row>
    <row r="177" spans="1:142" x14ac:dyDescent="0.25">
      <c r="A177" s="14"/>
      <c r="B177" s="19"/>
      <c r="C177" s="19"/>
      <c r="D177" s="59"/>
      <c r="E177" s="14"/>
      <c r="F177" s="14"/>
      <c r="G177" s="14"/>
      <c r="H177" s="21"/>
      <c r="I177" s="21"/>
      <c r="J177" s="14"/>
      <c r="K177" s="14"/>
      <c r="L177" s="14"/>
      <c r="M177" s="14"/>
      <c r="N177" s="14"/>
      <c r="O177" s="14"/>
      <c r="P177" s="14"/>
      <c r="Q177" s="47"/>
      <c r="R177" s="19"/>
      <c r="S177" s="56"/>
      <c r="T177" s="29"/>
      <c r="U177" s="27"/>
      <c r="V177" s="19"/>
      <c r="W177" s="14"/>
      <c r="X177" s="14"/>
      <c r="Y177" s="14"/>
      <c r="Z177" s="14"/>
      <c r="AA177" s="14"/>
      <c r="AB177" s="14"/>
      <c r="AC177" s="14"/>
      <c r="AD177" s="65"/>
      <c r="AE177" s="63"/>
      <c r="AF177" s="47"/>
      <c r="AG177" s="19"/>
      <c r="AH177" s="56"/>
      <c r="AI177" s="29"/>
      <c r="AJ177" s="27"/>
      <c r="AK177" s="19"/>
      <c r="AL177" s="14"/>
      <c r="AM177" s="14"/>
      <c r="AN177" s="14"/>
      <c r="AO177" s="14"/>
      <c r="AP177" s="14"/>
      <c r="AQ177" s="14"/>
      <c r="AR177" s="14"/>
      <c r="AS177" s="65"/>
      <c r="AT177" s="63"/>
      <c r="AU177" s="47"/>
      <c r="AV177" s="14"/>
      <c r="AW177" s="56"/>
      <c r="AX177" s="29"/>
      <c r="AY177" s="27"/>
      <c r="AZ177" s="19"/>
      <c r="BA177" s="14"/>
      <c r="BB177" s="14"/>
      <c r="BC177" s="14"/>
      <c r="BD177" s="14"/>
      <c r="BE177" s="14"/>
      <c r="BF177" s="14"/>
      <c r="BG177" s="14"/>
      <c r="BH177" s="65"/>
      <c r="BI177" s="63"/>
      <c r="BJ177" s="352"/>
      <c r="BK177" s="19"/>
      <c r="BL177" s="56"/>
      <c r="BM177" s="29"/>
      <c r="BN177" s="27"/>
      <c r="BO177" s="19"/>
      <c r="BP177" s="14"/>
      <c r="BQ177" s="14"/>
      <c r="BR177" s="14"/>
      <c r="BS177" s="14"/>
      <c r="BT177" s="14"/>
      <c r="BU177" s="14"/>
      <c r="BV177" s="14"/>
      <c r="BW177" s="65"/>
      <c r="BX177" s="63"/>
      <c r="BY177" s="352"/>
      <c r="BZ177" s="14"/>
      <c r="CA177" s="106" t="s">
        <v>148</v>
      </c>
      <c r="CB177" s="27">
        <f>COUNTIFS(S30_stakeholder_category,"PO",Response_Q177_11,"&lt;&gt;0",Response_Q173_5,"&lt;&gt;0")</f>
        <v>0</v>
      </c>
      <c r="CC177" s="37">
        <f>COUNTIFS(S30_stakeholder_category,"PO",Response_Q177_11,1,Response_Q173_5,"&lt;&gt;0")</f>
        <v>0</v>
      </c>
      <c r="CD177" s="37">
        <f>COUNTIFS(S30_stakeholder_category,"PO",Response_Q177_11,2,Response_Q173_5,"&lt;&gt;0")</f>
        <v>0</v>
      </c>
      <c r="CE177" s="37">
        <f>COUNTIFS(S30_stakeholder_category,"PO",Response_Q177_11,3,Response_Q173_5,"&lt;&gt;0")</f>
        <v>0</v>
      </c>
      <c r="CF177" s="97">
        <f>IF(CB166=0,0,SUMPRODUCT(CC177:CE177,Rank_score)/$CB166)</f>
        <v>0</v>
      </c>
      <c r="CG177" s="43"/>
      <c r="CH177" s="106" t="s">
        <v>148</v>
      </c>
      <c r="CI177" s="27">
        <f t="shared" ref="CI177:CN177" si="127">COUNTIFS(S30_stakeholder_category,"PO",Response_Q177_11,"&lt;&gt;0",Response_Q177_12,CI$63,Response_Q173_5,"&lt;&gt;0")</f>
        <v>0</v>
      </c>
      <c r="CJ177" s="27">
        <f t="shared" si="127"/>
        <v>0</v>
      </c>
      <c r="CK177" s="27">
        <f t="shared" si="127"/>
        <v>0</v>
      </c>
      <c r="CL177" s="27">
        <f t="shared" si="127"/>
        <v>0</v>
      </c>
      <c r="CM177" s="27">
        <f t="shared" si="127"/>
        <v>0</v>
      </c>
      <c r="CN177" s="27">
        <f t="shared" si="127"/>
        <v>0</v>
      </c>
      <c r="CO177" s="141" t="str">
        <f t="shared" si="116"/>
        <v>Factor not ranked</v>
      </c>
      <c r="CP177" s="14"/>
      <c r="CQ177" s="47"/>
      <c r="CR177" s="14"/>
      <c r="CS177" s="106" t="s">
        <v>49</v>
      </c>
      <c r="CT177" s="27">
        <f>COUNTIFS(S30_stakeholder_category,"PO",Response_Q178_11,"&lt;&gt;0",Response_Q173_5,"&lt;&gt;0")</f>
        <v>0</v>
      </c>
      <c r="CU177" s="37">
        <f>COUNTIFS(S30_stakeholder_category,"PO",Response_Q178_11,1,Response_Q173_5,"&lt;&gt;0")</f>
        <v>0</v>
      </c>
      <c r="CV177" s="37">
        <f>COUNTIFS(S30_stakeholder_category,"PO",Response_Q178_11,2,Response_Q173_5,"&lt;&gt;0")</f>
        <v>0</v>
      </c>
      <c r="CW177" s="37">
        <f>COUNTIFS(S30_stakeholder_category,"PO",Response_Q178_11,3,Response_Q173_5,"&lt;&gt;0")</f>
        <v>0</v>
      </c>
      <c r="CX177" s="37">
        <f>IF(CT166=0,0,SUMPRODUCT(CU177:CW177,Rank_score)/CT$58)</f>
        <v>0</v>
      </c>
      <c r="CY177" s="43"/>
      <c r="CZ177" s="106" t="s">
        <v>49</v>
      </c>
      <c r="DA177" s="27">
        <f t="shared" ref="DA177:DF177" si="128">COUNTIFS(S30_stakeholder_category,"PO",Response_Q178_11,"&lt;&gt;0",Response_Q178_12,DA$63,Response_Q173_5,"&lt;&gt;0")</f>
        <v>0</v>
      </c>
      <c r="DB177" s="27">
        <f t="shared" si="128"/>
        <v>0</v>
      </c>
      <c r="DC177" s="27">
        <f t="shared" si="128"/>
        <v>0</v>
      </c>
      <c r="DD177" s="27">
        <f t="shared" si="128"/>
        <v>0</v>
      </c>
      <c r="DE177" s="27">
        <f t="shared" si="128"/>
        <v>0</v>
      </c>
      <c r="DF177" s="27">
        <f t="shared" si="128"/>
        <v>0</v>
      </c>
      <c r="DG177" s="141" t="str">
        <f t="shared" si="118"/>
        <v>Factor not ranked</v>
      </c>
      <c r="DH177" s="14"/>
      <c r="DI177" s="47"/>
      <c r="DJ177" s="14"/>
      <c r="DK177" s="14"/>
      <c r="DL177" s="19"/>
      <c r="DM177" s="59"/>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row>
    <row r="178" spans="1:142" x14ac:dyDescent="0.25">
      <c r="A178" s="14"/>
      <c r="B178" s="56"/>
      <c r="C178" s="29"/>
      <c r="D178" s="59"/>
      <c r="E178" s="14"/>
      <c r="F178" s="14"/>
      <c r="G178" s="14"/>
      <c r="H178" s="21"/>
      <c r="I178" s="21"/>
      <c r="J178" s="14"/>
      <c r="K178" s="14"/>
      <c r="L178" s="14"/>
      <c r="M178" s="14"/>
      <c r="N178" s="14"/>
      <c r="O178" s="14"/>
      <c r="P178" s="14"/>
      <c r="Q178" s="47"/>
      <c r="R178" s="19"/>
      <c r="S178" s="56"/>
      <c r="T178" s="19"/>
      <c r="U178" s="27"/>
      <c r="V178" s="19"/>
      <c r="W178" s="14"/>
      <c r="X178" s="14"/>
      <c r="Y178" s="14"/>
      <c r="Z178" s="14"/>
      <c r="AA178" s="14"/>
      <c r="AB178" s="14"/>
      <c r="AC178" s="14"/>
      <c r="AD178" s="65"/>
      <c r="AE178" s="63"/>
      <c r="AF178" s="47"/>
      <c r="AG178" s="19"/>
      <c r="AH178" s="56"/>
      <c r="AI178" s="19"/>
      <c r="AJ178" s="27"/>
      <c r="AK178" s="19"/>
      <c r="AL178" s="14"/>
      <c r="AM178" s="14"/>
      <c r="AN178" s="14"/>
      <c r="AO178" s="14"/>
      <c r="AP178" s="14"/>
      <c r="AQ178" s="14"/>
      <c r="AR178" s="14"/>
      <c r="AS178" s="65"/>
      <c r="AT178" s="63"/>
      <c r="AU178" s="47"/>
      <c r="AV178" s="14"/>
      <c r="AW178" s="56"/>
      <c r="AX178" s="19"/>
      <c r="AY178" s="27"/>
      <c r="AZ178" s="19"/>
      <c r="BA178" s="14"/>
      <c r="BB178" s="14"/>
      <c r="BC178" s="14"/>
      <c r="BD178" s="14"/>
      <c r="BE178" s="14"/>
      <c r="BF178" s="14"/>
      <c r="BG178" s="14"/>
      <c r="BH178" s="65"/>
      <c r="BI178" s="63"/>
      <c r="BJ178" s="352"/>
      <c r="BK178" s="19"/>
      <c r="BL178" s="56"/>
      <c r="BM178" s="19"/>
      <c r="BN178" s="27"/>
      <c r="BO178" s="19"/>
      <c r="BP178" s="14"/>
      <c r="BQ178" s="14"/>
      <c r="BR178" s="14"/>
      <c r="BS178" s="14"/>
      <c r="BT178" s="14"/>
      <c r="BU178" s="14"/>
      <c r="BV178" s="14"/>
      <c r="BW178" s="65"/>
      <c r="BX178" s="63"/>
      <c r="BY178" s="352"/>
      <c r="BZ178" s="14"/>
      <c r="CA178" s="107" t="s">
        <v>49</v>
      </c>
      <c r="CB178" s="27">
        <f>COUNTIFS(S30_stakeholder_category,"PO",Response_Q177_13,"&lt;&gt;0",Response_Q173_5,"&lt;&gt;0")</f>
        <v>0</v>
      </c>
      <c r="CC178" s="37">
        <f>COUNTIFS(S30_stakeholder_category,"PO",Response_Q177_13,1,Response_Q173_5,"&lt;&gt;0")</f>
        <v>0</v>
      </c>
      <c r="CD178" s="37">
        <f>COUNTIFS(S30_stakeholder_category,"PO",Response_Q177_13,2,Response_Q173_5,"&lt;&gt;0")</f>
        <v>0</v>
      </c>
      <c r="CE178" s="37">
        <f>COUNTIFS(S30_stakeholder_category,"PO",Response_Q177_13,3,Response_Q173_5,"&lt;&gt;0")</f>
        <v>0</v>
      </c>
      <c r="CF178" s="97">
        <f>IF(CB166=0,0,SUMPRODUCT(CC178:CE178,Rank_score)/$CB166)</f>
        <v>0</v>
      </c>
      <c r="CG178" s="29"/>
      <c r="CH178" s="107" t="s">
        <v>49</v>
      </c>
      <c r="CI178" s="27">
        <f t="shared" ref="CI178:CN178" si="129">COUNTIFS(S30_stakeholder_category,"PO",Response_Q177_13,"&lt;&gt;0",Response_Q177_14,CI$63,Response_Q173_5,"&lt;&gt;0")</f>
        <v>0</v>
      </c>
      <c r="CJ178" s="27">
        <f t="shared" si="129"/>
        <v>0</v>
      </c>
      <c r="CK178" s="27">
        <f t="shared" si="129"/>
        <v>0</v>
      </c>
      <c r="CL178" s="27">
        <f t="shared" si="129"/>
        <v>0</v>
      </c>
      <c r="CM178" s="27">
        <f t="shared" si="129"/>
        <v>0</v>
      </c>
      <c r="CN178" s="27">
        <f t="shared" si="129"/>
        <v>0</v>
      </c>
      <c r="CO178" s="141" t="str">
        <f t="shared" si="116"/>
        <v>Factor not ranked</v>
      </c>
      <c r="CP178" s="14"/>
      <c r="CQ178" s="47"/>
      <c r="CR178" s="14"/>
      <c r="CS178" s="107"/>
      <c r="CT178" s="27"/>
      <c r="CU178" s="37"/>
      <c r="CV178" s="37"/>
      <c r="CW178" s="37"/>
      <c r="CX178" s="37"/>
      <c r="CY178" s="29"/>
      <c r="CZ178" s="106"/>
      <c r="DA178" s="27"/>
      <c r="DB178" s="27"/>
      <c r="DC178" s="27"/>
      <c r="DD178" s="27"/>
      <c r="DE178" s="27"/>
      <c r="DF178" s="27"/>
      <c r="DG178" s="141" t="str">
        <f t="shared" si="118"/>
        <v/>
      </c>
      <c r="DH178" s="14"/>
      <c r="DI178" s="47"/>
      <c r="DJ178" s="14"/>
      <c r="DK178" s="62"/>
      <c r="DL178" s="19"/>
      <c r="DM178" s="59"/>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row>
    <row r="179" spans="1:142" x14ac:dyDescent="0.25">
      <c r="A179" s="14"/>
      <c r="B179" s="56"/>
      <c r="C179" s="19"/>
      <c r="D179" s="59"/>
      <c r="E179" s="14"/>
      <c r="F179" s="14"/>
      <c r="G179" s="109" t="s">
        <v>14</v>
      </c>
      <c r="H179" s="110" t="s">
        <v>6</v>
      </c>
      <c r="I179" s="110" t="s">
        <v>7</v>
      </c>
      <c r="J179" s="14"/>
      <c r="K179" s="14"/>
      <c r="L179" s="14"/>
      <c r="M179" s="14"/>
      <c r="N179" s="14"/>
      <c r="O179" s="14"/>
      <c r="P179" s="14"/>
      <c r="Q179" s="47"/>
      <c r="R179" s="19"/>
      <c r="S179" s="19"/>
      <c r="T179" s="19"/>
      <c r="U179" s="27"/>
      <c r="V179" s="19"/>
      <c r="W179" s="14"/>
      <c r="X179" s="109" t="s">
        <v>14</v>
      </c>
      <c r="Y179" s="110" t="s">
        <v>6</v>
      </c>
      <c r="Z179" s="110" t="s">
        <v>7</v>
      </c>
      <c r="AA179" s="14"/>
      <c r="AB179" s="14"/>
      <c r="AC179" s="14"/>
      <c r="AD179" s="65"/>
      <c r="AE179" s="63"/>
      <c r="AF179" s="47"/>
      <c r="AG179" s="19"/>
      <c r="AH179" s="19"/>
      <c r="AI179" s="19"/>
      <c r="AJ179" s="27"/>
      <c r="AK179" s="19"/>
      <c r="AL179" s="14"/>
      <c r="AM179" s="109" t="s">
        <v>14</v>
      </c>
      <c r="AN179" s="110" t="s">
        <v>6</v>
      </c>
      <c r="AO179" s="110" t="s">
        <v>7</v>
      </c>
      <c r="AP179" s="14"/>
      <c r="AQ179" s="14"/>
      <c r="AR179" s="14"/>
      <c r="AS179" s="65"/>
      <c r="AT179" s="63"/>
      <c r="AU179" s="47"/>
      <c r="AV179" s="14"/>
      <c r="AW179" s="19"/>
      <c r="AX179" s="19"/>
      <c r="AY179" s="27"/>
      <c r="AZ179" s="19"/>
      <c r="BA179" s="14"/>
      <c r="BB179" s="109" t="s">
        <v>14</v>
      </c>
      <c r="BC179" s="110" t="s">
        <v>6</v>
      </c>
      <c r="BD179" s="110" t="s">
        <v>7</v>
      </c>
      <c r="BE179" s="14"/>
      <c r="BF179" s="14"/>
      <c r="BG179" s="14"/>
      <c r="BH179" s="65"/>
      <c r="BI179" s="63"/>
      <c r="BJ179" s="352"/>
      <c r="BK179" s="19"/>
      <c r="BL179" s="19"/>
      <c r="BM179" s="19"/>
      <c r="BN179" s="27"/>
      <c r="BO179" s="19"/>
      <c r="BP179" s="14"/>
      <c r="BQ179" s="109" t="s">
        <v>14</v>
      </c>
      <c r="BR179" s="110" t="s">
        <v>6</v>
      </c>
      <c r="BS179" s="110" t="s">
        <v>7</v>
      </c>
      <c r="BT179" s="14"/>
      <c r="BU179" s="14"/>
      <c r="BV179" s="14"/>
      <c r="BW179" s="65"/>
      <c r="BX179" s="63"/>
      <c r="BY179" s="352"/>
      <c r="BZ179" s="14"/>
      <c r="CA179" s="86"/>
      <c r="CB179" s="111"/>
      <c r="CC179" s="111"/>
      <c r="CD179" s="179"/>
      <c r="CE179" s="179"/>
      <c r="CF179" s="108"/>
      <c r="CG179" s="29"/>
      <c r="CH179" s="109"/>
      <c r="CI179" s="109"/>
      <c r="CJ179" s="109"/>
      <c r="CK179" s="109"/>
      <c r="CL179" s="109"/>
      <c r="CM179" s="109"/>
      <c r="CN179" s="109"/>
      <c r="CO179" s="329"/>
      <c r="CP179" s="14"/>
      <c r="CQ179" s="47"/>
      <c r="CR179" s="14"/>
      <c r="CS179" s="107"/>
      <c r="CT179" s="27"/>
      <c r="CU179" s="37"/>
      <c r="CV179" s="37"/>
      <c r="CW179" s="37"/>
      <c r="CX179" s="37"/>
      <c r="CY179" s="29"/>
      <c r="CZ179" s="106"/>
      <c r="DA179" s="27"/>
      <c r="DB179" s="27"/>
      <c r="DC179" s="27"/>
      <c r="DD179" s="27"/>
      <c r="DE179" s="27"/>
      <c r="DF179" s="27"/>
      <c r="DG179" s="141" t="str">
        <f t="shared" si="118"/>
        <v/>
      </c>
      <c r="DH179" s="14"/>
      <c r="DI179" s="47"/>
      <c r="DJ179" s="14"/>
      <c r="DK179" s="62"/>
      <c r="DL179" s="19"/>
      <c r="DM179" s="59"/>
      <c r="DN179" s="14"/>
      <c r="DO179" s="14"/>
      <c r="DP179" s="109" t="s">
        <v>14</v>
      </c>
      <c r="DQ179" s="110" t="s">
        <v>6</v>
      </c>
      <c r="DR179" s="110" t="s">
        <v>7</v>
      </c>
      <c r="DS179" s="14"/>
      <c r="DT179" s="14"/>
      <c r="DU179" s="14"/>
      <c r="DV179" s="14"/>
      <c r="DW179" s="14"/>
      <c r="DX179" s="14"/>
      <c r="DY179" s="14"/>
      <c r="DZ179" s="14"/>
      <c r="EA179" s="14"/>
      <c r="EB179" s="14"/>
      <c r="EC179" s="14"/>
      <c r="ED179" s="14"/>
      <c r="EE179" s="14"/>
      <c r="EF179" s="14"/>
      <c r="EG179" s="14"/>
      <c r="EH179" s="14"/>
      <c r="EI179" s="14"/>
      <c r="EJ179" s="14"/>
      <c r="EK179" s="14"/>
      <c r="EL179" s="14"/>
    </row>
    <row r="180" spans="1:142" x14ac:dyDescent="0.25">
      <c r="A180" s="14"/>
      <c r="B180" s="14"/>
      <c r="C180" s="19"/>
      <c r="D180" s="59"/>
      <c r="E180" s="14"/>
      <c r="F180" s="14"/>
      <c r="G180" s="107" t="s">
        <v>34</v>
      </c>
      <c r="H180" s="27">
        <f>COUNTIFS(S30_stakeholder_category,"PO",Response_Q173_5,G180)</f>
        <v>0</v>
      </c>
      <c r="I180" s="41" t="str">
        <f>IFERROR(H180/H$185,"")</f>
        <v/>
      </c>
      <c r="J180" s="14"/>
      <c r="K180" s="14"/>
      <c r="L180" s="14"/>
      <c r="M180" s="14"/>
      <c r="N180" s="14"/>
      <c r="O180" s="14"/>
      <c r="P180" s="14"/>
      <c r="Q180" s="47"/>
      <c r="R180" s="19"/>
      <c r="S180" s="19"/>
      <c r="T180" s="19"/>
      <c r="U180" s="27"/>
      <c r="V180" s="19"/>
      <c r="W180" s="14"/>
      <c r="X180" s="107" t="s">
        <v>5</v>
      </c>
      <c r="Y180" s="27">
        <f t="shared" ref="Y180:Y186" si="130">COUNTIFS(S30_stakeholder_category,"PO",Response_Q176_3,X180)</f>
        <v>0</v>
      </c>
      <c r="Z180" s="41">
        <f t="shared" ref="Z180:Z186" si="131">IFERROR(Y180/Y$187,0)</f>
        <v>0</v>
      </c>
      <c r="AA180" s="14"/>
      <c r="AB180" s="14"/>
      <c r="AC180" s="14"/>
      <c r="AD180" s="65"/>
      <c r="AE180" s="63"/>
      <c r="AF180" s="47"/>
      <c r="AG180" s="19"/>
      <c r="AH180" s="19"/>
      <c r="AI180" s="19"/>
      <c r="AJ180" s="27"/>
      <c r="AK180" s="19"/>
      <c r="AL180" s="14"/>
      <c r="AM180" s="107" t="s">
        <v>5</v>
      </c>
      <c r="AN180" s="27">
        <f t="shared" ref="AN180:AN186" si="132">COUNTIFS(S30_stakeholder_category,"PO",Response_30c_CaseA,AM180)</f>
        <v>1</v>
      </c>
      <c r="AO180" s="41">
        <f>IFERROR(AN180/AN$187,0)</f>
        <v>1</v>
      </c>
      <c r="AP180" s="14"/>
      <c r="AQ180" s="14"/>
      <c r="AR180" s="14"/>
      <c r="AS180" s="65"/>
      <c r="AT180" s="63"/>
      <c r="AU180" s="47"/>
      <c r="AV180" s="14"/>
      <c r="AW180" s="19"/>
      <c r="AX180" s="19"/>
      <c r="AY180" s="27"/>
      <c r="AZ180" s="19"/>
      <c r="BA180" s="14"/>
      <c r="BB180" s="107" t="s">
        <v>5</v>
      </c>
      <c r="BC180" s="27">
        <f t="shared" ref="BC180:BC186" si="133">COUNTIFS(S30_stakeholder_category,"PO",Response_30c_CaseB,BB180)</f>
        <v>1</v>
      </c>
      <c r="BD180" s="41">
        <f>IFERROR(BC180/BC$187,0)</f>
        <v>1</v>
      </c>
      <c r="BE180" s="14"/>
      <c r="BF180" s="14"/>
      <c r="BG180" s="14"/>
      <c r="BH180" s="65"/>
      <c r="BI180" s="63"/>
      <c r="BJ180" s="352"/>
      <c r="BK180" s="19"/>
      <c r="BL180" s="19"/>
      <c r="BM180" s="19"/>
      <c r="BN180" s="27"/>
      <c r="BO180" s="19"/>
      <c r="BP180" s="14"/>
      <c r="BQ180" s="107" t="s">
        <v>5</v>
      </c>
      <c r="BR180" s="27">
        <f t="shared" ref="BR180:BR186" si="134">COUNTIFS(S30_stakeholder_category,"PO",Response_30c_CaseC,BQ180)</f>
        <v>1</v>
      </c>
      <c r="BS180" s="41">
        <f>IFERROR(BR180/BR$187,0)</f>
        <v>1</v>
      </c>
      <c r="BT180" s="14"/>
      <c r="BU180" s="14"/>
      <c r="BV180" s="14"/>
      <c r="BW180" s="65"/>
      <c r="BX180" s="63"/>
      <c r="BY180" s="352"/>
      <c r="BZ180" s="14"/>
      <c r="CA180" s="14"/>
      <c r="CB180" s="21"/>
      <c r="CC180" s="21"/>
      <c r="CD180" s="180"/>
      <c r="CE180" s="181"/>
      <c r="CF180" s="31"/>
      <c r="CG180" s="52"/>
      <c r="CH180" s="52"/>
      <c r="CI180" s="99"/>
      <c r="CJ180" s="14"/>
      <c r="CK180" s="14"/>
      <c r="CL180" s="14"/>
      <c r="CM180" s="14"/>
      <c r="CN180" s="14"/>
      <c r="CO180" s="129"/>
      <c r="CP180" s="14"/>
      <c r="CQ180" s="47"/>
      <c r="CR180" s="14"/>
      <c r="CS180" s="86"/>
      <c r="CT180" s="111"/>
      <c r="CU180" s="86"/>
      <c r="CV180" s="179"/>
      <c r="CW180" s="188"/>
      <c r="CX180" s="179"/>
      <c r="CY180" s="29"/>
      <c r="CZ180" s="109"/>
      <c r="DA180" s="109"/>
      <c r="DB180" s="109"/>
      <c r="DC180" s="109"/>
      <c r="DD180" s="109"/>
      <c r="DE180" s="109"/>
      <c r="DF180" s="109"/>
      <c r="DG180" s="329"/>
      <c r="DH180" s="14"/>
      <c r="DI180" s="47"/>
      <c r="DJ180" s="14"/>
      <c r="DK180" s="62"/>
      <c r="DL180" s="19"/>
      <c r="DM180" s="59"/>
      <c r="DN180" s="14"/>
      <c r="DO180" s="14"/>
      <c r="DP180" s="107" t="s">
        <v>34</v>
      </c>
      <c r="DQ180" s="27">
        <f>COUNTIFS(S30_stakeholder_category,"PO",Response_Q172_1,DP180,Response_Q173_5,"&lt;&gt;0")</f>
        <v>0</v>
      </c>
      <c r="DR180" s="41" t="str">
        <f>IF(DQ185=0,"",DQ180/DQ185)</f>
        <v/>
      </c>
      <c r="DS180" s="14"/>
      <c r="DT180" s="14"/>
      <c r="DU180" s="14"/>
      <c r="DV180" s="14"/>
      <c r="DW180" s="14"/>
      <c r="DX180" s="14"/>
      <c r="DY180" s="14"/>
      <c r="DZ180" s="14"/>
      <c r="EA180" s="14"/>
      <c r="EB180" s="14"/>
      <c r="EC180" s="14"/>
      <c r="ED180" s="14"/>
      <c r="EE180" s="14"/>
      <c r="EF180" s="14"/>
      <c r="EG180" s="14"/>
      <c r="EH180" s="14"/>
      <c r="EI180" s="14"/>
      <c r="EJ180" s="14"/>
      <c r="EK180" s="14"/>
      <c r="EL180" s="14"/>
    </row>
    <row r="181" spans="1:142" x14ac:dyDescent="0.25">
      <c r="A181" s="14"/>
      <c r="B181" s="14"/>
      <c r="C181" s="19"/>
      <c r="D181" s="59"/>
      <c r="E181" s="14"/>
      <c r="F181" s="14"/>
      <c r="G181" s="107" t="s">
        <v>35</v>
      </c>
      <c r="H181" s="27">
        <f>COUNTIFS(S30_stakeholder_category,"PO",Response_Q173_5,G181)</f>
        <v>0</v>
      </c>
      <c r="I181" s="41" t="str">
        <f t="shared" ref="I181:I185" si="135">IFERROR(H181/H$185,"")</f>
        <v/>
      </c>
      <c r="J181" s="14"/>
      <c r="K181" s="14"/>
      <c r="L181" s="14"/>
      <c r="M181" s="14"/>
      <c r="N181" s="14"/>
      <c r="O181" s="14"/>
      <c r="P181" s="14"/>
      <c r="Q181" s="47"/>
      <c r="R181" s="19"/>
      <c r="S181" s="19"/>
      <c r="T181" s="19"/>
      <c r="U181" s="27"/>
      <c r="V181" s="19"/>
      <c r="W181" s="14"/>
      <c r="X181" s="107" t="s">
        <v>4</v>
      </c>
      <c r="Y181" s="27">
        <f t="shared" si="130"/>
        <v>0</v>
      </c>
      <c r="Z181" s="41">
        <f t="shared" si="131"/>
        <v>0</v>
      </c>
      <c r="AA181" s="14"/>
      <c r="AB181" s="14"/>
      <c r="AC181" s="14"/>
      <c r="AD181" s="65"/>
      <c r="AE181" s="63"/>
      <c r="AF181" s="47"/>
      <c r="AG181" s="19"/>
      <c r="AH181" s="19"/>
      <c r="AI181" s="19"/>
      <c r="AJ181" s="27"/>
      <c r="AK181" s="19"/>
      <c r="AL181" s="14"/>
      <c r="AM181" s="107" t="s">
        <v>4</v>
      </c>
      <c r="AN181" s="27">
        <f t="shared" si="132"/>
        <v>0</v>
      </c>
      <c r="AO181" s="41">
        <f t="shared" ref="AO181:AO186" si="136">IFERROR(AN181/AN$187,0)</f>
        <v>0</v>
      </c>
      <c r="AP181" s="14"/>
      <c r="AQ181" s="14"/>
      <c r="AR181" s="14"/>
      <c r="AS181" s="65"/>
      <c r="AT181" s="63"/>
      <c r="AU181" s="47"/>
      <c r="AV181" s="14"/>
      <c r="AW181" s="19"/>
      <c r="AX181" s="19"/>
      <c r="AY181" s="27"/>
      <c r="AZ181" s="19"/>
      <c r="BA181" s="14"/>
      <c r="BB181" s="107" t="s">
        <v>4</v>
      </c>
      <c r="BC181" s="27">
        <f t="shared" si="133"/>
        <v>0</v>
      </c>
      <c r="BD181" s="41">
        <f t="shared" ref="BD181:BD186" si="137">IFERROR(BC181/BC$187,0)</f>
        <v>0</v>
      </c>
      <c r="BE181" s="14"/>
      <c r="BF181" s="14"/>
      <c r="BG181" s="14"/>
      <c r="BH181" s="65"/>
      <c r="BI181" s="63"/>
      <c r="BJ181" s="352"/>
      <c r="BK181" s="19"/>
      <c r="BL181" s="19"/>
      <c r="BM181" s="19"/>
      <c r="BN181" s="27"/>
      <c r="BO181" s="19"/>
      <c r="BP181" s="14"/>
      <c r="BQ181" s="107" t="s">
        <v>4</v>
      </c>
      <c r="BR181" s="27">
        <f t="shared" si="134"/>
        <v>0</v>
      </c>
      <c r="BS181" s="41">
        <f t="shared" ref="BS181:BS186" si="138">IFERROR(BR181/BR$187,0)</f>
        <v>0</v>
      </c>
      <c r="BT181" s="14"/>
      <c r="BU181" s="14"/>
      <c r="BV181" s="14"/>
      <c r="BW181" s="65"/>
      <c r="BX181" s="63"/>
      <c r="BY181" s="352"/>
      <c r="BZ181" s="14"/>
      <c r="CA181" s="14"/>
      <c r="CB181" s="21"/>
      <c r="CC181" s="21"/>
      <c r="CD181" s="180"/>
      <c r="CE181" s="181"/>
      <c r="CF181" s="31"/>
      <c r="CG181" s="52"/>
      <c r="CH181" s="52"/>
      <c r="CI181" s="99"/>
      <c r="CJ181" s="14"/>
      <c r="CK181" s="14"/>
      <c r="CL181" s="14"/>
      <c r="CM181" s="14"/>
      <c r="CN181" s="14"/>
      <c r="CO181" s="129"/>
      <c r="CP181" s="14"/>
      <c r="CQ181" s="47"/>
      <c r="CR181" s="14"/>
      <c r="CS181" s="14"/>
      <c r="CT181" s="14"/>
      <c r="CU181" s="14"/>
      <c r="CV181" s="180"/>
      <c r="CW181" s="190"/>
      <c r="CX181" s="191"/>
      <c r="CY181" s="52"/>
      <c r="CZ181" s="52"/>
      <c r="DA181" s="54"/>
      <c r="DB181" s="14"/>
      <c r="DC181" s="14"/>
      <c r="DD181" s="14"/>
      <c r="DE181" s="14"/>
      <c r="DF181" s="14"/>
      <c r="DG181" s="129"/>
      <c r="DH181" s="14"/>
      <c r="DI181" s="47"/>
      <c r="DJ181" s="14"/>
      <c r="DK181" s="62"/>
      <c r="DL181" s="19"/>
      <c r="DM181" s="59"/>
      <c r="DN181" s="14"/>
      <c r="DO181" s="14"/>
      <c r="DP181" s="107" t="s">
        <v>35</v>
      </c>
      <c r="DQ181" s="27">
        <f>COUNTIFS(S30_stakeholder_category,"PO",Response_Q172_1,DP181,Response_Q173_5,"&lt;&gt;0")</f>
        <v>0</v>
      </c>
      <c r="DR181" s="41" t="str">
        <f>IF(DQ185=0,"",DQ181/DQ185)</f>
        <v/>
      </c>
      <c r="DS181" s="14"/>
      <c r="DT181" s="14"/>
      <c r="DU181" s="14"/>
      <c r="DV181" s="14"/>
      <c r="DW181" s="14"/>
      <c r="DX181" s="14"/>
      <c r="DY181" s="14"/>
      <c r="DZ181" s="14"/>
      <c r="EA181" s="14"/>
      <c r="EB181" s="14"/>
      <c r="EC181" s="14"/>
      <c r="ED181" s="14"/>
      <c r="EE181" s="14"/>
      <c r="EF181" s="14"/>
      <c r="EG181" s="14"/>
      <c r="EH181" s="14"/>
      <c r="EI181" s="14"/>
      <c r="EJ181" s="14"/>
      <c r="EK181" s="14"/>
      <c r="EL181" s="14"/>
    </row>
    <row r="182" spans="1:142" x14ac:dyDescent="0.25">
      <c r="A182" s="14"/>
      <c r="B182" s="14"/>
      <c r="C182" s="19"/>
      <c r="D182" s="59"/>
      <c r="E182" s="14"/>
      <c r="F182" s="14"/>
      <c r="G182" s="107" t="s">
        <v>36</v>
      </c>
      <c r="H182" s="27">
        <f>COUNTIFS(S30_stakeholder_category,"PO",Response_Q173_5,G182)</f>
        <v>0</v>
      </c>
      <c r="I182" s="41" t="str">
        <f t="shared" si="135"/>
        <v/>
      </c>
      <c r="J182" s="14"/>
      <c r="K182" s="14"/>
      <c r="L182" s="14"/>
      <c r="M182" s="14"/>
      <c r="N182" s="14"/>
      <c r="O182" s="14"/>
      <c r="P182" s="14"/>
      <c r="Q182" s="47"/>
      <c r="R182" s="19"/>
      <c r="S182" s="19"/>
      <c r="T182" s="19"/>
      <c r="U182" s="27"/>
      <c r="V182" s="19"/>
      <c r="W182" s="14"/>
      <c r="X182" s="107" t="s">
        <v>33</v>
      </c>
      <c r="Y182" s="27">
        <f t="shared" si="130"/>
        <v>0</v>
      </c>
      <c r="Z182" s="41">
        <f t="shared" si="131"/>
        <v>0</v>
      </c>
      <c r="AA182" s="14"/>
      <c r="AB182" s="14"/>
      <c r="AC182" s="14"/>
      <c r="AD182" s="65"/>
      <c r="AE182" s="63"/>
      <c r="AF182" s="47"/>
      <c r="AG182" s="19"/>
      <c r="AH182" s="19"/>
      <c r="AI182" s="19"/>
      <c r="AJ182" s="27"/>
      <c r="AK182" s="19"/>
      <c r="AL182" s="14"/>
      <c r="AM182" s="107" t="s">
        <v>33</v>
      </c>
      <c r="AN182" s="27">
        <f t="shared" si="132"/>
        <v>0</v>
      </c>
      <c r="AO182" s="41">
        <f t="shared" si="136"/>
        <v>0</v>
      </c>
      <c r="AP182" s="14"/>
      <c r="AQ182" s="14"/>
      <c r="AR182" s="14"/>
      <c r="AS182" s="65"/>
      <c r="AT182" s="63"/>
      <c r="AU182" s="47"/>
      <c r="AV182" s="14"/>
      <c r="AW182" s="19"/>
      <c r="AX182" s="19"/>
      <c r="AY182" s="27"/>
      <c r="AZ182" s="19"/>
      <c r="BA182" s="14"/>
      <c r="BB182" s="107" t="s">
        <v>33</v>
      </c>
      <c r="BC182" s="27">
        <f t="shared" si="133"/>
        <v>0</v>
      </c>
      <c r="BD182" s="41">
        <f t="shared" si="137"/>
        <v>0</v>
      </c>
      <c r="BE182" s="14"/>
      <c r="BF182" s="14"/>
      <c r="BG182" s="14"/>
      <c r="BH182" s="65"/>
      <c r="BI182" s="63"/>
      <c r="BJ182" s="352"/>
      <c r="BK182" s="19"/>
      <c r="BL182" s="19"/>
      <c r="BM182" s="19"/>
      <c r="BN182" s="27"/>
      <c r="BO182" s="19"/>
      <c r="BP182" s="14"/>
      <c r="BQ182" s="107" t="s">
        <v>33</v>
      </c>
      <c r="BR182" s="27">
        <f t="shared" si="134"/>
        <v>0</v>
      </c>
      <c r="BS182" s="41">
        <f t="shared" si="138"/>
        <v>0</v>
      </c>
      <c r="BT182" s="14"/>
      <c r="BU182" s="14"/>
      <c r="BV182" s="14"/>
      <c r="BW182" s="65"/>
      <c r="BX182" s="63"/>
      <c r="BY182" s="352"/>
      <c r="BZ182" s="14"/>
      <c r="CA182" s="14"/>
      <c r="CB182" s="21"/>
      <c r="CC182" s="21"/>
      <c r="CD182" s="180"/>
      <c r="CE182" s="181"/>
      <c r="CF182" s="31"/>
      <c r="CG182" s="52"/>
      <c r="CH182" s="52"/>
      <c r="CI182" s="99"/>
      <c r="CJ182" s="14"/>
      <c r="CK182" s="14"/>
      <c r="CL182" s="14"/>
      <c r="CM182" s="14"/>
      <c r="CN182" s="14"/>
      <c r="CO182" s="129"/>
      <c r="CP182" s="14"/>
      <c r="CQ182" s="47"/>
      <c r="CR182" s="14"/>
      <c r="CS182" s="14"/>
      <c r="CT182" s="14"/>
      <c r="CU182" s="14"/>
      <c r="CV182" s="180"/>
      <c r="CW182" s="190"/>
      <c r="CX182" s="191"/>
      <c r="CY182" s="52"/>
      <c r="CZ182" s="52"/>
      <c r="DA182" s="54"/>
      <c r="DB182" s="14"/>
      <c r="DC182" s="14"/>
      <c r="DD182" s="14"/>
      <c r="DE182" s="14"/>
      <c r="DF182" s="14"/>
      <c r="DG182" s="129"/>
      <c r="DH182" s="14"/>
      <c r="DI182" s="47"/>
      <c r="DJ182" s="14"/>
      <c r="DK182" s="62"/>
      <c r="DL182" s="19"/>
      <c r="DM182" s="59"/>
      <c r="DN182" s="14"/>
      <c r="DO182" s="14"/>
      <c r="DP182" s="107" t="s">
        <v>36</v>
      </c>
      <c r="DQ182" s="27">
        <f>COUNTIFS(S30_stakeholder_category,"PO",Response_Q172_1,DP182,Response_Q173_5,"&lt;&gt;0")</f>
        <v>0</v>
      </c>
      <c r="DR182" s="41" t="str">
        <f>IF(DQ185=0,"",DQ182/DQ185)</f>
        <v/>
      </c>
      <c r="DS182" s="14"/>
      <c r="DT182" s="14"/>
      <c r="DU182" s="14"/>
      <c r="DV182" s="14"/>
      <c r="DW182" s="14"/>
      <c r="DX182" s="14"/>
      <c r="DY182" s="14"/>
      <c r="DZ182" s="14"/>
      <c r="EA182" s="14"/>
      <c r="EB182" s="14"/>
      <c r="EC182" s="14"/>
      <c r="ED182" s="14"/>
      <c r="EE182" s="14"/>
      <c r="EF182" s="14"/>
      <c r="EG182" s="14"/>
      <c r="EH182" s="14"/>
      <c r="EI182" s="14"/>
      <c r="EJ182" s="14"/>
      <c r="EK182" s="14"/>
      <c r="EL182" s="14"/>
    </row>
    <row r="183" spans="1:142" ht="14.4" x14ac:dyDescent="0.25">
      <c r="A183" s="14"/>
      <c r="B183" s="62"/>
      <c r="C183" s="19"/>
      <c r="D183" s="59"/>
      <c r="E183" s="14"/>
      <c r="F183" s="14"/>
      <c r="G183" s="107" t="s">
        <v>38</v>
      </c>
      <c r="H183" s="27">
        <f>COUNTIFS(S30_stakeholder_category,"PO",Response_Q173_5,G183)</f>
        <v>0</v>
      </c>
      <c r="I183" s="41" t="str">
        <f t="shared" si="135"/>
        <v/>
      </c>
      <c r="J183" s="14"/>
      <c r="K183" s="14"/>
      <c r="L183" s="14"/>
      <c r="M183" s="14"/>
      <c r="N183" s="14"/>
      <c r="O183" s="14"/>
      <c r="P183" s="14"/>
      <c r="Q183" s="47"/>
      <c r="R183" s="19"/>
      <c r="S183" s="60"/>
      <c r="T183" s="19"/>
      <c r="U183" s="59"/>
      <c r="V183" s="19"/>
      <c r="W183" s="14"/>
      <c r="X183" s="107" t="s">
        <v>29</v>
      </c>
      <c r="Y183" s="27">
        <f t="shared" si="130"/>
        <v>0</v>
      </c>
      <c r="Z183" s="41">
        <f t="shared" si="131"/>
        <v>0</v>
      </c>
      <c r="AA183" s="14"/>
      <c r="AB183" s="14"/>
      <c r="AC183" s="14"/>
      <c r="AD183" s="65"/>
      <c r="AE183" s="63"/>
      <c r="AF183" s="47"/>
      <c r="AG183" s="19"/>
      <c r="AH183" s="60"/>
      <c r="AI183" s="19"/>
      <c r="AJ183" s="59"/>
      <c r="AK183" s="19"/>
      <c r="AL183" s="14"/>
      <c r="AM183" s="107" t="s">
        <v>29</v>
      </c>
      <c r="AN183" s="27">
        <f t="shared" si="132"/>
        <v>0</v>
      </c>
      <c r="AO183" s="41">
        <f t="shared" si="136"/>
        <v>0</v>
      </c>
      <c r="AP183" s="14"/>
      <c r="AQ183" s="14"/>
      <c r="AR183" s="14"/>
      <c r="AS183" s="65"/>
      <c r="AT183" s="63"/>
      <c r="AU183" s="47"/>
      <c r="AV183" s="14"/>
      <c r="AW183" s="60"/>
      <c r="AX183" s="19"/>
      <c r="AY183" s="59"/>
      <c r="AZ183" s="19"/>
      <c r="BA183" s="14"/>
      <c r="BB183" s="107" t="s">
        <v>29</v>
      </c>
      <c r="BC183" s="27">
        <f t="shared" si="133"/>
        <v>0</v>
      </c>
      <c r="BD183" s="41">
        <f t="shared" si="137"/>
        <v>0</v>
      </c>
      <c r="BE183" s="14"/>
      <c r="BF183" s="14"/>
      <c r="BG183" s="14"/>
      <c r="BH183" s="65"/>
      <c r="BI183" s="63"/>
      <c r="BJ183" s="352"/>
      <c r="BK183" s="19"/>
      <c r="BL183" s="60"/>
      <c r="BM183" s="19"/>
      <c r="BN183" s="59"/>
      <c r="BO183" s="19"/>
      <c r="BP183" s="14"/>
      <c r="BQ183" s="107" t="s">
        <v>29</v>
      </c>
      <c r="BR183" s="27">
        <f t="shared" si="134"/>
        <v>0</v>
      </c>
      <c r="BS183" s="41">
        <f t="shared" si="138"/>
        <v>0</v>
      </c>
      <c r="BT183" s="14"/>
      <c r="BU183" s="14"/>
      <c r="BV183" s="14"/>
      <c r="BW183" s="65"/>
      <c r="BX183" s="63"/>
      <c r="BY183" s="352"/>
      <c r="BZ183" s="14"/>
      <c r="CA183" s="14"/>
      <c r="CB183" s="21"/>
      <c r="CC183" s="21"/>
      <c r="CD183" s="180"/>
      <c r="CE183" s="181"/>
      <c r="CF183" s="31"/>
      <c r="CG183" s="52"/>
      <c r="CH183" s="52"/>
      <c r="CI183" s="99"/>
      <c r="CJ183" s="14"/>
      <c r="CK183" s="14"/>
      <c r="CL183" s="14"/>
      <c r="CM183" s="14"/>
      <c r="CN183" s="14"/>
      <c r="CO183" s="129"/>
      <c r="CP183" s="14"/>
      <c r="CQ183" s="47"/>
      <c r="CR183" s="14"/>
      <c r="CS183" s="14"/>
      <c r="CT183" s="14"/>
      <c r="CU183" s="14"/>
      <c r="CV183" s="180"/>
      <c r="CW183" s="190"/>
      <c r="CX183" s="191"/>
      <c r="CY183" s="52"/>
      <c r="CZ183" s="52"/>
      <c r="DA183" s="54"/>
      <c r="DB183" s="14"/>
      <c r="DC183" s="14"/>
      <c r="DD183" s="14"/>
      <c r="DE183" s="14"/>
      <c r="DF183" s="14"/>
      <c r="DG183" s="129"/>
      <c r="DH183" s="14"/>
      <c r="DI183" s="47"/>
      <c r="DJ183" s="14"/>
      <c r="DK183" s="62"/>
      <c r="DL183" s="19"/>
      <c r="DM183" s="59"/>
      <c r="DN183" s="14"/>
      <c r="DO183" s="14"/>
      <c r="DP183" s="107" t="s">
        <v>38</v>
      </c>
      <c r="DQ183" s="27">
        <f>COUNTIFS(S30_stakeholder_category,"PO",Response_Q172_1,DP183,Response_Q173_5,"&lt;&gt;0")</f>
        <v>0</v>
      </c>
      <c r="DR183" s="41" t="str">
        <f>IF(DQ185=0,"",DQ183/DQ185)</f>
        <v/>
      </c>
      <c r="DS183" s="14"/>
      <c r="DT183" s="14"/>
      <c r="DU183" s="14"/>
      <c r="DV183" s="14"/>
      <c r="DW183" s="14"/>
      <c r="DX183" s="14"/>
      <c r="DY183" s="14"/>
      <c r="DZ183" s="14"/>
      <c r="EA183" s="14"/>
      <c r="EB183" s="14"/>
      <c r="EC183" s="14"/>
      <c r="ED183" s="14"/>
      <c r="EE183" s="14"/>
      <c r="EF183" s="14"/>
      <c r="EG183" s="14"/>
      <c r="EH183" s="14"/>
      <c r="EI183" s="14"/>
      <c r="EJ183" s="14"/>
      <c r="EK183" s="14"/>
      <c r="EL183" s="14"/>
    </row>
    <row r="184" spans="1:142" ht="14.4" x14ac:dyDescent="0.25">
      <c r="A184" s="14"/>
      <c r="B184" s="62"/>
      <c r="C184" s="19"/>
      <c r="D184" s="59"/>
      <c r="E184" s="14"/>
      <c r="F184" s="14"/>
      <c r="G184" s="107" t="s">
        <v>39</v>
      </c>
      <c r="H184" s="27">
        <f>COUNTIFS(S30_stakeholder_category,"PO",Response_Q173_5,G184)</f>
        <v>0</v>
      </c>
      <c r="I184" s="41" t="str">
        <f t="shared" si="135"/>
        <v/>
      </c>
      <c r="J184" s="14"/>
      <c r="K184" s="14"/>
      <c r="L184" s="14"/>
      <c r="M184" s="14"/>
      <c r="N184" s="14"/>
      <c r="O184" s="14"/>
      <c r="P184" s="14"/>
      <c r="Q184" s="47"/>
      <c r="R184" s="19"/>
      <c r="S184" s="61"/>
      <c r="T184" s="19"/>
      <c r="U184" s="59"/>
      <c r="V184" s="19"/>
      <c r="W184" s="14"/>
      <c r="X184" s="107" t="s">
        <v>3</v>
      </c>
      <c r="Y184" s="27">
        <f t="shared" si="130"/>
        <v>0</v>
      </c>
      <c r="Z184" s="41">
        <f t="shared" si="131"/>
        <v>0</v>
      </c>
      <c r="AA184" s="14"/>
      <c r="AB184" s="14"/>
      <c r="AC184" s="14"/>
      <c r="AD184" s="65"/>
      <c r="AE184" s="63"/>
      <c r="AF184" s="47"/>
      <c r="AG184" s="19"/>
      <c r="AH184" s="61"/>
      <c r="AI184" s="19"/>
      <c r="AJ184" s="59"/>
      <c r="AK184" s="19"/>
      <c r="AL184" s="14"/>
      <c r="AM184" s="107" t="s">
        <v>3</v>
      </c>
      <c r="AN184" s="27">
        <f t="shared" si="132"/>
        <v>0</v>
      </c>
      <c r="AO184" s="41">
        <f t="shared" si="136"/>
        <v>0</v>
      </c>
      <c r="AP184" s="14"/>
      <c r="AQ184" s="14"/>
      <c r="AR184" s="14"/>
      <c r="AS184" s="65"/>
      <c r="AT184" s="63"/>
      <c r="AU184" s="47"/>
      <c r="AV184" s="14"/>
      <c r="AW184" s="61"/>
      <c r="AX184" s="19"/>
      <c r="AY184" s="59"/>
      <c r="AZ184" s="19"/>
      <c r="BA184" s="14"/>
      <c r="BB184" s="107" t="s">
        <v>3</v>
      </c>
      <c r="BC184" s="27">
        <f t="shared" si="133"/>
        <v>0</v>
      </c>
      <c r="BD184" s="41">
        <f t="shared" si="137"/>
        <v>0</v>
      </c>
      <c r="BE184" s="14"/>
      <c r="BF184" s="14"/>
      <c r="BG184" s="14"/>
      <c r="BH184" s="65"/>
      <c r="BI184" s="63"/>
      <c r="BJ184" s="352"/>
      <c r="BK184" s="19"/>
      <c r="BL184" s="61"/>
      <c r="BM184" s="19"/>
      <c r="BN184" s="59"/>
      <c r="BO184" s="19"/>
      <c r="BP184" s="14"/>
      <c r="BQ184" s="107" t="s">
        <v>3</v>
      </c>
      <c r="BR184" s="27">
        <f t="shared" si="134"/>
        <v>0</v>
      </c>
      <c r="BS184" s="41">
        <f t="shared" si="138"/>
        <v>0</v>
      </c>
      <c r="BT184" s="14"/>
      <c r="BU184" s="14"/>
      <c r="BV184" s="14"/>
      <c r="BW184" s="65"/>
      <c r="BX184" s="63"/>
      <c r="BY184" s="352"/>
      <c r="BZ184" s="14"/>
      <c r="CA184" s="14"/>
      <c r="CB184" s="21"/>
      <c r="CC184" s="21"/>
      <c r="CD184" s="180"/>
      <c r="CE184" s="181"/>
      <c r="CF184" s="31"/>
      <c r="CG184" s="52"/>
      <c r="CH184" s="52"/>
      <c r="CI184" s="99"/>
      <c r="CJ184" s="14"/>
      <c r="CK184" s="14"/>
      <c r="CL184" s="14"/>
      <c r="CM184" s="14"/>
      <c r="CN184" s="14"/>
      <c r="CO184" s="129"/>
      <c r="CP184" s="14"/>
      <c r="CQ184" s="47"/>
      <c r="CR184" s="14"/>
      <c r="CS184" s="14"/>
      <c r="CT184" s="14"/>
      <c r="CU184" s="14"/>
      <c r="CV184" s="180"/>
      <c r="CW184" s="190"/>
      <c r="CX184" s="191"/>
      <c r="CY184" s="52"/>
      <c r="CZ184" s="52"/>
      <c r="DA184" s="54"/>
      <c r="DB184" s="14"/>
      <c r="DC184" s="14"/>
      <c r="DD184" s="14"/>
      <c r="DE184" s="14"/>
      <c r="DF184" s="14"/>
      <c r="DG184" s="129"/>
      <c r="DH184" s="14"/>
      <c r="DI184" s="47"/>
      <c r="DJ184" s="14"/>
      <c r="DK184" s="62"/>
      <c r="DL184" s="19"/>
      <c r="DM184" s="59"/>
      <c r="DN184" s="14"/>
      <c r="DO184" s="14"/>
      <c r="DP184" s="107" t="s">
        <v>39</v>
      </c>
      <c r="DQ184" s="27">
        <f>COUNTIFS(S30_stakeholder_category,"PO",Response_Q172_1,DP184,Response_Q173_5,"&lt;&gt;0")</f>
        <v>0</v>
      </c>
      <c r="DR184" s="41" t="str">
        <f>IF(DQ185=0,"",DQ184/DQ185)</f>
        <v/>
      </c>
      <c r="DS184" s="14"/>
      <c r="DT184" s="14"/>
      <c r="DU184" s="14"/>
      <c r="DV184" s="14"/>
      <c r="DW184" s="14"/>
      <c r="DX184" s="14"/>
      <c r="DY184" s="14"/>
      <c r="DZ184" s="14"/>
      <c r="EA184" s="14"/>
      <c r="EB184" s="14"/>
      <c r="EC184" s="14"/>
      <c r="ED184" s="14"/>
      <c r="EE184" s="14"/>
      <c r="EF184" s="14"/>
      <c r="EG184" s="14"/>
      <c r="EH184" s="14"/>
      <c r="EI184" s="14"/>
      <c r="EJ184" s="14"/>
      <c r="EK184" s="14"/>
      <c r="EL184" s="14"/>
    </row>
    <row r="185" spans="1:142" x14ac:dyDescent="0.25">
      <c r="A185" s="14"/>
      <c r="B185" s="62"/>
      <c r="C185" s="19"/>
      <c r="D185" s="59"/>
      <c r="E185" s="14"/>
      <c r="F185" s="14"/>
      <c r="G185" s="86" t="s">
        <v>145</v>
      </c>
      <c r="H185" s="111">
        <f>COUNTIFS(S30_stakeholder_category,"PO",Response_Q173_5,"&lt;&gt;0")</f>
        <v>0</v>
      </c>
      <c r="I185" s="119" t="str">
        <f t="shared" si="135"/>
        <v/>
      </c>
      <c r="J185" s="14"/>
      <c r="K185" s="14"/>
      <c r="L185" s="14"/>
      <c r="M185" s="14"/>
      <c r="N185" s="14"/>
      <c r="O185" s="14"/>
      <c r="P185" s="14"/>
      <c r="Q185" s="47"/>
      <c r="R185" s="19"/>
      <c r="S185" s="62"/>
      <c r="T185" s="19"/>
      <c r="U185" s="59"/>
      <c r="V185" s="19"/>
      <c r="W185" s="14"/>
      <c r="X185" s="107" t="s">
        <v>54</v>
      </c>
      <c r="Y185" s="27">
        <f t="shared" si="130"/>
        <v>0</v>
      </c>
      <c r="Z185" s="41">
        <f t="shared" si="131"/>
        <v>0</v>
      </c>
      <c r="AA185" s="14"/>
      <c r="AB185" s="14"/>
      <c r="AC185" s="14"/>
      <c r="AD185" s="65"/>
      <c r="AE185" s="63"/>
      <c r="AF185" s="47"/>
      <c r="AG185" s="19"/>
      <c r="AH185" s="62"/>
      <c r="AI185" s="19"/>
      <c r="AJ185" s="59"/>
      <c r="AK185" s="19"/>
      <c r="AL185" s="14"/>
      <c r="AM185" s="107" t="s">
        <v>54</v>
      </c>
      <c r="AN185" s="27">
        <f t="shared" si="132"/>
        <v>0</v>
      </c>
      <c r="AO185" s="41">
        <f t="shared" si="136"/>
        <v>0</v>
      </c>
      <c r="AP185" s="14"/>
      <c r="AQ185" s="14"/>
      <c r="AR185" s="14"/>
      <c r="AS185" s="65"/>
      <c r="AT185" s="63"/>
      <c r="AU185" s="47"/>
      <c r="AV185" s="14"/>
      <c r="AW185" s="62"/>
      <c r="AX185" s="19"/>
      <c r="AY185" s="59"/>
      <c r="AZ185" s="19"/>
      <c r="BA185" s="14"/>
      <c r="BB185" s="107" t="s">
        <v>54</v>
      </c>
      <c r="BC185" s="27">
        <f t="shared" si="133"/>
        <v>0</v>
      </c>
      <c r="BD185" s="41">
        <f t="shared" si="137"/>
        <v>0</v>
      </c>
      <c r="BE185" s="14"/>
      <c r="BF185" s="14"/>
      <c r="BG185" s="14"/>
      <c r="BH185" s="65"/>
      <c r="BI185" s="63"/>
      <c r="BJ185" s="352"/>
      <c r="BK185" s="19"/>
      <c r="BL185" s="62"/>
      <c r="BM185" s="19"/>
      <c r="BN185" s="59"/>
      <c r="BO185" s="19"/>
      <c r="BP185" s="14"/>
      <c r="BQ185" s="107" t="s">
        <v>54</v>
      </c>
      <c r="BR185" s="27">
        <f t="shared" si="134"/>
        <v>0</v>
      </c>
      <c r="BS185" s="41">
        <f t="shared" si="138"/>
        <v>0</v>
      </c>
      <c r="BT185" s="14"/>
      <c r="BU185" s="14"/>
      <c r="BV185" s="14"/>
      <c r="BW185" s="65"/>
      <c r="BX185" s="63"/>
      <c r="BY185" s="352"/>
      <c r="BZ185" s="14"/>
      <c r="CA185" s="14"/>
      <c r="CB185" s="21"/>
      <c r="CC185" s="21"/>
      <c r="CD185" s="180"/>
      <c r="CE185" s="181"/>
      <c r="CF185" s="31"/>
      <c r="CG185" s="52"/>
      <c r="CH185" s="52"/>
      <c r="CI185" s="99"/>
      <c r="CJ185" s="14"/>
      <c r="CK185" s="14"/>
      <c r="CL185" s="14"/>
      <c r="CM185" s="14"/>
      <c r="CN185" s="14"/>
      <c r="CO185" s="129"/>
      <c r="CP185" s="14"/>
      <c r="CQ185" s="47"/>
      <c r="CR185" s="14"/>
      <c r="CS185" s="14"/>
      <c r="CT185" s="14"/>
      <c r="CU185" s="14"/>
      <c r="CV185" s="180"/>
      <c r="CW185" s="190"/>
      <c r="CX185" s="191"/>
      <c r="CY185" s="52"/>
      <c r="CZ185" s="52"/>
      <c r="DA185" s="54"/>
      <c r="DB185" s="14"/>
      <c r="DC185" s="14"/>
      <c r="DD185" s="14"/>
      <c r="DE185" s="14"/>
      <c r="DF185" s="14"/>
      <c r="DG185" s="129"/>
      <c r="DH185" s="14"/>
      <c r="DI185" s="47"/>
      <c r="DJ185" s="14"/>
      <c r="DK185" s="62"/>
      <c r="DL185" s="19"/>
      <c r="DM185" s="59"/>
      <c r="DN185" s="14"/>
      <c r="DO185" s="14"/>
      <c r="DP185" s="86" t="s">
        <v>145</v>
      </c>
      <c r="DQ185" s="111">
        <f>COUNTIFS(S30_stakeholder_category,"PO",Response_Q172_1,"&lt;&gt;0",Response_Q173_5,"&lt;&gt;0")</f>
        <v>0</v>
      </c>
      <c r="DR185" s="119" t="str">
        <f>IF(DQ185=0,"",DQ185/DQ185)</f>
        <v/>
      </c>
      <c r="DS185" s="14"/>
      <c r="DT185" s="14"/>
      <c r="DU185" s="14"/>
      <c r="DV185" s="14"/>
      <c r="DW185" s="14"/>
      <c r="DX185" s="14"/>
      <c r="DY185" s="14"/>
      <c r="DZ185" s="14"/>
      <c r="EA185" s="14"/>
      <c r="EB185" s="14"/>
      <c r="EC185" s="14"/>
      <c r="ED185" s="14"/>
      <c r="EE185" s="14"/>
      <c r="EF185" s="14"/>
      <c r="EG185" s="14"/>
      <c r="EH185" s="14"/>
      <c r="EI185" s="14"/>
      <c r="EJ185" s="14"/>
      <c r="EK185" s="14"/>
      <c r="EL185" s="14"/>
    </row>
    <row r="186" spans="1:142" x14ac:dyDescent="0.25">
      <c r="A186" s="14"/>
      <c r="B186" s="62"/>
      <c r="C186" s="19"/>
      <c r="D186" s="59"/>
      <c r="E186" s="14"/>
      <c r="F186" s="14"/>
      <c r="G186" s="14"/>
      <c r="H186" s="21"/>
      <c r="I186" s="21"/>
      <c r="J186" s="14"/>
      <c r="K186" s="14"/>
      <c r="L186" s="14"/>
      <c r="M186" s="14"/>
      <c r="N186" s="14"/>
      <c r="O186" s="14"/>
      <c r="P186" s="14"/>
      <c r="Q186" s="47"/>
      <c r="R186" s="19"/>
      <c r="S186" s="62"/>
      <c r="T186" s="19"/>
      <c r="U186" s="59"/>
      <c r="V186" s="19"/>
      <c r="W186" s="14"/>
      <c r="X186" s="107" t="s">
        <v>39</v>
      </c>
      <c r="Y186" s="27">
        <f t="shared" si="130"/>
        <v>0</v>
      </c>
      <c r="Z186" s="41">
        <f t="shared" si="131"/>
        <v>0</v>
      </c>
      <c r="AA186" s="14"/>
      <c r="AB186" s="14"/>
      <c r="AC186" s="14"/>
      <c r="AD186" s="65"/>
      <c r="AE186" s="63"/>
      <c r="AF186" s="47"/>
      <c r="AG186" s="19"/>
      <c r="AH186" s="62"/>
      <c r="AI186" s="19"/>
      <c r="AJ186" s="59"/>
      <c r="AK186" s="19"/>
      <c r="AL186" s="14"/>
      <c r="AM186" s="107" t="s">
        <v>39</v>
      </c>
      <c r="AN186" s="27">
        <f t="shared" si="132"/>
        <v>0</v>
      </c>
      <c r="AO186" s="41">
        <f t="shared" si="136"/>
        <v>0</v>
      </c>
      <c r="AP186" s="14"/>
      <c r="AQ186" s="14"/>
      <c r="AR186" s="14"/>
      <c r="AS186" s="65"/>
      <c r="AT186" s="63"/>
      <c r="AU186" s="47"/>
      <c r="AV186" s="14"/>
      <c r="AW186" s="62"/>
      <c r="AX186" s="19"/>
      <c r="AY186" s="59"/>
      <c r="AZ186" s="19"/>
      <c r="BA186" s="14"/>
      <c r="BB186" s="107" t="s">
        <v>39</v>
      </c>
      <c r="BC186" s="27">
        <f t="shared" si="133"/>
        <v>0</v>
      </c>
      <c r="BD186" s="41">
        <f t="shared" si="137"/>
        <v>0</v>
      </c>
      <c r="BE186" s="14"/>
      <c r="BF186" s="14"/>
      <c r="BG186" s="14"/>
      <c r="BH186" s="65"/>
      <c r="BI186" s="63"/>
      <c r="BJ186" s="352"/>
      <c r="BK186" s="19"/>
      <c r="BL186" s="62"/>
      <c r="BM186" s="19"/>
      <c r="BN186" s="59"/>
      <c r="BO186" s="19"/>
      <c r="BP186" s="14"/>
      <c r="BQ186" s="107" t="s">
        <v>39</v>
      </c>
      <c r="BR186" s="27">
        <f t="shared" si="134"/>
        <v>0</v>
      </c>
      <c r="BS186" s="41">
        <f t="shared" si="138"/>
        <v>0</v>
      </c>
      <c r="BT186" s="14"/>
      <c r="BU186" s="14"/>
      <c r="BV186" s="14"/>
      <c r="BW186" s="65"/>
      <c r="BX186" s="63"/>
      <c r="BY186" s="352"/>
      <c r="BZ186" s="14"/>
      <c r="CA186" s="14"/>
      <c r="CB186" s="21"/>
      <c r="CC186" s="21"/>
      <c r="CD186" s="180"/>
      <c r="CE186" s="181"/>
      <c r="CF186" s="31"/>
      <c r="CG186" s="52"/>
      <c r="CH186" s="52"/>
      <c r="CI186" s="99"/>
      <c r="CJ186" s="14"/>
      <c r="CK186" s="14"/>
      <c r="CL186" s="14"/>
      <c r="CM186" s="14"/>
      <c r="CN186" s="14"/>
      <c r="CO186" s="129"/>
      <c r="CP186" s="14"/>
      <c r="CQ186" s="47"/>
      <c r="CR186" s="14"/>
      <c r="CS186" s="14"/>
      <c r="CT186" s="14"/>
      <c r="CU186" s="14"/>
      <c r="CV186" s="180"/>
      <c r="CW186" s="190"/>
      <c r="CX186" s="191"/>
      <c r="CY186" s="52"/>
      <c r="CZ186" s="52"/>
      <c r="DA186" s="54"/>
      <c r="DB186" s="14"/>
      <c r="DC186" s="14"/>
      <c r="DD186" s="14"/>
      <c r="DE186" s="14"/>
      <c r="DF186" s="14"/>
      <c r="DG186" s="129"/>
      <c r="DH186" s="14"/>
      <c r="DI186" s="47"/>
      <c r="DJ186" s="14"/>
      <c r="DK186" s="62"/>
      <c r="DL186" s="19"/>
      <c r="DM186" s="59"/>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row>
    <row r="187" spans="1:142" x14ac:dyDescent="0.25">
      <c r="A187" s="14"/>
      <c r="B187" s="62"/>
      <c r="C187" s="19"/>
      <c r="D187" s="59"/>
      <c r="E187" s="14"/>
      <c r="F187" s="14"/>
      <c r="G187" s="14"/>
      <c r="H187" s="21"/>
      <c r="I187" s="21"/>
      <c r="J187" s="14"/>
      <c r="K187" s="14"/>
      <c r="L187" s="14"/>
      <c r="M187" s="14"/>
      <c r="N187" s="14"/>
      <c r="O187" s="14"/>
      <c r="P187" s="14"/>
      <c r="Q187" s="47"/>
      <c r="R187" s="19"/>
      <c r="S187" s="62"/>
      <c r="T187" s="19"/>
      <c r="U187" s="59"/>
      <c r="V187" s="19"/>
      <c r="W187" s="14"/>
      <c r="X187" s="86" t="s">
        <v>145</v>
      </c>
      <c r="Y187" s="111">
        <f>COUNTIFS(S30_stakeholder_category,"PO",Response_Q176_3,"&lt;&gt;0")</f>
        <v>0</v>
      </c>
      <c r="Z187" s="119">
        <f>SUM(Z180:Z186)</f>
        <v>0</v>
      </c>
      <c r="AA187" s="14"/>
      <c r="AB187" s="14"/>
      <c r="AC187" s="14"/>
      <c r="AD187" s="65"/>
      <c r="AE187" s="63"/>
      <c r="AF187" s="47"/>
      <c r="AG187" s="19"/>
      <c r="AH187" s="62"/>
      <c r="AI187" s="19"/>
      <c r="AJ187" s="59"/>
      <c r="AK187" s="19"/>
      <c r="AL187" s="14"/>
      <c r="AM187" s="86" t="s">
        <v>145</v>
      </c>
      <c r="AN187" s="111">
        <f>COUNTIFS(S30_stakeholder_category,"PO",Response_30c_CaseA,"&lt;&gt;0")</f>
        <v>1</v>
      </c>
      <c r="AO187" s="119">
        <f>SUM(AO180:AO186)</f>
        <v>1</v>
      </c>
      <c r="AP187" s="14"/>
      <c r="AQ187" s="14"/>
      <c r="AR187" s="14"/>
      <c r="AS187" s="65"/>
      <c r="AT187" s="63"/>
      <c r="AU187" s="47"/>
      <c r="AV187" s="14"/>
      <c r="AW187" s="62"/>
      <c r="AX187" s="19"/>
      <c r="AY187" s="59"/>
      <c r="AZ187" s="19"/>
      <c r="BA187" s="14"/>
      <c r="BB187" s="86" t="s">
        <v>145</v>
      </c>
      <c r="BC187" s="111">
        <f>COUNTIFS(S30_stakeholder_category,"PO",Response_30c_CaseB,"&lt;&gt;0")</f>
        <v>1</v>
      </c>
      <c r="BD187" s="119">
        <f>SUM(BD180:BD186)</f>
        <v>1</v>
      </c>
      <c r="BE187" s="14"/>
      <c r="BF187" s="14"/>
      <c r="BG187" s="14"/>
      <c r="BH187" s="65"/>
      <c r="BI187" s="63"/>
      <c r="BJ187" s="352"/>
      <c r="BK187" s="19"/>
      <c r="BL187" s="62"/>
      <c r="BM187" s="19"/>
      <c r="BN187" s="59"/>
      <c r="BO187" s="19"/>
      <c r="BP187" s="14"/>
      <c r="BQ187" s="86" t="s">
        <v>145</v>
      </c>
      <c r="BR187" s="111">
        <f>COUNTIFS(S30_stakeholder_category,"PO",Response_30c_CaseC,"&lt;&gt;0")</f>
        <v>1</v>
      </c>
      <c r="BS187" s="119">
        <f>SUM(BS180:BS186)</f>
        <v>1</v>
      </c>
      <c r="BT187" s="14"/>
      <c r="BU187" s="14"/>
      <c r="BV187" s="14"/>
      <c r="BW187" s="65"/>
      <c r="BX187" s="63"/>
      <c r="BY187" s="352"/>
      <c r="BZ187" s="14"/>
      <c r="CA187" s="14"/>
      <c r="CB187" s="21"/>
      <c r="CC187" s="21"/>
      <c r="CD187" s="180"/>
      <c r="CE187" s="181"/>
      <c r="CF187" s="31"/>
      <c r="CG187" s="52"/>
      <c r="CH187" s="52"/>
      <c r="CI187" s="99"/>
      <c r="CJ187" s="14"/>
      <c r="CK187" s="14"/>
      <c r="CL187" s="14"/>
      <c r="CM187" s="14"/>
      <c r="CN187" s="14"/>
      <c r="CO187" s="129"/>
      <c r="CP187" s="14"/>
      <c r="CQ187" s="47"/>
      <c r="CR187" s="14"/>
      <c r="CS187" s="14"/>
      <c r="CT187" s="14"/>
      <c r="CU187" s="14"/>
      <c r="CV187" s="180"/>
      <c r="CW187" s="190"/>
      <c r="CX187" s="191"/>
      <c r="CY187" s="52"/>
      <c r="CZ187" s="52"/>
      <c r="DA187" s="54"/>
      <c r="DB187" s="14"/>
      <c r="DC187" s="14"/>
      <c r="DD187" s="14"/>
      <c r="DE187" s="14"/>
      <c r="DF187" s="14"/>
      <c r="DG187" s="129"/>
      <c r="DH187" s="14"/>
      <c r="DI187" s="47"/>
      <c r="DJ187" s="14"/>
      <c r="DK187" s="62"/>
      <c r="DL187" s="19"/>
      <c r="DM187" s="59"/>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row>
    <row r="188" spans="1:142" s="135" customFormat="1" ht="15" customHeight="1" x14ac:dyDescent="0.25">
      <c r="A188" s="14"/>
      <c r="B188" s="13"/>
      <c r="C188" s="13"/>
      <c r="D188" s="21"/>
      <c r="E188" s="14"/>
      <c r="F188" s="14"/>
      <c r="G188" s="14"/>
      <c r="H188" s="21"/>
      <c r="I188" s="21"/>
      <c r="J188" s="14"/>
      <c r="K188" s="14"/>
      <c r="L188" s="14"/>
      <c r="M188" s="14"/>
      <c r="N188" s="14"/>
      <c r="O188" s="14"/>
      <c r="P188" s="14"/>
      <c r="Q188" s="47"/>
      <c r="R188" s="19"/>
      <c r="S188" s="13"/>
      <c r="T188" s="13"/>
      <c r="U188" s="21"/>
      <c r="V188" s="14"/>
      <c r="W188" s="14"/>
      <c r="X188" s="14"/>
      <c r="Y188" s="14"/>
      <c r="Z188" s="14"/>
      <c r="AA188" s="14"/>
      <c r="AB188" s="14"/>
      <c r="AC188" s="14"/>
      <c r="AD188" s="65"/>
      <c r="AE188" s="63"/>
      <c r="AF188" s="47"/>
      <c r="AG188" s="19"/>
      <c r="AH188" s="13"/>
      <c r="AI188" s="13"/>
      <c r="AJ188" s="21"/>
      <c r="AK188" s="14"/>
      <c r="AL188" s="14"/>
      <c r="AM188" s="14"/>
      <c r="AN188" s="14"/>
      <c r="AO188" s="14"/>
      <c r="AP188" s="14"/>
      <c r="AQ188" s="14"/>
      <c r="AR188" s="14"/>
      <c r="AS188" s="65"/>
      <c r="AT188" s="63"/>
      <c r="AU188" s="47"/>
      <c r="AV188" s="14"/>
      <c r="AW188" s="13"/>
      <c r="AX188" s="13"/>
      <c r="AY188" s="21"/>
      <c r="AZ188" s="14"/>
      <c r="BA188" s="14"/>
      <c r="BB188" s="14"/>
      <c r="BC188" s="14"/>
      <c r="BD188" s="14"/>
      <c r="BE188" s="14"/>
      <c r="BF188" s="14"/>
      <c r="BG188" s="14"/>
      <c r="BH188" s="65"/>
      <c r="BI188" s="63"/>
      <c r="BJ188" s="352"/>
      <c r="BK188" s="19"/>
      <c r="BL188" s="13"/>
      <c r="BM188" s="13"/>
      <c r="BN188" s="21"/>
      <c r="BO188" s="14"/>
      <c r="BP188" s="14"/>
      <c r="BQ188" s="14"/>
      <c r="BR188" s="14"/>
      <c r="BS188" s="14"/>
      <c r="BT188" s="14"/>
      <c r="BU188" s="14"/>
      <c r="BV188" s="14"/>
      <c r="BW188" s="65"/>
      <c r="BX188" s="63"/>
      <c r="BY188" s="352"/>
      <c r="BZ188" s="14"/>
      <c r="CA188" s="14"/>
      <c r="CB188" s="21"/>
      <c r="CC188" s="21"/>
      <c r="CD188" s="180"/>
      <c r="CE188" s="181"/>
      <c r="CF188" s="31"/>
      <c r="CG188" s="31"/>
      <c r="CH188" s="31"/>
      <c r="CI188" s="14"/>
      <c r="CJ188" s="14"/>
      <c r="CK188" s="14"/>
      <c r="CL188" s="14"/>
      <c r="CM188" s="14"/>
      <c r="CN188" s="14"/>
      <c r="CO188" s="129"/>
      <c r="CP188" s="14"/>
      <c r="CQ188" s="47"/>
      <c r="CR188" s="14"/>
      <c r="CS188" s="14"/>
      <c r="CT188" s="14"/>
      <c r="CU188" s="14"/>
      <c r="CV188" s="180"/>
      <c r="CW188" s="190"/>
      <c r="CX188" s="191"/>
      <c r="CY188" s="31"/>
      <c r="CZ188" s="31"/>
      <c r="DA188" s="14"/>
      <c r="DB188" s="14"/>
      <c r="DC188" s="14"/>
      <c r="DD188" s="14"/>
      <c r="DE188" s="14"/>
      <c r="DF188" s="14"/>
      <c r="DG188" s="129"/>
      <c r="DH188" s="14"/>
      <c r="DI188" s="47"/>
      <c r="DJ188" s="14"/>
      <c r="DK188" s="13"/>
      <c r="DL188" s="13"/>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row>
    <row r="189" spans="1:142" s="131" customFormat="1" x14ac:dyDescent="0.25">
      <c r="A189" s="78"/>
      <c r="B189" s="78" t="s">
        <v>154</v>
      </c>
      <c r="C189" s="78" t="s">
        <v>116</v>
      </c>
      <c r="D189" s="79"/>
      <c r="E189" s="78"/>
      <c r="F189" s="78"/>
      <c r="G189" s="78"/>
      <c r="H189" s="79"/>
      <c r="I189" s="79"/>
      <c r="J189" s="78"/>
      <c r="K189" s="78"/>
      <c r="L189" s="78"/>
      <c r="M189" s="78"/>
      <c r="N189" s="78"/>
      <c r="O189" s="78"/>
      <c r="P189" s="78"/>
      <c r="Q189" s="82"/>
      <c r="R189" s="83"/>
      <c r="S189" s="78" t="str">
        <f>$B189</f>
        <v>NGOs</v>
      </c>
      <c r="T189" s="78"/>
      <c r="U189" s="78"/>
      <c r="V189" s="78"/>
      <c r="W189" s="78"/>
      <c r="X189" s="78"/>
      <c r="Y189" s="78"/>
      <c r="Z189" s="78"/>
      <c r="AA189" s="78"/>
      <c r="AB189" s="78"/>
      <c r="AC189" s="78"/>
      <c r="AD189" s="80"/>
      <c r="AE189" s="81"/>
      <c r="AF189" s="82"/>
      <c r="AG189" s="83"/>
      <c r="AH189" s="78" t="str">
        <f>$B189</f>
        <v>NGOs</v>
      </c>
      <c r="AI189" s="78"/>
      <c r="AJ189" s="78"/>
      <c r="AK189" s="78"/>
      <c r="AL189" s="78"/>
      <c r="AM189" s="78"/>
      <c r="AN189" s="78"/>
      <c r="AO189" s="78"/>
      <c r="AP189" s="78"/>
      <c r="AQ189" s="78"/>
      <c r="AR189" s="78"/>
      <c r="AS189" s="80"/>
      <c r="AT189" s="81"/>
      <c r="AU189" s="82"/>
      <c r="AV189" s="78"/>
      <c r="AW189" s="78" t="str">
        <f>$B189</f>
        <v>NGOs</v>
      </c>
      <c r="AX189" s="78"/>
      <c r="AY189" s="78"/>
      <c r="AZ189" s="78"/>
      <c r="BA189" s="78"/>
      <c r="BB189" s="78"/>
      <c r="BC189" s="78"/>
      <c r="BD189" s="78"/>
      <c r="BE189" s="78"/>
      <c r="BF189" s="78"/>
      <c r="BG189" s="78"/>
      <c r="BH189" s="80"/>
      <c r="BI189" s="81"/>
      <c r="BJ189" s="373"/>
      <c r="BK189" s="83"/>
      <c r="BL189" s="78" t="str">
        <f>$B189</f>
        <v>NGOs</v>
      </c>
      <c r="BM189" s="78"/>
      <c r="BN189" s="78"/>
      <c r="BO189" s="78"/>
      <c r="BP189" s="78"/>
      <c r="BQ189" s="78"/>
      <c r="BR189" s="78"/>
      <c r="BS189" s="78"/>
      <c r="BT189" s="78"/>
      <c r="BU189" s="78"/>
      <c r="BV189" s="78"/>
      <c r="BW189" s="80"/>
      <c r="BX189" s="81"/>
      <c r="BY189" s="373"/>
      <c r="BZ189" s="78"/>
      <c r="CA189" s="78" t="str">
        <f>$B189</f>
        <v>NGOs</v>
      </c>
      <c r="CB189" s="79"/>
      <c r="CC189" s="79"/>
      <c r="CD189" s="182"/>
      <c r="CE189" s="182"/>
      <c r="CF189" s="79"/>
      <c r="CG189" s="78"/>
      <c r="CH189" s="78"/>
      <c r="CI189" s="78"/>
      <c r="CJ189" s="78"/>
      <c r="CK189" s="78"/>
      <c r="CL189" s="78"/>
      <c r="CM189" s="78"/>
      <c r="CN189" s="78"/>
      <c r="CO189" s="78"/>
      <c r="CP189" s="78"/>
      <c r="CQ189" s="82"/>
      <c r="CR189" s="78"/>
      <c r="CS189" s="78" t="str">
        <f>$B189</f>
        <v>NGOs</v>
      </c>
      <c r="CT189" s="78"/>
      <c r="CU189" s="78"/>
      <c r="CV189" s="182"/>
      <c r="CW189" s="192"/>
      <c r="CX189" s="192"/>
      <c r="CY189" s="78"/>
      <c r="CZ189" s="78"/>
      <c r="DA189" s="78"/>
      <c r="DB189" s="78"/>
      <c r="DC189" s="78"/>
      <c r="DD189" s="78"/>
      <c r="DE189" s="78"/>
      <c r="DF189" s="78"/>
      <c r="DG189" s="78"/>
      <c r="DH189" s="78"/>
      <c r="DI189" s="82"/>
      <c r="DJ189" s="78"/>
      <c r="DK189" s="78" t="str">
        <f>$B189</f>
        <v>NGOs</v>
      </c>
      <c r="DL189" s="78"/>
      <c r="DM189" s="78"/>
      <c r="DN189" s="78"/>
      <c r="DO189" s="78"/>
      <c r="DP189" s="78"/>
      <c r="DQ189" s="78"/>
      <c r="DR189" s="78"/>
      <c r="DS189" s="78"/>
      <c r="DT189" s="78"/>
      <c r="DU189" s="78"/>
      <c r="DV189" s="78"/>
      <c r="DW189" s="78"/>
      <c r="DX189" s="78"/>
      <c r="DY189" s="78"/>
      <c r="DZ189" s="78"/>
      <c r="EA189" s="78"/>
      <c r="EB189" s="78"/>
      <c r="EC189" s="78"/>
      <c r="ED189" s="78"/>
      <c r="EE189" s="78"/>
      <c r="EF189" s="78"/>
      <c r="EG189" s="78"/>
      <c r="EH189" s="78"/>
      <c r="EI189" s="78"/>
      <c r="EJ189" s="78"/>
      <c r="EK189" s="78"/>
      <c r="EL189" s="78"/>
    </row>
    <row r="190" spans="1:142" x14ac:dyDescent="0.25">
      <c r="A190" s="14"/>
      <c r="B190" s="84" t="s">
        <v>301</v>
      </c>
      <c r="C190" s="84"/>
      <c r="D190" s="85"/>
      <c r="E190" s="84"/>
      <c r="F190" s="14"/>
      <c r="G190" s="14"/>
      <c r="H190" s="21"/>
      <c r="I190" s="21"/>
      <c r="J190" s="14"/>
      <c r="K190" s="14"/>
      <c r="L190" s="14"/>
      <c r="M190" s="14"/>
      <c r="N190" s="14"/>
      <c r="O190" s="14"/>
      <c r="P190" s="14"/>
      <c r="Q190" s="47"/>
      <c r="R190" s="19"/>
      <c r="S190" s="84" t="s">
        <v>322</v>
      </c>
      <c r="T190" s="84"/>
      <c r="U190" s="85"/>
      <c r="V190" s="84"/>
      <c r="W190" s="14"/>
      <c r="X190" s="14"/>
      <c r="Y190" s="14"/>
      <c r="Z190" s="14"/>
      <c r="AA190" s="14"/>
      <c r="AB190" s="14"/>
      <c r="AC190" s="14"/>
      <c r="AD190" s="65"/>
      <c r="AE190" s="63"/>
      <c r="AF190" s="47"/>
      <c r="AG190" s="19"/>
      <c r="AH190" s="84" t="s">
        <v>328</v>
      </c>
      <c r="AI190" s="84"/>
      <c r="AJ190" s="85"/>
      <c r="AK190" s="84"/>
      <c r="AL190" s="84"/>
      <c r="AM190" s="14"/>
      <c r="AN190" s="14"/>
      <c r="AO190" s="14"/>
      <c r="AP190" s="14"/>
      <c r="AQ190" s="14"/>
      <c r="AR190" s="14"/>
      <c r="AS190" s="65"/>
      <c r="AT190" s="63"/>
      <c r="AU190" s="47"/>
      <c r="AV190" s="14"/>
      <c r="AW190" s="84" t="s">
        <v>347</v>
      </c>
      <c r="AX190" s="84"/>
      <c r="AY190" s="85"/>
      <c r="AZ190" s="84"/>
      <c r="BA190" s="84"/>
      <c r="BB190" s="14"/>
      <c r="BC190" s="14"/>
      <c r="BD190" s="14"/>
      <c r="BE190" s="14"/>
      <c r="BF190" s="14"/>
      <c r="BG190" s="14"/>
      <c r="BH190" s="65"/>
      <c r="BI190" s="63"/>
      <c r="BJ190" s="352"/>
      <c r="BK190" s="19"/>
      <c r="BL190" s="84" t="s">
        <v>348</v>
      </c>
      <c r="BM190" s="84"/>
      <c r="BN190" s="85"/>
      <c r="BO190" s="84"/>
      <c r="BP190" s="84"/>
      <c r="BQ190" s="14"/>
      <c r="BR190" s="14"/>
      <c r="BS190" s="14"/>
      <c r="BT190" s="14"/>
      <c r="BU190" s="14"/>
      <c r="BV190" s="14"/>
      <c r="BW190" s="65"/>
      <c r="BX190" s="63"/>
      <c r="BY190" s="352"/>
      <c r="BZ190" s="14"/>
      <c r="CA190" s="148" t="s">
        <v>303</v>
      </c>
      <c r="CB190" s="85"/>
      <c r="CC190" s="85"/>
      <c r="CD190" s="185"/>
      <c r="CE190" s="185"/>
      <c r="CF190" s="147"/>
      <c r="CG190" s="14"/>
      <c r="CH190" s="14"/>
      <c r="CI190" s="14"/>
      <c r="CJ190" s="14"/>
      <c r="CK190" s="14"/>
      <c r="CL190" s="14"/>
      <c r="CM190" s="14"/>
      <c r="CN190" s="14"/>
      <c r="CO190" s="129"/>
      <c r="CP190" s="14"/>
      <c r="CQ190" s="47"/>
      <c r="CR190" s="14"/>
      <c r="CS190" s="84" t="s">
        <v>304</v>
      </c>
      <c r="CT190" s="84"/>
      <c r="CU190" s="85"/>
      <c r="CV190" s="186"/>
      <c r="CW190" s="189"/>
      <c r="CX190" s="189"/>
      <c r="CY190" s="14"/>
      <c r="CZ190" s="14"/>
      <c r="DA190" s="14"/>
      <c r="DB190" s="14"/>
      <c r="DC190" s="14"/>
      <c r="DD190" s="14"/>
      <c r="DE190" s="14"/>
      <c r="DF190" s="14"/>
      <c r="DG190" s="129"/>
      <c r="DH190" s="14"/>
      <c r="DI190" s="47"/>
      <c r="DJ190" s="14"/>
      <c r="DK190" s="84" t="s">
        <v>305</v>
      </c>
      <c r="DL190" s="84"/>
      <c r="DM190" s="85"/>
      <c r="DN190" s="8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row>
    <row r="191" spans="1:142" x14ac:dyDescent="0.25">
      <c r="A191" s="14"/>
      <c r="B191" s="14"/>
      <c r="C191" s="14"/>
      <c r="D191" s="15"/>
      <c r="E191" s="14"/>
      <c r="F191" s="14"/>
      <c r="G191" s="14"/>
      <c r="H191" s="21"/>
      <c r="I191" s="21"/>
      <c r="J191" s="14"/>
      <c r="K191" s="19"/>
      <c r="L191" s="14"/>
      <c r="M191" s="14"/>
      <c r="N191" s="14"/>
      <c r="O191" s="14"/>
      <c r="P191" s="14"/>
      <c r="Q191" s="47"/>
      <c r="R191" s="19"/>
      <c r="S191" s="14"/>
      <c r="T191" s="14"/>
      <c r="U191" s="15"/>
      <c r="V191" s="14"/>
      <c r="W191" s="14"/>
      <c r="X191" s="14"/>
      <c r="Y191" s="14"/>
      <c r="Z191" s="14"/>
      <c r="AA191" s="14"/>
      <c r="AB191" s="14"/>
      <c r="AC191" s="14"/>
      <c r="AD191" s="65"/>
      <c r="AE191" s="63"/>
      <c r="AF191" s="47"/>
      <c r="AG191" s="19"/>
      <c r="AH191" s="14"/>
      <c r="AI191" s="14"/>
      <c r="AJ191" s="15"/>
      <c r="AK191" s="14"/>
      <c r="AL191" s="14"/>
      <c r="AM191" s="14"/>
      <c r="AN191" s="14"/>
      <c r="AO191" s="14"/>
      <c r="AP191" s="14"/>
      <c r="AQ191" s="14"/>
      <c r="AR191" s="14"/>
      <c r="AS191" s="65"/>
      <c r="AT191" s="63"/>
      <c r="AU191" s="47"/>
      <c r="AV191" s="14"/>
      <c r="AW191" s="14"/>
      <c r="AX191" s="14"/>
      <c r="AY191" s="15"/>
      <c r="AZ191" s="14"/>
      <c r="BA191" s="14"/>
      <c r="BB191" s="14"/>
      <c r="BC191" s="14"/>
      <c r="BD191" s="14"/>
      <c r="BE191" s="14"/>
      <c r="BF191" s="14"/>
      <c r="BG191" s="14"/>
      <c r="BH191" s="65"/>
      <c r="BI191" s="63"/>
      <c r="BJ191" s="352"/>
      <c r="BK191" s="19"/>
      <c r="BL191" s="14"/>
      <c r="BM191" s="14"/>
      <c r="BN191" s="15"/>
      <c r="BO191" s="14"/>
      <c r="BP191" s="14"/>
      <c r="BQ191" s="14"/>
      <c r="BR191" s="14"/>
      <c r="BS191" s="14"/>
      <c r="BT191" s="14"/>
      <c r="BU191" s="14"/>
      <c r="BV191" s="14"/>
      <c r="BW191" s="65"/>
      <c r="BX191" s="63"/>
      <c r="BY191" s="352"/>
      <c r="BZ191" s="14"/>
      <c r="CA191" s="23"/>
      <c r="CB191" s="21"/>
      <c r="CC191" s="21"/>
      <c r="CD191" s="180"/>
      <c r="CE191" s="180"/>
      <c r="CF191" s="21"/>
      <c r="CG191" s="14"/>
      <c r="CH191" s="14"/>
      <c r="CI191" s="14"/>
      <c r="CJ191" s="14"/>
      <c r="CK191" s="14"/>
      <c r="CL191" s="14"/>
      <c r="CM191" s="14"/>
      <c r="CN191" s="14"/>
      <c r="CO191" s="129"/>
      <c r="CP191" s="14"/>
      <c r="CQ191" s="47"/>
      <c r="CR191" s="14"/>
      <c r="CS191" s="14"/>
      <c r="CT191" s="14"/>
      <c r="CU191" s="14"/>
      <c r="CV191" s="180"/>
      <c r="CW191" s="189"/>
      <c r="CX191" s="189"/>
      <c r="CY191" s="14"/>
      <c r="CZ191" s="14"/>
      <c r="DA191" s="14"/>
      <c r="DB191" s="14"/>
      <c r="DC191" s="14"/>
      <c r="DD191" s="14"/>
      <c r="DE191" s="14"/>
      <c r="DF191" s="14"/>
      <c r="DG191" s="129"/>
      <c r="DH191" s="14"/>
      <c r="DI191" s="47"/>
      <c r="DJ191" s="14"/>
      <c r="DK191" s="14"/>
      <c r="DL191" s="14"/>
      <c r="DM191" s="15"/>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row>
    <row r="192" spans="1:142" ht="27.6" x14ac:dyDescent="0.25">
      <c r="A192" s="14"/>
      <c r="B192" s="112" t="s">
        <v>23</v>
      </c>
      <c r="C192" s="113" t="s">
        <v>24</v>
      </c>
      <c r="D192" s="113" t="s">
        <v>145</v>
      </c>
      <c r="E192" s="113" t="s">
        <v>300</v>
      </c>
      <c r="F192" s="14"/>
      <c r="G192" s="14"/>
      <c r="H192" s="21"/>
      <c r="I192" s="21"/>
      <c r="J192" s="14"/>
      <c r="K192" s="19"/>
      <c r="L192" s="51"/>
      <c r="M192" s="51"/>
      <c r="N192" s="51"/>
      <c r="O192" s="51"/>
      <c r="P192" s="51"/>
      <c r="Q192" s="47"/>
      <c r="R192" s="19"/>
      <c r="S192" s="112" t="s">
        <v>23</v>
      </c>
      <c r="T192" s="113" t="s">
        <v>24</v>
      </c>
      <c r="U192" s="113" t="s">
        <v>145</v>
      </c>
      <c r="V192" s="113" t="s">
        <v>300</v>
      </c>
      <c r="W192" s="14"/>
      <c r="X192" s="14"/>
      <c r="Y192" s="14"/>
      <c r="Z192" s="14"/>
      <c r="AA192" s="56"/>
      <c r="AB192" s="56"/>
      <c r="AC192" s="56"/>
      <c r="AD192" s="65"/>
      <c r="AE192" s="63"/>
      <c r="AF192" s="47"/>
      <c r="AG192" s="19"/>
      <c r="AH192" s="112" t="s">
        <v>23</v>
      </c>
      <c r="AI192" s="113" t="s">
        <v>24</v>
      </c>
      <c r="AJ192" s="113" t="s">
        <v>145</v>
      </c>
      <c r="AK192" s="113" t="s">
        <v>300</v>
      </c>
      <c r="AL192" s="14"/>
      <c r="AM192" s="14"/>
      <c r="AN192" s="14"/>
      <c r="AO192" s="14"/>
      <c r="AP192" s="56"/>
      <c r="AQ192" s="56"/>
      <c r="AR192" s="56"/>
      <c r="AS192" s="65"/>
      <c r="AT192" s="63"/>
      <c r="AU192" s="47"/>
      <c r="AV192" s="14"/>
      <c r="AW192" s="112" t="s">
        <v>23</v>
      </c>
      <c r="AX192" s="113" t="s">
        <v>24</v>
      </c>
      <c r="AY192" s="113" t="s">
        <v>145</v>
      </c>
      <c r="AZ192" s="113" t="s">
        <v>300</v>
      </c>
      <c r="BA192" s="14"/>
      <c r="BB192" s="14"/>
      <c r="BC192" s="14"/>
      <c r="BD192" s="14"/>
      <c r="BE192" s="56"/>
      <c r="BF192" s="56"/>
      <c r="BG192" s="56"/>
      <c r="BH192" s="65"/>
      <c r="BI192" s="63"/>
      <c r="BJ192" s="352"/>
      <c r="BK192" s="19"/>
      <c r="BL192" s="112" t="s">
        <v>23</v>
      </c>
      <c r="BM192" s="113" t="s">
        <v>24</v>
      </c>
      <c r="BN192" s="113" t="s">
        <v>145</v>
      </c>
      <c r="BO192" s="113" t="s">
        <v>300</v>
      </c>
      <c r="BP192" s="14"/>
      <c r="BQ192" s="14"/>
      <c r="BR192" s="14"/>
      <c r="BS192" s="14"/>
      <c r="BT192" s="56"/>
      <c r="BU192" s="56"/>
      <c r="BV192" s="56"/>
      <c r="BW192" s="65"/>
      <c r="BX192" s="63"/>
      <c r="BY192" s="352"/>
      <c r="BZ192" s="14"/>
      <c r="CA192" s="112" t="s">
        <v>23</v>
      </c>
      <c r="CB192" s="113" t="s">
        <v>145</v>
      </c>
      <c r="CC192" s="21"/>
      <c r="CD192" s="180"/>
      <c r="CE192" s="180"/>
      <c r="CF192" s="21"/>
      <c r="CG192" s="14"/>
      <c r="CH192" s="14"/>
      <c r="CI192" s="14"/>
      <c r="CJ192" s="14"/>
      <c r="CK192" s="14"/>
      <c r="CL192" s="14"/>
      <c r="CM192" s="14"/>
      <c r="CN192" s="14"/>
      <c r="CO192" s="129"/>
      <c r="CP192" s="17"/>
      <c r="CQ192" s="47"/>
      <c r="CR192" s="14"/>
      <c r="CS192" s="112" t="s">
        <v>23</v>
      </c>
      <c r="CT192" s="113" t="s">
        <v>145</v>
      </c>
      <c r="CU192" s="14"/>
      <c r="CV192" s="180"/>
      <c r="CW192" s="189"/>
      <c r="CX192" s="189"/>
      <c r="CY192" s="14"/>
      <c r="CZ192" s="14"/>
      <c r="DA192" s="14"/>
      <c r="DB192" s="14"/>
      <c r="DC192" s="14"/>
      <c r="DD192" s="14"/>
      <c r="DE192" s="14"/>
      <c r="DF192" s="14"/>
      <c r="DG192" s="129"/>
      <c r="DH192" s="17"/>
      <c r="DI192" s="47"/>
      <c r="DJ192" s="17"/>
      <c r="DK192" s="112" t="s">
        <v>23</v>
      </c>
      <c r="DL192" s="113" t="s">
        <v>24</v>
      </c>
      <c r="DM192" s="113" t="s">
        <v>145</v>
      </c>
      <c r="DN192" s="113" t="s">
        <v>300</v>
      </c>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row>
    <row r="193" spans="1:142" x14ac:dyDescent="0.25">
      <c r="A193" s="14"/>
      <c r="B193" s="57" t="s">
        <v>154</v>
      </c>
      <c r="C193" s="121" t="str">
        <f>IF(H212=0,"na",IF(COUNTIF(H207:H211,MAX(H207:H211))&gt;COUNTIF(G207:G211,"&lt;&gt;""")/2,"No clear choice of the most common response",INDEX(G207:G211,MATCH(MAX(H207:H211),H207:H211,0),1)))</f>
        <v>na</v>
      </c>
      <c r="D193" s="58">
        <f>COUNTIFS(S30_stakeholder_category,"NGO",Response_Q173_5,"&lt;&gt;0")</f>
        <v>0</v>
      </c>
      <c r="E193" s="121">
        <f>COUNTIFS(S30_stakeholder_category,"NGO",Response_Q173_5,"I don’t know")</f>
        <v>0</v>
      </c>
      <c r="F193" s="14"/>
      <c r="G193" s="14"/>
      <c r="H193" s="21"/>
      <c r="I193" s="21"/>
      <c r="J193" s="14"/>
      <c r="K193" s="19"/>
      <c r="L193" s="40"/>
      <c r="M193" s="40"/>
      <c r="N193" s="40"/>
      <c r="O193" s="40"/>
      <c r="P193" s="40"/>
      <c r="Q193" s="47"/>
      <c r="R193" s="19"/>
      <c r="S193" s="34" t="s">
        <v>154</v>
      </c>
      <c r="T193" s="37" t="str">
        <f>IF(Y214=0,"na",IF(COUNTIF(Y207:Y213,MAX(Y207:Y213))&gt;COUNTIF(X207:X213,"&lt;&gt;""")/2,"No clear choice of the most common response",INDEX(X207:X213,MATCH(MAX(Y207:Y213),Y207:Y213,0),1)))</f>
        <v>na</v>
      </c>
      <c r="U193" s="33">
        <f>COUNTIFS(S30_stakeholder_category,"NGO",Response_Q176_3,"&lt;&gt;0")</f>
        <v>0</v>
      </c>
      <c r="V193" s="37">
        <f>COUNTIFS(S30_stakeholder_category,"NGO",Response_Q176_3,"I don’t know")</f>
        <v>0</v>
      </c>
      <c r="W193" s="14"/>
      <c r="X193" s="14"/>
      <c r="Y193" s="14"/>
      <c r="Z193" s="14"/>
      <c r="AA193" s="19"/>
      <c r="AB193" s="19"/>
      <c r="AC193" s="19"/>
      <c r="AD193" s="65"/>
      <c r="AE193" s="63"/>
      <c r="AF193" s="47"/>
      <c r="AG193" s="19"/>
      <c r="AH193" s="57" t="s">
        <v>154</v>
      </c>
      <c r="AI193" s="121" t="str">
        <f>IF(AN214=0,"na",IF(COUNTIF(AN207:AN213,MAX(AN207:AN213))&gt;COUNTIF(AM207:AM213,"&lt;&gt;""")/2,"No clear choice of the most common response",INDEX(AM207:AM213,MATCH(MAX(AN207:AN213),AN207:AN213,0),1)))</f>
        <v>na</v>
      </c>
      <c r="AJ193" s="58">
        <f>COUNTIFS(S30_stakeholder_category,"NGO",Response_30c_CaseA,"&lt;&gt;0")</f>
        <v>0</v>
      </c>
      <c r="AK193" s="121">
        <f>COUNTIFS(S30_stakeholder_category,"NGO",Response_30c_CaseA,"I don’t know")</f>
        <v>0</v>
      </c>
      <c r="AL193" s="14"/>
      <c r="AM193" s="14"/>
      <c r="AN193" s="14"/>
      <c r="AO193" s="14"/>
      <c r="AP193" s="19"/>
      <c r="AQ193" s="19"/>
      <c r="AR193" s="19"/>
      <c r="AS193" s="65"/>
      <c r="AT193" s="63"/>
      <c r="AU193" s="47"/>
      <c r="AV193" s="14"/>
      <c r="AW193" s="57" t="s">
        <v>154</v>
      </c>
      <c r="AX193" s="121" t="str">
        <f>IF(BC214=0,"na",IF(COUNTIF(BC207:BC213,MAX(BC207:BC213))&gt;COUNTIF(BB207:BB213,"&lt;&gt;""")/2,"No clear choice of the most common response",INDEX(BB207:BB213,MATCH(MAX(BC207:BC213),BC207:BC213,0),1)))</f>
        <v>na</v>
      </c>
      <c r="AY193" s="58">
        <f>COUNTIFS(S30_stakeholder_category,"NGO",Response_30c_CaseB,"&lt;&gt;0")</f>
        <v>0</v>
      </c>
      <c r="AZ193" s="121">
        <f>COUNTIFS(S30_stakeholder_category,"NGO",Response_30c_CaseB,"I don’t know")</f>
        <v>0</v>
      </c>
      <c r="BA193" s="14"/>
      <c r="BB193" s="14"/>
      <c r="BC193" s="14"/>
      <c r="BD193" s="14"/>
      <c r="BE193" s="19"/>
      <c r="BF193" s="19"/>
      <c r="BG193" s="19"/>
      <c r="BH193" s="65"/>
      <c r="BI193" s="63"/>
      <c r="BJ193" s="352"/>
      <c r="BK193" s="19"/>
      <c r="BL193" s="57" t="s">
        <v>154</v>
      </c>
      <c r="BM193" s="121" t="str">
        <f>IF(BR214=0,"na",IF(COUNTIF(BR207:BR213,MAX(BR207:BR213))&gt;COUNTIF(BQ207:BQ213,"&lt;&gt;""")/2,"No clear choice of the most common response",INDEX(BQ207:BQ213,MATCH(MAX(BR207:BR213),BR207:BR213,0),1)))</f>
        <v>na</v>
      </c>
      <c r="BN193" s="58">
        <f>COUNTIFS(S30_stakeholder_category,"NGO",Response_30c_CaseC,"&lt;&gt;0")</f>
        <v>0</v>
      </c>
      <c r="BO193" s="121">
        <f>COUNTIFS(S30_stakeholder_category,"NGO",Response_30c_CaseC,"I don’t know")</f>
        <v>0</v>
      </c>
      <c r="BP193" s="14"/>
      <c r="BQ193" s="14"/>
      <c r="BR193" s="14"/>
      <c r="BS193" s="14"/>
      <c r="BT193" s="19"/>
      <c r="BU193" s="19"/>
      <c r="BV193" s="19"/>
      <c r="BW193" s="65"/>
      <c r="BX193" s="63"/>
      <c r="BY193" s="352"/>
      <c r="BZ193" s="14"/>
      <c r="CA193" s="34" t="s">
        <v>154</v>
      </c>
      <c r="CB193" s="37">
        <f>MAX(SUM(CC199:CC205),SUM(CD199:CD205),SUM(CE199:CE205))</f>
        <v>4</v>
      </c>
      <c r="CC193" s="21"/>
      <c r="CD193" s="180"/>
      <c r="CE193" s="180"/>
      <c r="CF193" s="21"/>
      <c r="CG193" s="14"/>
      <c r="CH193" s="14"/>
      <c r="CI193" s="14"/>
      <c r="CJ193" s="14"/>
      <c r="CK193" s="14"/>
      <c r="CL193" s="14"/>
      <c r="CM193" s="14"/>
      <c r="CN193" s="14"/>
      <c r="CO193" s="129"/>
      <c r="CP193" s="29"/>
      <c r="CQ193" s="47"/>
      <c r="CR193" s="14"/>
      <c r="CS193" s="34" t="s">
        <v>154</v>
      </c>
      <c r="CT193" s="37">
        <f>MAX(SUM(CU199:CU205),SUM(CV199:CV205),SUM(CW199:CW205))</f>
        <v>0</v>
      </c>
      <c r="CU193" s="14"/>
      <c r="CV193" s="180"/>
      <c r="CW193" s="189"/>
      <c r="CX193" s="189"/>
      <c r="CY193" s="14"/>
      <c r="CZ193" s="14"/>
      <c r="DA193" s="14"/>
      <c r="DB193" s="14"/>
      <c r="DC193" s="14"/>
      <c r="DD193" s="14"/>
      <c r="DE193" s="14"/>
      <c r="DF193" s="14"/>
      <c r="DG193" s="129"/>
      <c r="DH193" s="29"/>
      <c r="DI193" s="47"/>
      <c r="DJ193" s="29"/>
      <c r="DK193" s="34" t="s">
        <v>154</v>
      </c>
      <c r="DL193" s="37" t="str">
        <f>IF(DQ212=0,"na",IF(COUNTIF(DQ207:DQ211,MAX(DQ207:DQ211))&gt;COUNTIF(DP207:DP211,"&lt;&gt;""")/2,"No clear choice of the most common response",INDEX(DP207:DP211,MATCH(MAX(DQ207:DQ211),DQ207:DQ211,0),1)))</f>
        <v>na</v>
      </c>
      <c r="DM193" s="33">
        <f>COUNTIFS(S30_stakeholder_category,"NGO",Response_Q172_1,"&lt;&gt;0",Response_Q173_5,"&lt;&gt;0")</f>
        <v>0</v>
      </c>
      <c r="DN193" s="37">
        <f>DQ211</f>
        <v>0</v>
      </c>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row>
    <row r="194" spans="1:142" x14ac:dyDescent="0.25">
      <c r="A194" s="14"/>
      <c r="B194" s="57"/>
      <c r="C194" s="121" t="str">
        <f ca="1">IF(H212=0,"",IF(COUNTIF(H207:H211,MAX(H207:H211))=1,"",IF(COUNTIF(H207:H211,MAX(H207:H211))&gt;COUNTIF(G207:G211,"&lt;&gt;""")/2,"",INDEX(OFFSET(G207,MATCH(C193,G207:G212,0),0):G211,MATCH(MAX(H207:H211),OFFSET(H207,MATCH(C193,G207:G212,0),0):H211,0),1))))</f>
        <v/>
      </c>
      <c r="D194" s="58"/>
      <c r="E194" s="121"/>
      <c r="F194" s="14"/>
      <c r="G194" s="14"/>
      <c r="H194" s="21"/>
      <c r="I194" s="21"/>
      <c r="J194" s="14"/>
      <c r="K194" s="19"/>
      <c r="L194" s="40"/>
      <c r="M194" s="40"/>
      <c r="N194" s="40"/>
      <c r="O194" s="40"/>
      <c r="P194" s="40"/>
      <c r="Q194" s="47"/>
      <c r="R194" s="19"/>
      <c r="S194" s="34"/>
      <c r="T194" s="37" t="str">
        <f ca="1">IF(Y214=0,"",IF(COUNTIF(Y207:Y213,MAX(Y207:Y213))=1,"",IF(COUNTIF(Y207:Y213,MAX(Y207:Y213))&gt;COUNTIF(X207:X213,"&lt;&gt;""")/2,"",INDEX(OFFSET(X207,MATCH(T193,X207:X213,0),0):X213,MATCH(MAX(Y207:Y213),OFFSET(Y207,MATCH(T193,X207:X213,0),0):Y213,0),1))))</f>
        <v/>
      </c>
      <c r="U194" s="33"/>
      <c r="V194" s="37"/>
      <c r="W194" s="14"/>
      <c r="X194" s="14"/>
      <c r="Y194" s="14"/>
      <c r="Z194" s="14"/>
      <c r="AA194" s="19"/>
      <c r="AB194" s="19"/>
      <c r="AC194" s="19"/>
      <c r="AD194" s="65"/>
      <c r="AE194" s="63"/>
      <c r="AF194" s="47"/>
      <c r="AG194" s="19"/>
      <c r="AH194" s="57"/>
      <c r="AI194" s="121" t="str">
        <f ca="1">IF(AN214=0,"",IF(COUNTIF(AN207:AN213,MAX(AN207:AN213))=1,"",IF(COUNTIF(AN207:AN213,MAX(AN207:AN213))&gt;COUNTIF(AM207:AM213,"&lt;&gt;""")/2,"",INDEX(OFFSET(AM207,MATCH(AI193,AM207:AM213,0),0):AM213,MATCH(MAX(AN207:AN213),OFFSET(AN207,MATCH(AI193,AM207:AM213,0),0):AN213,0),1))))</f>
        <v/>
      </c>
      <c r="AJ194" s="58"/>
      <c r="AK194" s="121"/>
      <c r="AL194" s="14"/>
      <c r="AM194" s="14"/>
      <c r="AN194" s="14"/>
      <c r="AO194" s="14"/>
      <c r="AP194" s="19"/>
      <c r="AQ194" s="19"/>
      <c r="AR194" s="19"/>
      <c r="AS194" s="65"/>
      <c r="AT194" s="63"/>
      <c r="AU194" s="47"/>
      <c r="AV194" s="14"/>
      <c r="AW194" s="57"/>
      <c r="AX194" s="121" t="str">
        <f ca="1">IF(BC214=0,"",IF(COUNTIF(BC207:BC213,MAX(BC207:BC213))=1,"",IF(COUNTIF(BC207:BC213,MAX(BC207:BC213))&gt;COUNTIF(BB207:BB213,"&lt;&gt;""")/2,"",INDEX(OFFSET(BB207,MATCH(AX193,BB207:BB213,0),0):BB213,MATCH(MAX(BC207:BC213),OFFSET(BC207,MATCH(AX193,BB207:BB213,0),0):BC213,0),1))))</f>
        <v/>
      </c>
      <c r="AY194" s="58"/>
      <c r="AZ194" s="121"/>
      <c r="BA194" s="14"/>
      <c r="BB194" s="14"/>
      <c r="BC194" s="14"/>
      <c r="BD194" s="14"/>
      <c r="BE194" s="19"/>
      <c r="BF194" s="19"/>
      <c r="BG194" s="19"/>
      <c r="BH194" s="65"/>
      <c r="BI194" s="63"/>
      <c r="BJ194" s="352"/>
      <c r="BK194" s="19"/>
      <c r="BL194" s="57"/>
      <c r="BM194" s="121" t="str">
        <f ca="1">IF(BR214=0,"",IF(COUNTIF(BR207:BR213,MAX(BR207:BR213))=1,"",IF(COUNTIF(BR207:BR213,MAX(BR207:BR213))&gt;COUNTIF(BQ207:BQ213,"&lt;&gt;""")/2,"",INDEX(OFFSET(BQ207,MATCH(BM193,BQ207:BQ213,0),0):BQ213,MATCH(MAX(BR207:BR213),OFFSET(BR207,MATCH(BM193,BQ207:BQ213,0),0):BR213,0),1))))</f>
        <v/>
      </c>
      <c r="BN194" s="58"/>
      <c r="BO194" s="121"/>
      <c r="BP194" s="14"/>
      <c r="BQ194" s="14"/>
      <c r="BR194" s="14"/>
      <c r="BS194" s="14"/>
      <c r="BT194" s="19"/>
      <c r="BU194" s="19"/>
      <c r="BV194" s="19"/>
      <c r="BW194" s="65"/>
      <c r="BX194" s="63"/>
      <c r="BY194" s="352"/>
      <c r="BZ194" s="14"/>
      <c r="CA194" s="14"/>
      <c r="CB194" s="21"/>
      <c r="CC194" s="21"/>
      <c r="CD194" s="180"/>
      <c r="CE194" s="180"/>
      <c r="CF194" s="21"/>
      <c r="CG194" s="14"/>
      <c r="CH194" s="14"/>
      <c r="CI194" s="14"/>
      <c r="CJ194" s="14"/>
      <c r="CK194" s="14"/>
      <c r="CL194" s="14"/>
      <c r="CM194" s="14"/>
      <c r="CN194" s="14"/>
      <c r="CO194" s="129"/>
      <c r="CP194" s="29"/>
      <c r="CQ194" s="47"/>
      <c r="CR194" s="14"/>
      <c r="CS194" s="14"/>
      <c r="CT194" s="14"/>
      <c r="CU194" s="14"/>
      <c r="CV194" s="180"/>
      <c r="CW194" s="189"/>
      <c r="CX194" s="189"/>
      <c r="CY194" s="14"/>
      <c r="CZ194" s="14"/>
      <c r="DA194" s="14"/>
      <c r="DB194" s="14"/>
      <c r="DC194" s="14"/>
      <c r="DD194" s="14"/>
      <c r="DE194" s="14"/>
      <c r="DF194" s="14"/>
      <c r="DG194" s="129"/>
      <c r="DH194" s="29"/>
      <c r="DI194" s="47"/>
      <c r="DJ194" s="29"/>
      <c r="DK194" s="34"/>
      <c r="DL194" s="37" t="str">
        <f ca="1">IF(DQ212=0,"",IF(COUNTIF(DQ207:DQ211,MAX(DQ207:DQ211))=1,"",IF(COUNTIF(DQ207:DQ211,MAX(DQ207:DQ211))&gt;COUNTIF(DP207:DP211,"&lt;&gt;""")/2,"",INDEX(OFFSET(DP207,MATCH(DL193,DP207:DP212,0),0):DP211,MATCH(MAX(DQ207:DQ211),OFFSET(DQ207,MATCH(DL193,DP207:DP212,0),0):DQ211,0),1))))</f>
        <v/>
      </c>
      <c r="DM194" s="33"/>
      <c r="DN194" s="37"/>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row>
    <row r="195" spans="1:142" x14ac:dyDescent="0.25">
      <c r="A195" s="14"/>
      <c r="B195" s="57"/>
      <c r="C195" s="121" t="str">
        <f ca="1" xml:space="preserve"> IF(H212=0,"", IF(COUNTIF(H207:H211,MAX(H207:H211))&lt;=2,"",IF(COUNTIF(H207:H211,MAX(H207:H211))&gt;COUNTIF(G207:G211,"&lt;&gt;""")/2,"", INDEX(OFFSET(G207,MATCH(C194,G207:G212,0),0):G211,         MATCH(MAX(H207:H211),        OFFSET(H207,MATCH(C194,G207:G212,0),0):H211,0),1))))</f>
        <v/>
      </c>
      <c r="D195" s="58"/>
      <c r="E195" s="121"/>
      <c r="F195" s="14"/>
      <c r="G195" s="14"/>
      <c r="H195" s="21"/>
      <c r="I195" s="21"/>
      <c r="J195" s="14"/>
      <c r="K195" s="19"/>
      <c r="L195" s="40"/>
      <c r="M195" s="40"/>
      <c r="N195" s="40"/>
      <c r="O195" s="40"/>
      <c r="P195" s="40"/>
      <c r="Q195" s="47"/>
      <c r="R195" s="19"/>
      <c r="S195" s="34"/>
      <c r="T195" s="121" t="str">
        <f ca="1" xml:space="preserve"> IF(Y214=0,"",IF(Y214=0,"", IF(COUNTIF(Y207:Y213,MAX(Y207:Y213))&lt;=2,"",IF(COUNTIF(Y207:Y213,MAX(Y207:Y213))&gt;COUNTIF(X207:X213,"&lt;&gt;""")/2,"", INDEX(OFFSET(X207,MATCH(T194,X207:X213,0),0):X213,         MATCH(MAX(Y207:Y213),        OFFSET(Y207,MATCH(T194,X207:X213,0),0):Y213,0),1)))))</f>
        <v/>
      </c>
      <c r="U195" s="33"/>
      <c r="V195" s="37"/>
      <c r="W195" s="14"/>
      <c r="X195" s="14"/>
      <c r="Y195" s="14"/>
      <c r="Z195" s="14"/>
      <c r="AA195" s="19"/>
      <c r="AB195" s="19"/>
      <c r="AC195" s="19"/>
      <c r="AD195" s="65"/>
      <c r="AE195" s="63"/>
      <c r="AF195" s="47"/>
      <c r="AG195" s="19"/>
      <c r="AH195" s="57"/>
      <c r="AI195" s="121" t="str">
        <f ca="1" xml:space="preserve"> IF(AN214=0,"",IF(AN214=0,"", IF(COUNTIF(AN207:AN213,MAX(AN207:AN213))&lt;=2,"",IF(COUNTIF(AN207:AN213,MAX(AN207:AN213))&gt;COUNTIF(AM207:AM213,"&lt;&gt;""")/2,"", INDEX(OFFSET(AM207,MATCH(AI194,AM207:AM213,0),0):AM213,         MATCH(MAX(AN207:AN213),        OFFSET(AN207,MATCH(AI194,AM207:AM213,0),0):AN213,0),1)))))</f>
        <v/>
      </c>
      <c r="AJ195" s="58"/>
      <c r="AK195" s="121"/>
      <c r="AL195" s="14"/>
      <c r="AM195" s="14"/>
      <c r="AN195" s="14"/>
      <c r="AO195" s="14"/>
      <c r="AP195" s="19"/>
      <c r="AQ195" s="19"/>
      <c r="AR195" s="19"/>
      <c r="AS195" s="65"/>
      <c r="AT195" s="63"/>
      <c r="AU195" s="47"/>
      <c r="AV195" s="14"/>
      <c r="AW195" s="57"/>
      <c r="AX195" s="121" t="str">
        <f ca="1" xml:space="preserve"> IF(BC214=0,"",IF(BC214=0,"", IF(COUNTIF(BC207:BC213,MAX(BC207:BC213))&lt;=2,"",IF(COUNTIF(BC207:BC213,MAX(BC207:BC213))&gt;COUNTIF(BB207:BB213,"&lt;&gt;""")/2,"", INDEX(OFFSET(BB207,MATCH(AX194,BB207:BB213,0),0):BB213,         MATCH(MAX(BC207:BC213),        OFFSET(BC207,MATCH(AX194,BB207:BB213,0),0):BC213,0),1)))))</f>
        <v/>
      </c>
      <c r="AY195" s="58"/>
      <c r="AZ195" s="121"/>
      <c r="BA195" s="14"/>
      <c r="BB195" s="14"/>
      <c r="BC195" s="14"/>
      <c r="BD195" s="14"/>
      <c r="BE195" s="19"/>
      <c r="BF195" s="19"/>
      <c r="BG195" s="19"/>
      <c r="BH195" s="65"/>
      <c r="BI195" s="63"/>
      <c r="BJ195" s="352"/>
      <c r="BK195" s="19"/>
      <c r="BL195" s="57"/>
      <c r="BM195" s="121" t="str">
        <f ca="1" xml:space="preserve"> IF(BR214=0,"",IF(BR214=0,"", IF(COUNTIF(BR207:BR213,MAX(BR207:BR213))&lt;=2,"",IF(COUNTIF(BR207:BR213,MAX(BR207:BR213))&gt;COUNTIF(BQ207:BQ213,"&lt;&gt;""")/2,"", INDEX(OFFSET(BQ207,MATCH(BM194,BQ207:BQ213,0),0):BQ213,         MATCH(MAX(BR207:BR213),        OFFSET(BR207,MATCH(BM194,BQ207:BQ213,0),0):BR213,0),1)))))</f>
        <v/>
      </c>
      <c r="BN195" s="58"/>
      <c r="BO195" s="121"/>
      <c r="BP195" s="14"/>
      <c r="BQ195" s="14"/>
      <c r="BR195" s="14"/>
      <c r="BS195" s="14"/>
      <c r="BT195" s="19"/>
      <c r="BU195" s="19"/>
      <c r="BV195" s="19"/>
      <c r="BW195" s="65"/>
      <c r="BX195" s="63"/>
      <c r="BY195" s="352"/>
      <c r="BZ195" s="14"/>
      <c r="CA195" s="14"/>
      <c r="CB195" s="21"/>
      <c r="CC195" s="21"/>
      <c r="CD195" s="180"/>
      <c r="CE195" s="180"/>
      <c r="CF195" s="21"/>
      <c r="CG195" s="14"/>
      <c r="CH195" s="14"/>
      <c r="CI195" s="14"/>
      <c r="CJ195" s="14"/>
      <c r="CK195" s="14"/>
      <c r="CL195" s="14"/>
      <c r="CM195" s="14"/>
      <c r="CN195" s="14"/>
      <c r="CO195" s="129"/>
      <c r="CP195" s="29"/>
      <c r="CQ195" s="47"/>
      <c r="CR195" s="14"/>
      <c r="CS195" s="14"/>
      <c r="CT195" s="14"/>
      <c r="CU195" s="14"/>
      <c r="CV195" s="180"/>
      <c r="CW195" s="189"/>
      <c r="CX195" s="189"/>
      <c r="CY195" s="14"/>
      <c r="CZ195" s="14"/>
      <c r="DA195" s="14"/>
      <c r="DB195" s="14"/>
      <c r="DC195" s="14"/>
      <c r="DD195" s="14"/>
      <c r="DE195" s="14"/>
      <c r="DF195" s="14"/>
      <c r="DG195" s="129"/>
      <c r="DH195" s="29"/>
      <c r="DI195" s="47"/>
      <c r="DJ195" s="29"/>
      <c r="DK195" s="34"/>
      <c r="DL195" s="37" t="str">
        <f ca="1">IF(DQ212=0,"",IF(COUNTIF(DQ207:DQ211,MAX(DQ207:DQ211))&lt;=2,"",IF(COUNTIF(DQ207:DQ211,MAX(DQ207:DQ211))&gt;COUNTIF(DP207:DP211,"&lt;&gt;""")/2,"",INDEX(OFFSET(DP207,MATCH(DL194,DP207:DP212,0),0):DP211,MATCH(MAX(DQ207:DQ211),OFFSET(DQ207,MATCH(DL194,DP207:DP212,0),0):DQ211,0),1))))</f>
        <v/>
      </c>
      <c r="DM195" s="33"/>
      <c r="DN195" s="37"/>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row>
    <row r="196" spans="1:142" x14ac:dyDescent="0.25">
      <c r="A196" s="14"/>
      <c r="B196" s="14"/>
      <c r="C196" s="14"/>
      <c r="D196" s="27"/>
      <c r="E196" s="14"/>
      <c r="F196" s="14"/>
      <c r="G196" s="14"/>
      <c r="H196" s="27"/>
      <c r="I196" s="21"/>
      <c r="J196" s="14"/>
      <c r="K196" s="19"/>
      <c r="L196" s="40"/>
      <c r="M196" s="40"/>
      <c r="N196" s="40"/>
      <c r="O196" s="40"/>
      <c r="P196" s="40"/>
      <c r="Q196" s="47"/>
      <c r="R196" s="19"/>
      <c r="S196" s="19"/>
      <c r="T196" s="62"/>
      <c r="U196" s="27"/>
      <c r="V196" s="14"/>
      <c r="W196" s="14"/>
      <c r="X196" s="14"/>
      <c r="Y196" s="14"/>
      <c r="Z196" s="14"/>
      <c r="AA196" s="19"/>
      <c r="AB196" s="19"/>
      <c r="AC196" s="19"/>
      <c r="AD196" s="65"/>
      <c r="AE196" s="63"/>
      <c r="AF196" s="47"/>
      <c r="AG196" s="19"/>
      <c r="AH196" s="19"/>
      <c r="AI196" s="62"/>
      <c r="AJ196" s="27"/>
      <c r="AK196" s="14"/>
      <c r="AL196" s="14"/>
      <c r="AM196" s="14"/>
      <c r="AN196" s="14"/>
      <c r="AO196" s="14"/>
      <c r="AP196" s="19"/>
      <c r="AQ196" s="19"/>
      <c r="AR196" s="19"/>
      <c r="AS196" s="65"/>
      <c r="AT196" s="63"/>
      <c r="AU196" s="47"/>
      <c r="AV196" s="14"/>
      <c r="AW196" s="19"/>
      <c r="AX196" s="62"/>
      <c r="AY196" s="27"/>
      <c r="AZ196" s="14"/>
      <c r="BA196" s="14"/>
      <c r="BB196" s="14"/>
      <c r="BC196" s="14"/>
      <c r="BD196" s="14"/>
      <c r="BE196" s="19"/>
      <c r="BF196" s="19"/>
      <c r="BG196" s="19"/>
      <c r="BH196" s="65"/>
      <c r="BI196" s="63"/>
      <c r="BJ196" s="352"/>
      <c r="BK196" s="19"/>
      <c r="BL196" s="19"/>
      <c r="BM196" s="62"/>
      <c r="BN196" s="27"/>
      <c r="BO196" s="14"/>
      <c r="BP196" s="14"/>
      <c r="BQ196" s="14"/>
      <c r="BR196" s="14"/>
      <c r="BS196" s="14"/>
      <c r="BT196" s="19"/>
      <c r="BU196" s="19"/>
      <c r="BV196" s="19"/>
      <c r="BW196" s="65"/>
      <c r="BX196" s="63"/>
      <c r="BY196" s="352"/>
      <c r="BZ196" s="14"/>
      <c r="CA196" s="14"/>
      <c r="CB196" s="21"/>
      <c r="CC196" s="21"/>
      <c r="CD196" s="180"/>
      <c r="CE196" s="180"/>
      <c r="CF196" s="21"/>
      <c r="CG196" s="14"/>
      <c r="CH196" s="14"/>
      <c r="CI196" s="14"/>
      <c r="CJ196" s="14"/>
      <c r="CK196" s="14"/>
      <c r="CL196" s="14"/>
      <c r="CM196" s="14"/>
      <c r="CN196" s="14"/>
      <c r="CO196" s="129"/>
      <c r="CP196" s="29"/>
      <c r="CQ196" s="47"/>
      <c r="CR196" s="14"/>
      <c r="CS196" s="14"/>
      <c r="CT196" s="14"/>
      <c r="CU196" s="14"/>
      <c r="CV196" s="180"/>
      <c r="CW196" s="189"/>
      <c r="CX196" s="189"/>
      <c r="CY196" s="14"/>
      <c r="CZ196" s="14"/>
      <c r="DA196" s="14"/>
      <c r="DB196" s="14"/>
      <c r="DC196" s="14"/>
      <c r="DD196" s="14"/>
      <c r="DE196" s="14"/>
      <c r="DF196" s="14"/>
      <c r="DG196" s="129"/>
      <c r="DH196" s="29"/>
      <c r="DI196" s="47"/>
      <c r="DJ196" s="29"/>
      <c r="DK196" s="14"/>
      <c r="DL196" s="14"/>
      <c r="DM196" s="27"/>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row>
    <row r="197" spans="1:142" x14ac:dyDescent="0.25">
      <c r="A197" s="14"/>
      <c r="B197" s="14"/>
      <c r="C197" s="14"/>
      <c r="D197" s="27"/>
      <c r="E197" s="14"/>
      <c r="F197" s="14"/>
      <c r="G197" s="14"/>
      <c r="H197" s="21"/>
      <c r="I197" s="21"/>
      <c r="J197" s="14"/>
      <c r="K197" s="19"/>
      <c r="L197" s="40"/>
      <c r="M197" s="40"/>
      <c r="N197" s="40"/>
      <c r="O197" s="40"/>
      <c r="P197" s="40"/>
      <c r="Q197" s="47"/>
      <c r="R197" s="19"/>
      <c r="S197" s="19"/>
      <c r="T197" s="14"/>
      <c r="U197" s="27"/>
      <c r="V197" s="14"/>
      <c r="W197" s="14"/>
      <c r="X197" s="14"/>
      <c r="Y197" s="14"/>
      <c r="Z197" s="14"/>
      <c r="AA197" s="19"/>
      <c r="AB197" s="19"/>
      <c r="AC197" s="19"/>
      <c r="AD197" s="65"/>
      <c r="AE197" s="63"/>
      <c r="AF197" s="47"/>
      <c r="AG197" s="19"/>
      <c r="AH197" s="19"/>
      <c r="AI197" s="14"/>
      <c r="AJ197" s="27"/>
      <c r="AK197" s="14"/>
      <c r="AL197" s="14"/>
      <c r="AM197" s="14"/>
      <c r="AN197" s="14"/>
      <c r="AO197" s="14"/>
      <c r="AP197" s="19"/>
      <c r="AQ197" s="19"/>
      <c r="AR197" s="19"/>
      <c r="AS197" s="65"/>
      <c r="AT197" s="63"/>
      <c r="AU197" s="47"/>
      <c r="AV197" s="14"/>
      <c r="AW197" s="19"/>
      <c r="AX197" s="14"/>
      <c r="AY197" s="27"/>
      <c r="AZ197" s="14"/>
      <c r="BA197" s="14"/>
      <c r="BB197" s="14"/>
      <c r="BC197" s="14"/>
      <c r="BD197" s="14"/>
      <c r="BE197" s="19"/>
      <c r="BF197" s="19"/>
      <c r="BG197" s="19"/>
      <c r="BH197" s="65"/>
      <c r="BI197" s="63"/>
      <c r="BJ197" s="352"/>
      <c r="BK197" s="19"/>
      <c r="BL197" s="19"/>
      <c r="BM197" s="14"/>
      <c r="BN197" s="27"/>
      <c r="BO197" s="14"/>
      <c r="BP197" s="14"/>
      <c r="BQ197" s="14"/>
      <c r="BR197" s="14"/>
      <c r="BS197" s="14"/>
      <c r="BT197" s="19"/>
      <c r="BU197" s="19"/>
      <c r="BV197" s="19"/>
      <c r="BW197" s="65"/>
      <c r="BX197" s="63"/>
      <c r="BY197" s="352"/>
      <c r="BZ197" s="14"/>
      <c r="CA197" s="14"/>
      <c r="CB197" s="21"/>
      <c r="CC197" s="21"/>
      <c r="CD197" s="180"/>
      <c r="CE197" s="180"/>
      <c r="CF197" s="21"/>
      <c r="CG197" s="14"/>
      <c r="CH197" s="14"/>
      <c r="CI197" s="14"/>
      <c r="CJ197" s="14"/>
      <c r="CK197" s="14"/>
      <c r="CL197" s="14"/>
      <c r="CM197" s="14"/>
      <c r="CN197" s="14"/>
      <c r="CO197" s="129"/>
      <c r="CP197" s="29"/>
      <c r="CQ197" s="47"/>
      <c r="CR197" s="14"/>
      <c r="CS197" s="14"/>
      <c r="CT197" s="14"/>
      <c r="CU197" s="14"/>
      <c r="CV197" s="180"/>
      <c r="CW197" s="189"/>
      <c r="CX197" s="189"/>
      <c r="CY197" s="14"/>
      <c r="CZ197" s="14"/>
      <c r="DA197" s="14"/>
      <c r="DB197" s="14"/>
      <c r="DC197" s="14"/>
      <c r="DD197" s="14"/>
      <c r="DE197" s="14"/>
      <c r="DF197" s="14"/>
      <c r="DG197" s="129"/>
      <c r="DH197" s="29"/>
      <c r="DI197" s="47"/>
      <c r="DJ197" s="29"/>
      <c r="DK197" s="14"/>
      <c r="DL197" s="14"/>
      <c r="DM197" s="27"/>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row>
    <row r="198" spans="1:142" ht="27.6" x14ac:dyDescent="0.25">
      <c r="A198" s="14"/>
      <c r="B198" s="14"/>
      <c r="C198" s="14"/>
      <c r="D198" s="27"/>
      <c r="E198" s="14"/>
      <c r="F198" s="14"/>
      <c r="G198" s="14"/>
      <c r="H198" s="21"/>
      <c r="I198" s="21"/>
      <c r="J198" s="14"/>
      <c r="K198" s="19"/>
      <c r="L198" s="40"/>
      <c r="M198" s="40"/>
      <c r="N198" s="40"/>
      <c r="O198" s="40"/>
      <c r="P198" s="40"/>
      <c r="Q198" s="47"/>
      <c r="R198" s="19"/>
      <c r="S198" s="19"/>
      <c r="T198" s="14"/>
      <c r="U198" s="27"/>
      <c r="V198" s="14"/>
      <c r="W198" s="14"/>
      <c r="X198" s="14"/>
      <c r="Y198" s="14"/>
      <c r="Z198" s="14"/>
      <c r="AA198" s="19"/>
      <c r="AB198" s="19"/>
      <c r="AC198" s="19"/>
      <c r="AD198" s="65"/>
      <c r="AE198" s="63"/>
      <c r="AF198" s="47"/>
      <c r="AG198" s="19"/>
      <c r="AH198" s="19"/>
      <c r="AI198" s="14"/>
      <c r="AJ198" s="27"/>
      <c r="AK198" s="14"/>
      <c r="AL198" s="14"/>
      <c r="AM198" s="14"/>
      <c r="AN198" s="14"/>
      <c r="AO198" s="14"/>
      <c r="AP198" s="19"/>
      <c r="AQ198" s="19"/>
      <c r="AR198" s="19"/>
      <c r="AS198" s="65"/>
      <c r="AT198" s="63"/>
      <c r="AU198" s="47"/>
      <c r="AV198" s="14"/>
      <c r="AW198" s="19"/>
      <c r="AX198" s="14"/>
      <c r="AY198" s="27"/>
      <c r="AZ198" s="14"/>
      <c r="BA198" s="14"/>
      <c r="BB198" s="14"/>
      <c r="BC198" s="14"/>
      <c r="BD198" s="14"/>
      <c r="BE198" s="19"/>
      <c r="BF198" s="19"/>
      <c r="BG198" s="19"/>
      <c r="BH198" s="65"/>
      <c r="BI198" s="63"/>
      <c r="BJ198" s="352"/>
      <c r="BK198" s="19"/>
      <c r="BL198" s="19"/>
      <c r="BM198" s="14"/>
      <c r="BN198" s="27"/>
      <c r="BO198" s="14"/>
      <c r="BP198" s="14"/>
      <c r="BQ198" s="14"/>
      <c r="BR198" s="14"/>
      <c r="BS198" s="14"/>
      <c r="BT198" s="19"/>
      <c r="BU198" s="19"/>
      <c r="BV198" s="19"/>
      <c r="BW198" s="65"/>
      <c r="BX198" s="63"/>
      <c r="BY198" s="352"/>
      <c r="BZ198" s="14"/>
      <c r="CA198" s="109" t="s">
        <v>14</v>
      </c>
      <c r="CB198" s="110" t="s">
        <v>164</v>
      </c>
      <c r="CC198" s="110" t="s">
        <v>149</v>
      </c>
      <c r="CD198" s="184" t="s">
        <v>150</v>
      </c>
      <c r="CE198" s="184" t="s">
        <v>151</v>
      </c>
      <c r="CF198" s="110" t="s">
        <v>152</v>
      </c>
      <c r="CG198" s="14"/>
      <c r="CH198" s="109"/>
      <c r="CI198" s="110" t="s">
        <v>5</v>
      </c>
      <c r="CJ198" s="110" t="s">
        <v>4</v>
      </c>
      <c r="CK198" s="110" t="s">
        <v>33</v>
      </c>
      <c r="CL198" s="110" t="s">
        <v>29</v>
      </c>
      <c r="CM198" s="110" t="s">
        <v>3</v>
      </c>
      <c r="CN198" s="110" t="s">
        <v>54</v>
      </c>
      <c r="CO198" s="328" t="s">
        <v>160</v>
      </c>
      <c r="CP198" s="29"/>
      <c r="CQ198" s="47"/>
      <c r="CR198" s="14"/>
      <c r="CS198" s="109" t="s">
        <v>14</v>
      </c>
      <c r="CT198" s="110" t="s">
        <v>164</v>
      </c>
      <c r="CU198" s="110" t="s">
        <v>149</v>
      </c>
      <c r="CV198" s="184" t="s">
        <v>150</v>
      </c>
      <c r="CW198" s="184" t="s">
        <v>151</v>
      </c>
      <c r="CX198" s="194" t="s">
        <v>152</v>
      </c>
      <c r="CY198" s="14"/>
      <c r="CZ198" s="109" t="s">
        <v>14</v>
      </c>
      <c r="DA198" s="110" t="s">
        <v>5</v>
      </c>
      <c r="DB198" s="110" t="s">
        <v>4</v>
      </c>
      <c r="DC198" s="110" t="s">
        <v>33</v>
      </c>
      <c r="DD198" s="110" t="s">
        <v>29</v>
      </c>
      <c r="DE198" s="110" t="s">
        <v>3</v>
      </c>
      <c r="DF198" s="110" t="s">
        <v>54</v>
      </c>
      <c r="DG198" s="328" t="s">
        <v>160</v>
      </c>
      <c r="DH198" s="29"/>
      <c r="DI198" s="47"/>
      <c r="DJ198" s="29"/>
      <c r="DK198" s="14"/>
      <c r="DL198" s="14"/>
      <c r="DM198" s="27"/>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row>
    <row r="199" spans="1:142" x14ac:dyDescent="0.25">
      <c r="A199" s="14"/>
      <c r="B199" s="14"/>
      <c r="C199" s="14"/>
      <c r="D199" s="21"/>
      <c r="E199" s="14"/>
      <c r="F199" s="14"/>
      <c r="G199" s="14"/>
      <c r="H199" s="21"/>
      <c r="I199" s="21"/>
      <c r="J199" s="14"/>
      <c r="K199" s="19"/>
      <c r="L199" s="14"/>
      <c r="M199" s="14"/>
      <c r="N199" s="14"/>
      <c r="O199" s="14"/>
      <c r="P199" s="14"/>
      <c r="Q199" s="47"/>
      <c r="R199" s="19"/>
      <c r="S199" s="14"/>
      <c r="T199" s="14"/>
      <c r="U199" s="21"/>
      <c r="V199" s="14"/>
      <c r="W199" s="14"/>
      <c r="X199" s="14"/>
      <c r="Y199" s="14"/>
      <c r="Z199" s="14"/>
      <c r="AA199" s="19"/>
      <c r="AB199" s="19"/>
      <c r="AC199" s="19"/>
      <c r="AD199" s="65"/>
      <c r="AE199" s="63"/>
      <c r="AF199" s="47"/>
      <c r="AG199" s="19"/>
      <c r="AH199" s="14"/>
      <c r="AI199" s="14"/>
      <c r="AJ199" s="21"/>
      <c r="AK199" s="14"/>
      <c r="AL199" s="14"/>
      <c r="AM199" s="14"/>
      <c r="AN199" s="14"/>
      <c r="AO199" s="14"/>
      <c r="AP199" s="19"/>
      <c r="AQ199" s="19"/>
      <c r="AR199" s="19"/>
      <c r="AS199" s="65"/>
      <c r="AT199" s="63"/>
      <c r="AU199" s="47"/>
      <c r="AV199" s="14"/>
      <c r="AW199" s="14"/>
      <c r="AX199" s="14"/>
      <c r="AY199" s="21"/>
      <c r="AZ199" s="14"/>
      <c r="BA199" s="14"/>
      <c r="BB199" s="14"/>
      <c r="BC199" s="14"/>
      <c r="BD199" s="14"/>
      <c r="BE199" s="19"/>
      <c r="BF199" s="19"/>
      <c r="BG199" s="19"/>
      <c r="BH199" s="65"/>
      <c r="BI199" s="63"/>
      <c r="BJ199" s="352"/>
      <c r="BK199" s="19"/>
      <c r="BL199" s="14"/>
      <c r="BM199" s="14"/>
      <c r="BN199" s="21"/>
      <c r="BO199" s="14"/>
      <c r="BP199" s="14"/>
      <c r="BQ199" s="14"/>
      <c r="BR199" s="14"/>
      <c r="BS199" s="14"/>
      <c r="BT199" s="19"/>
      <c r="BU199" s="19"/>
      <c r="BV199" s="19"/>
      <c r="BW199" s="65"/>
      <c r="BX199" s="63"/>
      <c r="BY199" s="352"/>
      <c r="BZ199" s="14"/>
      <c r="CA199" s="140" t="s">
        <v>701</v>
      </c>
      <c r="CB199" s="27">
        <f>COUNTIFS(S30_stakeholder_category,"NGO",Response_Q177_1,"&lt;&gt;0",Response_Q173_5,"&lt;&gt;0")</f>
        <v>0</v>
      </c>
      <c r="CC199" s="37">
        <f>COUNTIFS(S30_stakeholder_category,"NGO",Response_Q177_1,1,Response_Q173_5,"&lt;&gt;""0")</f>
        <v>4</v>
      </c>
      <c r="CD199" s="37">
        <f>COUNTIFS(S30_stakeholder_category,"NGO",Response_Q177_1,2,Response_Q173_5,"&lt;&gt;""0")</f>
        <v>0</v>
      </c>
      <c r="CE199" s="37">
        <f>COUNTIFS(S30_stakeholder_category,"NGO",Response_Q177_1,3,Response_Q173_5,"&lt;&gt;""0")</f>
        <v>0</v>
      </c>
      <c r="CF199" s="97">
        <f>IF(CB193=0,0,SUMPRODUCT(CC199:CE199,Rank_score)/$CB193)</f>
        <v>3</v>
      </c>
      <c r="CG199" s="14"/>
      <c r="CH199" s="140" t="s">
        <v>701</v>
      </c>
      <c r="CI199" s="27">
        <f t="shared" ref="CI199:CN199" si="139">COUNTIFS(S30_stakeholder_category,"NGO",Response_Q177_1,"&lt;&gt;0",Response_Q177_2,CI$63,Response_Q173_5,"&lt;&gt;0")</f>
        <v>0</v>
      </c>
      <c r="CJ199" s="27">
        <f t="shared" si="139"/>
        <v>0</v>
      </c>
      <c r="CK199" s="27">
        <f t="shared" si="139"/>
        <v>0</v>
      </c>
      <c r="CL199" s="27">
        <f t="shared" si="139"/>
        <v>0</v>
      </c>
      <c r="CM199" s="27">
        <f t="shared" si="139"/>
        <v>0</v>
      </c>
      <c r="CN199" s="27">
        <f t="shared" si="139"/>
        <v>0</v>
      </c>
      <c r="CO199" s="141" t="str">
        <f t="shared" ref="CO199:CO205" si="140">IF(ISBLANK(CH199),"",IF(CF199=0,not_ranked,IF(SUM(CI199:CN199)=0,not_estimated,IFERROR(SUMPRODUCT(CI199:CN199,Likekihood_score)/SUM(CI199:CN199),0))))</f>
        <v>Ranked, but likelihood not estimated</v>
      </c>
      <c r="CP199" s="29"/>
      <c r="CQ199" s="47"/>
      <c r="CR199" s="14"/>
      <c r="CS199" s="140" t="s">
        <v>373</v>
      </c>
      <c r="CT199" s="27">
        <f>COUNTIFS(S30_stakeholder_category,"NGO",Response_Q178_1,"&lt;&gt;0",Response_Q173_5,"&lt;&gt;0")</f>
        <v>0</v>
      </c>
      <c r="CU199" s="37">
        <f>COUNTIFS(S30_stakeholder_category,"NGO",Response_Q178_1,1,Response_Q173_5,"&lt;&gt;0")</f>
        <v>0</v>
      </c>
      <c r="CV199" s="37">
        <f>COUNTIFS(S30_stakeholder_category,"NGO",Response_Q178_1,2,Response_Q173_5,"&lt;&gt;0")</f>
        <v>0</v>
      </c>
      <c r="CW199" s="37">
        <f>COUNTIFS(S30_stakeholder_category,"NGO",Response_Q178_1,3,Response_Q173_5,"&lt;&gt;0")</f>
        <v>0</v>
      </c>
      <c r="CX199" s="37">
        <f>IF(CT193=0,0,SUMPRODUCT(CU199:CW199,Rank_score)/CT$58)</f>
        <v>0</v>
      </c>
      <c r="CY199" s="14"/>
      <c r="CZ199" s="140" t="s">
        <v>373</v>
      </c>
      <c r="DA199" s="27">
        <f t="shared" ref="DA199:DF199" si="141">COUNTIFS(S30_stakeholder_category,"NGO",Response_Q178_1,"&lt;&gt;0",Response_Q178_2,DA$63,Response_Q173_5,"&lt;&gt;0")</f>
        <v>0</v>
      </c>
      <c r="DB199" s="27">
        <f t="shared" si="141"/>
        <v>0</v>
      </c>
      <c r="DC199" s="27">
        <f t="shared" si="141"/>
        <v>0</v>
      </c>
      <c r="DD199" s="27">
        <f t="shared" si="141"/>
        <v>0</v>
      </c>
      <c r="DE199" s="27">
        <f t="shared" si="141"/>
        <v>0</v>
      </c>
      <c r="DF199" s="27">
        <f t="shared" si="141"/>
        <v>0</v>
      </c>
      <c r="DG199" s="141" t="str">
        <f t="shared" ref="DG199:DG206" si="142">IF(ISBLANK(CZ199),"",IF(CX199=0,not_ranked,IF(SUM(DA199:DF199)=0,not_estimated,IFERROR(SUMPRODUCT(DA199:DF199,Likekihood_score)/SUM(DA199:DF199),0))))</f>
        <v>Factor not ranked</v>
      </c>
      <c r="DH199" s="29"/>
      <c r="DI199" s="47"/>
      <c r="DJ199" s="29"/>
      <c r="DK199" s="14"/>
      <c r="DL199" s="14"/>
      <c r="DM199" s="14"/>
      <c r="DN199" s="14"/>
      <c r="DO199" s="14"/>
      <c r="DP199" s="14"/>
      <c r="DQ199" s="14"/>
      <c r="DR199" s="13"/>
      <c r="DS199" s="13"/>
      <c r="DT199" s="14"/>
      <c r="DU199" s="14"/>
      <c r="DV199" s="14"/>
      <c r="DW199" s="14"/>
      <c r="DX199" s="14"/>
      <c r="DY199" s="14"/>
      <c r="DZ199" s="14"/>
      <c r="EA199" s="14"/>
      <c r="EB199" s="14"/>
      <c r="EC199" s="14"/>
      <c r="ED199" s="14"/>
      <c r="EE199" s="14"/>
      <c r="EF199" s="14"/>
      <c r="EG199" s="14"/>
      <c r="EH199" s="14"/>
      <c r="EI199" s="14"/>
      <c r="EJ199" s="14"/>
      <c r="EK199" s="14"/>
      <c r="EL199" s="14"/>
    </row>
    <row r="200" spans="1:142" ht="14.4" x14ac:dyDescent="0.25">
      <c r="A200" s="14"/>
      <c r="B200" s="60"/>
      <c r="C200" s="19"/>
      <c r="D200" s="59"/>
      <c r="E200" s="14"/>
      <c r="F200" s="14"/>
      <c r="G200" s="14"/>
      <c r="H200" s="21"/>
      <c r="I200" s="21"/>
      <c r="J200" s="14"/>
      <c r="K200" s="14"/>
      <c r="L200" s="14"/>
      <c r="M200" s="14"/>
      <c r="N200" s="14"/>
      <c r="O200" s="14"/>
      <c r="P200" s="14"/>
      <c r="Q200" s="47"/>
      <c r="R200" s="19"/>
      <c r="S200" s="60"/>
      <c r="T200" s="19"/>
      <c r="U200" s="59"/>
      <c r="V200" s="14"/>
      <c r="W200" s="14"/>
      <c r="X200" s="14"/>
      <c r="Y200" s="14"/>
      <c r="Z200" s="14"/>
      <c r="AA200" s="19"/>
      <c r="AB200" s="19"/>
      <c r="AC200" s="19"/>
      <c r="AD200" s="65"/>
      <c r="AE200" s="63"/>
      <c r="AF200" s="47"/>
      <c r="AG200" s="19"/>
      <c r="AH200" s="60"/>
      <c r="AI200" s="19"/>
      <c r="AJ200" s="59"/>
      <c r="AK200" s="14"/>
      <c r="AL200" s="14"/>
      <c r="AM200" s="14"/>
      <c r="AN200" s="14"/>
      <c r="AO200" s="14"/>
      <c r="AP200" s="19"/>
      <c r="AQ200" s="19"/>
      <c r="AR200" s="19"/>
      <c r="AS200" s="65"/>
      <c r="AT200" s="63"/>
      <c r="AU200" s="47"/>
      <c r="AV200" s="14"/>
      <c r="AW200" s="60"/>
      <c r="AX200" s="19"/>
      <c r="AY200" s="59"/>
      <c r="AZ200" s="14"/>
      <c r="BA200" s="14"/>
      <c r="BB200" s="14"/>
      <c r="BC200" s="14"/>
      <c r="BD200" s="14"/>
      <c r="BE200" s="19"/>
      <c r="BF200" s="19"/>
      <c r="BG200" s="19"/>
      <c r="BH200" s="65"/>
      <c r="BI200" s="63"/>
      <c r="BJ200" s="352"/>
      <c r="BK200" s="19"/>
      <c r="BL200" s="60"/>
      <c r="BM200" s="19"/>
      <c r="BN200" s="59"/>
      <c r="BO200" s="14"/>
      <c r="BP200" s="14"/>
      <c r="BQ200" s="14"/>
      <c r="BR200" s="14"/>
      <c r="BS200" s="14"/>
      <c r="BT200" s="19"/>
      <c r="BU200" s="19"/>
      <c r="BV200" s="19"/>
      <c r="BW200" s="65"/>
      <c r="BX200" s="63"/>
      <c r="BY200" s="352"/>
      <c r="BZ200" s="14"/>
      <c r="CA200" s="140" t="s">
        <v>344</v>
      </c>
      <c r="CB200" s="27">
        <f>COUNTIFS(S30_stakeholder_category,"NGO",Response_Q177_3,"&lt;&gt;0",Response_Q173_5,"&lt;&gt;0")</f>
        <v>0</v>
      </c>
      <c r="CC200" s="37">
        <f>COUNTIFS(S30_stakeholder_category,"NGO",Response_Q177_3,1,Response_Q173_5,"&lt;&gt;0")</f>
        <v>0</v>
      </c>
      <c r="CD200" s="37">
        <f>COUNTIFS(S30_stakeholder_category,"NGO",Response_Q177_3,2,Response_Q173_5,"&lt;&gt;0")</f>
        <v>0</v>
      </c>
      <c r="CE200" s="37">
        <f>COUNTIFS(S30_stakeholder_category,"NGO",Response_Q177_3,3,Response_Q173_5,"&lt;&gt;0")</f>
        <v>0</v>
      </c>
      <c r="CF200" s="97">
        <f>IF(CB193=0,0,SUMPRODUCT(CC200:CE200,Rank_score)/$CB193)</f>
        <v>0</v>
      </c>
      <c r="CG200" s="14"/>
      <c r="CH200" s="140" t="s">
        <v>344</v>
      </c>
      <c r="CI200" s="27">
        <f t="shared" ref="CI200:CN200" si="143">COUNTIFS(S30_stakeholder_category,"NGO",Response_Q177_3,"&lt;&gt;0",Response_Q177_4,CI$63,Response_Q173_5,"&lt;&gt;0")</f>
        <v>0</v>
      </c>
      <c r="CJ200" s="27">
        <f t="shared" si="143"/>
        <v>0</v>
      </c>
      <c r="CK200" s="27">
        <f t="shared" si="143"/>
        <v>0</v>
      </c>
      <c r="CL200" s="27">
        <f t="shared" si="143"/>
        <v>0</v>
      </c>
      <c r="CM200" s="27">
        <f t="shared" si="143"/>
        <v>0</v>
      </c>
      <c r="CN200" s="27">
        <f t="shared" si="143"/>
        <v>0</v>
      </c>
      <c r="CO200" s="141" t="str">
        <f t="shared" si="140"/>
        <v>Factor not ranked</v>
      </c>
      <c r="CP200" s="14"/>
      <c r="CQ200" s="47"/>
      <c r="CR200" s="14"/>
      <c r="CS200" s="140" t="s">
        <v>338</v>
      </c>
      <c r="CT200" s="27">
        <f>COUNTIFS(S30_stakeholder_category,"NGO",Response_Q178_3,"&lt;&gt;0",Response_Q173_5,"&lt;&gt;0")</f>
        <v>0</v>
      </c>
      <c r="CU200" s="37">
        <f>COUNTIFS(S30_stakeholder_category,"NGO",Response_Q178_3,1,Response_Q173_5,"&lt;&gt;0")</f>
        <v>0</v>
      </c>
      <c r="CV200" s="37">
        <f>COUNTIFS(S30_stakeholder_category,"NGO",Response_Q178_3,2,Response_Q173_5,"&lt;&gt;0")</f>
        <v>0</v>
      </c>
      <c r="CW200" s="37">
        <f>COUNTIFS(S30_stakeholder_category,"NGO",Response_Q178_3,3,Response_Q173_5,"&lt;&gt;0")</f>
        <v>0</v>
      </c>
      <c r="CX200" s="37">
        <f>IF(CT193=0,0,SUMPRODUCT(CU200:CW200,Rank_score)/CT$58)</f>
        <v>0</v>
      </c>
      <c r="CY200" s="14"/>
      <c r="CZ200" s="140" t="s">
        <v>338</v>
      </c>
      <c r="DA200" s="27">
        <f t="shared" ref="DA200:DF200" si="144">COUNTIFS(S30_stakeholder_category,"NGO",Response_Q178_3,"&lt;&gt;0",Response_Q178_4,DA$63,Response_Q173_5,"&lt;&gt;0")</f>
        <v>0</v>
      </c>
      <c r="DB200" s="27">
        <f t="shared" si="144"/>
        <v>0</v>
      </c>
      <c r="DC200" s="27">
        <f t="shared" si="144"/>
        <v>0</v>
      </c>
      <c r="DD200" s="27">
        <f t="shared" si="144"/>
        <v>0</v>
      </c>
      <c r="DE200" s="27">
        <f t="shared" si="144"/>
        <v>0</v>
      </c>
      <c r="DF200" s="27">
        <f t="shared" si="144"/>
        <v>0</v>
      </c>
      <c r="DG200" s="141" t="str">
        <f t="shared" si="142"/>
        <v>Factor not ranked</v>
      </c>
      <c r="DH200" s="14"/>
      <c r="DI200" s="47"/>
      <c r="DJ200" s="14"/>
      <c r="DK200" s="19"/>
      <c r="DL200" s="19"/>
      <c r="DM200" s="59"/>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row>
    <row r="201" spans="1:142" ht="14.4" x14ac:dyDescent="0.25">
      <c r="A201" s="14"/>
      <c r="B201" s="62"/>
      <c r="C201" s="19"/>
      <c r="D201" s="59"/>
      <c r="E201" s="14"/>
      <c r="F201" s="14"/>
      <c r="G201" s="14"/>
      <c r="H201" s="21"/>
      <c r="I201" s="21"/>
      <c r="J201" s="14"/>
      <c r="K201" s="14"/>
      <c r="L201" s="14"/>
      <c r="M201" s="14"/>
      <c r="N201" s="14"/>
      <c r="O201" s="14"/>
      <c r="P201" s="14"/>
      <c r="Q201" s="47"/>
      <c r="R201" s="19"/>
      <c r="S201" s="61"/>
      <c r="T201" s="19"/>
      <c r="U201" s="59"/>
      <c r="V201" s="14"/>
      <c r="W201" s="14"/>
      <c r="X201" s="14"/>
      <c r="Y201" s="14"/>
      <c r="Z201" s="13"/>
      <c r="AA201" s="30"/>
      <c r="AB201" s="30"/>
      <c r="AC201" s="30"/>
      <c r="AD201" s="65"/>
      <c r="AE201" s="63"/>
      <c r="AF201" s="47"/>
      <c r="AG201" s="19"/>
      <c r="AH201" s="61"/>
      <c r="AI201" s="19"/>
      <c r="AJ201" s="59"/>
      <c r="AK201" s="14"/>
      <c r="AL201" s="14"/>
      <c r="AM201" s="14"/>
      <c r="AN201" s="14"/>
      <c r="AO201" s="13"/>
      <c r="AP201" s="30"/>
      <c r="AQ201" s="30"/>
      <c r="AR201" s="30"/>
      <c r="AS201" s="65"/>
      <c r="AT201" s="63"/>
      <c r="AU201" s="47"/>
      <c r="AV201" s="14"/>
      <c r="AW201" s="61"/>
      <c r="AX201" s="19"/>
      <c r="AY201" s="59"/>
      <c r="AZ201" s="14"/>
      <c r="BA201" s="14"/>
      <c r="BB201" s="14"/>
      <c r="BC201" s="14"/>
      <c r="BD201" s="13"/>
      <c r="BE201" s="30"/>
      <c r="BF201" s="30"/>
      <c r="BG201" s="30"/>
      <c r="BH201" s="65"/>
      <c r="BI201" s="63"/>
      <c r="BJ201" s="352"/>
      <c r="BK201" s="19"/>
      <c r="BL201" s="61"/>
      <c r="BM201" s="19"/>
      <c r="BN201" s="59"/>
      <c r="BO201" s="14"/>
      <c r="BP201" s="14"/>
      <c r="BQ201" s="14"/>
      <c r="BR201" s="14"/>
      <c r="BS201" s="13"/>
      <c r="BT201" s="30"/>
      <c r="BU201" s="30"/>
      <c r="BV201" s="30"/>
      <c r="BW201" s="65"/>
      <c r="BX201" s="63"/>
      <c r="BY201" s="352"/>
      <c r="BZ201" s="14"/>
      <c r="CA201" s="140" t="s">
        <v>146</v>
      </c>
      <c r="CB201" s="27">
        <f>COUNTIFS(S30_stakeholder_category,"NGO",Response_Q177_5,"&lt;&gt;0",Response_Q173_5,"&lt;&gt;0")</f>
        <v>0</v>
      </c>
      <c r="CC201" s="37">
        <f>COUNTIFS(S30_stakeholder_category,"NGO",Response_Q177_5,1,Response_Q173_5,"&lt;&gt;0")</f>
        <v>0</v>
      </c>
      <c r="CD201" s="37">
        <f>COUNTIFS(S30_stakeholder_category,"NGO",Response_Q177_5,2,Response_Q173_5,"&lt;&gt;0")</f>
        <v>0</v>
      </c>
      <c r="CE201" s="37">
        <f>COUNTIFS(S30_stakeholder_category,"NGO",Response_Q177_5,3,Response_Q173_5,"&lt;&gt;0")</f>
        <v>0</v>
      </c>
      <c r="CF201" s="97">
        <f>IF(CB193=0,0,SUMPRODUCT(CC201:CE201,Rank_score)/$CB193)</f>
        <v>0</v>
      </c>
      <c r="CG201" s="14"/>
      <c r="CH201" s="140" t="s">
        <v>146</v>
      </c>
      <c r="CI201" s="27">
        <f t="shared" ref="CI201:CN201" si="145">COUNTIFS(S30_stakeholder_category,"NGO",Response_Q177_5,"&lt;&gt;0",Response_Q177_6,CI$63,Response_Q173_5,"&lt;&gt;0")</f>
        <v>0</v>
      </c>
      <c r="CJ201" s="27">
        <f t="shared" si="145"/>
        <v>0</v>
      </c>
      <c r="CK201" s="27">
        <f t="shared" si="145"/>
        <v>0</v>
      </c>
      <c r="CL201" s="27">
        <f t="shared" si="145"/>
        <v>0</v>
      </c>
      <c r="CM201" s="27">
        <f t="shared" si="145"/>
        <v>0</v>
      </c>
      <c r="CN201" s="27">
        <f t="shared" si="145"/>
        <v>0</v>
      </c>
      <c r="CO201" s="141" t="str">
        <f t="shared" si="140"/>
        <v>Factor not ranked</v>
      </c>
      <c r="CP201" s="14"/>
      <c r="CQ201" s="47"/>
      <c r="CR201" s="14"/>
      <c r="CS201" s="106" t="s">
        <v>339</v>
      </c>
      <c r="CT201" s="27">
        <f>COUNTIFS(S30_stakeholder_category,"NGO",Response_Q178_5,"&lt;&gt;0",Response_Q173_5,"&lt;&gt;0")</f>
        <v>0</v>
      </c>
      <c r="CU201" s="37">
        <f>COUNTIFS(S30_stakeholder_category,"NGO",Response_Q178_5,1,Response_Q173_5,"&lt;&gt;0")</f>
        <v>0</v>
      </c>
      <c r="CV201" s="37">
        <f>COUNTIFS(S30_stakeholder_category,"NGO",Response_Q178_5,2,Response_Q173_5,"&lt;&gt;0")</f>
        <v>0</v>
      </c>
      <c r="CW201" s="37">
        <f>COUNTIFS(S30_stakeholder_category,"NGO",Response_Q178_5,3,Response_Q173_5,"&lt;&gt;0")</f>
        <v>0</v>
      </c>
      <c r="CX201" s="37">
        <f>IF(CT193=0,0,SUMPRODUCT(CU201:CW201,Rank_score)/CT$58)</f>
        <v>0</v>
      </c>
      <c r="CY201" s="14"/>
      <c r="CZ201" s="106" t="s">
        <v>339</v>
      </c>
      <c r="DA201" s="27">
        <f t="shared" ref="DA201:DF201" si="146">COUNTIFS(S30_stakeholder_category,"NGO",Response_Q178_5,"&lt;&gt;0",Response_Q178_6,DA$63,Response_Q173_5,"&lt;&gt;0")</f>
        <v>0</v>
      </c>
      <c r="DB201" s="27">
        <f t="shared" si="146"/>
        <v>0</v>
      </c>
      <c r="DC201" s="27">
        <f t="shared" si="146"/>
        <v>0</v>
      </c>
      <c r="DD201" s="27">
        <f t="shared" si="146"/>
        <v>0</v>
      </c>
      <c r="DE201" s="27">
        <f t="shared" si="146"/>
        <v>0</v>
      </c>
      <c r="DF201" s="27">
        <f t="shared" si="146"/>
        <v>0</v>
      </c>
      <c r="DG201" s="141" t="str">
        <f t="shared" si="142"/>
        <v>Factor not ranked</v>
      </c>
      <c r="DH201" s="14"/>
      <c r="DI201" s="47"/>
      <c r="DJ201" s="14"/>
      <c r="DK201" s="19"/>
      <c r="DL201" s="19"/>
      <c r="DM201" s="59"/>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row>
    <row r="202" spans="1:142" x14ac:dyDescent="0.25">
      <c r="A202" s="14"/>
      <c r="B202" s="62"/>
      <c r="C202" s="19"/>
      <c r="D202" s="59"/>
      <c r="E202" s="14"/>
      <c r="F202" s="14"/>
      <c r="G202" s="14"/>
      <c r="H202" s="21"/>
      <c r="I202" s="21"/>
      <c r="J202" s="14"/>
      <c r="K202" s="14"/>
      <c r="L202" s="14"/>
      <c r="M202" s="14"/>
      <c r="N202" s="14"/>
      <c r="O202" s="14"/>
      <c r="P202" s="14"/>
      <c r="Q202" s="47"/>
      <c r="R202" s="19"/>
      <c r="S202" s="62"/>
      <c r="T202" s="19"/>
      <c r="U202" s="59"/>
      <c r="V202" s="14"/>
      <c r="W202" s="14"/>
      <c r="X202" s="14"/>
      <c r="Y202" s="14"/>
      <c r="Z202" s="14"/>
      <c r="AA202" s="14"/>
      <c r="AB202" s="14"/>
      <c r="AC202" s="14"/>
      <c r="AD202" s="65"/>
      <c r="AE202" s="63"/>
      <c r="AF202" s="47"/>
      <c r="AG202" s="19"/>
      <c r="AH202" s="62"/>
      <c r="AI202" s="19"/>
      <c r="AJ202" s="59"/>
      <c r="AK202" s="14"/>
      <c r="AL202" s="14"/>
      <c r="AM202" s="14"/>
      <c r="AN202" s="14"/>
      <c r="AO202" s="14"/>
      <c r="AP202" s="14"/>
      <c r="AQ202" s="14"/>
      <c r="AR202" s="14"/>
      <c r="AS202" s="65"/>
      <c r="AT202" s="63"/>
      <c r="AU202" s="47"/>
      <c r="AV202" s="14"/>
      <c r="AW202" s="62"/>
      <c r="AX202" s="19"/>
      <c r="AY202" s="59"/>
      <c r="AZ202" s="14"/>
      <c r="BA202" s="14"/>
      <c r="BB202" s="14"/>
      <c r="BC202" s="14"/>
      <c r="BD202" s="14"/>
      <c r="BE202" s="14"/>
      <c r="BF202" s="14"/>
      <c r="BG202" s="14"/>
      <c r="BH202" s="65"/>
      <c r="BI202" s="63"/>
      <c r="BJ202" s="352"/>
      <c r="BK202" s="19"/>
      <c r="BL202" s="62"/>
      <c r="BM202" s="19"/>
      <c r="BN202" s="59"/>
      <c r="BO202" s="14"/>
      <c r="BP202" s="14"/>
      <c r="BQ202" s="14"/>
      <c r="BR202" s="14"/>
      <c r="BS202" s="14"/>
      <c r="BT202" s="14"/>
      <c r="BU202" s="14"/>
      <c r="BV202" s="14"/>
      <c r="BW202" s="65"/>
      <c r="BX202" s="63"/>
      <c r="BY202" s="352"/>
      <c r="BZ202" s="14"/>
      <c r="CA202" s="140" t="s">
        <v>147</v>
      </c>
      <c r="CB202" s="27">
        <f>COUNTIFS(S30_stakeholder_category,"NGO",Response_Q177_7,"&lt;&gt;0",Response_Q173_5,"&lt;&gt;0")</f>
        <v>0</v>
      </c>
      <c r="CC202" s="37">
        <f>COUNTIFS(S30_stakeholder_category,"NGO",Response_Q177_7,1,Response_Q173_5,"&lt;&gt;0")</f>
        <v>0</v>
      </c>
      <c r="CD202" s="37">
        <f>COUNTIFS(S30_stakeholder_category,"NGO",Response_Q177_7,2,Response_Q173_5,"&lt;&gt;0")</f>
        <v>0</v>
      </c>
      <c r="CE202" s="37">
        <f>COUNTIFS(S30_stakeholder_category,"NGO",Response_Q177_7,3,Response_Q173_5,"&lt;&gt;0")</f>
        <v>0</v>
      </c>
      <c r="CF202" s="97">
        <f>IF(CB193=0,0,SUMPRODUCT(CC202:CE202,Rank_score)/$CB193)</f>
        <v>0</v>
      </c>
      <c r="CG202" s="14"/>
      <c r="CH202" s="140" t="s">
        <v>147</v>
      </c>
      <c r="CI202" s="27">
        <f t="shared" ref="CI202:CN202" si="147">COUNTIFS(S30_stakeholder_category,"NGO",Response_Q177_7,"&lt;&gt;0",Response_Q177_8,CI$63,Response_Q173_5,"&lt;&gt;0")</f>
        <v>0</v>
      </c>
      <c r="CJ202" s="27">
        <f t="shared" si="147"/>
        <v>0</v>
      </c>
      <c r="CK202" s="27">
        <f t="shared" si="147"/>
        <v>0</v>
      </c>
      <c r="CL202" s="27">
        <f t="shared" si="147"/>
        <v>0</v>
      </c>
      <c r="CM202" s="27">
        <f t="shared" si="147"/>
        <v>0</v>
      </c>
      <c r="CN202" s="27">
        <f t="shared" si="147"/>
        <v>0</v>
      </c>
      <c r="CO202" s="141" t="str">
        <f t="shared" si="140"/>
        <v>Factor not ranked</v>
      </c>
      <c r="CP202" s="14"/>
      <c r="CQ202" s="47"/>
      <c r="CR202" s="14"/>
      <c r="CS202" s="106" t="s">
        <v>345</v>
      </c>
      <c r="CT202" s="27">
        <f>COUNTIFS(S30_stakeholder_category,"NGO",Response_Q178_7,"&lt;&gt;0",Response_Q173_5,"&lt;&gt;0")</f>
        <v>0</v>
      </c>
      <c r="CU202" s="37">
        <f>COUNTIFS(S30_stakeholder_category,"NGO",Response_Q178_7,1,Response_Q173_5,"&lt;&gt;0")</f>
        <v>0</v>
      </c>
      <c r="CV202" s="37">
        <f>COUNTIFS(S30_stakeholder_category,"NGO",Response_Q178_7,2,Response_Q173_5,"&lt;&gt;0")</f>
        <v>0</v>
      </c>
      <c r="CW202" s="37">
        <f>COUNTIFS(S30_stakeholder_category,"NGO",Response_Q178_7,3,Response_Q173_5,"&lt;&gt;0")</f>
        <v>0</v>
      </c>
      <c r="CX202" s="37">
        <f>IF(CT193=0,0,SUMPRODUCT(CU202:CW202,Rank_score)/CT$58)</f>
        <v>0</v>
      </c>
      <c r="CY202" s="14"/>
      <c r="CZ202" s="106" t="s">
        <v>345</v>
      </c>
      <c r="DA202" s="27">
        <f t="shared" ref="DA202:DF202" si="148">COUNTIFS(S30_stakeholder_category,"NGO",Response_Q178_7,"&lt;&gt;0",Response_Q178_8,DA$63,Response_Q173_5,"&lt;&gt;0")</f>
        <v>0</v>
      </c>
      <c r="DB202" s="27">
        <f t="shared" si="148"/>
        <v>0</v>
      </c>
      <c r="DC202" s="27">
        <f t="shared" si="148"/>
        <v>0</v>
      </c>
      <c r="DD202" s="27">
        <f t="shared" si="148"/>
        <v>0</v>
      </c>
      <c r="DE202" s="27">
        <f t="shared" si="148"/>
        <v>0</v>
      </c>
      <c r="DF202" s="27">
        <f t="shared" si="148"/>
        <v>0</v>
      </c>
      <c r="DG202" s="141" t="str">
        <f t="shared" si="142"/>
        <v>Factor not ranked</v>
      </c>
      <c r="DH202" s="14"/>
      <c r="DI202" s="47"/>
      <c r="DJ202" s="14"/>
      <c r="DK202" s="56"/>
      <c r="DL202" s="29"/>
      <c r="DM202" s="59"/>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row>
    <row r="203" spans="1:142" x14ac:dyDescent="0.25">
      <c r="A203" s="14"/>
      <c r="B203" s="62"/>
      <c r="C203" s="19"/>
      <c r="D203" s="59"/>
      <c r="E203" s="14"/>
      <c r="F203" s="14"/>
      <c r="G203" s="14"/>
      <c r="H203" s="21"/>
      <c r="I203" s="21"/>
      <c r="J203" s="14"/>
      <c r="K203" s="14"/>
      <c r="L203" s="14"/>
      <c r="M203" s="14"/>
      <c r="N203" s="14"/>
      <c r="O203" s="14"/>
      <c r="P203" s="14"/>
      <c r="Q203" s="47"/>
      <c r="R203" s="19"/>
      <c r="S203" s="62"/>
      <c r="T203" s="19"/>
      <c r="U203" s="59"/>
      <c r="V203" s="14"/>
      <c r="W203" s="14"/>
      <c r="X203" s="14"/>
      <c r="Y203" s="14"/>
      <c r="Z203" s="14"/>
      <c r="AA203" s="14"/>
      <c r="AB203" s="14"/>
      <c r="AC203" s="14"/>
      <c r="AD203" s="65"/>
      <c r="AE203" s="63"/>
      <c r="AF203" s="47"/>
      <c r="AG203" s="19"/>
      <c r="AH203" s="62"/>
      <c r="AI203" s="19"/>
      <c r="AJ203" s="59"/>
      <c r="AK203" s="14"/>
      <c r="AL203" s="14"/>
      <c r="AM203" s="14"/>
      <c r="AN203" s="14"/>
      <c r="AO203" s="14"/>
      <c r="AP203" s="14"/>
      <c r="AQ203" s="14"/>
      <c r="AR203" s="14"/>
      <c r="AS203" s="65"/>
      <c r="AT203" s="63"/>
      <c r="AU203" s="47"/>
      <c r="AV203" s="14"/>
      <c r="AW203" s="62"/>
      <c r="AX203" s="19"/>
      <c r="AY203" s="59"/>
      <c r="AZ203" s="14"/>
      <c r="BA203" s="14"/>
      <c r="BB203" s="14"/>
      <c r="BC203" s="14"/>
      <c r="BD203" s="14"/>
      <c r="BE203" s="14"/>
      <c r="BF203" s="14"/>
      <c r="BG203" s="14"/>
      <c r="BH203" s="65"/>
      <c r="BI203" s="63"/>
      <c r="BJ203" s="352"/>
      <c r="BK203" s="19"/>
      <c r="BL203" s="62"/>
      <c r="BM203" s="19"/>
      <c r="BN203" s="59"/>
      <c r="BO203" s="14"/>
      <c r="BP203" s="14"/>
      <c r="BQ203" s="14"/>
      <c r="BR203" s="14"/>
      <c r="BS203" s="14"/>
      <c r="BT203" s="14"/>
      <c r="BU203" s="14"/>
      <c r="BV203" s="14"/>
      <c r="BW203" s="65"/>
      <c r="BX203" s="63"/>
      <c r="BY203" s="352"/>
      <c r="BZ203" s="14"/>
      <c r="CA203" s="140" t="s">
        <v>341</v>
      </c>
      <c r="CB203" s="27">
        <f>COUNTIFS(S30_stakeholder_category,"NGO",Response_Q177_9,"&lt;&gt;0",Response_Q173_5,"&lt;&gt;0")</f>
        <v>0</v>
      </c>
      <c r="CC203" s="37">
        <f>COUNTIFS(S30_stakeholder_category,"NGO",Response_Q177_9,1,Response_Q173_5,"&lt;&gt;0")</f>
        <v>0</v>
      </c>
      <c r="CD203" s="37">
        <f>COUNTIFS(S30_stakeholder_category,"NGO",Response_Q177_9,2,Response_Q173_5,"&lt;&gt;0")</f>
        <v>0</v>
      </c>
      <c r="CE203" s="37">
        <f>COUNTIFS(S30_stakeholder_category,"NGO",Response_Q177_9,3,Response_Q173_5,"&lt;&gt;0")</f>
        <v>0</v>
      </c>
      <c r="CF203" s="97">
        <f>IF(CB193=0,0,SUMPRODUCT(CC203:CE203,Rank_score)/$CB193)</f>
        <v>0</v>
      </c>
      <c r="CG203" s="14"/>
      <c r="CH203" s="140" t="s">
        <v>341</v>
      </c>
      <c r="CI203" s="27">
        <f t="shared" ref="CI203:CN203" si="149">COUNTIFS(S30_stakeholder_category,"NGO",Response_Q177_9,"&lt;&gt;0",Response_Q177_10,CI$63,Response_Q173_5,"&lt;&gt;0")</f>
        <v>0</v>
      </c>
      <c r="CJ203" s="27">
        <f t="shared" si="149"/>
        <v>0</v>
      </c>
      <c r="CK203" s="27">
        <f t="shared" si="149"/>
        <v>0</v>
      </c>
      <c r="CL203" s="27">
        <f t="shared" si="149"/>
        <v>0</v>
      </c>
      <c r="CM203" s="27">
        <f t="shared" si="149"/>
        <v>0</v>
      </c>
      <c r="CN203" s="27">
        <f t="shared" si="149"/>
        <v>0</v>
      </c>
      <c r="CO203" s="141" t="str">
        <f t="shared" si="140"/>
        <v>Factor not ranked</v>
      </c>
      <c r="CP203" s="14"/>
      <c r="CQ203" s="47"/>
      <c r="CR203" s="14"/>
      <c r="CS203" s="106" t="s">
        <v>561</v>
      </c>
      <c r="CT203" s="27">
        <f>COUNTIFS(S30_stakeholder_category,"NGO",Response_Q178_9,"&lt;&gt;0",Response_Q173_5,"&lt;&gt;0")</f>
        <v>0</v>
      </c>
      <c r="CU203" s="37">
        <f>COUNTIFS(S30_stakeholder_category,"NGO",Response_Q178_9,1,Response_Q173_5,"&lt;&gt;0")</f>
        <v>0</v>
      </c>
      <c r="CV203" s="37">
        <f>COUNTIFS(S30_stakeholder_category,"NGO",Response_Q178_9,2,Response_Q173_5,"&lt;&gt;0")</f>
        <v>0</v>
      </c>
      <c r="CW203" s="37">
        <f>COUNTIFS(S30_stakeholder_category,"NGO",Response_Q178_9,3,Response_Q173_5,"&lt;&gt;0")</f>
        <v>0</v>
      </c>
      <c r="CX203" s="37">
        <f>IF(CT193=0,0,SUMPRODUCT(CU203:CW203,Rank_score)/CT$58)</f>
        <v>0</v>
      </c>
      <c r="CY203" s="14"/>
      <c r="CZ203" s="106" t="s">
        <v>561</v>
      </c>
      <c r="DA203" s="27">
        <f t="shared" ref="DA203:DF203" si="150">COUNTIFS(S30_stakeholder_category,"NGO",Response_Q178_9,"&lt;&gt;0",Response_Q178_10,DA$63,Response_Q173_5,"&lt;&gt;0")</f>
        <v>0</v>
      </c>
      <c r="DB203" s="27">
        <f t="shared" si="150"/>
        <v>0</v>
      </c>
      <c r="DC203" s="27">
        <f t="shared" si="150"/>
        <v>0</v>
      </c>
      <c r="DD203" s="27">
        <f t="shared" si="150"/>
        <v>0</v>
      </c>
      <c r="DE203" s="27">
        <f t="shared" si="150"/>
        <v>0</v>
      </c>
      <c r="DF203" s="27">
        <f t="shared" si="150"/>
        <v>0</v>
      </c>
      <c r="DG203" s="141" t="str">
        <f t="shared" si="142"/>
        <v>Factor not ranked</v>
      </c>
      <c r="DH203" s="14"/>
      <c r="DI203" s="47"/>
      <c r="DJ203" s="14"/>
      <c r="DK203" s="56"/>
      <c r="DL203" s="19"/>
      <c r="DM203" s="59"/>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row>
    <row r="204" spans="1:142" ht="15" x14ac:dyDescent="0.25">
      <c r="A204" s="14"/>
      <c r="B204" s="62"/>
      <c r="C204" s="19"/>
      <c r="D204" s="59"/>
      <c r="E204" s="14"/>
      <c r="F204" s="14"/>
      <c r="G204" s="14"/>
      <c r="H204" s="21"/>
      <c r="I204" s="21"/>
      <c r="J204" s="14"/>
      <c r="K204" s="14"/>
      <c r="L204" s="14"/>
      <c r="M204" s="14"/>
      <c r="N204" s="14"/>
      <c r="O204" s="14"/>
      <c r="P204" s="14"/>
      <c r="Q204" s="47"/>
      <c r="R204" s="19"/>
      <c r="S204" s="62"/>
      <c r="T204" s="19"/>
      <c r="U204" s="59"/>
      <c r="V204" s="14"/>
      <c r="W204" s="14"/>
      <c r="X204" s="14"/>
      <c r="Y204" s="14"/>
      <c r="Z204" s="14"/>
      <c r="AA204" s="14"/>
      <c r="AB204" s="95"/>
      <c r="AC204" s="14"/>
      <c r="AD204" s="65"/>
      <c r="AE204" s="63"/>
      <c r="AF204" s="47"/>
      <c r="AG204" s="19"/>
      <c r="AH204" s="62"/>
      <c r="AI204" s="19"/>
      <c r="AJ204" s="59"/>
      <c r="AK204" s="14"/>
      <c r="AL204" s="14"/>
      <c r="AM204" s="14"/>
      <c r="AN204" s="14"/>
      <c r="AO204" s="14"/>
      <c r="AP204" s="14"/>
      <c r="AQ204" s="95"/>
      <c r="AR204" s="14"/>
      <c r="AS204" s="65"/>
      <c r="AT204" s="63"/>
      <c r="AU204" s="47"/>
      <c r="AV204" s="14"/>
      <c r="AW204" s="62"/>
      <c r="AX204" s="19"/>
      <c r="AY204" s="59"/>
      <c r="AZ204" s="14"/>
      <c r="BA204" s="14"/>
      <c r="BB204" s="14"/>
      <c r="BC204" s="14"/>
      <c r="BD204" s="14"/>
      <c r="BE204" s="14"/>
      <c r="BF204" s="95"/>
      <c r="BG204" s="14"/>
      <c r="BH204" s="65"/>
      <c r="BI204" s="63"/>
      <c r="BJ204" s="352"/>
      <c r="BK204" s="19"/>
      <c r="BL204" s="62"/>
      <c r="BM204" s="19"/>
      <c r="BN204" s="59"/>
      <c r="BO204" s="14"/>
      <c r="BP204" s="14"/>
      <c r="BQ204" s="14"/>
      <c r="BR204" s="14"/>
      <c r="BS204" s="14"/>
      <c r="BT204" s="14"/>
      <c r="BU204" s="95"/>
      <c r="BV204" s="14"/>
      <c r="BW204" s="65"/>
      <c r="BX204" s="63"/>
      <c r="BY204" s="352"/>
      <c r="BZ204" s="14"/>
      <c r="CA204" s="106" t="s">
        <v>148</v>
      </c>
      <c r="CB204" s="27">
        <f>COUNTIFS(S30_stakeholder_category,"NGO",Response_Q177_11,"&lt;&gt;0",Response_Q173_5,"&lt;&gt;0")</f>
        <v>0</v>
      </c>
      <c r="CC204" s="37">
        <f>COUNTIFS(S30_stakeholder_category,"NGO",Response_Q177_11,1,Response_Q173_5,"&lt;&gt;0")</f>
        <v>0</v>
      </c>
      <c r="CD204" s="37">
        <f>COUNTIFS(S30_stakeholder_category,"NGO",Response_Q177_11,2,Response_Q173_5,"&lt;&gt;0")</f>
        <v>0</v>
      </c>
      <c r="CE204" s="37">
        <f>COUNTIFS(S30_stakeholder_category,"NGO",Response_Q177_11,3,Response_Q173_5,"&lt;&gt;0")</f>
        <v>0</v>
      </c>
      <c r="CF204" s="97">
        <f>IF(CB193=0,0,SUMPRODUCT(CC204:CE204,Rank_score)/$CB193)</f>
        <v>0</v>
      </c>
      <c r="CG204" s="43"/>
      <c r="CH204" s="106" t="s">
        <v>148</v>
      </c>
      <c r="CI204" s="27">
        <f t="shared" ref="CI204:CN204" si="151">COUNTIFS(S30_stakeholder_category,"NGO",Response_Q177_11,"&lt;&gt;0",Response_Q177_12,CI$63,Response_Q173_5,"&lt;&gt;0")</f>
        <v>0</v>
      </c>
      <c r="CJ204" s="27">
        <f t="shared" si="151"/>
        <v>0</v>
      </c>
      <c r="CK204" s="27">
        <f t="shared" si="151"/>
        <v>0</v>
      </c>
      <c r="CL204" s="27">
        <f t="shared" si="151"/>
        <v>0</v>
      </c>
      <c r="CM204" s="27">
        <f t="shared" si="151"/>
        <v>0</v>
      </c>
      <c r="CN204" s="27">
        <f t="shared" si="151"/>
        <v>0</v>
      </c>
      <c r="CO204" s="141" t="str">
        <f t="shared" si="140"/>
        <v>Factor not ranked</v>
      </c>
      <c r="CP204" s="14"/>
      <c r="CQ204" s="47"/>
      <c r="CR204" s="14"/>
      <c r="CS204" s="106" t="s">
        <v>49</v>
      </c>
      <c r="CT204" s="27">
        <f>COUNTIFS(S30_stakeholder_category,"NGO",Response_Q178_11,"&lt;&gt;0",Response_Q173_5,"&lt;&gt;0")</f>
        <v>0</v>
      </c>
      <c r="CU204" s="37">
        <f>COUNTIFS(S30_stakeholder_category,"NGO",Response_Q178_11,1,Response_Q173_5,"&lt;&gt;0")</f>
        <v>0</v>
      </c>
      <c r="CV204" s="37">
        <f>COUNTIFS(S30_stakeholder_category,"NGO",Response_Q178_11,2,Response_Q173_5,"&lt;&gt;0")</f>
        <v>0</v>
      </c>
      <c r="CW204" s="37">
        <f>COUNTIFS(S30_stakeholder_category,"NGO",Response_Q178_11,3,Response_Q173_5,"&lt;&gt;0")</f>
        <v>0</v>
      </c>
      <c r="CX204" s="37">
        <f>IF(CT193=0,0,SUMPRODUCT(CU204:CW204,Rank_score)/CT$58)</f>
        <v>0</v>
      </c>
      <c r="CY204" s="43"/>
      <c r="CZ204" s="106" t="s">
        <v>49</v>
      </c>
      <c r="DA204" s="27">
        <f t="shared" ref="DA204:DF204" si="152">COUNTIFS(S30_stakeholder_category,"NGO",Response_Q178_11,"&lt;&gt;0",Response_Q178_12,DA$63,Response_Q173_5,"&lt;&gt;0")</f>
        <v>0</v>
      </c>
      <c r="DB204" s="27">
        <f t="shared" si="152"/>
        <v>0</v>
      </c>
      <c r="DC204" s="27">
        <f t="shared" si="152"/>
        <v>0</v>
      </c>
      <c r="DD204" s="27">
        <f t="shared" si="152"/>
        <v>0</v>
      </c>
      <c r="DE204" s="27">
        <f t="shared" si="152"/>
        <v>0</v>
      </c>
      <c r="DF204" s="27">
        <f t="shared" si="152"/>
        <v>0</v>
      </c>
      <c r="DG204" s="141" t="str">
        <f t="shared" si="142"/>
        <v>Factor not ranked</v>
      </c>
      <c r="DH204" s="14"/>
      <c r="DI204" s="47"/>
      <c r="DJ204" s="14"/>
      <c r="DK204" s="14"/>
      <c r="DL204" s="19"/>
      <c r="DM204" s="59"/>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row>
    <row r="205" spans="1:142" x14ac:dyDescent="0.25">
      <c r="A205" s="14"/>
      <c r="B205" s="62"/>
      <c r="C205" s="19"/>
      <c r="D205" s="59"/>
      <c r="E205" s="14"/>
      <c r="F205" s="14"/>
      <c r="G205" s="14"/>
      <c r="H205" s="21"/>
      <c r="I205" s="21"/>
      <c r="J205" s="14"/>
      <c r="K205" s="14"/>
      <c r="L205" s="14"/>
      <c r="M205" s="14"/>
      <c r="N205" s="14"/>
      <c r="O205" s="14"/>
      <c r="P205" s="14"/>
      <c r="Q205" s="47"/>
      <c r="R205" s="19"/>
      <c r="S205" s="19"/>
      <c r="T205" s="19"/>
      <c r="U205" s="59"/>
      <c r="V205" s="14"/>
      <c r="W205" s="14"/>
      <c r="X205" s="14"/>
      <c r="Y205" s="14"/>
      <c r="Z205" s="14"/>
      <c r="AA205" s="14"/>
      <c r="AB205" s="14"/>
      <c r="AC205" s="14"/>
      <c r="AD205" s="65"/>
      <c r="AE205" s="63"/>
      <c r="AF205" s="47"/>
      <c r="AG205" s="19"/>
      <c r="AH205" s="19"/>
      <c r="AI205" s="19"/>
      <c r="AJ205" s="59"/>
      <c r="AK205" s="14"/>
      <c r="AL205" s="14"/>
      <c r="AM205" s="14"/>
      <c r="AN205" s="14"/>
      <c r="AO205" s="14"/>
      <c r="AP205" s="14"/>
      <c r="AQ205" s="14"/>
      <c r="AR205" s="14"/>
      <c r="AS205" s="65"/>
      <c r="AT205" s="63"/>
      <c r="AU205" s="47"/>
      <c r="AV205" s="14"/>
      <c r="AW205" s="19"/>
      <c r="AX205" s="19"/>
      <c r="AY205" s="59"/>
      <c r="AZ205" s="14"/>
      <c r="BA205" s="14"/>
      <c r="BB205" s="14"/>
      <c r="BC205" s="14"/>
      <c r="BD205" s="14"/>
      <c r="BE205" s="14"/>
      <c r="BF205" s="14"/>
      <c r="BG205" s="14"/>
      <c r="BH205" s="65"/>
      <c r="BI205" s="63"/>
      <c r="BJ205" s="352"/>
      <c r="BK205" s="19"/>
      <c r="BL205" s="19"/>
      <c r="BM205" s="19"/>
      <c r="BN205" s="59"/>
      <c r="BO205" s="14"/>
      <c r="BP205" s="14"/>
      <c r="BQ205" s="14"/>
      <c r="BR205" s="14"/>
      <c r="BS205" s="14"/>
      <c r="BT205" s="14"/>
      <c r="BU205" s="14"/>
      <c r="BV205" s="14"/>
      <c r="BW205" s="65"/>
      <c r="BX205" s="63"/>
      <c r="BY205" s="352"/>
      <c r="BZ205" s="14"/>
      <c r="CA205" s="107" t="s">
        <v>49</v>
      </c>
      <c r="CB205" s="27">
        <f>COUNTIFS(S30_stakeholder_category,"NGO",Response_Q177_13,"&lt;&gt;0",Response_Q173_5,"&lt;&gt;0")</f>
        <v>0</v>
      </c>
      <c r="CC205" s="37">
        <f>COUNTIFS(S30_stakeholder_category,"NGO",Response_Q177_13,1,Response_Q173_5,"&lt;&gt;0")</f>
        <v>0</v>
      </c>
      <c r="CD205" s="37">
        <f>COUNTIFS(S30_stakeholder_category,"NGO",Response_Q177_13,2,Response_Q173_5,"&lt;&gt;0")</f>
        <v>0</v>
      </c>
      <c r="CE205" s="37">
        <f>COUNTIFS(S30_stakeholder_category,"NGO",Response_Q177_13,3,Response_Q173_5,"&lt;&gt;0")</f>
        <v>0</v>
      </c>
      <c r="CF205" s="97">
        <f>IF(CB193=0,0,SUMPRODUCT(CC205:CE205,Rank_score)/$CB193)</f>
        <v>0</v>
      </c>
      <c r="CG205" s="29"/>
      <c r="CH205" s="107" t="s">
        <v>49</v>
      </c>
      <c r="CI205" s="27">
        <f t="shared" ref="CI205:CN205" si="153">COUNTIFS(S30_stakeholder_category,"NGO",Response_Q177_13,"&lt;&gt;0",Response_Q177_14,CI$63,Response_Q173_5,"&lt;&gt;0")</f>
        <v>0</v>
      </c>
      <c r="CJ205" s="27">
        <f t="shared" si="153"/>
        <v>0</v>
      </c>
      <c r="CK205" s="27">
        <f t="shared" si="153"/>
        <v>0</v>
      </c>
      <c r="CL205" s="27">
        <f t="shared" si="153"/>
        <v>0</v>
      </c>
      <c r="CM205" s="27">
        <f t="shared" si="153"/>
        <v>0</v>
      </c>
      <c r="CN205" s="27">
        <f t="shared" si="153"/>
        <v>0</v>
      </c>
      <c r="CO205" s="141" t="str">
        <f t="shared" si="140"/>
        <v>Factor not ranked</v>
      </c>
      <c r="CP205" s="14"/>
      <c r="CQ205" s="47"/>
      <c r="CR205" s="14"/>
      <c r="CS205" s="107"/>
      <c r="CT205" s="27"/>
      <c r="CU205" s="37"/>
      <c r="CV205" s="37"/>
      <c r="CW205" s="37"/>
      <c r="CX205" s="37"/>
      <c r="CY205" s="29"/>
      <c r="CZ205" s="106"/>
      <c r="DA205" s="27"/>
      <c r="DB205" s="27"/>
      <c r="DC205" s="27"/>
      <c r="DD205" s="27"/>
      <c r="DE205" s="27"/>
      <c r="DF205" s="27"/>
      <c r="DG205" s="141" t="str">
        <f t="shared" si="142"/>
        <v/>
      </c>
      <c r="DH205" s="14"/>
      <c r="DI205" s="47"/>
      <c r="DJ205" s="14"/>
      <c r="DK205" s="14"/>
      <c r="DL205" s="19"/>
      <c r="DM205" s="59"/>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row>
    <row r="206" spans="1:142" x14ac:dyDescent="0.25">
      <c r="A206" s="14"/>
      <c r="B206" s="19"/>
      <c r="C206" s="19"/>
      <c r="D206" s="59"/>
      <c r="E206" s="14"/>
      <c r="F206" s="14"/>
      <c r="G206" s="109" t="s">
        <v>14</v>
      </c>
      <c r="H206" s="110" t="s">
        <v>6</v>
      </c>
      <c r="I206" s="110" t="s">
        <v>7</v>
      </c>
      <c r="J206" s="14"/>
      <c r="K206" s="14"/>
      <c r="L206" s="14"/>
      <c r="M206" s="14"/>
      <c r="N206" s="14"/>
      <c r="O206" s="14"/>
      <c r="P206" s="14"/>
      <c r="Q206" s="47"/>
      <c r="R206" s="19"/>
      <c r="S206" s="19"/>
      <c r="T206" s="19"/>
      <c r="U206" s="59"/>
      <c r="V206" s="14"/>
      <c r="W206" s="14"/>
      <c r="X206" s="109" t="s">
        <v>14</v>
      </c>
      <c r="Y206" s="110" t="s">
        <v>6</v>
      </c>
      <c r="Z206" s="110" t="s">
        <v>7</v>
      </c>
      <c r="AA206" s="14"/>
      <c r="AB206" s="14"/>
      <c r="AC206" s="14"/>
      <c r="AD206" s="65"/>
      <c r="AE206" s="63"/>
      <c r="AF206" s="47"/>
      <c r="AG206" s="19"/>
      <c r="AH206" s="19"/>
      <c r="AI206" s="19"/>
      <c r="AJ206" s="59"/>
      <c r="AK206" s="14"/>
      <c r="AL206" s="14"/>
      <c r="AM206" s="109" t="s">
        <v>14</v>
      </c>
      <c r="AN206" s="110" t="s">
        <v>6</v>
      </c>
      <c r="AO206" s="110" t="s">
        <v>7</v>
      </c>
      <c r="AP206" s="14"/>
      <c r="AQ206" s="14"/>
      <c r="AR206" s="14"/>
      <c r="AS206" s="65"/>
      <c r="AT206" s="63"/>
      <c r="AU206" s="47"/>
      <c r="AV206" s="14"/>
      <c r="AW206" s="19"/>
      <c r="AX206" s="19"/>
      <c r="AY206" s="59"/>
      <c r="AZ206" s="14"/>
      <c r="BA206" s="14"/>
      <c r="BB206" s="109" t="s">
        <v>14</v>
      </c>
      <c r="BC206" s="110" t="s">
        <v>6</v>
      </c>
      <c r="BD206" s="110" t="s">
        <v>7</v>
      </c>
      <c r="BE206" s="14"/>
      <c r="BF206" s="14"/>
      <c r="BG206" s="14"/>
      <c r="BH206" s="65"/>
      <c r="BI206" s="63"/>
      <c r="BJ206" s="352"/>
      <c r="BK206" s="19"/>
      <c r="BL206" s="19"/>
      <c r="BM206" s="19"/>
      <c r="BN206" s="59"/>
      <c r="BO206" s="14"/>
      <c r="BP206" s="14"/>
      <c r="BQ206" s="109" t="s">
        <v>14</v>
      </c>
      <c r="BR206" s="110" t="s">
        <v>6</v>
      </c>
      <c r="BS206" s="110" t="s">
        <v>7</v>
      </c>
      <c r="BT206" s="14"/>
      <c r="BU206" s="14"/>
      <c r="BV206" s="14"/>
      <c r="BW206" s="65"/>
      <c r="BX206" s="63"/>
      <c r="BY206" s="352"/>
      <c r="BZ206" s="14"/>
      <c r="CA206" s="86"/>
      <c r="CB206" s="111"/>
      <c r="CC206" s="111"/>
      <c r="CD206" s="179"/>
      <c r="CE206" s="179"/>
      <c r="CF206" s="108"/>
      <c r="CG206" s="29"/>
      <c r="CH206" s="109"/>
      <c r="CI206" s="109"/>
      <c r="CJ206" s="109"/>
      <c r="CK206" s="109"/>
      <c r="CL206" s="109"/>
      <c r="CM206" s="109"/>
      <c r="CN206" s="109"/>
      <c r="CO206" s="329"/>
      <c r="CP206" s="14"/>
      <c r="CQ206" s="47"/>
      <c r="CR206" s="14"/>
      <c r="CS206" s="107"/>
      <c r="CT206" s="27"/>
      <c r="CU206" s="37"/>
      <c r="CV206" s="37"/>
      <c r="CW206" s="37"/>
      <c r="CX206" s="37"/>
      <c r="CY206" s="29"/>
      <c r="CZ206" s="106"/>
      <c r="DA206" s="27"/>
      <c r="DB206" s="27"/>
      <c r="DC206" s="27"/>
      <c r="DD206" s="27"/>
      <c r="DE206" s="27"/>
      <c r="DF206" s="27"/>
      <c r="DG206" s="141" t="str">
        <f t="shared" si="142"/>
        <v/>
      </c>
      <c r="DH206" s="14"/>
      <c r="DI206" s="47"/>
      <c r="DJ206" s="14"/>
      <c r="DK206" s="14"/>
      <c r="DL206" s="19"/>
      <c r="DM206" s="59"/>
      <c r="DN206" s="14"/>
      <c r="DO206" s="14"/>
      <c r="DP206" s="109" t="s">
        <v>14</v>
      </c>
      <c r="DQ206" s="110" t="s">
        <v>6</v>
      </c>
      <c r="DR206" s="110" t="s">
        <v>7</v>
      </c>
      <c r="DS206" s="14"/>
      <c r="DT206" s="14"/>
      <c r="DU206" s="14"/>
      <c r="DV206" s="14"/>
      <c r="DW206" s="14"/>
      <c r="DX206" s="14"/>
      <c r="DY206" s="14"/>
      <c r="DZ206" s="14"/>
      <c r="EA206" s="14"/>
      <c r="EB206" s="14"/>
      <c r="EC206" s="14"/>
      <c r="ED206" s="14"/>
      <c r="EE206" s="14"/>
      <c r="EF206" s="14"/>
      <c r="EG206" s="14"/>
      <c r="EH206" s="14"/>
      <c r="EI206" s="14"/>
      <c r="EJ206" s="14"/>
      <c r="EK206" s="14"/>
      <c r="EL206" s="14"/>
    </row>
    <row r="207" spans="1:142" x14ac:dyDescent="0.25">
      <c r="A207" s="14"/>
      <c r="B207" s="19"/>
      <c r="C207" s="19"/>
      <c r="D207" s="59"/>
      <c r="E207" s="14"/>
      <c r="F207" s="14"/>
      <c r="G207" s="107" t="s">
        <v>34</v>
      </c>
      <c r="H207" s="27">
        <f>COUNTIFS(S30_stakeholder_category,"NGO",Response_Q173_5,G207)</f>
        <v>0</v>
      </c>
      <c r="I207" s="41" t="str">
        <f>IFERROR(H207/H$212,"")</f>
        <v/>
      </c>
      <c r="J207" s="14"/>
      <c r="K207" s="14"/>
      <c r="L207" s="14"/>
      <c r="M207" s="14"/>
      <c r="N207" s="14"/>
      <c r="O207" s="14"/>
      <c r="P207" s="14"/>
      <c r="Q207" s="47"/>
      <c r="R207" s="19"/>
      <c r="S207" s="56"/>
      <c r="T207" s="29"/>
      <c r="U207" s="59"/>
      <c r="V207" s="14"/>
      <c r="W207" s="14"/>
      <c r="X207" s="107" t="s">
        <v>5</v>
      </c>
      <c r="Y207" s="27">
        <f t="shared" ref="Y207:Y213" si="154">COUNTIFS(S30_stakeholder_category,"NGO",Response_Q176_3,X207)</f>
        <v>0</v>
      </c>
      <c r="Z207" s="41">
        <f t="shared" ref="Z207:Z214" si="155">IFERROR(Y207/Y$214,0)</f>
        <v>0</v>
      </c>
      <c r="AA207" s="14"/>
      <c r="AB207" s="14"/>
      <c r="AC207" s="14"/>
      <c r="AD207" s="65"/>
      <c r="AE207" s="63"/>
      <c r="AF207" s="47"/>
      <c r="AG207" s="19"/>
      <c r="AH207" s="56"/>
      <c r="AI207" s="29"/>
      <c r="AJ207" s="59"/>
      <c r="AK207" s="14"/>
      <c r="AL207" s="14"/>
      <c r="AM207" s="107" t="s">
        <v>5</v>
      </c>
      <c r="AN207" s="27">
        <f t="shared" ref="AN207:AN213" si="156">COUNTIFS(S30_stakeholder_category,"NGO",Response_30c_CaseA,AM207)</f>
        <v>0</v>
      </c>
      <c r="AO207" s="41">
        <f>IFERROR(AN207/AN$214,0)</f>
        <v>0</v>
      </c>
      <c r="AP207" s="14"/>
      <c r="AQ207" s="14"/>
      <c r="AR207" s="14"/>
      <c r="AS207" s="65"/>
      <c r="AT207" s="63"/>
      <c r="AU207" s="47"/>
      <c r="AV207" s="14"/>
      <c r="AW207" s="56"/>
      <c r="AX207" s="29"/>
      <c r="AY207" s="59"/>
      <c r="AZ207" s="14"/>
      <c r="BA207" s="14"/>
      <c r="BB207" s="107" t="s">
        <v>5</v>
      </c>
      <c r="BC207" s="27">
        <f t="shared" ref="BC207:BC213" si="157">COUNTIFS(S30_stakeholder_category,"NGO",Response_30c_CaseB,BB207)</f>
        <v>0</v>
      </c>
      <c r="BD207" s="41">
        <f>IFERROR(BC207/BC$214,0)</f>
        <v>0</v>
      </c>
      <c r="BE207" s="14"/>
      <c r="BF207" s="14"/>
      <c r="BG207" s="14"/>
      <c r="BH207" s="65"/>
      <c r="BI207" s="63"/>
      <c r="BJ207" s="352"/>
      <c r="BK207" s="19"/>
      <c r="BL207" s="56"/>
      <c r="BM207" s="29"/>
      <c r="BN207" s="59"/>
      <c r="BO207" s="14"/>
      <c r="BP207" s="14"/>
      <c r="BQ207" s="107" t="s">
        <v>5</v>
      </c>
      <c r="BR207" s="27">
        <f t="shared" ref="BR207:BR213" si="158">COUNTIFS(S30_stakeholder_category,"NGO",Response_30c_CaseC,BQ207)</f>
        <v>0</v>
      </c>
      <c r="BS207" s="41">
        <f>IFERROR(BR207/BR$214,0)</f>
        <v>0</v>
      </c>
      <c r="BT207" s="14"/>
      <c r="BU207" s="14"/>
      <c r="BV207" s="14"/>
      <c r="BW207" s="65"/>
      <c r="BX207" s="63"/>
      <c r="BY207" s="352"/>
      <c r="BZ207" s="14"/>
      <c r="CA207" s="14"/>
      <c r="CB207" s="21"/>
      <c r="CC207" s="21"/>
      <c r="CD207" s="180"/>
      <c r="CE207" s="181"/>
      <c r="CF207" s="31"/>
      <c r="CG207" s="52"/>
      <c r="CH207" s="52"/>
      <c r="CI207" s="99"/>
      <c r="CJ207" s="14"/>
      <c r="CK207" s="14"/>
      <c r="CL207" s="14"/>
      <c r="CM207" s="14"/>
      <c r="CN207" s="14"/>
      <c r="CO207" s="129"/>
      <c r="CP207" s="14"/>
      <c r="CQ207" s="47"/>
      <c r="CR207" s="14"/>
      <c r="CS207" s="86"/>
      <c r="CT207" s="111"/>
      <c r="CU207" s="86"/>
      <c r="CV207" s="179"/>
      <c r="CW207" s="188"/>
      <c r="CX207" s="179"/>
      <c r="CY207" s="29"/>
      <c r="CZ207" s="109"/>
      <c r="DA207" s="109"/>
      <c r="DB207" s="109"/>
      <c r="DC207" s="109"/>
      <c r="DD207" s="109"/>
      <c r="DE207" s="109"/>
      <c r="DF207" s="109"/>
      <c r="DG207" s="329"/>
      <c r="DH207" s="14"/>
      <c r="DI207" s="47"/>
      <c r="DJ207" s="14"/>
      <c r="DK207" s="62"/>
      <c r="DL207" s="19"/>
      <c r="DM207" s="59"/>
      <c r="DN207" s="14"/>
      <c r="DO207" s="14"/>
      <c r="DP207" s="107" t="s">
        <v>34</v>
      </c>
      <c r="DQ207" s="27">
        <f>COUNTIFS(S30_stakeholder_category,"NGO",Response_Q172_1,DP207,Response_Q173_5,"&lt;&gt;0")</f>
        <v>0</v>
      </c>
      <c r="DR207" s="41" t="str">
        <f>IF(DQ212=0,"",DQ207/DQ212)</f>
        <v/>
      </c>
      <c r="DS207" s="14"/>
      <c r="DT207" s="14"/>
      <c r="DU207" s="14"/>
      <c r="DV207" s="14"/>
      <c r="DW207" s="14"/>
      <c r="DX207" s="14"/>
      <c r="DY207" s="14"/>
      <c r="DZ207" s="14"/>
      <c r="EA207" s="14"/>
      <c r="EB207" s="14"/>
      <c r="EC207" s="14"/>
      <c r="ED207" s="14"/>
      <c r="EE207" s="14"/>
      <c r="EF207" s="14"/>
      <c r="EG207" s="14"/>
      <c r="EH207" s="14"/>
      <c r="EI207" s="14"/>
      <c r="EJ207" s="14"/>
      <c r="EK207" s="14"/>
      <c r="EL207" s="14"/>
    </row>
    <row r="208" spans="1:142" x14ac:dyDescent="0.25">
      <c r="A208" s="14"/>
      <c r="B208" s="56"/>
      <c r="C208" s="29"/>
      <c r="D208" s="59"/>
      <c r="E208" s="14"/>
      <c r="F208" s="14"/>
      <c r="G208" s="107" t="s">
        <v>35</v>
      </c>
      <c r="H208" s="27">
        <f>COUNTIFS(S30_stakeholder_category,"NGO",Response_Q173_5,G208)</f>
        <v>0</v>
      </c>
      <c r="I208" s="41" t="str">
        <f t="shared" ref="I208:I212" si="159">IFERROR(H208/H$212,"")</f>
        <v/>
      </c>
      <c r="J208" s="14"/>
      <c r="K208" s="14"/>
      <c r="L208" s="14"/>
      <c r="M208" s="14"/>
      <c r="N208" s="14"/>
      <c r="O208" s="14"/>
      <c r="P208" s="14"/>
      <c r="Q208" s="47"/>
      <c r="R208" s="19"/>
      <c r="S208" s="56"/>
      <c r="T208" s="19"/>
      <c r="U208" s="59"/>
      <c r="V208" s="14"/>
      <c r="W208" s="14"/>
      <c r="X208" s="107" t="s">
        <v>4</v>
      </c>
      <c r="Y208" s="27">
        <f t="shared" si="154"/>
        <v>0</v>
      </c>
      <c r="Z208" s="41">
        <f t="shared" si="155"/>
        <v>0</v>
      </c>
      <c r="AA208" s="14"/>
      <c r="AB208" s="14"/>
      <c r="AC208" s="14"/>
      <c r="AD208" s="65"/>
      <c r="AE208" s="63"/>
      <c r="AF208" s="47"/>
      <c r="AG208" s="19"/>
      <c r="AH208" s="56"/>
      <c r="AI208" s="19"/>
      <c r="AJ208" s="59"/>
      <c r="AK208" s="14"/>
      <c r="AL208" s="14"/>
      <c r="AM208" s="107" t="s">
        <v>4</v>
      </c>
      <c r="AN208" s="27">
        <f t="shared" si="156"/>
        <v>0</v>
      </c>
      <c r="AO208" s="41">
        <f t="shared" ref="AO208:AO214" si="160">IFERROR(AN208/AN$214,0)</f>
        <v>0</v>
      </c>
      <c r="AP208" s="14"/>
      <c r="AQ208" s="14"/>
      <c r="AR208" s="14"/>
      <c r="AS208" s="65"/>
      <c r="AT208" s="63"/>
      <c r="AU208" s="47"/>
      <c r="AV208" s="14"/>
      <c r="AW208" s="56"/>
      <c r="AX208" s="19"/>
      <c r="AY208" s="59"/>
      <c r="AZ208" s="14"/>
      <c r="BA208" s="14"/>
      <c r="BB208" s="107" t="s">
        <v>4</v>
      </c>
      <c r="BC208" s="27">
        <f t="shared" si="157"/>
        <v>0</v>
      </c>
      <c r="BD208" s="41">
        <f t="shared" ref="BD208:BD214" si="161">IFERROR(BC208/BC$214,0)</f>
        <v>0</v>
      </c>
      <c r="BE208" s="14"/>
      <c r="BF208" s="14"/>
      <c r="BG208" s="14"/>
      <c r="BH208" s="65"/>
      <c r="BI208" s="63"/>
      <c r="BJ208" s="352"/>
      <c r="BK208" s="19"/>
      <c r="BL208" s="56"/>
      <c r="BM208" s="19"/>
      <c r="BN208" s="59"/>
      <c r="BO208" s="14"/>
      <c r="BP208" s="14"/>
      <c r="BQ208" s="107" t="s">
        <v>4</v>
      </c>
      <c r="BR208" s="27">
        <f t="shared" si="158"/>
        <v>0</v>
      </c>
      <c r="BS208" s="41">
        <f t="shared" ref="BS208:BS214" si="162">IFERROR(BR208/BR$214,0)</f>
        <v>0</v>
      </c>
      <c r="BT208" s="14"/>
      <c r="BU208" s="14"/>
      <c r="BV208" s="14"/>
      <c r="BW208" s="65"/>
      <c r="BX208" s="63"/>
      <c r="BY208" s="352"/>
      <c r="BZ208" s="14"/>
      <c r="CA208" s="14"/>
      <c r="CB208" s="21"/>
      <c r="CC208" s="21"/>
      <c r="CD208" s="180"/>
      <c r="CE208" s="181"/>
      <c r="CF208" s="31"/>
      <c r="CG208" s="52"/>
      <c r="CH208" s="52"/>
      <c r="CI208" s="99"/>
      <c r="CJ208" s="14"/>
      <c r="CK208" s="14"/>
      <c r="CL208" s="14"/>
      <c r="CM208" s="14"/>
      <c r="CN208" s="14"/>
      <c r="CO208" s="129"/>
      <c r="CP208" s="14"/>
      <c r="CQ208" s="47"/>
      <c r="CR208" s="14"/>
      <c r="CS208" s="14"/>
      <c r="CT208" s="14"/>
      <c r="CU208" s="14"/>
      <c r="CV208" s="180"/>
      <c r="CW208" s="190"/>
      <c r="CX208" s="191"/>
      <c r="CY208" s="52"/>
      <c r="CZ208" s="52"/>
      <c r="DA208" s="54"/>
      <c r="DB208" s="14"/>
      <c r="DC208" s="14"/>
      <c r="DD208" s="14"/>
      <c r="DE208" s="14"/>
      <c r="DF208" s="14"/>
      <c r="DG208" s="129"/>
      <c r="DH208" s="14"/>
      <c r="DI208" s="47"/>
      <c r="DJ208" s="14"/>
      <c r="DK208" s="62"/>
      <c r="DL208" s="19"/>
      <c r="DM208" s="59"/>
      <c r="DN208" s="14"/>
      <c r="DO208" s="14"/>
      <c r="DP208" s="107" t="s">
        <v>35</v>
      </c>
      <c r="DQ208" s="27">
        <f>COUNTIFS(S30_stakeholder_category,"NGO",Response_Q172_1,DP208,Response_Q173_5,"&lt;&gt;0")</f>
        <v>0</v>
      </c>
      <c r="DR208" s="41" t="str">
        <f>IF(DQ212=0,"",DQ208/DQ212)</f>
        <v/>
      </c>
      <c r="DS208" s="14"/>
      <c r="DT208" s="14"/>
      <c r="DU208" s="14"/>
      <c r="DV208" s="14"/>
      <c r="DW208" s="14"/>
      <c r="DX208" s="14"/>
      <c r="DY208" s="14"/>
      <c r="DZ208" s="14"/>
      <c r="EA208" s="14"/>
      <c r="EB208" s="14"/>
      <c r="EC208" s="14"/>
      <c r="ED208" s="14"/>
      <c r="EE208" s="14"/>
      <c r="EF208" s="14"/>
      <c r="EG208" s="14"/>
      <c r="EH208" s="14"/>
      <c r="EI208" s="14"/>
      <c r="EJ208" s="14"/>
      <c r="EK208" s="14"/>
      <c r="EL208" s="14"/>
    </row>
    <row r="209" spans="1:142" x14ac:dyDescent="0.25">
      <c r="A209" s="14"/>
      <c r="B209" s="56"/>
      <c r="C209" s="19"/>
      <c r="D209" s="59"/>
      <c r="E209" s="14"/>
      <c r="F209" s="14"/>
      <c r="G209" s="107" t="s">
        <v>36</v>
      </c>
      <c r="H209" s="27">
        <f>COUNTIFS(S30_stakeholder_category,"NGO",Response_Q173_5,G209)</f>
        <v>0</v>
      </c>
      <c r="I209" s="41" t="str">
        <f t="shared" si="159"/>
        <v/>
      </c>
      <c r="J209" s="14"/>
      <c r="K209" s="14"/>
      <c r="L209" s="14"/>
      <c r="M209" s="14"/>
      <c r="N209" s="14"/>
      <c r="O209" s="14"/>
      <c r="P209" s="14"/>
      <c r="Q209" s="47"/>
      <c r="R209" s="19"/>
      <c r="S209" s="19"/>
      <c r="T209" s="19"/>
      <c r="U209" s="59"/>
      <c r="V209" s="14"/>
      <c r="W209" s="14"/>
      <c r="X209" s="107" t="s">
        <v>33</v>
      </c>
      <c r="Y209" s="27">
        <f t="shared" si="154"/>
        <v>0</v>
      </c>
      <c r="Z209" s="41">
        <f t="shared" si="155"/>
        <v>0</v>
      </c>
      <c r="AA209" s="14"/>
      <c r="AB209" s="14"/>
      <c r="AC209" s="14"/>
      <c r="AD209" s="65"/>
      <c r="AE209" s="63"/>
      <c r="AF209" s="47"/>
      <c r="AG209" s="19"/>
      <c r="AH209" s="19"/>
      <c r="AI209" s="19"/>
      <c r="AJ209" s="59"/>
      <c r="AK209" s="14"/>
      <c r="AL209" s="14"/>
      <c r="AM209" s="107" t="s">
        <v>33</v>
      </c>
      <c r="AN209" s="27">
        <f t="shared" si="156"/>
        <v>0</v>
      </c>
      <c r="AO209" s="41">
        <f t="shared" si="160"/>
        <v>0</v>
      </c>
      <c r="AP209" s="14"/>
      <c r="AQ209" s="14"/>
      <c r="AR209" s="14"/>
      <c r="AS209" s="65"/>
      <c r="AT209" s="63"/>
      <c r="AU209" s="47"/>
      <c r="AV209" s="14"/>
      <c r="AW209" s="19"/>
      <c r="AX209" s="19"/>
      <c r="AY209" s="59"/>
      <c r="AZ209" s="14"/>
      <c r="BA209" s="14"/>
      <c r="BB209" s="107" t="s">
        <v>33</v>
      </c>
      <c r="BC209" s="27">
        <f t="shared" si="157"/>
        <v>0</v>
      </c>
      <c r="BD209" s="41">
        <f t="shared" si="161"/>
        <v>0</v>
      </c>
      <c r="BE209" s="14"/>
      <c r="BF209" s="14"/>
      <c r="BG209" s="14"/>
      <c r="BH209" s="65"/>
      <c r="BI209" s="63"/>
      <c r="BJ209" s="352"/>
      <c r="BK209" s="19"/>
      <c r="BL209" s="19"/>
      <c r="BM209" s="19"/>
      <c r="BN209" s="59"/>
      <c r="BO209" s="14"/>
      <c r="BP209" s="14"/>
      <c r="BQ209" s="107" t="s">
        <v>33</v>
      </c>
      <c r="BR209" s="27">
        <f t="shared" si="158"/>
        <v>0</v>
      </c>
      <c r="BS209" s="41">
        <f t="shared" si="162"/>
        <v>0</v>
      </c>
      <c r="BT209" s="14"/>
      <c r="BU209" s="14"/>
      <c r="BV209" s="14"/>
      <c r="BW209" s="65"/>
      <c r="BX209" s="63"/>
      <c r="BY209" s="352"/>
      <c r="BZ209" s="14"/>
      <c r="CA209" s="14"/>
      <c r="CB209" s="21"/>
      <c r="CC209" s="21"/>
      <c r="CD209" s="180"/>
      <c r="CE209" s="181"/>
      <c r="CF209" s="31"/>
      <c r="CG209" s="52"/>
      <c r="CH209" s="52"/>
      <c r="CI209" s="99"/>
      <c r="CJ209" s="14"/>
      <c r="CK209" s="14"/>
      <c r="CL209" s="14"/>
      <c r="CM209" s="14"/>
      <c r="CN209" s="14"/>
      <c r="CO209" s="129"/>
      <c r="CP209" s="14"/>
      <c r="CQ209" s="47"/>
      <c r="CR209" s="14"/>
      <c r="CS209" s="14"/>
      <c r="CT209" s="14"/>
      <c r="CU209" s="14"/>
      <c r="CV209" s="180"/>
      <c r="CW209" s="190"/>
      <c r="CX209" s="191"/>
      <c r="CY209" s="52"/>
      <c r="CZ209" s="52"/>
      <c r="DA209" s="54"/>
      <c r="DB209" s="14"/>
      <c r="DC209" s="14"/>
      <c r="DD209" s="14"/>
      <c r="DE209" s="14"/>
      <c r="DF209" s="14"/>
      <c r="DG209" s="129"/>
      <c r="DH209" s="14"/>
      <c r="DI209" s="47"/>
      <c r="DJ209" s="14"/>
      <c r="DK209" s="62"/>
      <c r="DL209" s="19"/>
      <c r="DM209" s="59"/>
      <c r="DN209" s="14"/>
      <c r="DO209" s="14"/>
      <c r="DP209" s="107" t="s">
        <v>36</v>
      </c>
      <c r="DQ209" s="27">
        <f>COUNTIFS(S30_stakeholder_category,"NGO",Response_Q172_1,DP209,Response_Q173_5,"&lt;&gt;0")</f>
        <v>0</v>
      </c>
      <c r="DR209" s="41" t="str">
        <f>IF(DQ212=0,"",DQ209/DQ212)</f>
        <v/>
      </c>
      <c r="DS209" s="14"/>
      <c r="DT209" s="14"/>
      <c r="DU209" s="14"/>
      <c r="DV209" s="14"/>
      <c r="DW209" s="14"/>
      <c r="DX209" s="14"/>
      <c r="DY209" s="14"/>
      <c r="DZ209" s="14"/>
      <c r="EA209" s="14"/>
      <c r="EB209" s="14"/>
      <c r="EC209" s="14"/>
      <c r="ED209" s="14"/>
      <c r="EE209" s="14"/>
      <c r="EF209" s="14"/>
      <c r="EG209" s="14"/>
      <c r="EH209" s="14"/>
      <c r="EI209" s="14"/>
      <c r="EJ209" s="14"/>
      <c r="EK209" s="14"/>
      <c r="EL209" s="14"/>
    </row>
    <row r="210" spans="1:142" x14ac:dyDescent="0.25">
      <c r="A210" s="14"/>
      <c r="B210" s="14"/>
      <c r="C210" s="19"/>
      <c r="D210" s="59"/>
      <c r="E210" s="14"/>
      <c r="F210" s="14"/>
      <c r="G210" s="107" t="s">
        <v>38</v>
      </c>
      <c r="H210" s="27">
        <f>COUNTIFS(S30_stakeholder_category,"NGO",Response_Q173_5,G210)</f>
        <v>0</v>
      </c>
      <c r="I210" s="41" t="str">
        <f t="shared" si="159"/>
        <v/>
      </c>
      <c r="J210" s="14"/>
      <c r="K210" s="14"/>
      <c r="L210" s="14"/>
      <c r="M210" s="14"/>
      <c r="N210" s="14"/>
      <c r="O210" s="14"/>
      <c r="P210" s="14"/>
      <c r="Q210" s="47"/>
      <c r="R210" s="19"/>
      <c r="S210" s="14"/>
      <c r="T210" s="19"/>
      <c r="U210" s="59"/>
      <c r="V210" s="14"/>
      <c r="W210" s="14"/>
      <c r="X210" s="107" t="s">
        <v>29</v>
      </c>
      <c r="Y210" s="27">
        <f t="shared" si="154"/>
        <v>0</v>
      </c>
      <c r="Z210" s="41">
        <f t="shared" si="155"/>
        <v>0</v>
      </c>
      <c r="AA210" s="14"/>
      <c r="AB210" s="14"/>
      <c r="AC210" s="14"/>
      <c r="AD210" s="65"/>
      <c r="AE210" s="63"/>
      <c r="AF210" s="47"/>
      <c r="AG210" s="19"/>
      <c r="AH210" s="14"/>
      <c r="AI210" s="19"/>
      <c r="AJ210" s="59"/>
      <c r="AK210" s="14"/>
      <c r="AL210" s="14"/>
      <c r="AM210" s="107" t="s">
        <v>29</v>
      </c>
      <c r="AN210" s="27">
        <f t="shared" si="156"/>
        <v>0</v>
      </c>
      <c r="AO210" s="41">
        <f t="shared" si="160"/>
        <v>0</v>
      </c>
      <c r="AP210" s="14"/>
      <c r="AQ210" s="14"/>
      <c r="AR210" s="14"/>
      <c r="AS210" s="65"/>
      <c r="AT210" s="63"/>
      <c r="AU210" s="47"/>
      <c r="AV210" s="14"/>
      <c r="AW210" s="14"/>
      <c r="AX210" s="19"/>
      <c r="AY210" s="59"/>
      <c r="AZ210" s="14"/>
      <c r="BA210" s="14"/>
      <c r="BB210" s="107" t="s">
        <v>29</v>
      </c>
      <c r="BC210" s="27">
        <f t="shared" si="157"/>
        <v>0</v>
      </c>
      <c r="BD210" s="41">
        <f t="shared" si="161"/>
        <v>0</v>
      </c>
      <c r="BE210" s="14"/>
      <c r="BF210" s="14"/>
      <c r="BG210" s="14"/>
      <c r="BH210" s="65"/>
      <c r="BI210" s="63"/>
      <c r="BJ210" s="352"/>
      <c r="BK210" s="19"/>
      <c r="BL210" s="14"/>
      <c r="BM210" s="19"/>
      <c r="BN210" s="59"/>
      <c r="BO210" s="14"/>
      <c r="BP210" s="14"/>
      <c r="BQ210" s="107" t="s">
        <v>29</v>
      </c>
      <c r="BR210" s="27">
        <f t="shared" si="158"/>
        <v>0</v>
      </c>
      <c r="BS210" s="41">
        <f t="shared" si="162"/>
        <v>0</v>
      </c>
      <c r="BT210" s="14"/>
      <c r="BU210" s="14"/>
      <c r="BV210" s="14"/>
      <c r="BW210" s="65"/>
      <c r="BX210" s="63"/>
      <c r="BY210" s="352"/>
      <c r="BZ210" s="14"/>
      <c r="CA210" s="14"/>
      <c r="CB210" s="21"/>
      <c r="CC210" s="21"/>
      <c r="CD210" s="180"/>
      <c r="CE210" s="181"/>
      <c r="CF210" s="31"/>
      <c r="CG210" s="52"/>
      <c r="CH210" s="52"/>
      <c r="CI210" s="99"/>
      <c r="CJ210" s="14"/>
      <c r="CK210" s="14"/>
      <c r="CL210" s="14"/>
      <c r="CM210" s="14"/>
      <c r="CN210" s="14"/>
      <c r="CO210" s="129"/>
      <c r="CP210" s="14"/>
      <c r="CQ210" s="47"/>
      <c r="CR210" s="14"/>
      <c r="CS210" s="14"/>
      <c r="CT210" s="14"/>
      <c r="CU210" s="14"/>
      <c r="CV210" s="180"/>
      <c r="CW210" s="190"/>
      <c r="CX210" s="191"/>
      <c r="CY210" s="52"/>
      <c r="CZ210" s="52"/>
      <c r="DA210" s="54"/>
      <c r="DB210" s="14"/>
      <c r="DC210" s="14"/>
      <c r="DD210" s="14"/>
      <c r="DE210" s="14"/>
      <c r="DF210" s="14"/>
      <c r="DG210" s="129"/>
      <c r="DH210" s="14"/>
      <c r="DI210" s="47"/>
      <c r="DJ210" s="14"/>
      <c r="DK210" s="62"/>
      <c r="DL210" s="19"/>
      <c r="DM210" s="59"/>
      <c r="DN210" s="14"/>
      <c r="DO210" s="14"/>
      <c r="DP210" s="107" t="s">
        <v>38</v>
      </c>
      <c r="DQ210" s="27">
        <f>COUNTIFS(S30_stakeholder_category,"NGO",Response_Q172_1,DP210,Response_Q173_5,"&lt;&gt;0")</f>
        <v>0</v>
      </c>
      <c r="DR210" s="41" t="str">
        <f>IF(DQ212=0,"",DQ210/DQ212)</f>
        <v/>
      </c>
      <c r="DS210" s="14"/>
      <c r="DT210" s="14"/>
      <c r="DU210" s="14"/>
      <c r="DV210" s="14"/>
      <c r="DW210" s="14"/>
      <c r="DX210" s="14"/>
      <c r="DY210" s="14"/>
      <c r="DZ210" s="14"/>
      <c r="EA210" s="14"/>
      <c r="EB210" s="14"/>
      <c r="EC210" s="14"/>
      <c r="ED210" s="14"/>
      <c r="EE210" s="14"/>
      <c r="EF210" s="14"/>
      <c r="EG210" s="14"/>
      <c r="EH210" s="14"/>
      <c r="EI210" s="14"/>
      <c r="EJ210" s="14"/>
      <c r="EK210" s="14"/>
      <c r="EL210" s="14"/>
    </row>
    <row r="211" spans="1:142" x14ac:dyDescent="0.25">
      <c r="A211" s="14"/>
      <c r="B211" s="14"/>
      <c r="C211" s="19"/>
      <c r="D211" s="59"/>
      <c r="E211" s="14"/>
      <c r="F211" s="14"/>
      <c r="G211" s="107" t="s">
        <v>39</v>
      </c>
      <c r="H211" s="27">
        <f>COUNTIFS(S30_stakeholder_category,"NGO",Response_Q173_5,G211)</f>
        <v>0</v>
      </c>
      <c r="I211" s="41" t="str">
        <f t="shared" si="159"/>
        <v/>
      </c>
      <c r="J211" s="14"/>
      <c r="K211" s="14"/>
      <c r="L211" s="14"/>
      <c r="M211" s="14"/>
      <c r="N211" s="14"/>
      <c r="O211" s="14"/>
      <c r="P211" s="14"/>
      <c r="Q211" s="47"/>
      <c r="R211" s="19"/>
      <c r="S211" s="14"/>
      <c r="T211" s="19"/>
      <c r="U211" s="59"/>
      <c r="V211" s="14"/>
      <c r="W211" s="14"/>
      <c r="X211" s="107" t="s">
        <v>3</v>
      </c>
      <c r="Y211" s="27">
        <f t="shared" si="154"/>
        <v>0</v>
      </c>
      <c r="Z211" s="41">
        <f t="shared" si="155"/>
        <v>0</v>
      </c>
      <c r="AA211" s="14"/>
      <c r="AB211" s="14"/>
      <c r="AC211" s="14"/>
      <c r="AD211" s="65"/>
      <c r="AE211" s="63"/>
      <c r="AF211" s="47"/>
      <c r="AG211" s="19"/>
      <c r="AH211" s="14"/>
      <c r="AI211" s="19"/>
      <c r="AJ211" s="59"/>
      <c r="AK211" s="14"/>
      <c r="AL211" s="14"/>
      <c r="AM211" s="107" t="s">
        <v>3</v>
      </c>
      <c r="AN211" s="27">
        <f t="shared" si="156"/>
        <v>0</v>
      </c>
      <c r="AO211" s="41">
        <f t="shared" si="160"/>
        <v>0</v>
      </c>
      <c r="AP211" s="14"/>
      <c r="AQ211" s="14"/>
      <c r="AR211" s="14"/>
      <c r="AS211" s="65"/>
      <c r="AT211" s="63"/>
      <c r="AU211" s="47"/>
      <c r="AV211" s="14"/>
      <c r="AW211" s="14"/>
      <c r="AX211" s="19"/>
      <c r="AY211" s="59"/>
      <c r="AZ211" s="14"/>
      <c r="BA211" s="14"/>
      <c r="BB211" s="107" t="s">
        <v>3</v>
      </c>
      <c r="BC211" s="27">
        <f t="shared" si="157"/>
        <v>0</v>
      </c>
      <c r="BD211" s="41">
        <f t="shared" si="161"/>
        <v>0</v>
      </c>
      <c r="BE211" s="14"/>
      <c r="BF211" s="14"/>
      <c r="BG211" s="14"/>
      <c r="BH211" s="65"/>
      <c r="BI211" s="63"/>
      <c r="BJ211" s="352"/>
      <c r="BK211" s="19"/>
      <c r="BL211" s="14"/>
      <c r="BM211" s="19"/>
      <c r="BN211" s="59"/>
      <c r="BO211" s="14"/>
      <c r="BP211" s="14"/>
      <c r="BQ211" s="107" t="s">
        <v>3</v>
      </c>
      <c r="BR211" s="27">
        <f t="shared" si="158"/>
        <v>0</v>
      </c>
      <c r="BS211" s="41">
        <f t="shared" si="162"/>
        <v>0</v>
      </c>
      <c r="BT211" s="14"/>
      <c r="BU211" s="14"/>
      <c r="BV211" s="14"/>
      <c r="BW211" s="65"/>
      <c r="BX211" s="63"/>
      <c r="BY211" s="352"/>
      <c r="BZ211" s="14"/>
      <c r="CA211" s="14"/>
      <c r="CB211" s="21"/>
      <c r="CC211" s="21"/>
      <c r="CD211" s="180"/>
      <c r="CE211" s="181"/>
      <c r="CF211" s="31"/>
      <c r="CG211" s="52"/>
      <c r="CH211" s="52"/>
      <c r="CI211" s="99"/>
      <c r="CJ211" s="14"/>
      <c r="CK211" s="14"/>
      <c r="CL211" s="14"/>
      <c r="CM211" s="14"/>
      <c r="CN211" s="14"/>
      <c r="CO211" s="129"/>
      <c r="CP211" s="14"/>
      <c r="CQ211" s="47"/>
      <c r="CR211" s="14"/>
      <c r="CS211" s="14"/>
      <c r="CT211" s="14"/>
      <c r="CU211" s="14"/>
      <c r="CV211" s="180"/>
      <c r="CW211" s="190"/>
      <c r="CX211" s="191"/>
      <c r="CY211" s="52"/>
      <c r="CZ211" s="52"/>
      <c r="DA211" s="54"/>
      <c r="DB211" s="14"/>
      <c r="DC211" s="14"/>
      <c r="DD211" s="14"/>
      <c r="DE211" s="14"/>
      <c r="DF211" s="14"/>
      <c r="DG211" s="129"/>
      <c r="DH211" s="14"/>
      <c r="DI211" s="47"/>
      <c r="DJ211" s="14"/>
      <c r="DK211" s="62"/>
      <c r="DL211" s="19"/>
      <c r="DM211" s="59"/>
      <c r="DN211" s="14"/>
      <c r="DO211" s="14"/>
      <c r="DP211" s="107" t="s">
        <v>39</v>
      </c>
      <c r="DQ211" s="27">
        <f>COUNTIFS(S30_stakeholder_category,"NGO",Response_Q172_1,DP211,Response_Q173_5,"&lt;&gt;0")</f>
        <v>0</v>
      </c>
      <c r="DR211" s="41" t="str">
        <f>IF(DQ212=0,"",DQ211/DQ212)</f>
        <v/>
      </c>
      <c r="DS211" s="14"/>
      <c r="DT211" s="14"/>
      <c r="DU211" s="14"/>
      <c r="DV211" s="14"/>
      <c r="DW211" s="14"/>
      <c r="DX211" s="14"/>
      <c r="DY211" s="14"/>
      <c r="DZ211" s="14"/>
      <c r="EA211" s="14"/>
      <c r="EB211" s="14"/>
      <c r="EC211" s="14"/>
      <c r="ED211" s="14"/>
      <c r="EE211" s="14"/>
      <c r="EF211" s="14"/>
      <c r="EG211" s="14"/>
      <c r="EH211" s="14"/>
      <c r="EI211" s="14"/>
      <c r="EJ211" s="14"/>
      <c r="EK211" s="14"/>
      <c r="EL211" s="14"/>
    </row>
    <row r="212" spans="1:142" x14ac:dyDescent="0.25">
      <c r="A212" s="14"/>
      <c r="B212" s="14"/>
      <c r="C212" s="19"/>
      <c r="D212" s="59"/>
      <c r="E212" s="14"/>
      <c r="F212" s="14"/>
      <c r="G212" s="86" t="s">
        <v>145</v>
      </c>
      <c r="H212" s="111">
        <f>COUNTIFS(S30_stakeholder_category,"NGO",Response_Q173_5,"&lt;&gt;0")</f>
        <v>0</v>
      </c>
      <c r="I212" s="119" t="str">
        <f t="shared" si="159"/>
        <v/>
      </c>
      <c r="J212" s="14"/>
      <c r="K212" s="14"/>
      <c r="L212" s="14"/>
      <c r="M212" s="14"/>
      <c r="N212" s="14"/>
      <c r="O212" s="14"/>
      <c r="P212" s="14"/>
      <c r="Q212" s="47"/>
      <c r="R212" s="19"/>
      <c r="S212" s="14"/>
      <c r="T212" s="19"/>
      <c r="U212" s="59"/>
      <c r="V212" s="14"/>
      <c r="W212" s="14"/>
      <c r="X212" s="107" t="s">
        <v>54</v>
      </c>
      <c r="Y212" s="27">
        <f t="shared" si="154"/>
        <v>0</v>
      </c>
      <c r="Z212" s="41">
        <f t="shared" si="155"/>
        <v>0</v>
      </c>
      <c r="AA212" s="14"/>
      <c r="AB212" s="14"/>
      <c r="AC212" s="14"/>
      <c r="AD212" s="65"/>
      <c r="AE212" s="63"/>
      <c r="AF212" s="47"/>
      <c r="AG212" s="19"/>
      <c r="AH212" s="14"/>
      <c r="AI212" s="19"/>
      <c r="AJ212" s="59"/>
      <c r="AK212" s="14"/>
      <c r="AL212" s="14"/>
      <c r="AM212" s="107" t="s">
        <v>54</v>
      </c>
      <c r="AN212" s="27">
        <f t="shared" si="156"/>
        <v>0</v>
      </c>
      <c r="AO212" s="41">
        <f t="shared" si="160"/>
        <v>0</v>
      </c>
      <c r="AP212" s="14"/>
      <c r="AQ212" s="14"/>
      <c r="AR212" s="14"/>
      <c r="AS212" s="65"/>
      <c r="AT212" s="63"/>
      <c r="AU212" s="47"/>
      <c r="AV212" s="14"/>
      <c r="AW212" s="14"/>
      <c r="AX212" s="19"/>
      <c r="AY212" s="59"/>
      <c r="AZ212" s="14"/>
      <c r="BA212" s="14"/>
      <c r="BB212" s="107" t="s">
        <v>54</v>
      </c>
      <c r="BC212" s="27">
        <f t="shared" si="157"/>
        <v>0</v>
      </c>
      <c r="BD212" s="41">
        <f t="shared" si="161"/>
        <v>0</v>
      </c>
      <c r="BE212" s="14"/>
      <c r="BF212" s="14"/>
      <c r="BG212" s="14"/>
      <c r="BH212" s="65"/>
      <c r="BI212" s="63"/>
      <c r="BJ212" s="352"/>
      <c r="BK212" s="19"/>
      <c r="BL212" s="14"/>
      <c r="BM212" s="19"/>
      <c r="BN212" s="59"/>
      <c r="BO212" s="14"/>
      <c r="BP212" s="14"/>
      <c r="BQ212" s="107" t="s">
        <v>54</v>
      </c>
      <c r="BR212" s="27">
        <f t="shared" si="158"/>
        <v>0</v>
      </c>
      <c r="BS212" s="41">
        <f t="shared" si="162"/>
        <v>0</v>
      </c>
      <c r="BT212" s="14"/>
      <c r="BU212" s="14"/>
      <c r="BV212" s="14"/>
      <c r="BW212" s="65"/>
      <c r="BX212" s="63"/>
      <c r="BY212" s="352"/>
      <c r="BZ212" s="14"/>
      <c r="CA212" s="14"/>
      <c r="CB212" s="21"/>
      <c r="CC212" s="21"/>
      <c r="CD212" s="180"/>
      <c r="CE212" s="181"/>
      <c r="CF212" s="31"/>
      <c r="CG212" s="52"/>
      <c r="CH212" s="52"/>
      <c r="CI212" s="99"/>
      <c r="CJ212" s="14"/>
      <c r="CK212" s="14"/>
      <c r="CL212" s="14"/>
      <c r="CM212" s="14"/>
      <c r="CN212" s="14"/>
      <c r="CO212" s="129"/>
      <c r="CP212" s="14"/>
      <c r="CQ212" s="47"/>
      <c r="CR212" s="14"/>
      <c r="CS212" s="14"/>
      <c r="CT212" s="14"/>
      <c r="CU212" s="14"/>
      <c r="CV212" s="180"/>
      <c r="CW212" s="190"/>
      <c r="CX212" s="191"/>
      <c r="CY212" s="52"/>
      <c r="CZ212" s="52"/>
      <c r="DA212" s="54"/>
      <c r="DB212" s="14"/>
      <c r="DC212" s="14"/>
      <c r="DD212" s="14"/>
      <c r="DE212" s="14"/>
      <c r="DF212" s="14"/>
      <c r="DG212" s="129"/>
      <c r="DH212" s="14"/>
      <c r="DI212" s="47"/>
      <c r="DJ212" s="14"/>
      <c r="DK212" s="62"/>
      <c r="DL212" s="19"/>
      <c r="DM212" s="59"/>
      <c r="DN212" s="14"/>
      <c r="DO212" s="14"/>
      <c r="DP212" s="86" t="s">
        <v>145</v>
      </c>
      <c r="DQ212" s="111">
        <f>COUNTIFS(S30_stakeholder_category,"NGO",Response_Q172_1,"&lt;&gt;0",Response_Q173_5,"&lt;&gt;0")</f>
        <v>0</v>
      </c>
      <c r="DR212" s="119" t="str">
        <f>IF(DQ212=0,"",DQ212/DQ212)</f>
        <v/>
      </c>
      <c r="DS212" s="14"/>
      <c r="DT212" s="14"/>
      <c r="DU212" s="14"/>
      <c r="DV212" s="14"/>
      <c r="DW212" s="14"/>
      <c r="DX212" s="14"/>
      <c r="DY212" s="14"/>
      <c r="DZ212" s="14"/>
      <c r="EA212" s="14"/>
      <c r="EB212" s="14"/>
      <c r="EC212" s="14"/>
      <c r="ED212" s="14"/>
      <c r="EE212" s="14"/>
      <c r="EF212" s="14"/>
      <c r="EG212" s="14"/>
      <c r="EH212" s="14"/>
      <c r="EI212" s="14"/>
      <c r="EJ212" s="14"/>
      <c r="EK212" s="14"/>
      <c r="EL212" s="14"/>
    </row>
    <row r="213" spans="1:142" x14ac:dyDescent="0.25">
      <c r="A213" s="14"/>
      <c r="B213" s="62"/>
      <c r="C213" s="19"/>
      <c r="D213" s="59"/>
      <c r="E213" s="14"/>
      <c r="F213" s="14"/>
      <c r="G213" s="14"/>
      <c r="H213" s="21"/>
      <c r="I213" s="21"/>
      <c r="J213" s="14"/>
      <c r="K213" s="14"/>
      <c r="L213" s="14"/>
      <c r="M213" s="14"/>
      <c r="N213" s="14"/>
      <c r="O213" s="14"/>
      <c r="P213" s="14"/>
      <c r="Q213" s="47"/>
      <c r="R213" s="19"/>
      <c r="S213" s="62"/>
      <c r="T213" s="19"/>
      <c r="U213" s="59"/>
      <c r="V213" s="14"/>
      <c r="W213" s="14"/>
      <c r="X213" s="107" t="s">
        <v>39</v>
      </c>
      <c r="Y213" s="27">
        <f t="shared" si="154"/>
        <v>0</v>
      </c>
      <c r="Z213" s="41">
        <f t="shared" si="155"/>
        <v>0</v>
      </c>
      <c r="AA213" s="14"/>
      <c r="AB213" s="14"/>
      <c r="AC213" s="14"/>
      <c r="AD213" s="65"/>
      <c r="AE213" s="63"/>
      <c r="AF213" s="47"/>
      <c r="AG213" s="19"/>
      <c r="AH213" s="62"/>
      <c r="AI213" s="19"/>
      <c r="AJ213" s="59"/>
      <c r="AK213" s="14"/>
      <c r="AL213" s="14"/>
      <c r="AM213" s="107" t="s">
        <v>39</v>
      </c>
      <c r="AN213" s="27">
        <f t="shared" si="156"/>
        <v>0</v>
      </c>
      <c r="AO213" s="41">
        <f t="shared" si="160"/>
        <v>0</v>
      </c>
      <c r="AP213" s="14"/>
      <c r="AQ213" s="14"/>
      <c r="AR213" s="14"/>
      <c r="AS213" s="65"/>
      <c r="AT213" s="63"/>
      <c r="AU213" s="47"/>
      <c r="AV213" s="14"/>
      <c r="AW213" s="62"/>
      <c r="AX213" s="19"/>
      <c r="AY213" s="59"/>
      <c r="AZ213" s="14"/>
      <c r="BA213" s="14"/>
      <c r="BB213" s="107" t="s">
        <v>39</v>
      </c>
      <c r="BC213" s="27">
        <f t="shared" si="157"/>
        <v>0</v>
      </c>
      <c r="BD213" s="41">
        <f t="shared" si="161"/>
        <v>0</v>
      </c>
      <c r="BE213" s="14"/>
      <c r="BF213" s="14"/>
      <c r="BG213" s="14"/>
      <c r="BH213" s="65"/>
      <c r="BI213" s="63"/>
      <c r="BJ213" s="352"/>
      <c r="BK213" s="19"/>
      <c r="BL213" s="62"/>
      <c r="BM213" s="19"/>
      <c r="BN213" s="59"/>
      <c r="BO213" s="14"/>
      <c r="BP213" s="14"/>
      <c r="BQ213" s="107" t="s">
        <v>39</v>
      </c>
      <c r="BR213" s="27">
        <f t="shared" si="158"/>
        <v>0</v>
      </c>
      <c r="BS213" s="41">
        <f t="shared" si="162"/>
        <v>0</v>
      </c>
      <c r="BT213" s="14"/>
      <c r="BU213" s="14"/>
      <c r="BV213" s="14"/>
      <c r="BW213" s="65"/>
      <c r="BX213" s="63"/>
      <c r="BY213" s="352"/>
      <c r="BZ213" s="14"/>
      <c r="CA213" s="14"/>
      <c r="CB213" s="21"/>
      <c r="CC213" s="21"/>
      <c r="CD213" s="180"/>
      <c r="CE213" s="181"/>
      <c r="CF213" s="31"/>
      <c r="CG213" s="52"/>
      <c r="CH213" s="52"/>
      <c r="CI213" s="99"/>
      <c r="CJ213" s="14"/>
      <c r="CK213" s="14"/>
      <c r="CL213" s="14"/>
      <c r="CM213" s="14"/>
      <c r="CN213" s="14"/>
      <c r="CO213" s="129"/>
      <c r="CP213" s="14"/>
      <c r="CQ213" s="47"/>
      <c r="CR213" s="14"/>
      <c r="CS213" s="14"/>
      <c r="CT213" s="14"/>
      <c r="CU213" s="14"/>
      <c r="CV213" s="180"/>
      <c r="CW213" s="190"/>
      <c r="CX213" s="191"/>
      <c r="CY213" s="52"/>
      <c r="CZ213" s="52"/>
      <c r="DA213" s="54"/>
      <c r="DB213" s="14"/>
      <c r="DC213" s="14"/>
      <c r="DD213" s="14"/>
      <c r="DE213" s="14"/>
      <c r="DF213" s="14"/>
      <c r="DG213" s="129"/>
      <c r="DH213" s="14"/>
      <c r="DI213" s="47"/>
      <c r="DJ213" s="14"/>
      <c r="DK213" s="62"/>
      <c r="DL213" s="19"/>
      <c r="DM213" s="59"/>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row>
    <row r="214" spans="1:142" x14ac:dyDescent="0.25">
      <c r="A214" s="14"/>
      <c r="B214" s="62"/>
      <c r="C214" s="19"/>
      <c r="D214" s="59"/>
      <c r="E214" s="14"/>
      <c r="F214" s="14"/>
      <c r="G214" s="14"/>
      <c r="H214" s="21"/>
      <c r="I214" s="21"/>
      <c r="J214" s="14"/>
      <c r="K214" s="14"/>
      <c r="L214" s="14"/>
      <c r="M214" s="14"/>
      <c r="N214" s="14"/>
      <c r="O214" s="14"/>
      <c r="P214" s="14"/>
      <c r="Q214" s="47"/>
      <c r="R214" s="19"/>
      <c r="S214" s="62"/>
      <c r="T214" s="19"/>
      <c r="U214" s="59"/>
      <c r="V214" s="14"/>
      <c r="W214" s="14"/>
      <c r="X214" s="86" t="s">
        <v>145</v>
      </c>
      <c r="Y214" s="111">
        <f>COUNTIFS(S30_stakeholder_category,"NGO",Response_Q176_3,"&lt;&gt;0")</f>
        <v>0</v>
      </c>
      <c r="Z214" s="119">
        <f t="shared" si="155"/>
        <v>0</v>
      </c>
      <c r="AA214" s="14"/>
      <c r="AB214" s="14"/>
      <c r="AC214" s="14"/>
      <c r="AD214" s="65"/>
      <c r="AE214" s="63"/>
      <c r="AF214" s="47"/>
      <c r="AG214" s="19"/>
      <c r="AH214" s="62"/>
      <c r="AI214" s="19"/>
      <c r="AJ214" s="59"/>
      <c r="AK214" s="14"/>
      <c r="AL214" s="14"/>
      <c r="AM214" s="86" t="s">
        <v>145</v>
      </c>
      <c r="AN214" s="111">
        <f>COUNTIFS(S30_stakeholder_category,"NGO",Response_30c_CaseA,"&lt;&gt;0")</f>
        <v>0</v>
      </c>
      <c r="AO214" s="119">
        <f t="shared" si="160"/>
        <v>0</v>
      </c>
      <c r="AP214" s="14"/>
      <c r="AQ214" s="14"/>
      <c r="AR214" s="14"/>
      <c r="AS214" s="65"/>
      <c r="AT214" s="63"/>
      <c r="AU214" s="47"/>
      <c r="AV214" s="14"/>
      <c r="AW214" s="62"/>
      <c r="AX214" s="19"/>
      <c r="AY214" s="59"/>
      <c r="AZ214" s="14"/>
      <c r="BA214" s="14"/>
      <c r="BB214" s="86" t="s">
        <v>145</v>
      </c>
      <c r="BC214" s="111">
        <f>COUNTIFS(S30_stakeholder_category,"NGO",Response_30c_CaseB,"&lt;&gt;0")</f>
        <v>0</v>
      </c>
      <c r="BD214" s="119">
        <f t="shared" si="161"/>
        <v>0</v>
      </c>
      <c r="BE214" s="14"/>
      <c r="BF214" s="14"/>
      <c r="BG214" s="14"/>
      <c r="BH214" s="65"/>
      <c r="BI214" s="63"/>
      <c r="BJ214" s="352"/>
      <c r="BK214" s="19"/>
      <c r="BL214" s="62"/>
      <c r="BM214" s="19"/>
      <c r="BN214" s="59"/>
      <c r="BO214" s="14"/>
      <c r="BP214" s="14"/>
      <c r="BQ214" s="86" t="s">
        <v>145</v>
      </c>
      <c r="BR214" s="111">
        <f>COUNTIFS(S30_stakeholder_category,"NGO",Response_30c_CaseC,"&lt;&gt;0")</f>
        <v>0</v>
      </c>
      <c r="BS214" s="119">
        <f t="shared" si="162"/>
        <v>0</v>
      </c>
      <c r="BT214" s="14"/>
      <c r="BU214" s="14"/>
      <c r="BV214" s="14"/>
      <c r="BW214" s="65"/>
      <c r="BX214" s="63"/>
      <c r="BY214" s="352"/>
      <c r="BZ214" s="14"/>
      <c r="CA214" s="14"/>
      <c r="CB214" s="21"/>
      <c r="CC214" s="21"/>
      <c r="CD214" s="180"/>
      <c r="CE214" s="181"/>
      <c r="CF214" s="31"/>
      <c r="CG214" s="52"/>
      <c r="CH214" s="52"/>
      <c r="CI214" s="99"/>
      <c r="CJ214" s="14"/>
      <c r="CK214" s="14"/>
      <c r="CL214" s="14"/>
      <c r="CM214" s="14"/>
      <c r="CN214" s="14"/>
      <c r="CO214" s="129"/>
      <c r="CP214" s="14"/>
      <c r="CQ214" s="47"/>
      <c r="CR214" s="14"/>
      <c r="CS214" s="14"/>
      <c r="CT214" s="14"/>
      <c r="CU214" s="14"/>
      <c r="CV214" s="180"/>
      <c r="CW214" s="190"/>
      <c r="CX214" s="191"/>
      <c r="CY214" s="52"/>
      <c r="CZ214" s="52"/>
      <c r="DA214" s="54"/>
      <c r="DB214" s="14"/>
      <c r="DC214" s="14"/>
      <c r="DD214" s="14"/>
      <c r="DE214" s="14"/>
      <c r="DF214" s="14"/>
      <c r="DG214" s="129"/>
      <c r="DH214" s="14"/>
      <c r="DI214" s="47"/>
      <c r="DJ214" s="14"/>
      <c r="DK214" s="62"/>
      <c r="DL214" s="19"/>
      <c r="DM214" s="59"/>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row>
    <row r="215" spans="1:142" s="135" customFormat="1" ht="15" customHeight="1" x14ac:dyDescent="0.25">
      <c r="A215" s="14"/>
      <c r="B215" s="13"/>
      <c r="C215" s="13"/>
      <c r="D215" s="21"/>
      <c r="E215" s="14"/>
      <c r="F215" s="14"/>
      <c r="G215" s="14"/>
      <c r="H215" s="21"/>
      <c r="I215" s="21"/>
      <c r="J215" s="14"/>
      <c r="K215" s="14"/>
      <c r="L215" s="14"/>
      <c r="M215" s="14"/>
      <c r="N215" s="14"/>
      <c r="O215" s="14"/>
      <c r="P215" s="14"/>
      <c r="Q215" s="47"/>
      <c r="R215" s="19"/>
      <c r="S215" s="13"/>
      <c r="T215" s="13"/>
      <c r="U215" s="14"/>
      <c r="V215" s="14"/>
      <c r="W215" s="14"/>
      <c r="X215" s="14"/>
      <c r="Y215" s="14"/>
      <c r="Z215" s="14"/>
      <c r="AA215" s="14"/>
      <c r="AB215" s="14"/>
      <c r="AC215" s="14"/>
      <c r="AD215" s="65"/>
      <c r="AE215" s="63"/>
      <c r="AF215" s="47"/>
      <c r="AG215" s="19"/>
      <c r="AH215" s="13"/>
      <c r="AI215" s="13"/>
      <c r="AJ215" s="14"/>
      <c r="AK215" s="14"/>
      <c r="AL215" s="14"/>
      <c r="AM215" s="14"/>
      <c r="AN215" s="14"/>
      <c r="AO215" s="14"/>
      <c r="AP215" s="14"/>
      <c r="AQ215" s="14"/>
      <c r="AR215" s="14"/>
      <c r="AS215" s="65"/>
      <c r="AT215" s="63"/>
      <c r="AU215" s="47"/>
      <c r="AV215" s="14"/>
      <c r="AW215" s="13"/>
      <c r="AX215" s="13"/>
      <c r="AY215" s="14"/>
      <c r="AZ215" s="14"/>
      <c r="BA215" s="14"/>
      <c r="BB215" s="14"/>
      <c r="BC215" s="14"/>
      <c r="BD215" s="14"/>
      <c r="BE215" s="14"/>
      <c r="BF215" s="14"/>
      <c r="BG215" s="14"/>
      <c r="BH215" s="65"/>
      <c r="BI215" s="63"/>
      <c r="BJ215" s="352"/>
      <c r="BK215" s="19"/>
      <c r="BL215" s="13"/>
      <c r="BM215" s="13"/>
      <c r="BN215" s="14"/>
      <c r="BO215" s="14"/>
      <c r="BP215" s="14"/>
      <c r="BQ215" s="14"/>
      <c r="BR215" s="14"/>
      <c r="BS215" s="14"/>
      <c r="BT215" s="14"/>
      <c r="BU215" s="14"/>
      <c r="BV215" s="14"/>
      <c r="BW215" s="65"/>
      <c r="BX215" s="63"/>
      <c r="BY215" s="352"/>
      <c r="BZ215" s="14"/>
      <c r="CA215" s="14"/>
      <c r="CB215" s="21"/>
      <c r="CC215" s="21"/>
      <c r="CD215" s="180"/>
      <c r="CE215" s="181"/>
      <c r="CF215" s="31"/>
      <c r="CG215" s="31"/>
      <c r="CH215" s="31"/>
      <c r="CI215" s="14"/>
      <c r="CJ215" s="14"/>
      <c r="CK215" s="14"/>
      <c r="CL215" s="14"/>
      <c r="CM215" s="14"/>
      <c r="CN215" s="14"/>
      <c r="CO215" s="129"/>
      <c r="CP215" s="14"/>
      <c r="CQ215" s="47"/>
      <c r="CR215" s="14"/>
      <c r="CS215" s="14"/>
      <c r="CT215" s="14"/>
      <c r="CU215" s="14"/>
      <c r="CV215" s="180"/>
      <c r="CW215" s="190"/>
      <c r="CX215" s="191"/>
      <c r="CY215" s="31"/>
      <c r="CZ215" s="31"/>
      <c r="DA215" s="14"/>
      <c r="DB215" s="14"/>
      <c r="DC215" s="14"/>
      <c r="DD215" s="14"/>
      <c r="DE215" s="14"/>
      <c r="DF215" s="14"/>
      <c r="DG215" s="129"/>
      <c r="DH215" s="14"/>
      <c r="DI215" s="47"/>
      <c r="DJ215" s="14"/>
      <c r="DK215" s="13"/>
      <c r="DL215" s="13"/>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row>
    <row r="216" spans="1:142" s="131" customFormat="1" x14ac:dyDescent="0.25">
      <c r="A216" s="78"/>
      <c r="B216" s="78" t="s">
        <v>302</v>
      </c>
      <c r="C216" s="78"/>
      <c r="D216" s="79"/>
      <c r="E216" s="78"/>
      <c r="F216" s="78"/>
      <c r="G216" s="78"/>
      <c r="H216" s="79"/>
      <c r="I216" s="79"/>
      <c r="J216" s="78"/>
      <c r="K216" s="78"/>
      <c r="L216" s="78"/>
      <c r="M216" s="78"/>
      <c r="N216" s="78"/>
      <c r="O216" s="78"/>
      <c r="P216" s="78"/>
      <c r="Q216" s="82"/>
      <c r="R216" s="83"/>
      <c r="S216" s="78" t="str">
        <f>$B216</f>
        <v>Combined total responses</v>
      </c>
      <c r="T216" s="78"/>
      <c r="U216" s="78"/>
      <c r="V216" s="78"/>
      <c r="W216" s="78"/>
      <c r="X216" s="78"/>
      <c r="Y216" s="78"/>
      <c r="Z216" s="78"/>
      <c r="AA216" s="78"/>
      <c r="AB216" s="78"/>
      <c r="AC216" s="78"/>
      <c r="AD216" s="80"/>
      <c r="AE216" s="81"/>
      <c r="AF216" s="82"/>
      <c r="AG216" s="83"/>
      <c r="AH216" s="78" t="str">
        <f>$B216</f>
        <v>Combined total responses</v>
      </c>
      <c r="AI216" s="78"/>
      <c r="AJ216" s="78"/>
      <c r="AK216" s="78"/>
      <c r="AL216" s="78"/>
      <c r="AM216" s="78"/>
      <c r="AN216" s="78"/>
      <c r="AO216" s="78"/>
      <c r="AP216" s="78"/>
      <c r="AQ216" s="78"/>
      <c r="AR216" s="78"/>
      <c r="AS216" s="80"/>
      <c r="AT216" s="81"/>
      <c r="AU216" s="82"/>
      <c r="AV216" s="78"/>
      <c r="AW216" s="78" t="str">
        <f>$B216</f>
        <v>Combined total responses</v>
      </c>
      <c r="AX216" s="78"/>
      <c r="AY216" s="78"/>
      <c r="AZ216" s="78"/>
      <c r="BA216" s="78"/>
      <c r="BB216" s="78"/>
      <c r="BC216" s="78"/>
      <c r="BD216" s="78"/>
      <c r="BE216" s="78"/>
      <c r="BF216" s="78"/>
      <c r="BG216" s="78"/>
      <c r="BH216" s="80"/>
      <c r="BI216" s="81"/>
      <c r="BJ216" s="373"/>
      <c r="BK216" s="83"/>
      <c r="BL216" s="78" t="str">
        <f>$B216</f>
        <v>Combined total responses</v>
      </c>
      <c r="BM216" s="78"/>
      <c r="BN216" s="78"/>
      <c r="BO216" s="78"/>
      <c r="BP216" s="78"/>
      <c r="BQ216" s="78"/>
      <c r="BR216" s="78"/>
      <c r="BS216" s="78"/>
      <c r="BT216" s="78"/>
      <c r="BU216" s="78"/>
      <c r="BV216" s="78"/>
      <c r="BW216" s="80"/>
      <c r="BX216" s="81"/>
      <c r="BY216" s="373"/>
      <c r="BZ216" s="78"/>
      <c r="CA216" s="78" t="str">
        <f>$B216</f>
        <v>Combined total responses</v>
      </c>
      <c r="CB216" s="79"/>
      <c r="CC216" s="79"/>
      <c r="CD216" s="182"/>
      <c r="CE216" s="182"/>
      <c r="CF216" s="79"/>
      <c r="CG216" s="78"/>
      <c r="CH216" s="78"/>
      <c r="CI216" s="78"/>
      <c r="CJ216" s="78"/>
      <c r="CK216" s="78"/>
      <c r="CL216" s="78"/>
      <c r="CM216" s="78"/>
      <c r="CN216" s="78"/>
      <c r="CO216" s="78"/>
      <c r="CP216" s="78"/>
      <c r="CQ216" s="82"/>
      <c r="CR216" s="78"/>
      <c r="CS216" s="78" t="str">
        <f>$B216</f>
        <v>Combined total responses</v>
      </c>
      <c r="CT216" s="78"/>
      <c r="CU216" s="78"/>
      <c r="CV216" s="182"/>
      <c r="CW216" s="192"/>
      <c r="CX216" s="192"/>
      <c r="CY216" s="78"/>
      <c r="CZ216" s="78"/>
      <c r="DA216" s="78"/>
      <c r="DB216" s="78"/>
      <c r="DC216" s="78"/>
      <c r="DD216" s="78"/>
      <c r="DE216" s="78"/>
      <c r="DF216" s="78"/>
      <c r="DG216" s="78"/>
      <c r="DH216" s="78"/>
      <c r="DI216" s="82"/>
      <c r="DJ216" s="78"/>
      <c r="DK216" s="78" t="str">
        <f>$B216</f>
        <v>Combined total responses</v>
      </c>
      <c r="DL216" s="78"/>
      <c r="DM216" s="78"/>
      <c r="DN216" s="78"/>
      <c r="DO216" s="78"/>
      <c r="DP216" s="78"/>
      <c r="DQ216" s="78"/>
      <c r="DR216" s="78"/>
      <c r="DS216" s="78"/>
      <c r="DT216" s="78"/>
      <c r="DU216" s="78"/>
      <c r="DV216" s="78"/>
      <c r="DW216" s="78"/>
      <c r="DX216" s="78"/>
      <c r="DY216" s="78"/>
      <c r="DZ216" s="78"/>
      <c r="EA216" s="78"/>
      <c r="EB216" s="78"/>
      <c r="EC216" s="78"/>
      <c r="ED216" s="78"/>
      <c r="EE216" s="78"/>
      <c r="EF216" s="78"/>
      <c r="EG216" s="78"/>
      <c r="EH216" s="78"/>
      <c r="EI216" s="78"/>
      <c r="EJ216" s="78"/>
      <c r="EK216" s="78"/>
      <c r="EL216" s="78"/>
    </row>
    <row r="217" spans="1:142" x14ac:dyDescent="0.25">
      <c r="A217" s="14"/>
      <c r="B217" s="84" t="s">
        <v>301</v>
      </c>
      <c r="C217" s="84"/>
      <c r="D217" s="85"/>
      <c r="E217" s="84"/>
      <c r="F217" s="14"/>
      <c r="G217" s="14"/>
      <c r="H217" s="21"/>
      <c r="I217" s="21"/>
      <c r="J217" s="14"/>
      <c r="K217" s="14"/>
      <c r="L217" s="14"/>
      <c r="M217" s="14"/>
      <c r="N217" s="14"/>
      <c r="O217" s="14"/>
      <c r="P217" s="14"/>
      <c r="Q217" s="47"/>
      <c r="R217" s="19"/>
      <c r="S217" s="84" t="s">
        <v>322</v>
      </c>
      <c r="T217" s="84"/>
      <c r="U217" s="85"/>
      <c r="V217" s="84"/>
      <c r="W217" s="14"/>
      <c r="X217" s="14"/>
      <c r="Y217" s="14"/>
      <c r="Z217" s="14"/>
      <c r="AA217" s="14"/>
      <c r="AB217" s="14"/>
      <c r="AC217" s="14"/>
      <c r="AD217" s="65"/>
      <c r="AE217" s="63"/>
      <c r="AF217" s="47"/>
      <c r="AG217" s="19"/>
      <c r="AH217" s="84" t="s">
        <v>328</v>
      </c>
      <c r="AI217" s="84"/>
      <c r="AJ217" s="85"/>
      <c r="AK217" s="84"/>
      <c r="AL217" s="84"/>
      <c r="AM217" s="14"/>
      <c r="AN217" s="14"/>
      <c r="AO217" s="14"/>
      <c r="AP217" s="14"/>
      <c r="AQ217" s="14"/>
      <c r="AR217" s="14"/>
      <c r="AS217" s="65"/>
      <c r="AT217" s="63"/>
      <c r="AU217" s="47"/>
      <c r="AV217" s="14"/>
      <c r="AW217" s="84" t="s">
        <v>347</v>
      </c>
      <c r="AX217" s="84"/>
      <c r="AY217" s="85"/>
      <c r="AZ217" s="84"/>
      <c r="BA217" s="84"/>
      <c r="BB217" s="14"/>
      <c r="BC217" s="14"/>
      <c r="BD217" s="14"/>
      <c r="BE217" s="14"/>
      <c r="BF217" s="14"/>
      <c r="BG217" s="14"/>
      <c r="BH217" s="65"/>
      <c r="BI217" s="63"/>
      <c r="BJ217" s="352"/>
      <c r="BK217" s="19"/>
      <c r="BL217" s="84" t="s">
        <v>348</v>
      </c>
      <c r="BM217" s="84"/>
      <c r="BN217" s="85"/>
      <c r="BO217" s="84"/>
      <c r="BP217" s="84"/>
      <c r="BQ217" s="14"/>
      <c r="BR217" s="14"/>
      <c r="BS217" s="14"/>
      <c r="BT217" s="14"/>
      <c r="BU217" s="14"/>
      <c r="BV217" s="14"/>
      <c r="BW217" s="65"/>
      <c r="BX217" s="63"/>
      <c r="BY217" s="352"/>
      <c r="BZ217" s="14"/>
      <c r="CA217" s="148" t="s">
        <v>303</v>
      </c>
      <c r="CB217" s="85"/>
      <c r="CC217" s="85"/>
      <c r="CD217" s="186"/>
      <c r="CE217" s="185"/>
      <c r="CF217" s="147"/>
      <c r="CG217" s="14"/>
      <c r="CH217" s="14"/>
      <c r="CI217" s="14"/>
      <c r="CJ217" s="14"/>
      <c r="CK217" s="14"/>
      <c r="CL217" s="14"/>
      <c r="CM217" s="14"/>
      <c r="CN217" s="14"/>
      <c r="CO217" s="129"/>
      <c r="CP217" s="14"/>
      <c r="CQ217" s="47"/>
      <c r="CR217" s="14"/>
      <c r="CS217" s="84" t="s">
        <v>304</v>
      </c>
      <c r="CT217" s="84"/>
      <c r="CU217" s="85"/>
      <c r="CV217" s="186"/>
      <c r="CW217" s="189"/>
      <c r="CX217" s="189"/>
      <c r="CY217" s="14"/>
      <c r="CZ217" s="14"/>
      <c r="DA217" s="14"/>
      <c r="DB217" s="14"/>
      <c r="DC217" s="14"/>
      <c r="DD217" s="14"/>
      <c r="DE217" s="14"/>
      <c r="DF217" s="14"/>
      <c r="DG217" s="129"/>
      <c r="DH217" s="14"/>
      <c r="DI217" s="47"/>
      <c r="DJ217" s="14"/>
      <c r="DK217" s="84" t="s">
        <v>305</v>
      </c>
      <c r="DL217" s="84"/>
      <c r="DM217" s="85"/>
      <c r="DN217" s="8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row>
    <row r="218" spans="1:142" x14ac:dyDescent="0.25">
      <c r="A218" s="14"/>
      <c r="B218" s="14"/>
      <c r="C218" s="14"/>
      <c r="D218" s="27"/>
      <c r="E218" s="19"/>
      <c r="F218" s="19"/>
      <c r="G218" s="14"/>
      <c r="H218" s="21"/>
      <c r="I218" s="21"/>
      <c r="J218" s="14"/>
      <c r="K218" s="14"/>
      <c r="L218" s="14"/>
      <c r="M218" s="14"/>
      <c r="N218" s="14"/>
      <c r="O218" s="14"/>
      <c r="P218" s="14"/>
      <c r="Q218" s="47"/>
      <c r="R218" s="19"/>
      <c r="S218" s="14"/>
      <c r="T218" s="14"/>
      <c r="U218" s="14"/>
      <c r="V218" s="14"/>
      <c r="W218" s="14"/>
      <c r="X218" s="14"/>
      <c r="Y218" s="14"/>
      <c r="Z218" s="14"/>
      <c r="AA218" s="14"/>
      <c r="AB218" s="14"/>
      <c r="AC218" s="14"/>
      <c r="AD218" s="65"/>
      <c r="AE218" s="63"/>
      <c r="AF218" s="47"/>
      <c r="AG218" s="19"/>
      <c r="AH218" s="14"/>
      <c r="AI218" s="14"/>
      <c r="AJ218" s="14"/>
      <c r="AK218" s="14"/>
      <c r="AL218" s="14"/>
      <c r="AM218" s="14"/>
      <c r="AN218" s="14"/>
      <c r="AO218" s="14"/>
      <c r="AP218" s="14"/>
      <c r="AQ218" s="14"/>
      <c r="AR218" s="14"/>
      <c r="AS218" s="65"/>
      <c r="AT218" s="63"/>
      <c r="AU218" s="47"/>
      <c r="AV218" s="14"/>
      <c r="AW218" s="14"/>
      <c r="AX218" s="14"/>
      <c r="AY218" s="14"/>
      <c r="AZ218" s="14"/>
      <c r="BA218" s="14"/>
      <c r="BB218" s="14"/>
      <c r="BC218" s="14"/>
      <c r="BD218" s="14"/>
      <c r="BE218" s="14"/>
      <c r="BF218" s="14"/>
      <c r="BG218" s="14"/>
      <c r="BH218" s="65"/>
      <c r="BI218" s="63"/>
      <c r="BJ218" s="352"/>
      <c r="BK218" s="19"/>
      <c r="BL218" s="14"/>
      <c r="BM218" s="14"/>
      <c r="BN218" s="14"/>
      <c r="BO218" s="14"/>
      <c r="BP218" s="14"/>
      <c r="BQ218" s="14"/>
      <c r="BR218" s="14"/>
      <c r="BS218" s="14"/>
      <c r="BT218" s="14"/>
      <c r="BU218" s="14"/>
      <c r="BV218" s="14"/>
      <c r="BW218" s="65"/>
      <c r="BX218" s="63"/>
      <c r="BY218" s="352"/>
      <c r="BZ218" s="14"/>
      <c r="CA218" s="14"/>
      <c r="CB218" s="21"/>
      <c r="CC218" s="21"/>
      <c r="CD218" s="180"/>
      <c r="CE218" s="180"/>
      <c r="CF218" s="21"/>
      <c r="CG218" s="14"/>
      <c r="CH218" s="14"/>
      <c r="CI218" s="14"/>
      <c r="CJ218" s="14"/>
      <c r="CK218" s="14"/>
      <c r="CL218" s="14"/>
      <c r="CM218" s="14"/>
      <c r="CN218" s="14"/>
      <c r="CO218" s="129"/>
      <c r="CP218" s="14"/>
      <c r="CQ218" s="47"/>
      <c r="CR218" s="14"/>
      <c r="CS218" s="14"/>
      <c r="CT218" s="14"/>
      <c r="CU218" s="14"/>
      <c r="CV218" s="180"/>
      <c r="CW218" s="189"/>
      <c r="CX218" s="189"/>
      <c r="CY218" s="14"/>
      <c r="CZ218" s="14"/>
      <c r="DA218" s="14"/>
      <c r="DB218" s="14"/>
      <c r="DC218" s="14"/>
      <c r="DD218" s="14"/>
      <c r="DE218" s="14"/>
      <c r="DF218" s="14"/>
      <c r="DG218" s="129"/>
      <c r="DH218" s="14"/>
      <c r="DI218" s="47"/>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row>
    <row r="219" spans="1:142" ht="28.5" customHeight="1" x14ac:dyDescent="0.25">
      <c r="A219" s="14"/>
      <c r="B219" s="112" t="s">
        <v>23</v>
      </c>
      <c r="C219" s="113" t="s">
        <v>24</v>
      </c>
      <c r="D219" s="113" t="s">
        <v>145</v>
      </c>
      <c r="E219" s="113" t="s">
        <v>300</v>
      </c>
      <c r="F219" s="19"/>
      <c r="G219" s="14"/>
      <c r="H219" s="21"/>
      <c r="I219" s="21"/>
      <c r="J219" s="14"/>
      <c r="K219" s="19"/>
      <c r="L219" s="51"/>
      <c r="M219" s="51"/>
      <c r="N219" s="51"/>
      <c r="O219" s="51"/>
      <c r="P219" s="51"/>
      <c r="Q219" s="47"/>
      <c r="R219" s="19"/>
      <c r="S219" s="112" t="s">
        <v>23</v>
      </c>
      <c r="T219" s="113" t="s">
        <v>24</v>
      </c>
      <c r="U219" s="113" t="s">
        <v>145</v>
      </c>
      <c r="V219" s="113" t="s">
        <v>300</v>
      </c>
      <c r="W219" s="14"/>
      <c r="X219" s="14"/>
      <c r="Y219" s="14"/>
      <c r="Z219" s="14"/>
      <c r="AA219" s="56"/>
      <c r="AB219" s="56"/>
      <c r="AC219" s="56"/>
      <c r="AD219" s="65"/>
      <c r="AE219" s="63"/>
      <c r="AF219" s="47"/>
      <c r="AG219" s="19"/>
      <c r="AH219" s="112" t="s">
        <v>23</v>
      </c>
      <c r="AI219" s="113" t="s">
        <v>24</v>
      </c>
      <c r="AJ219" s="113" t="s">
        <v>145</v>
      </c>
      <c r="AK219" s="113" t="s">
        <v>300</v>
      </c>
      <c r="AL219" s="14"/>
      <c r="AM219" s="14"/>
      <c r="AN219" s="14"/>
      <c r="AO219" s="14"/>
      <c r="AP219" s="56"/>
      <c r="AQ219" s="56"/>
      <c r="AR219" s="56"/>
      <c r="AS219" s="65"/>
      <c r="AT219" s="63"/>
      <c r="AU219" s="47"/>
      <c r="AV219" s="14"/>
      <c r="AW219" s="112" t="s">
        <v>23</v>
      </c>
      <c r="AX219" s="113" t="s">
        <v>24</v>
      </c>
      <c r="AY219" s="113" t="s">
        <v>145</v>
      </c>
      <c r="AZ219" s="113" t="s">
        <v>300</v>
      </c>
      <c r="BA219" s="14"/>
      <c r="BB219" s="14"/>
      <c r="BC219" s="14"/>
      <c r="BD219" s="14"/>
      <c r="BE219" s="56"/>
      <c r="BF219" s="56"/>
      <c r="BG219" s="56"/>
      <c r="BH219" s="65"/>
      <c r="BI219" s="63"/>
      <c r="BJ219" s="352"/>
      <c r="BK219" s="19"/>
      <c r="BL219" s="112" t="s">
        <v>23</v>
      </c>
      <c r="BM219" s="113" t="s">
        <v>24</v>
      </c>
      <c r="BN219" s="113" t="s">
        <v>145</v>
      </c>
      <c r="BO219" s="113" t="s">
        <v>300</v>
      </c>
      <c r="BP219" s="14"/>
      <c r="BQ219" s="14"/>
      <c r="BR219" s="14"/>
      <c r="BS219" s="14"/>
      <c r="BT219" s="56"/>
      <c r="BU219" s="56"/>
      <c r="BV219" s="56"/>
      <c r="BW219" s="65"/>
      <c r="BX219" s="63"/>
      <c r="BY219" s="352"/>
      <c r="BZ219" s="14"/>
      <c r="CA219" s="112" t="s">
        <v>23</v>
      </c>
      <c r="CB219" s="113" t="s">
        <v>145</v>
      </c>
      <c r="CC219" s="21"/>
      <c r="CD219" s="180"/>
      <c r="CE219" s="180"/>
      <c r="CF219" s="21"/>
      <c r="CG219" s="17"/>
      <c r="CH219" s="17"/>
      <c r="CI219" s="17"/>
      <c r="CJ219" s="17"/>
      <c r="CK219" s="17"/>
      <c r="CL219" s="17"/>
      <c r="CM219" s="17"/>
      <c r="CN219" s="17"/>
      <c r="CO219" s="20"/>
      <c r="CP219" s="17"/>
      <c r="CQ219" s="47"/>
      <c r="CR219" s="14"/>
      <c r="CS219" s="112" t="s">
        <v>23</v>
      </c>
      <c r="CT219" s="113" t="s">
        <v>145</v>
      </c>
      <c r="CU219" s="14"/>
      <c r="CV219" s="180"/>
      <c r="CW219" s="189"/>
      <c r="CX219" s="189"/>
      <c r="CY219" s="17"/>
      <c r="CZ219" s="17"/>
      <c r="DA219" s="17"/>
      <c r="DB219" s="17"/>
      <c r="DC219" s="17"/>
      <c r="DD219" s="17"/>
      <c r="DE219" s="17"/>
      <c r="DF219" s="17"/>
      <c r="DG219" s="20"/>
      <c r="DH219" s="17"/>
      <c r="DI219" s="47"/>
      <c r="DJ219" s="17"/>
      <c r="DK219" s="112" t="s">
        <v>23</v>
      </c>
      <c r="DL219" s="113" t="s">
        <v>24</v>
      </c>
      <c r="DM219" s="113" t="s">
        <v>145</v>
      </c>
      <c r="DN219" s="113" t="s">
        <v>300</v>
      </c>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row>
    <row r="220" spans="1:142" x14ac:dyDescent="0.25">
      <c r="A220" s="14"/>
      <c r="B220" s="57" t="s">
        <v>306</v>
      </c>
      <c r="C220" s="121" t="str">
        <f>INDEX(G233:G238,MATCH(MAX(H233:H238),H233:H238,0),1)</f>
        <v>Definitely not</v>
      </c>
      <c r="D220" s="58">
        <f>H239</f>
        <v>4</v>
      </c>
      <c r="E220" s="121">
        <f>H238</f>
        <v>2</v>
      </c>
      <c r="F220" s="19"/>
      <c r="G220" s="14"/>
      <c r="H220" s="21"/>
      <c r="I220" s="21"/>
      <c r="J220" s="14"/>
      <c r="K220" s="19"/>
      <c r="L220" s="40"/>
      <c r="M220" s="40"/>
      <c r="N220" s="40"/>
      <c r="O220" s="40"/>
      <c r="P220" s="40"/>
      <c r="Q220" s="47"/>
      <c r="R220" s="19"/>
      <c r="S220" s="34" t="s">
        <v>306</v>
      </c>
      <c r="T220" s="37" t="str">
        <f>IF(Y241=0,"na",IF(COUNTIF(Y234:Y240,MAX(Y234:Y240))&gt;COUNTIF(X234:X240,"&lt;&gt;""")/2,"No clear choice of the most common response",INDEX(X234:X240,MATCH(MAX(Y234:Y240),Y234:Y240,0),1)))</f>
        <v>I don’t know</v>
      </c>
      <c r="U220" s="33">
        <f>Y241</f>
        <v>5</v>
      </c>
      <c r="V220" s="37">
        <f>Y240</f>
        <v>3</v>
      </c>
      <c r="W220" s="14"/>
      <c r="X220" s="14"/>
      <c r="Y220" s="14"/>
      <c r="Z220" s="14"/>
      <c r="AA220" s="19"/>
      <c r="AB220" s="19"/>
      <c r="AC220" s="19"/>
      <c r="AD220" s="65"/>
      <c r="AE220" s="63"/>
      <c r="AF220" s="47"/>
      <c r="AG220" s="19"/>
      <c r="AH220" s="57" t="s">
        <v>306</v>
      </c>
      <c r="AI220" s="121" t="str">
        <f>IF(AN241=0,"na",IF(COUNTIF(AN234:AN240,MAX(AN234:AN240))&gt;COUNTIF(AM234:AM240,"&lt;&gt;""")/2,"No clear choice of the most common response",INDEX(AM234:AM240,MATCH(MAX(AN234:AN240),AN234:AN240,0),1)))</f>
        <v>Very unlikely</v>
      </c>
      <c r="AJ220" s="58">
        <f>AN241</f>
        <v>6</v>
      </c>
      <c r="AK220" s="121">
        <f>AN240</f>
        <v>0</v>
      </c>
      <c r="AL220" s="14"/>
      <c r="AM220" s="14"/>
      <c r="AN220" s="14"/>
      <c r="AO220" s="14"/>
      <c r="AP220" s="19"/>
      <c r="AQ220" s="19"/>
      <c r="AR220" s="19"/>
      <c r="AS220" s="65"/>
      <c r="AT220" s="63"/>
      <c r="AU220" s="47"/>
      <c r="AV220" s="14"/>
      <c r="AW220" s="57" t="s">
        <v>306</v>
      </c>
      <c r="AX220" s="121" t="str">
        <f>IF(BC241=0,"na",IF(COUNTIF(BC234:BC240,MAX(BC234:BC240))&gt;COUNTIF(BB234:BB240,"&lt;&gt;""")/2,"No clear choice of the most common response",INDEX(BB234:BB240,MATCH(MAX(BC234:BC240),BC234:BC240,0),1)))</f>
        <v>Very unlikely</v>
      </c>
      <c r="AY220" s="58">
        <f>BC241</f>
        <v>6</v>
      </c>
      <c r="AZ220" s="121">
        <f>BC240</f>
        <v>0</v>
      </c>
      <c r="BA220" s="14"/>
      <c r="BB220" s="14"/>
      <c r="BC220" s="14"/>
      <c r="BD220" s="14"/>
      <c r="BE220" s="19"/>
      <c r="BF220" s="19"/>
      <c r="BG220" s="19"/>
      <c r="BH220" s="65"/>
      <c r="BI220" s="63"/>
      <c r="BJ220" s="352"/>
      <c r="BK220" s="19"/>
      <c r="BL220" s="57" t="s">
        <v>306</v>
      </c>
      <c r="BM220" s="121" t="str">
        <f>IF(BR241=0,"na",IF(COUNTIF(BR234:BR240,MAX(BR234:BR240))&gt;COUNTIF(BQ234:BQ240,"&lt;&gt;""")/2,"No clear choice of the most common response",INDEX(BQ234:BQ240,MATCH(MAX(BR234:BR240),BR234:BR240,0),1)))</f>
        <v>Very unlikely</v>
      </c>
      <c r="BN220" s="58">
        <f>BR241</f>
        <v>6</v>
      </c>
      <c r="BO220" s="121">
        <f>BR240</f>
        <v>0</v>
      </c>
      <c r="BP220" s="14"/>
      <c r="BQ220" s="14"/>
      <c r="BR220" s="14"/>
      <c r="BS220" s="14"/>
      <c r="BT220" s="19"/>
      <c r="BU220" s="19"/>
      <c r="BV220" s="19"/>
      <c r="BW220" s="65"/>
      <c r="BX220" s="63"/>
      <c r="BY220" s="352"/>
      <c r="BZ220" s="14"/>
      <c r="CA220" s="34" t="s">
        <v>155</v>
      </c>
      <c r="CB220" s="37">
        <f>CB193+CB166+CB139+CB112+CB85+CB58</f>
        <v>12</v>
      </c>
      <c r="CC220" s="21"/>
      <c r="CD220" s="180"/>
      <c r="CE220" s="180"/>
      <c r="CF220" s="21"/>
      <c r="CG220" s="29"/>
      <c r="CH220" s="29"/>
      <c r="CI220" s="29"/>
      <c r="CJ220" s="29"/>
      <c r="CK220" s="29"/>
      <c r="CL220" s="29"/>
      <c r="CM220" s="29"/>
      <c r="CN220" s="29"/>
      <c r="CO220" s="38"/>
      <c r="CP220" s="29"/>
      <c r="CQ220" s="47"/>
      <c r="CR220" s="14"/>
      <c r="CS220" s="34" t="s">
        <v>155</v>
      </c>
      <c r="CT220" s="37">
        <f>CT193+CT166+CT139+CT112+CT85+CT58</f>
        <v>2</v>
      </c>
      <c r="CU220" s="14"/>
      <c r="CV220" s="180"/>
      <c r="CW220" s="189"/>
      <c r="CX220" s="189"/>
      <c r="CY220" s="29"/>
      <c r="CZ220" s="29"/>
      <c r="DA220" s="29"/>
      <c r="DB220" s="29"/>
      <c r="DC220" s="29"/>
      <c r="DD220" s="29"/>
      <c r="DE220" s="29"/>
      <c r="DF220" s="29"/>
      <c r="DG220" s="38"/>
      <c r="DH220" s="29"/>
      <c r="DI220" s="47"/>
      <c r="DJ220" s="29"/>
      <c r="DK220" s="34" t="s">
        <v>306</v>
      </c>
      <c r="DL220" s="37" t="str">
        <f>INDEX(DP233:DP238,MATCH(MAX(DQ233:DQ238),DQ233:DQ238,0),1)</f>
        <v>Sometimes</v>
      </c>
      <c r="DM220" s="33">
        <f>DQ239</f>
        <v>4</v>
      </c>
      <c r="DN220" s="37">
        <f>DQ238</f>
        <v>0</v>
      </c>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row>
    <row r="221" spans="1:142" x14ac:dyDescent="0.25">
      <c r="A221" s="14"/>
      <c r="B221" s="57"/>
      <c r="C221" s="121" t="str">
        <f ca="1">IF(COUNTIF(H233:H238,MAX(H233:H238))=1,"",    INDEX(OFFSET(G233,MATCH(C220,G233:G238,0),0):G238,         MATCH(MAX(H233:H238),OFFSET(H233,MATCH(C220,G233:G238,0),0):H238,0),1)      )</f>
        <v>I don’t know</v>
      </c>
      <c r="D221" s="58"/>
      <c r="E221" s="121"/>
      <c r="F221" s="19"/>
      <c r="G221" s="14"/>
      <c r="H221" s="21"/>
      <c r="I221" s="21"/>
      <c r="J221" s="14"/>
      <c r="K221" s="19"/>
      <c r="L221" s="40"/>
      <c r="M221" s="40"/>
      <c r="N221" s="40"/>
      <c r="O221" s="40"/>
      <c r="P221" s="40"/>
      <c r="Q221" s="47"/>
      <c r="R221" s="19"/>
      <c r="S221" s="34"/>
      <c r="T221" s="37" t="str">
        <f ca="1">IF(Y241=0,"",IF(COUNTIF(Y234:Y240,MAX(Y234:Y240))=1,"",IF(COUNTIF(Y234:Y240,MAX(Y234:Y240))&gt;COUNTIF(X234:X240,"&lt;&gt;""")/2,"",INDEX(OFFSET(X234,MATCH(T220,X234:X240,0),0):X240,MATCH(MAX(Y234:Y240),OFFSET(Y234,MATCH(T220,X234:X240,0),0):Y240,0),1))))</f>
        <v/>
      </c>
      <c r="U221" s="33"/>
      <c r="V221" s="37"/>
      <c r="W221" s="14"/>
      <c r="X221" s="14"/>
      <c r="Y221" s="14"/>
      <c r="Z221" s="14"/>
      <c r="AA221" s="19"/>
      <c r="AB221" s="19"/>
      <c r="AC221" s="19"/>
      <c r="AD221" s="65"/>
      <c r="AE221" s="63"/>
      <c r="AF221" s="47"/>
      <c r="AG221" s="19"/>
      <c r="AH221" s="57"/>
      <c r="AI221" s="121" t="str">
        <f ca="1">IF(AN241=0,"",IF(COUNTIF(AN234:AN240,MAX(AN234:AN240))=1,"",IF(COUNTIF(AN234:AN240,MAX(AN234:AN240))&gt;COUNTIF(AM234:AM240,"&lt;&gt;""")/2,"",INDEX(OFFSET(AM234,MATCH(AI220,AM234:AM240,0),0):AM240,MATCH(MAX(AN234:AN240),OFFSET(AN234,MATCH(AI220,AM234:AM240,0),0):AN240,0),1))))</f>
        <v/>
      </c>
      <c r="AJ221" s="58"/>
      <c r="AK221" s="121"/>
      <c r="AL221" s="14"/>
      <c r="AM221" s="14"/>
      <c r="AN221" s="14"/>
      <c r="AO221" s="14"/>
      <c r="AP221" s="19"/>
      <c r="AQ221" s="19"/>
      <c r="AR221" s="19"/>
      <c r="AS221" s="65"/>
      <c r="AT221" s="63"/>
      <c r="AU221" s="47"/>
      <c r="AV221" s="14"/>
      <c r="AW221" s="57"/>
      <c r="AX221" s="121" t="str">
        <f ca="1">IF(BC241=0,"",IF(COUNTIF(BC234:BC240,MAX(BC234:BC240))=1,"",IF(COUNTIF(BC234:BC240,MAX(BC234:BC240))&gt;COUNTIF(BB234:BB240,"&lt;&gt;""")/2,"",INDEX(OFFSET(BB234,MATCH(AX220,BB234:BB240,0),0):BB240,MATCH(MAX(BC234:BC240),OFFSET(BC234,MATCH(AX220,BB234:BB240,0),0):BC240,0),1))))</f>
        <v/>
      </c>
      <c r="AY221" s="58"/>
      <c r="AZ221" s="121"/>
      <c r="BA221" s="14"/>
      <c r="BB221" s="14"/>
      <c r="BC221" s="14"/>
      <c r="BD221" s="14"/>
      <c r="BE221" s="19"/>
      <c r="BF221" s="19"/>
      <c r="BG221" s="19"/>
      <c r="BH221" s="65"/>
      <c r="BI221" s="63"/>
      <c r="BJ221" s="352"/>
      <c r="BK221" s="19"/>
      <c r="BL221" s="57"/>
      <c r="BM221" s="121" t="str">
        <f ca="1">IF(BR241=0,"",IF(COUNTIF(BR234:BR240,MAX(BR234:BR240))=1,"",IF(COUNTIF(BR234:BR240,MAX(BR234:BR240))&gt;COUNTIF(BQ234:BQ240,"&lt;&gt;""")/2,"",INDEX(OFFSET(BQ234,MATCH(BM220,BQ234:BQ240,0),0):BQ240,MATCH(MAX(BR234:BR240),OFFSET(BR234,MATCH(BM220,BQ234:BQ240,0),0):BR240,0),1))))</f>
        <v>Unlikely</v>
      </c>
      <c r="BN221" s="58"/>
      <c r="BO221" s="121"/>
      <c r="BP221" s="14"/>
      <c r="BQ221" s="14"/>
      <c r="BR221" s="14"/>
      <c r="BS221" s="14"/>
      <c r="BT221" s="19"/>
      <c r="BU221" s="19"/>
      <c r="BV221" s="19"/>
      <c r="BW221" s="65"/>
      <c r="BX221" s="63"/>
      <c r="BY221" s="352"/>
      <c r="BZ221" s="14"/>
      <c r="CA221" s="14"/>
      <c r="CB221" s="21"/>
      <c r="CC221" s="21"/>
      <c r="CD221" s="180"/>
      <c r="CE221" s="180"/>
      <c r="CF221" s="21"/>
      <c r="CG221" s="29"/>
      <c r="CH221" s="29"/>
      <c r="CI221" s="29"/>
      <c r="CJ221" s="29"/>
      <c r="CK221" s="29"/>
      <c r="CL221" s="29"/>
      <c r="CM221" s="29"/>
      <c r="CN221" s="29"/>
      <c r="CO221" s="38"/>
      <c r="CP221" s="29"/>
      <c r="CQ221" s="47"/>
      <c r="CR221" s="14"/>
      <c r="CS221" s="14"/>
      <c r="CT221" s="14"/>
      <c r="CU221" s="14"/>
      <c r="CV221" s="180"/>
      <c r="CW221" s="189"/>
      <c r="CX221" s="189"/>
      <c r="CY221" s="29"/>
      <c r="CZ221" s="29"/>
      <c r="DA221" s="29"/>
      <c r="DB221" s="29"/>
      <c r="DC221" s="29"/>
      <c r="DD221" s="29"/>
      <c r="DE221" s="29"/>
      <c r="DF221" s="29"/>
      <c r="DG221" s="38"/>
      <c r="DH221" s="29"/>
      <c r="DI221" s="47"/>
      <c r="DJ221" s="29"/>
      <c r="DK221" s="34"/>
      <c r="DL221" s="37" t="str">
        <f ca="1">IF(DQ239=0,"",IF(COUNTIF(DQ234:DQ238,MAX(DQ234:DQ238))=1,"",IF(COUNTIF(DQ234:DQ238,MAX(DQ234:DQ238))&gt;COUNTIF(DP234:DP238,"&lt;&gt;""")/2,"",INDEX(OFFSET(DP234,MATCH(DL220,DP234:DP239,0),0):DP238,MATCH(MAX(DQ234:DQ238),OFFSET(DQ234,MATCH(DL220,DP234:DP239,0),0):DQ238,0),1))))</f>
        <v/>
      </c>
      <c r="DM221" s="33"/>
      <c r="DN221" s="37"/>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row>
    <row r="222" spans="1:142" x14ac:dyDescent="0.25">
      <c r="A222" s="14"/>
      <c r="B222" s="57"/>
      <c r="C222" s="121" t="str">
        <f ca="1">IF(COUNTIF(H233:H238,MAX(H233:H238))&lt;=2,"",    INDEX(OFFSET(G233,MATCH(C221,G233:G238,0),0):G238,         MATCH(MAX(H233:H238),        OFFSET(H233,MATCH(C221,G233:G238,0),0):H238,0),1)      )</f>
        <v/>
      </c>
      <c r="D222" s="58"/>
      <c r="E222" s="121"/>
      <c r="F222" s="19"/>
      <c r="G222" s="14"/>
      <c r="H222" s="21"/>
      <c r="I222" s="21"/>
      <c r="J222" s="14"/>
      <c r="K222" s="19"/>
      <c r="L222" s="40"/>
      <c r="M222" s="40"/>
      <c r="N222" s="40"/>
      <c r="O222" s="40"/>
      <c r="P222" s="40"/>
      <c r="Q222" s="47"/>
      <c r="R222" s="19"/>
      <c r="S222" s="34"/>
      <c r="T222" s="121" t="str">
        <f ca="1" xml:space="preserve"> IF(Y241=0,"",IF(Y241=0,"", IF(COUNTIF(Y234:Y240,MAX(Y234:Y240))&lt;=2,"",IF(COUNTIF(Y234:Y240,MAX(Y234:Y240))&gt;COUNTIF(X234:X240,"&lt;&gt;""")/2,"", INDEX(OFFSET(X234,MATCH(T221,X234:X240,0),0):X240,         MATCH(MAX(Y234:Y240),        OFFSET(Y234,MATCH(T221,X234:X240,0),0):Y240,0),1)))))</f>
        <v/>
      </c>
      <c r="U222" s="33"/>
      <c r="V222" s="37"/>
      <c r="W222" s="14"/>
      <c r="X222" s="14"/>
      <c r="Y222" s="14"/>
      <c r="Z222" s="14"/>
      <c r="AA222" s="19"/>
      <c r="AB222" s="19"/>
      <c r="AC222" s="19"/>
      <c r="AD222" s="65"/>
      <c r="AE222" s="63"/>
      <c r="AF222" s="47"/>
      <c r="AG222" s="19"/>
      <c r="AH222" s="57"/>
      <c r="AI222" s="121" t="str">
        <f ca="1" xml:space="preserve"> IF(AN241=0,"",IF(AN241=0,"", IF(COUNTIF(AN234:AN240,MAX(AN234:AN240))&lt;=2,"",IF(COUNTIF(AN234:AN240,MAX(AN234:AN240))&gt;COUNTIF(AM234:AM240,"&lt;&gt;""")/2,"", INDEX(OFFSET(AM234,MATCH(AI221,AM234:AM240,0),0):AM240,         MATCH(MAX(AN234:AN240),        OFFSET(AN234,MATCH(AI221,AM234:AM240,0),0):AN240,0),1)))))</f>
        <v/>
      </c>
      <c r="AJ222" s="58"/>
      <c r="AK222" s="121"/>
      <c r="AL222" s="14"/>
      <c r="AM222" s="14"/>
      <c r="AN222" s="14"/>
      <c r="AO222" s="14"/>
      <c r="AP222" s="19"/>
      <c r="AQ222" s="19"/>
      <c r="AR222" s="19"/>
      <c r="AS222" s="65"/>
      <c r="AT222" s="63"/>
      <c r="AU222" s="47"/>
      <c r="AV222" s="14"/>
      <c r="AW222" s="57"/>
      <c r="AX222" s="121" t="str">
        <f ca="1" xml:space="preserve"> IF(BC241=0,"",IF(BC241=0,"", IF(COUNTIF(BC234:BC240,MAX(BC234:BC240))&lt;=2,"",IF(COUNTIF(BC234:BC240,MAX(BC234:BC240))&gt;COUNTIF(BB234:BB240,"&lt;&gt;""")/2,"", INDEX(OFFSET(BB234,MATCH(AX221,BB234:BB240,0),0):BB240,         MATCH(MAX(BC234:BC240),        OFFSET(BC234,MATCH(AX221,BB234:BB240,0),0):BC240,0),1)))))</f>
        <v/>
      </c>
      <c r="AY222" s="58"/>
      <c r="AZ222" s="121"/>
      <c r="BA222" s="14"/>
      <c r="BB222" s="14"/>
      <c r="BC222" s="14"/>
      <c r="BD222" s="14"/>
      <c r="BE222" s="19"/>
      <c r="BF222" s="19"/>
      <c r="BG222" s="19"/>
      <c r="BH222" s="65"/>
      <c r="BI222" s="63"/>
      <c r="BJ222" s="352"/>
      <c r="BK222" s="19"/>
      <c r="BL222" s="57"/>
      <c r="BM222" s="121" t="str">
        <f ca="1" xml:space="preserve"> IF(BR241=0,"",IF(BR241=0,"", IF(COUNTIF(BR234:BR240,MAX(BR234:BR240))&lt;=2,"",IF(COUNTIF(BR234:BR240,MAX(BR234:BR240))&gt;COUNTIF(BQ234:BQ240,"&lt;&gt;""")/2,"", INDEX(OFFSET(BQ234,MATCH(BM221,BQ234:BQ240,0),0):BQ240,         MATCH(MAX(BR234:BR240),        OFFSET(BR234,MATCH(BM221,BQ234:BQ240,0),0):BR240,0),1)))))</f>
        <v/>
      </c>
      <c r="BN222" s="58"/>
      <c r="BO222" s="121"/>
      <c r="BP222" s="14"/>
      <c r="BQ222" s="14"/>
      <c r="BR222" s="14"/>
      <c r="BS222" s="14"/>
      <c r="BT222" s="19"/>
      <c r="BU222" s="19"/>
      <c r="BV222" s="19"/>
      <c r="BW222" s="65"/>
      <c r="BX222" s="63"/>
      <c r="BY222" s="352"/>
      <c r="BZ222" s="14"/>
      <c r="CA222" s="14"/>
      <c r="CB222" s="21"/>
      <c r="CC222" s="21"/>
      <c r="CD222" s="180"/>
      <c r="CE222" s="180"/>
      <c r="CF222" s="21"/>
      <c r="CG222" s="29"/>
      <c r="CH222" s="29"/>
      <c r="CI222" s="29"/>
      <c r="CJ222" s="29"/>
      <c r="CK222" s="29"/>
      <c r="CL222" s="29"/>
      <c r="CM222" s="29"/>
      <c r="CN222" s="29"/>
      <c r="CO222" s="38"/>
      <c r="CP222" s="29"/>
      <c r="CQ222" s="47"/>
      <c r="CR222" s="14"/>
      <c r="CS222" s="14"/>
      <c r="CT222" s="14"/>
      <c r="CU222" s="14"/>
      <c r="CV222" s="180"/>
      <c r="CW222" s="189"/>
      <c r="CX222" s="189"/>
      <c r="CY222" s="29"/>
      <c r="CZ222" s="29"/>
      <c r="DA222" s="29"/>
      <c r="DB222" s="29"/>
      <c r="DC222" s="29"/>
      <c r="DD222" s="29"/>
      <c r="DE222" s="29"/>
      <c r="DF222" s="29"/>
      <c r="DG222" s="38"/>
      <c r="DH222" s="29"/>
      <c r="DI222" s="47"/>
      <c r="DJ222" s="29"/>
      <c r="DK222" s="34"/>
      <c r="DL222" s="37" t="str">
        <f ca="1">IF(DQ239=0,"",IF(COUNTIF(DQ234:DQ238,MAX(DQ234:DQ238))&lt;=2,"",IF(COUNTIF(DQ234:DQ238,MAX(DQ234:DQ238))&gt;COUNTIF(DP234:DP238,"&lt;&gt;""")/2,"",INDEX(OFFSET(DP234,MATCH(DL221,DP234:DP239,0),0):DP238,MATCH(MAX(DQ234:DQ238),OFFSET(DQ234,MATCH(DL221,DP234:DP239,0),0):DQ238,0),1))))</f>
        <v/>
      </c>
      <c r="DM222" s="33"/>
      <c r="DN222" s="37"/>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row>
    <row r="223" spans="1:142" x14ac:dyDescent="0.25">
      <c r="A223" s="14"/>
      <c r="B223" s="14"/>
      <c r="C223" s="14"/>
      <c r="D223" s="27"/>
      <c r="E223" s="19"/>
      <c r="F223" s="19"/>
      <c r="G223" s="14"/>
      <c r="H223" s="21"/>
      <c r="I223" s="21"/>
      <c r="J223" s="14"/>
      <c r="K223" s="19"/>
      <c r="L223" s="40"/>
      <c r="M223" s="40"/>
      <c r="N223" s="40"/>
      <c r="O223" s="40"/>
      <c r="P223" s="40"/>
      <c r="Q223" s="47"/>
      <c r="R223" s="19"/>
      <c r="S223" s="14"/>
      <c r="T223" s="14"/>
      <c r="U223" s="14"/>
      <c r="V223" s="14"/>
      <c r="W223" s="14"/>
      <c r="X223" s="14"/>
      <c r="Y223" s="14"/>
      <c r="Z223" s="14"/>
      <c r="AA223" s="19"/>
      <c r="AB223" s="19"/>
      <c r="AC223" s="19"/>
      <c r="AD223" s="65"/>
      <c r="AE223" s="63"/>
      <c r="AF223" s="47"/>
      <c r="AG223" s="19"/>
      <c r="AH223" s="14"/>
      <c r="AI223" s="14"/>
      <c r="AJ223" s="14"/>
      <c r="AK223" s="14"/>
      <c r="AL223" s="14"/>
      <c r="AM223" s="14"/>
      <c r="AN223" s="14"/>
      <c r="AO223" s="14"/>
      <c r="AP223" s="19"/>
      <c r="AQ223" s="19"/>
      <c r="AR223" s="19"/>
      <c r="AS223" s="65"/>
      <c r="AT223" s="63"/>
      <c r="AU223" s="47"/>
      <c r="AV223" s="14"/>
      <c r="AW223" s="14"/>
      <c r="AX223" s="14"/>
      <c r="AY223" s="14"/>
      <c r="AZ223" s="14"/>
      <c r="BA223" s="14"/>
      <c r="BB223" s="14"/>
      <c r="BC223" s="14"/>
      <c r="BD223" s="14"/>
      <c r="BE223" s="19"/>
      <c r="BF223" s="19"/>
      <c r="BG223" s="19"/>
      <c r="BH223" s="65"/>
      <c r="BI223" s="63"/>
      <c r="BJ223" s="352"/>
      <c r="BK223" s="19"/>
      <c r="BL223" s="14"/>
      <c r="BM223" s="14"/>
      <c r="BN223" s="14"/>
      <c r="BO223" s="14"/>
      <c r="BP223" s="14"/>
      <c r="BQ223" s="14"/>
      <c r="BR223" s="14"/>
      <c r="BS223" s="14"/>
      <c r="BT223" s="19"/>
      <c r="BU223" s="19"/>
      <c r="BV223" s="19"/>
      <c r="BW223" s="65"/>
      <c r="BX223" s="63"/>
      <c r="BY223" s="352"/>
      <c r="BZ223" s="14"/>
      <c r="CA223" s="14"/>
      <c r="CB223" s="21"/>
      <c r="CC223" s="21"/>
      <c r="CD223" s="180"/>
      <c r="CE223" s="180"/>
      <c r="CF223" s="21"/>
      <c r="CG223" s="29"/>
      <c r="CH223" s="29"/>
      <c r="CI223" s="29"/>
      <c r="CJ223" s="29"/>
      <c r="CK223" s="29"/>
      <c r="CL223" s="29"/>
      <c r="CM223" s="29"/>
      <c r="CN223" s="29"/>
      <c r="CO223" s="38"/>
      <c r="CP223" s="29"/>
      <c r="CQ223" s="47"/>
      <c r="CR223" s="14"/>
      <c r="CS223" s="14"/>
      <c r="CT223" s="14"/>
      <c r="CU223" s="14"/>
      <c r="CV223" s="180"/>
      <c r="CW223" s="189"/>
      <c r="CX223" s="189"/>
      <c r="CY223" s="29"/>
      <c r="CZ223" s="29"/>
      <c r="DA223" s="29"/>
      <c r="DB223" s="29"/>
      <c r="DC223" s="29"/>
      <c r="DD223" s="29"/>
      <c r="DE223" s="29"/>
      <c r="DF223" s="29"/>
      <c r="DG223" s="38"/>
      <c r="DH223" s="29"/>
      <c r="DI223" s="47"/>
      <c r="DJ223" s="29"/>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row>
    <row r="224" spans="1:142" x14ac:dyDescent="0.25">
      <c r="A224" s="14"/>
      <c r="B224" s="14"/>
      <c r="C224" s="14"/>
      <c r="D224" s="27"/>
      <c r="E224" s="19"/>
      <c r="F224" s="19"/>
      <c r="G224" s="14"/>
      <c r="H224" s="21"/>
      <c r="I224" s="21"/>
      <c r="J224" s="14"/>
      <c r="K224" s="19"/>
      <c r="L224" s="40"/>
      <c r="M224" s="40"/>
      <c r="N224" s="40"/>
      <c r="O224" s="40"/>
      <c r="P224" s="40"/>
      <c r="Q224" s="47"/>
      <c r="R224" s="19"/>
      <c r="S224" s="14"/>
      <c r="T224" s="14"/>
      <c r="U224" s="14"/>
      <c r="V224" s="14"/>
      <c r="W224" s="14"/>
      <c r="X224" s="14"/>
      <c r="Y224" s="14"/>
      <c r="Z224" s="14"/>
      <c r="AA224" s="19"/>
      <c r="AB224" s="19"/>
      <c r="AC224" s="19"/>
      <c r="AD224" s="65"/>
      <c r="AE224" s="63"/>
      <c r="AF224" s="47"/>
      <c r="AG224" s="19"/>
      <c r="AH224" s="14"/>
      <c r="AI224" s="14"/>
      <c r="AJ224" s="14"/>
      <c r="AK224" s="14"/>
      <c r="AL224" s="14"/>
      <c r="AM224" s="14"/>
      <c r="AN224" s="14"/>
      <c r="AO224" s="14"/>
      <c r="AP224" s="19"/>
      <c r="AQ224" s="19"/>
      <c r="AR224" s="19"/>
      <c r="AS224" s="65"/>
      <c r="AT224" s="63"/>
      <c r="AU224" s="47"/>
      <c r="AV224" s="14"/>
      <c r="AW224" s="14"/>
      <c r="AX224" s="14"/>
      <c r="AY224" s="14"/>
      <c r="AZ224" s="14"/>
      <c r="BA224" s="14"/>
      <c r="BB224" s="14"/>
      <c r="BC224" s="14"/>
      <c r="BD224" s="14"/>
      <c r="BE224" s="19"/>
      <c r="BF224" s="19"/>
      <c r="BG224" s="19"/>
      <c r="BH224" s="65"/>
      <c r="BI224" s="63"/>
      <c r="BJ224" s="352"/>
      <c r="BK224" s="19"/>
      <c r="BL224" s="14"/>
      <c r="BM224" s="14"/>
      <c r="BN224" s="14"/>
      <c r="BO224" s="14"/>
      <c r="BP224" s="14"/>
      <c r="BQ224" s="14"/>
      <c r="BR224" s="14"/>
      <c r="BS224" s="14"/>
      <c r="BT224" s="19"/>
      <c r="BU224" s="19"/>
      <c r="BV224" s="19"/>
      <c r="BW224" s="65"/>
      <c r="BX224" s="63"/>
      <c r="BY224" s="352"/>
      <c r="BZ224" s="14"/>
      <c r="CA224" s="14"/>
      <c r="CB224" s="21"/>
      <c r="CC224" s="21"/>
      <c r="CD224" s="180"/>
      <c r="CE224" s="180"/>
      <c r="CF224" s="21"/>
      <c r="CG224" s="29"/>
      <c r="CH224" s="29"/>
      <c r="CI224" s="29"/>
      <c r="CJ224" s="29"/>
      <c r="CK224" s="29"/>
      <c r="CL224" s="29"/>
      <c r="CM224" s="29"/>
      <c r="CN224" s="29"/>
      <c r="CO224" s="38"/>
      <c r="CP224" s="29"/>
      <c r="CQ224" s="47"/>
      <c r="CR224" s="14"/>
      <c r="CS224" s="14"/>
      <c r="CT224" s="14"/>
      <c r="CU224" s="14"/>
      <c r="CV224" s="180"/>
      <c r="CW224" s="189"/>
      <c r="CX224" s="189"/>
      <c r="CY224" s="29"/>
      <c r="CZ224" s="29"/>
      <c r="DA224" s="29"/>
      <c r="DB224" s="29"/>
      <c r="DC224" s="29"/>
      <c r="DD224" s="29"/>
      <c r="DE224" s="29"/>
      <c r="DF224" s="29"/>
      <c r="DG224" s="38"/>
      <c r="DH224" s="29"/>
      <c r="DI224" s="47"/>
      <c r="DJ224" s="29"/>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row>
    <row r="225" spans="1:142" ht="27.6" x14ac:dyDescent="0.25">
      <c r="A225" s="14"/>
      <c r="B225" s="19"/>
      <c r="C225" s="19"/>
      <c r="D225" s="27"/>
      <c r="E225" s="19"/>
      <c r="F225" s="19"/>
      <c r="G225" s="14"/>
      <c r="H225" s="21"/>
      <c r="I225" s="21"/>
      <c r="J225" s="14"/>
      <c r="K225" s="19"/>
      <c r="L225" s="40"/>
      <c r="M225" s="40"/>
      <c r="N225" s="40"/>
      <c r="O225" s="40"/>
      <c r="P225" s="40"/>
      <c r="Q225" s="47"/>
      <c r="R225" s="19"/>
      <c r="S225" s="14"/>
      <c r="T225" s="14"/>
      <c r="U225" s="14"/>
      <c r="V225" s="14"/>
      <c r="W225" s="14"/>
      <c r="X225" s="14"/>
      <c r="Y225" s="14"/>
      <c r="Z225" s="14"/>
      <c r="AA225" s="19"/>
      <c r="AB225" s="19"/>
      <c r="AC225" s="19"/>
      <c r="AD225" s="65"/>
      <c r="AE225" s="63"/>
      <c r="AF225" s="47"/>
      <c r="AG225" s="19"/>
      <c r="AH225" s="14"/>
      <c r="AI225" s="14"/>
      <c r="AJ225" s="14"/>
      <c r="AK225" s="14"/>
      <c r="AL225" s="14"/>
      <c r="AM225" s="14"/>
      <c r="AN225" s="14"/>
      <c r="AO225" s="14"/>
      <c r="AP225" s="19"/>
      <c r="AQ225" s="19"/>
      <c r="AR225" s="19"/>
      <c r="AS225" s="65"/>
      <c r="AT225" s="63"/>
      <c r="AU225" s="47"/>
      <c r="AV225" s="14"/>
      <c r="AW225" s="14"/>
      <c r="AX225" s="14"/>
      <c r="AY225" s="14"/>
      <c r="AZ225" s="14"/>
      <c r="BA225" s="14"/>
      <c r="BB225" s="14"/>
      <c r="BC225" s="14"/>
      <c r="BD225" s="14"/>
      <c r="BE225" s="19"/>
      <c r="BF225" s="19"/>
      <c r="BG225" s="19"/>
      <c r="BH225" s="65"/>
      <c r="BI225" s="63"/>
      <c r="BJ225" s="352"/>
      <c r="BK225" s="19"/>
      <c r="BL225" s="14"/>
      <c r="BM225" s="14"/>
      <c r="BN225" s="14"/>
      <c r="BO225" s="14"/>
      <c r="BP225" s="14"/>
      <c r="BQ225" s="14"/>
      <c r="BR225" s="14"/>
      <c r="BS225" s="14"/>
      <c r="BT225" s="19"/>
      <c r="BU225" s="19"/>
      <c r="BV225" s="19"/>
      <c r="BW225" s="65"/>
      <c r="BX225" s="63"/>
      <c r="BY225" s="352"/>
      <c r="BZ225" s="14"/>
      <c r="CA225" s="109" t="s">
        <v>14</v>
      </c>
      <c r="CB225" s="110" t="s">
        <v>164</v>
      </c>
      <c r="CC225" s="110" t="s">
        <v>149</v>
      </c>
      <c r="CD225" s="184" t="s">
        <v>150</v>
      </c>
      <c r="CE225" s="184" t="s">
        <v>151</v>
      </c>
      <c r="CF225" s="110" t="s">
        <v>152</v>
      </c>
      <c r="CG225" s="29"/>
      <c r="CH225" s="29"/>
      <c r="CI225" s="29"/>
      <c r="CJ225" s="29"/>
      <c r="CK225" s="29"/>
      <c r="CL225" s="29"/>
      <c r="CM225" s="29"/>
      <c r="CN225" s="29"/>
      <c r="CO225" s="38"/>
      <c r="CP225" s="29"/>
      <c r="CQ225" s="47"/>
      <c r="CR225" s="14"/>
      <c r="CS225" s="109" t="s">
        <v>14</v>
      </c>
      <c r="CT225" s="110" t="s">
        <v>164</v>
      </c>
      <c r="CU225" s="110" t="s">
        <v>149</v>
      </c>
      <c r="CV225" s="184" t="s">
        <v>150</v>
      </c>
      <c r="CW225" s="184" t="s">
        <v>151</v>
      </c>
      <c r="CX225" s="194" t="s">
        <v>152</v>
      </c>
      <c r="CY225" s="17"/>
      <c r="CZ225" s="29"/>
      <c r="DA225" s="29"/>
      <c r="DB225" s="29"/>
      <c r="DC225" s="29"/>
      <c r="DD225" s="29"/>
      <c r="DE225" s="29"/>
      <c r="DF225" s="29"/>
      <c r="DG225" s="38"/>
      <c r="DH225" s="29"/>
      <c r="DI225" s="47"/>
      <c r="DJ225" s="29"/>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row>
    <row r="226" spans="1:142" x14ac:dyDescent="0.25">
      <c r="A226" s="14"/>
      <c r="B226" s="56"/>
      <c r="C226" s="19"/>
      <c r="D226" s="21"/>
      <c r="E226" s="14"/>
      <c r="F226" s="14"/>
      <c r="G226" s="14"/>
      <c r="H226" s="21"/>
      <c r="I226" s="21"/>
      <c r="J226" s="14"/>
      <c r="K226" s="19"/>
      <c r="L226" s="14"/>
      <c r="M226" s="14"/>
      <c r="N226" s="14"/>
      <c r="O226" s="14"/>
      <c r="P226" s="14"/>
      <c r="Q226" s="47"/>
      <c r="R226" s="19"/>
      <c r="S226" s="14"/>
      <c r="T226" s="14"/>
      <c r="U226" s="14"/>
      <c r="V226" s="14"/>
      <c r="W226" s="14"/>
      <c r="X226" s="14"/>
      <c r="Y226" s="14"/>
      <c r="Z226" s="14"/>
      <c r="AA226" s="19"/>
      <c r="AB226" s="19"/>
      <c r="AC226" s="19"/>
      <c r="AD226" s="65"/>
      <c r="AE226" s="63"/>
      <c r="AF226" s="47"/>
      <c r="AG226" s="19"/>
      <c r="AH226" s="14"/>
      <c r="AI226" s="14"/>
      <c r="AJ226" s="14"/>
      <c r="AK226" s="14"/>
      <c r="AL226" s="14"/>
      <c r="AM226" s="14"/>
      <c r="AN226" s="14"/>
      <c r="AO226" s="14"/>
      <c r="AP226" s="19"/>
      <c r="AQ226" s="19"/>
      <c r="AR226" s="19"/>
      <c r="AS226" s="65"/>
      <c r="AT226" s="63"/>
      <c r="AU226" s="47"/>
      <c r="AV226" s="14"/>
      <c r="AW226" s="14"/>
      <c r="AX226" s="14"/>
      <c r="AY226" s="14"/>
      <c r="AZ226" s="14"/>
      <c r="BA226" s="14"/>
      <c r="BB226" s="14"/>
      <c r="BC226" s="14"/>
      <c r="BD226" s="14"/>
      <c r="BE226" s="19"/>
      <c r="BF226" s="19"/>
      <c r="BG226" s="19"/>
      <c r="BH226" s="65"/>
      <c r="BI226" s="63"/>
      <c r="BJ226" s="352"/>
      <c r="BK226" s="19"/>
      <c r="BL226" s="14"/>
      <c r="BM226" s="14"/>
      <c r="BN226" s="14"/>
      <c r="BO226" s="14"/>
      <c r="BP226" s="14"/>
      <c r="BQ226" s="14"/>
      <c r="BR226" s="14"/>
      <c r="BS226" s="14"/>
      <c r="BT226" s="19"/>
      <c r="BU226" s="19"/>
      <c r="BV226" s="19"/>
      <c r="BW226" s="65"/>
      <c r="BX226" s="63"/>
      <c r="BY226" s="352"/>
      <c r="BZ226" s="14"/>
      <c r="CA226" s="140" t="s">
        <v>701</v>
      </c>
      <c r="CB226" s="27">
        <f>CB64+CB91+CB118+CB145+CB172+CB199</f>
        <v>2</v>
      </c>
      <c r="CC226" s="37">
        <f t="shared" ref="CC226:CE232" si="163">SUM(CC199,CC172,CC145,CC118,CC91,CC64)</f>
        <v>12</v>
      </c>
      <c r="CD226" s="37">
        <f t="shared" si="163"/>
        <v>2</v>
      </c>
      <c r="CE226" s="37">
        <f t="shared" si="163"/>
        <v>1</v>
      </c>
      <c r="CF226" s="97">
        <f>IF(CB220=0,0,SUMPRODUCT(CC226:CE226,Rank_score)/$CB220)</f>
        <v>3.4166666666666665</v>
      </c>
      <c r="CG226" s="29"/>
      <c r="CH226" s="29"/>
      <c r="CI226" s="29"/>
      <c r="CJ226" s="29"/>
      <c r="CK226" s="29"/>
      <c r="CL226" s="29"/>
      <c r="CM226" s="29"/>
      <c r="CN226" s="29"/>
      <c r="CO226" s="38"/>
      <c r="CP226" s="29"/>
      <c r="CQ226" s="47"/>
      <c r="CR226" s="14"/>
      <c r="CS226" s="140" t="s">
        <v>373</v>
      </c>
      <c r="CT226" s="27">
        <f t="shared" ref="CT226:CT231" si="164">CT199+CT172+CT145+CT118+CT91+CT64</f>
        <v>2</v>
      </c>
      <c r="CU226" s="37">
        <f t="shared" ref="CU226:CW231" si="165">SUM(CU199,CU172,CU145,CU118,CU91,CU64)</f>
        <v>2</v>
      </c>
      <c r="CV226" s="37">
        <f t="shared" si="165"/>
        <v>0</v>
      </c>
      <c r="CW226" s="37">
        <f t="shared" si="165"/>
        <v>0</v>
      </c>
      <c r="CX226" s="37">
        <f>(CU226*3+CV226*2+CW226*1)/(SUM(CU226:CW232)/3)</f>
        <v>3.5999999999999996</v>
      </c>
      <c r="CY226" s="14"/>
      <c r="CZ226" s="29"/>
      <c r="DA226" s="29"/>
      <c r="DB226" s="29"/>
      <c r="DC226" s="29"/>
      <c r="DD226" s="29"/>
      <c r="DE226" s="29"/>
      <c r="DF226" s="29"/>
      <c r="DG226" s="38"/>
      <c r="DH226" s="29"/>
      <c r="DI226" s="47"/>
      <c r="DJ226" s="29"/>
      <c r="DK226" s="19"/>
      <c r="DL226" s="19"/>
      <c r="DM226" s="14"/>
      <c r="DN226" s="14"/>
      <c r="DO226" s="14"/>
      <c r="DP226" s="14"/>
      <c r="DQ226" s="14"/>
      <c r="DR226" s="19"/>
      <c r="DS226" s="19"/>
      <c r="DT226" s="14"/>
      <c r="DU226" s="14"/>
      <c r="DV226" s="14"/>
      <c r="DW226" s="14"/>
      <c r="DX226" s="14"/>
      <c r="DY226" s="14"/>
      <c r="DZ226" s="14"/>
      <c r="EA226" s="14"/>
      <c r="EB226" s="14"/>
      <c r="EC226" s="14"/>
      <c r="ED226" s="14"/>
      <c r="EE226" s="14"/>
      <c r="EF226" s="14"/>
      <c r="EG226" s="14"/>
      <c r="EH226" s="14"/>
      <c r="EI226" s="14"/>
      <c r="EJ226" s="14"/>
      <c r="EK226" s="14"/>
      <c r="EL226" s="14"/>
    </row>
    <row r="227" spans="1:142" x14ac:dyDescent="0.25">
      <c r="A227" s="14"/>
      <c r="B227" s="56"/>
      <c r="C227" s="19"/>
      <c r="D227" s="21"/>
      <c r="E227" s="14"/>
      <c r="F227" s="14"/>
      <c r="G227" s="14"/>
      <c r="H227" s="21"/>
      <c r="I227" s="21"/>
      <c r="J227" s="14"/>
      <c r="K227" s="14"/>
      <c r="L227" s="14"/>
      <c r="M227" s="14"/>
      <c r="N227" s="14"/>
      <c r="O227" s="14"/>
      <c r="P227" s="14"/>
      <c r="Q227" s="47"/>
      <c r="R227" s="19"/>
      <c r="S227" s="14"/>
      <c r="T227" s="14"/>
      <c r="U227" s="14"/>
      <c r="V227" s="14"/>
      <c r="W227" s="14"/>
      <c r="X227" s="14"/>
      <c r="Y227" s="14"/>
      <c r="Z227" s="14"/>
      <c r="AA227" s="19"/>
      <c r="AB227" s="19"/>
      <c r="AC227" s="19"/>
      <c r="AD227" s="65"/>
      <c r="AE227" s="63"/>
      <c r="AF227" s="47"/>
      <c r="AG227" s="19"/>
      <c r="AH227" s="14"/>
      <c r="AI227" s="14"/>
      <c r="AJ227" s="14"/>
      <c r="AK227" s="14"/>
      <c r="AL227" s="14"/>
      <c r="AM227" s="14"/>
      <c r="AN227" s="14"/>
      <c r="AO227" s="14"/>
      <c r="AP227" s="19"/>
      <c r="AQ227" s="19"/>
      <c r="AR227" s="19"/>
      <c r="AS227" s="65"/>
      <c r="AT227" s="63"/>
      <c r="AU227" s="47"/>
      <c r="AV227" s="14"/>
      <c r="AW227" s="14"/>
      <c r="AX227" s="14"/>
      <c r="AY227" s="14"/>
      <c r="AZ227" s="14"/>
      <c r="BA227" s="14"/>
      <c r="BB227" s="14"/>
      <c r="BC227" s="14"/>
      <c r="BD227" s="14"/>
      <c r="BE227" s="19"/>
      <c r="BF227" s="19"/>
      <c r="BG227" s="19"/>
      <c r="BH227" s="65"/>
      <c r="BI227" s="63"/>
      <c r="BJ227" s="352"/>
      <c r="BK227" s="19"/>
      <c r="BL227" s="14"/>
      <c r="BM227" s="14"/>
      <c r="BN227" s="14"/>
      <c r="BO227" s="14"/>
      <c r="BP227" s="14"/>
      <c r="BQ227" s="14"/>
      <c r="BR227" s="14"/>
      <c r="BS227" s="14"/>
      <c r="BT227" s="19"/>
      <c r="BU227" s="19"/>
      <c r="BV227" s="19"/>
      <c r="BW227" s="65"/>
      <c r="BX227" s="63"/>
      <c r="BY227" s="352"/>
      <c r="BZ227" s="14"/>
      <c r="CA227" s="140" t="s">
        <v>344</v>
      </c>
      <c r="CB227" s="27">
        <f t="shared" ref="CB227:CB232" si="166">CB65+CB92+CB119+CB146+CB173+CB200</f>
        <v>2</v>
      </c>
      <c r="CC227" s="37">
        <f t="shared" si="163"/>
        <v>0</v>
      </c>
      <c r="CD227" s="37">
        <f t="shared" si="163"/>
        <v>2</v>
      </c>
      <c r="CE227" s="37">
        <f t="shared" si="163"/>
        <v>0</v>
      </c>
      <c r="CF227" s="97">
        <f>IF(CB220=0,0,SUMPRODUCT(CC227:CE227,Rank_score)/$CB220)</f>
        <v>0.33333333333333331</v>
      </c>
      <c r="CG227" s="14"/>
      <c r="CH227" s="14"/>
      <c r="CI227" s="14"/>
      <c r="CJ227" s="14"/>
      <c r="CK227" s="14"/>
      <c r="CL227" s="14"/>
      <c r="CM227" s="14"/>
      <c r="CN227" s="14"/>
      <c r="CO227" s="129"/>
      <c r="CP227" s="14"/>
      <c r="CQ227" s="47"/>
      <c r="CR227" s="14"/>
      <c r="CS227" s="140" t="s">
        <v>338</v>
      </c>
      <c r="CT227" s="27">
        <f t="shared" si="164"/>
        <v>1</v>
      </c>
      <c r="CU227" s="37">
        <f t="shared" si="165"/>
        <v>0</v>
      </c>
      <c r="CV227" s="37">
        <f t="shared" si="165"/>
        <v>1</v>
      </c>
      <c r="CW227" s="37">
        <f t="shared" si="165"/>
        <v>0</v>
      </c>
      <c r="CX227" s="37">
        <f>(CU227*3+CV227*2+CW227*1)/(SUM(CU227:CW233)/3)</f>
        <v>2</v>
      </c>
      <c r="CY227" s="14"/>
      <c r="CZ227" s="29"/>
      <c r="DA227" s="14"/>
      <c r="DB227" s="14"/>
      <c r="DC227" s="14"/>
      <c r="DD227" s="14"/>
      <c r="DE227" s="14"/>
      <c r="DF227" s="14"/>
      <c r="DG227" s="129"/>
      <c r="DH227" s="14"/>
      <c r="DI227" s="47"/>
      <c r="DJ227" s="14"/>
      <c r="DK227" s="19"/>
      <c r="DL227" s="19"/>
      <c r="DM227" s="14"/>
      <c r="DN227" s="14"/>
      <c r="DO227" s="14"/>
      <c r="DP227" s="14"/>
      <c r="DQ227" s="14"/>
      <c r="DR227" s="19"/>
      <c r="DS227" s="19"/>
      <c r="DT227" s="14"/>
      <c r="DU227" s="14"/>
      <c r="DV227" s="14"/>
      <c r="DW227" s="14"/>
      <c r="DX227" s="14"/>
      <c r="DY227" s="14"/>
      <c r="DZ227" s="14"/>
      <c r="EA227" s="14"/>
      <c r="EB227" s="14"/>
      <c r="EC227" s="14"/>
      <c r="ED227" s="14"/>
      <c r="EE227" s="14"/>
      <c r="EF227" s="14"/>
      <c r="EG227" s="14"/>
      <c r="EH227" s="14"/>
      <c r="EI227" s="14"/>
      <c r="EJ227" s="14"/>
      <c r="EK227" s="14"/>
      <c r="EL227" s="14"/>
    </row>
    <row r="228" spans="1:142" x14ac:dyDescent="0.25">
      <c r="A228" s="14"/>
      <c r="B228" s="19"/>
      <c r="C228" s="19"/>
      <c r="D228" s="21"/>
      <c r="E228" s="14"/>
      <c r="F228" s="14"/>
      <c r="G228" s="14"/>
      <c r="H228" s="21"/>
      <c r="I228" s="21"/>
      <c r="J228" s="14"/>
      <c r="K228" s="14"/>
      <c r="L228" s="14"/>
      <c r="M228" s="14"/>
      <c r="N228" s="14"/>
      <c r="O228" s="14"/>
      <c r="P228" s="14"/>
      <c r="Q228" s="47"/>
      <c r="R228" s="19"/>
      <c r="S228" s="14"/>
      <c r="T228" s="14"/>
      <c r="U228" s="14"/>
      <c r="V228" s="14"/>
      <c r="W228" s="14"/>
      <c r="X228" s="14"/>
      <c r="Y228" s="14"/>
      <c r="Z228" s="14"/>
      <c r="AA228" s="19"/>
      <c r="AB228" s="19"/>
      <c r="AC228" s="19"/>
      <c r="AD228" s="65"/>
      <c r="AE228" s="63"/>
      <c r="AF228" s="47"/>
      <c r="AG228" s="19"/>
      <c r="AH228" s="14"/>
      <c r="AI228" s="14"/>
      <c r="AJ228" s="14"/>
      <c r="AK228" s="14"/>
      <c r="AL228" s="14"/>
      <c r="AM228" s="14"/>
      <c r="AN228" s="14"/>
      <c r="AO228" s="14"/>
      <c r="AP228" s="19"/>
      <c r="AQ228" s="19"/>
      <c r="AR228" s="19"/>
      <c r="AS228" s="65"/>
      <c r="AT228" s="63"/>
      <c r="AU228" s="47"/>
      <c r="AV228" s="14"/>
      <c r="AW228" s="14"/>
      <c r="AX228" s="14"/>
      <c r="AY228" s="14"/>
      <c r="AZ228" s="14"/>
      <c r="BA228" s="14"/>
      <c r="BB228" s="14"/>
      <c r="BC228" s="14"/>
      <c r="BD228" s="14"/>
      <c r="BE228" s="19"/>
      <c r="BF228" s="19"/>
      <c r="BG228" s="19"/>
      <c r="BH228" s="65"/>
      <c r="BI228" s="63"/>
      <c r="BJ228" s="352"/>
      <c r="BK228" s="19"/>
      <c r="BL228" s="14"/>
      <c r="BM228" s="14"/>
      <c r="BN228" s="14"/>
      <c r="BO228" s="14"/>
      <c r="BP228" s="14"/>
      <c r="BQ228" s="14"/>
      <c r="BR228" s="14"/>
      <c r="BS228" s="14"/>
      <c r="BT228" s="19"/>
      <c r="BU228" s="19"/>
      <c r="BV228" s="19"/>
      <c r="BW228" s="65"/>
      <c r="BX228" s="63"/>
      <c r="BY228" s="352"/>
      <c r="BZ228" s="14"/>
      <c r="CA228" s="140" t="s">
        <v>146</v>
      </c>
      <c r="CB228" s="27">
        <f t="shared" si="166"/>
        <v>1</v>
      </c>
      <c r="CC228" s="37">
        <f t="shared" si="163"/>
        <v>0</v>
      </c>
      <c r="CD228" s="37">
        <f t="shared" si="163"/>
        <v>0</v>
      </c>
      <c r="CE228" s="37">
        <f t="shared" si="163"/>
        <v>1</v>
      </c>
      <c r="CF228" s="97">
        <f>IF(CB220=0,0,SUMPRODUCT(CC228:CE228,Rank_score)/$CB220)</f>
        <v>8.3333333333333329E-2</v>
      </c>
      <c r="CG228" s="39"/>
      <c r="CH228" s="39"/>
      <c r="CI228" s="14"/>
      <c r="CJ228" s="14"/>
      <c r="CK228" s="14"/>
      <c r="CL228" s="14"/>
      <c r="CM228" s="14"/>
      <c r="CN228" s="14"/>
      <c r="CO228" s="129"/>
      <c r="CP228" s="14"/>
      <c r="CQ228" s="47"/>
      <c r="CR228" s="14"/>
      <c r="CS228" s="106" t="s">
        <v>339</v>
      </c>
      <c r="CT228" s="27">
        <f t="shared" si="164"/>
        <v>1</v>
      </c>
      <c r="CU228" s="37">
        <f t="shared" si="165"/>
        <v>0</v>
      </c>
      <c r="CV228" s="37">
        <f t="shared" si="165"/>
        <v>0</v>
      </c>
      <c r="CW228" s="37">
        <f t="shared" si="165"/>
        <v>1</v>
      </c>
      <c r="CX228" s="37">
        <f>(CU228*3+CV228*2+CW228*1)/(SUM(CU227:CW233)/3)</f>
        <v>1</v>
      </c>
      <c r="CY228" s="14"/>
      <c r="CZ228" s="14"/>
      <c r="DA228" s="14"/>
      <c r="DB228" s="14"/>
      <c r="DC228" s="14"/>
      <c r="DD228" s="14"/>
      <c r="DE228" s="14"/>
      <c r="DF228" s="14"/>
      <c r="DG228" s="129"/>
      <c r="DH228" s="14"/>
      <c r="DI228" s="47"/>
      <c r="DJ228" s="14"/>
      <c r="DK228" s="56"/>
      <c r="DL228" s="29"/>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row>
    <row r="229" spans="1:142" x14ac:dyDescent="0.25">
      <c r="A229" s="14"/>
      <c r="B229" s="14"/>
      <c r="C229" s="19"/>
      <c r="D229" s="21"/>
      <c r="E229" s="14"/>
      <c r="F229" s="14"/>
      <c r="G229" s="14"/>
      <c r="H229" s="21"/>
      <c r="I229" s="21"/>
      <c r="J229" s="14"/>
      <c r="K229" s="14"/>
      <c r="L229" s="14"/>
      <c r="M229" s="14"/>
      <c r="N229" s="14"/>
      <c r="O229" s="14"/>
      <c r="P229" s="14"/>
      <c r="Q229" s="47"/>
      <c r="R229" s="19"/>
      <c r="S229" s="14"/>
      <c r="T229" s="14"/>
      <c r="U229" s="14"/>
      <c r="V229" s="14"/>
      <c r="W229" s="14"/>
      <c r="X229" s="14"/>
      <c r="Y229" s="14"/>
      <c r="Z229" s="14"/>
      <c r="AA229" s="14"/>
      <c r="AB229" s="14"/>
      <c r="AC229" s="14"/>
      <c r="AD229" s="65"/>
      <c r="AE229" s="63"/>
      <c r="AF229" s="47"/>
      <c r="AG229" s="19"/>
      <c r="AH229" s="14"/>
      <c r="AI229" s="14"/>
      <c r="AJ229" s="14"/>
      <c r="AK229" s="14"/>
      <c r="AL229" s="14"/>
      <c r="AM229" s="14"/>
      <c r="AN229" s="14"/>
      <c r="AO229" s="14"/>
      <c r="AP229" s="14"/>
      <c r="AQ229" s="14"/>
      <c r="AR229" s="14"/>
      <c r="AS229" s="65"/>
      <c r="AT229" s="63"/>
      <c r="AU229" s="47"/>
      <c r="AV229" s="14"/>
      <c r="AW229" s="14"/>
      <c r="AX229" s="14"/>
      <c r="AY229" s="14"/>
      <c r="AZ229" s="14"/>
      <c r="BA229" s="14"/>
      <c r="BB229" s="14"/>
      <c r="BC229" s="14"/>
      <c r="BD229" s="14"/>
      <c r="BE229" s="14"/>
      <c r="BF229" s="14"/>
      <c r="BG229" s="14"/>
      <c r="BH229" s="65"/>
      <c r="BI229" s="63"/>
      <c r="BJ229" s="352"/>
      <c r="BK229" s="19"/>
      <c r="BL229" s="14"/>
      <c r="BM229" s="14"/>
      <c r="BN229" s="14"/>
      <c r="BO229" s="14"/>
      <c r="BP229" s="14"/>
      <c r="BQ229" s="14"/>
      <c r="BR229" s="14"/>
      <c r="BS229" s="14"/>
      <c r="BT229" s="14"/>
      <c r="BU229" s="14"/>
      <c r="BV229" s="14"/>
      <c r="BW229" s="65"/>
      <c r="BX229" s="63"/>
      <c r="BY229" s="352"/>
      <c r="BZ229" s="14"/>
      <c r="CA229" s="140" t="s">
        <v>147</v>
      </c>
      <c r="CB229" s="27">
        <f t="shared" si="166"/>
        <v>0</v>
      </c>
      <c r="CC229" s="37">
        <f t="shared" si="163"/>
        <v>0</v>
      </c>
      <c r="CD229" s="37">
        <f t="shared" si="163"/>
        <v>0</v>
      </c>
      <c r="CE229" s="37">
        <f t="shared" si="163"/>
        <v>0</v>
      </c>
      <c r="CF229" s="97">
        <f>IF(CB220=0,0,SUMPRODUCT(CC229:CE229,Rank_score)/$CB220)</f>
        <v>0</v>
      </c>
      <c r="CG229" s="29"/>
      <c r="CH229" s="29"/>
      <c r="CI229" s="14"/>
      <c r="CJ229" s="14"/>
      <c r="CK229" s="14"/>
      <c r="CL229" s="14"/>
      <c r="CM229" s="14"/>
      <c r="CN229" s="14"/>
      <c r="CO229" s="129"/>
      <c r="CP229" s="14"/>
      <c r="CQ229" s="47"/>
      <c r="CR229" s="14"/>
      <c r="CS229" s="106" t="s">
        <v>345</v>
      </c>
      <c r="CT229" s="27">
        <f t="shared" si="164"/>
        <v>1</v>
      </c>
      <c r="CU229" s="37">
        <f t="shared" si="165"/>
        <v>0</v>
      </c>
      <c r="CV229" s="37">
        <f t="shared" si="165"/>
        <v>1</v>
      </c>
      <c r="CW229" s="37">
        <f t="shared" si="165"/>
        <v>0</v>
      </c>
      <c r="CX229" s="37">
        <f>(CU229*3+CV229*2+CW229*1)/(SUM(CU227:CW233)/3)</f>
        <v>2</v>
      </c>
      <c r="CY229" s="14"/>
      <c r="CZ229" s="14"/>
      <c r="DA229" s="14"/>
      <c r="DB229" s="14"/>
      <c r="DC229" s="14"/>
      <c r="DD229" s="14"/>
      <c r="DE229" s="14"/>
      <c r="DF229" s="14"/>
      <c r="DG229" s="129"/>
      <c r="DH229" s="14"/>
      <c r="DI229" s="47"/>
      <c r="DJ229" s="14"/>
      <c r="DK229" s="56"/>
      <c r="DL229" s="19"/>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row>
    <row r="230" spans="1:142" x14ac:dyDescent="0.25">
      <c r="A230" s="14"/>
      <c r="B230" s="14"/>
      <c r="C230" s="19"/>
      <c r="D230" s="21"/>
      <c r="E230" s="14"/>
      <c r="F230" s="14"/>
      <c r="G230" s="14"/>
      <c r="H230" s="21"/>
      <c r="I230" s="21"/>
      <c r="J230" s="19"/>
      <c r="K230" s="19"/>
      <c r="L230" s="19"/>
      <c r="M230" s="19"/>
      <c r="N230" s="19"/>
      <c r="O230" s="19"/>
      <c r="P230" s="19"/>
      <c r="Q230" s="47"/>
      <c r="R230" s="19"/>
      <c r="S230" s="14"/>
      <c r="T230" s="14"/>
      <c r="U230" s="14"/>
      <c r="V230" s="14"/>
      <c r="W230" s="14"/>
      <c r="X230" s="14"/>
      <c r="Y230" s="14"/>
      <c r="Z230" s="14"/>
      <c r="AA230" s="14"/>
      <c r="AB230" s="14"/>
      <c r="AC230" s="14"/>
      <c r="AD230" s="65"/>
      <c r="AE230" s="63"/>
      <c r="AF230" s="47"/>
      <c r="AG230" s="19"/>
      <c r="AH230" s="14"/>
      <c r="AI230" s="14"/>
      <c r="AJ230" s="14"/>
      <c r="AK230" s="14"/>
      <c r="AL230" s="14"/>
      <c r="AM230" s="14"/>
      <c r="AN230" s="14"/>
      <c r="AO230" s="14"/>
      <c r="AP230" s="14"/>
      <c r="AQ230" s="14"/>
      <c r="AR230" s="14"/>
      <c r="AS230" s="65"/>
      <c r="AT230" s="63"/>
      <c r="AU230" s="47"/>
      <c r="AV230" s="14"/>
      <c r="AW230" s="14"/>
      <c r="AX230" s="14"/>
      <c r="AY230" s="14"/>
      <c r="AZ230" s="14"/>
      <c r="BA230" s="14"/>
      <c r="BB230" s="14"/>
      <c r="BC230" s="14"/>
      <c r="BD230" s="14"/>
      <c r="BE230" s="14"/>
      <c r="BF230" s="14"/>
      <c r="BG230" s="14"/>
      <c r="BH230" s="65"/>
      <c r="BI230" s="63"/>
      <c r="BJ230" s="352"/>
      <c r="BK230" s="19"/>
      <c r="BL230" s="14"/>
      <c r="BM230" s="14"/>
      <c r="BN230" s="14"/>
      <c r="BO230" s="14"/>
      <c r="BP230" s="14"/>
      <c r="BQ230" s="14"/>
      <c r="BR230" s="14"/>
      <c r="BS230" s="14"/>
      <c r="BT230" s="14"/>
      <c r="BU230" s="14"/>
      <c r="BV230" s="14"/>
      <c r="BW230" s="65"/>
      <c r="BX230" s="63"/>
      <c r="BY230" s="352"/>
      <c r="BZ230" s="14"/>
      <c r="CA230" s="140" t="s">
        <v>341</v>
      </c>
      <c r="CB230" s="27">
        <f t="shared" si="166"/>
        <v>0</v>
      </c>
      <c r="CC230" s="37">
        <f t="shared" si="163"/>
        <v>0</v>
      </c>
      <c r="CD230" s="37">
        <f t="shared" si="163"/>
        <v>0</v>
      </c>
      <c r="CE230" s="37">
        <f t="shared" si="163"/>
        <v>0</v>
      </c>
      <c r="CF230" s="97">
        <f>IF(CB220=0,0,SUMPRODUCT(CC230:CE230,Rank_score)/$CB220)</f>
        <v>0</v>
      </c>
      <c r="CG230" s="29"/>
      <c r="CH230" s="29"/>
      <c r="CI230" s="14"/>
      <c r="CJ230" s="14"/>
      <c r="CK230" s="14"/>
      <c r="CL230" s="14"/>
      <c r="CM230" s="14"/>
      <c r="CN230" s="14"/>
      <c r="CO230" s="129"/>
      <c r="CP230" s="14"/>
      <c r="CQ230" s="47"/>
      <c r="CR230" s="14"/>
      <c r="CS230" s="106" t="s">
        <v>561</v>
      </c>
      <c r="CT230" s="27">
        <f t="shared" si="164"/>
        <v>0</v>
      </c>
      <c r="CU230" s="37">
        <f t="shared" si="165"/>
        <v>0</v>
      </c>
      <c r="CV230" s="37">
        <f t="shared" si="165"/>
        <v>0</v>
      </c>
      <c r="CW230" s="37">
        <f t="shared" si="165"/>
        <v>0</v>
      </c>
      <c r="CX230" s="37">
        <f>(CU230*3+CV230*2+CW230*1)/(SUM(CU227:CW233)/3)</f>
        <v>0</v>
      </c>
      <c r="CY230" s="14"/>
      <c r="CZ230" s="52"/>
      <c r="DA230" s="14"/>
      <c r="DB230" s="14"/>
      <c r="DC230" s="14"/>
      <c r="DD230" s="14"/>
      <c r="DE230" s="14"/>
      <c r="DF230" s="14"/>
      <c r="DG230" s="129"/>
      <c r="DH230" s="14"/>
      <c r="DI230" s="47"/>
      <c r="DJ230" s="14"/>
      <c r="DK230" s="14"/>
      <c r="DL230" s="19"/>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row>
    <row r="231" spans="1:142" x14ac:dyDescent="0.25">
      <c r="A231" s="14"/>
      <c r="B231" s="14"/>
      <c r="C231" s="19"/>
      <c r="D231" s="21"/>
      <c r="E231" s="14"/>
      <c r="F231" s="14"/>
      <c r="G231" s="19"/>
      <c r="H231" s="27"/>
      <c r="I231" s="41"/>
      <c r="J231" s="19"/>
      <c r="K231" s="19"/>
      <c r="L231" s="19"/>
      <c r="M231" s="19"/>
      <c r="N231" s="19"/>
      <c r="O231" s="19"/>
      <c r="P231" s="19"/>
      <c r="Q231" s="47"/>
      <c r="R231" s="19"/>
      <c r="S231" s="14"/>
      <c r="T231" s="14"/>
      <c r="U231" s="14"/>
      <c r="V231" s="14"/>
      <c r="W231" s="14"/>
      <c r="X231" s="14"/>
      <c r="Y231" s="14"/>
      <c r="Z231" s="14"/>
      <c r="AA231" s="14"/>
      <c r="AB231" s="14"/>
      <c r="AC231" s="14"/>
      <c r="AD231" s="65"/>
      <c r="AE231" s="63"/>
      <c r="AF231" s="47"/>
      <c r="AG231" s="19"/>
      <c r="AH231" s="14"/>
      <c r="AI231" s="14"/>
      <c r="AJ231" s="14"/>
      <c r="AK231" s="14"/>
      <c r="AL231" s="14"/>
      <c r="AM231" s="14"/>
      <c r="AN231" s="14"/>
      <c r="AO231" s="14"/>
      <c r="AP231" s="14"/>
      <c r="AQ231" s="14"/>
      <c r="AR231" s="14"/>
      <c r="AS231" s="65"/>
      <c r="AT231" s="63"/>
      <c r="AU231" s="47"/>
      <c r="AV231" s="14"/>
      <c r="AW231" s="14"/>
      <c r="AX231" s="14"/>
      <c r="AY231" s="14"/>
      <c r="AZ231" s="14"/>
      <c r="BA231" s="14"/>
      <c r="BB231" s="14"/>
      <c r="BC231" s="14"/>
      <c r="BD231" s="14"/>
      <c r="BE231" s="14"/>
      <c r="BF231" s="14"/>
      <c r="BG231" s="14"/>
      <c r="BH231" s="65"/>
      <c r="BI231" s="63"/>
      <c r="BJ231" s="352"/>
      <c r="BK231" s="19"/>
      <c r="BL231" s="14"/>
      <c r="BM231" s="14"/>
      <c r="BN231" s="14"/>
      <c r="BO231" s="14"/>
      <c r="BP231" s="14"/>
      <c r="BQ231" s="14"/>
      <c r="BR231" s="14"/>
      <c r="BS231" s="14"/>
      <c r="BT231" s="14"/>
      <c r="BU231" s="14"/>
      <c r="BV231" s="14"/>
      <c r="BW231" s="65"/>
      <c r="BX231" s="63"/>
      <c r="BY231" s="352"/>
      <c r="BZ231" s="14"/>
      <c r="CA231" s="106" t="s">
        <v>148</v>
      </c>
      <c r="CB231" s="27">
        <f t="shared" si="166"/>
        <v>1</v>
      </c>
      <c r="CC231" s="37">
        <f t="shared" si="163"/>
        <v>0</v>
      </c>
      <c r="CD231" s="37">
        <f t="shared" si="163"/>
        <v>0</v>
      </c>
      <c r="CE231" s="37">
        <f t="shared" si="163"/>
        <v>1</v>
      </c>
      <c r="CF231" s="97">
        <f>IF(CB220=0,0,SUMPRODUCT(CC231:CE231,Rank_score)/$CB220)</f>
        <v>8.3333333333333329E-2</v>
      </c>
      <c r="CG231" s="29"/>
      <c r="CH231" s="29"/>
      <c r="CI231" s="14"/>
      <c r="CJ231" s="14"/>
      <c r="CK231" s="14"/>
      <c r="CL231" s="14"/>
      <c r="CM231" s="14"/>
      <c r="CN231" s="14"/>
      <c r="CO231" s="129"/>
      <c r="CP231" s="14"/>
      <c r="CQ231" s="47"/>
      <c r="CR231" s="14"/>
      <c r="CS231" s="106" t="s">
        <v>49</v>
      </c>
      <c r="CT231" s="27">
        <f t="shared" si="164"/>
        <v>0</v>
      </c>
      <c r="CU231" s="37">
        <f t="shared" si="165"/>
        <v>0</v>
      </c>
      <c r="CV231" s="37">
        <f t="shared" si="165"/>
        <v>0</v>
      </c>
      <c r="CW231" s="37">
        <f t="shared" si="165"/>
        <v>0</v>
      </c>
      <c r="CX231" s="37">
        <f>(CU231*3+CV231*2+CW231*1)/(SUM(CU227:CW233)/3)</f>
        <v>0</v>
      </c>
      <c r="CY231" s="14"/>
      <c r="CZ231" s="52"/>
      <c r="DA231" s="14"/>
      <c r="DB231" s="14"/>
      <c r="DC231" s="14"/>
      <c r="DD231" s="14"/>
      <c r="DE231" s="14"/>
      <c r="DF231" s="14"/>
      <c r="DG231" s="129"/>
      <c r="DH231" s="14"/>
      <c r="DI231" s="47"/>
      <c r="DJ231" s="14"/>
      <c r="DK231" s="14"/>
      <c r="DL231" s="19"/>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row>
    <row r="232" spans="1:142" x14ac:dyDescent="0.25">
      <c r="A232" s="14"/>
      <c r="B232" s="14"/>
      <c r="C232" s="19"/>
      <c r="D232" s="21"/>
      <c r="E232" s="14"/>
      <c r="F232" s="14"/>
      <c r="G232" s="19"/>
      <c r="H232" s="27"/>
      <c r="I232" s="41"/>
      <c r="J232" s="19"/>
      <c r="K232" s="19"/>
      <c r="L232" s="19"/>
      <c r="M232" s="19"/>
      <c r="N232" s="19"/>
      <c r="O232" s="19"/>
      <c r="P232" s="19"/>
      <c r="Q232" s="47"/>
      <c r="R232" s="19"/>
      <c r="S232" s="14"/>
      <c r="T232" s="14"/>
      <c r="U232" s="14"/>
      <c r="V232" s="14"/>
      <c r="W232" s="14"/>
      <c r="X232" s="14"/>
      <c r="Y232" s="14"/>
      <c r="Z232" s="14"/>
      <c r="AA232" s="14"/>
      <c r="AB232" s="14"/>
      <c r="AC232" s="14"/>
      <c r="AD232" s="65"/>
      <c r="AE232" s="63"/>
      <c r="AF232" s="47"/>
      <c r="AG232" s="19"/>
      <c r="AH232" s="14"/>
      <c r="AI232" s="14"/>
      <c r="AJ232" s="14"/>
      <c r="AK232" s="14"/>
      <c r="AL232" s="14"/>
      <c r="AM232" s="14"/>
      <c r="AN232" s="14"/>
      <c r="AO232" s="14"/>
      <c r="AP232" s="14"/>
      <c r="AQ232" s="14"/>
      <c r="AR232" s="14"/>
      <c r="AS232" s="65"/>
      <c r="AT232" s="63"/>
      <c r="AU232" s="47"/>
      <c r="AV232" s="14"/>
      <c r="AW232" s="14"/>
      <c r="AX232" s="14"/>
      <c r="AY232" s="14"/>
      <c r="AZ232" s="14"/>
      <c r="BA232" s="14"/>
      <c r="BB232" s="14"/>
      <c r="BC232" s="14"/>
      <c r="BD232" s="14"/>
      <c r="BE232" s="14"/>
      <c r="BF232" s="14"/>
      <c r="BG232" s="14"/>
      <c r="BH232" s="65"/>
      <c r="BI232" s="63"/>
      <c r="BJ232" s="352"/>
      <c r="BK232" s="19"/>
      <c r="BL232" s="14"/>
      <c r="BM232" s="14"/>
      <c r="BN232" s="14"/>
      <c r="BO232" s="14"/>
      <c r="BP232" s="14"/>
      <c r="BQ232" s="14"/>
      <c r="BR232" s="14"/>
      <c r="BS232" s="14"/>
      <c r="BT232" s="14"/>
      <c r="BU232" s="14"/>
      <c r="BV232" s="14"/>
      <c r="BW232" s="65"/>
      <c r="BX232" s="63"/>
      <c r="BY232" s="352"/>
      <c r="BZ232" s="14"/>
      <c r="CA232" s="107" t="s">
        <v>49</v>
      </c>
      <c r="CB232" s="27">
        <f t="shared" si="166"/>
        <v>0</v>
      </c>
      <c r="CC232" s="37">
        <f t="shared" si="163"/>
        <v>0</v>
      </c>
      <c r="CD232" s="37">
        <f t="shared" si="163"/>
        <v>0</v>
      </c>
      <c r="CE232" s="37">
        <f t="shared" si="163"/>
        <v>0</v>
      </c>
      <c r="CF232" s="97">
        <f>IF(CB220=0,0,SUMPRODUCT(CC232:CE232,Rank_score)/$CB220)</f>
        <v>0</v>
      </c>
      <c r="CG232" s="29"/>
      <c r="CH232" s="29"/>
      <c r="CI232" s="14"/>
      <c r="CJ232" s="14"/>
      <c r="CK232" s="14"/>
      <c r="CL232" s="14"/>
      <c r="CM232" s="14"/>
      <c r="CN232" s="14"/>
      <c r="CO232" s="129"/>
      <c r="CP232" s="14"/>
      <c r="CQ232" s="47"/>
      <c r="CR232" s="14"/>
      <c r="CS232" s="107"/>
      <c r="CT232" s="27"/>
      <c r="CU232" s="37"/>
      <c r="CV232" s="37"/>
      <c r="CW232" s="37"/>
      <c r="CX232" s="37"/>
      <c r="CY232" s="14"/>
      <c r="CZ232" s="52"/>
      <c r="DA232" s="14"/>
      <c r="DB232" s="14"/>
      <c r="DC232" s="14"/>
      <c r="DD232" s="14"/>
      <c r="DE232" s="14"/>
      <c r="DF232" s="14"/>
      <c r="DG232" s="129"/>
      <c r="DH232" s="14"/>
      <c r="DI232" s="47"/>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row>
    <row r="233" spans="1:142" x14ac:dyDescent="0.25">
      <c r="A233" s="14"/>
      <c r="B233" s="14"/>
      <c r="C233" s="19"/>
      <c r="D233" s="21"/>
      <c r="E233" s="14"/>
      <c r="F233" s="14"/>
      <c r="G233" s="109" t="s">
        <v>14</v>
      </c>
      <c r="H233" s="110" t="s">
        <v>6</v>
      </c>
      <c r="I233" s="110" t="s">
        <v>7</v>
      </c>
      <c r="J233" s="19"/>
      <c r="K233" s="19"/>
      <c r="L233" s="19"/>
      <c r="M233" s="19"/>
      <c r="N233" s="19"/>
      <c r="O233" s="19"/>
      <c r="P233" s="19"/>
      <c r="Q233" s="47"/>
      <c r="R233" s="19"/>
      <c r="S233" s="14"/>
      <c r="T233" s="14"/>
      <c r="U233" s="14"/>
      <c r="V233" s="14"/>
      <c r="W233" s="14"/>
      <c r="X233" s="109" t="s">
        <v>14</v>
      </c>
      <c r="Y233" s="110" t="s">
        <v>6</v>
      </c>
      <c r="Z233" s="110" t="s">
        <v>7</v>
      </c>
      <c r="AA233" s="14"/>
      <c r="AB233" s="14"/>
      <c r="AC233" s="14"/>
      <c r="AD233" s="65"/>
      <c r="AE233" s="63"/>
      <c r="AF233" s="47"/>
      <c r="AG233" s="19"/>
      <c r="AH233" s="14"/>
      <c r="AI233" s="14"/>
      <c r="AJ233" s="14"/>
      <c r="AK233" s="14"/>
      <c r="AL233" s="14"/>
      <c r="AM233" s="109" t="s">
        <v>14</v>
      </c>
      <c r="AN233" s="110" t="s">
        <v>6</v>
      </c>
      <c r="AO233" s="110" t="s">
        <v>7</v>
      </c>
      <c r="AP233" s="14"/>
      <c r="AQ233" s="14"/>
      <c r="AR233" s="14"/>
      <c r="AS233" s="65"/>
      <c r="AT233" s="63"/>
      <c r="AU233" s="47"/>
      <c r="AV233" s="14"/>
      <c r="AW233" s="14"/>
      <c r="AX233" s="14"/>
      <c r="AY233" s="14"/>
      <c r="AZ233" s="14"/>
      <c r="BA233" s="14"/>
      <c r="BB233" s="109" t="s">
        <v>14</v>
      </c>
      <c r="BC233" s="110" t="s">
        <v>6</v>
      </c>
      <c r="BD233" s="110" t="s">
        <v>7</v>
      </c>
      <c r="BE233" s="14"/>
      <c r="BF233" s="14"/>
      <c r="BG233" s="14"/>
      <c r="BH233" s="65"/>
      <c r="BI233" s="63"/>
      <c r="BJ233" s="352"/>
      <c r="BK233" s="19"/>
      <c r="BL233" s="14"/>
      <c r="BM233" s="14"/>
      <c r="BN233" s="14"/>
      <c r="BO233" s="14"/>
      <c r="BP233" s="14"/>
      <c r="BQ233" s="109" t="s">
        <v>14</v>
      </c>
      <c r="BR233" s="110" t="s">
        <v>6</v>
      </c>
      <c r="BS233" s="110" t="s">
        <v>7</v>
      </c>
      <c r="BT233" s="14"/>
      <c r="BU233" s="14"/>
      <c r="BV233" s="14"/>
      <c r="BW233" s="65"/>
      <c r="BX233" s="63"/>
      <c r="BY233" s="352"/>
      <c r="BZ233" s="14"/>
      <c r="CA233" s="86"/>
      <c r="CB233" s="111"/>
      <c r="CC233" s="111"/>
      <c r="CD233" s="179"/>
      <c r="CE233" s="179"/>
      <c r="CF233" s="108"/>
      <c r="CG233" s="29"/>
      <c r="CH233" s="29"/>
      <c r="CI233" s="14"/>
      <c r="CJ233" s="14"/>
      <c r="CK233" s="14"/>
      <c r="CL233" s="14"/>
      <c r="CM233" s="14"/>
      <c r="CN233" s="14"/>
      <c r="CO233" s="129"/>
      <c r="CP233" s="14"/>
      <c r="CQ233" s="47"/>
      <c r="CR233" s="14"/>
      <c r="CS233" s="107"/>
      <c r="CT233" s="27"/>
      <c r="CU233" s="37"/>
      <c r="CV233" s="37"/>
      <c r="CW233" s="37"/>
      <c r="CX233" s="37"/>
      <c r="CY233" s="14"/>
      <c r="CZ233" s="52"/>
      <c r="DA233" s="14"/>
      <c r="DB233" s="14"/>
      <c r="DC233" s="14"/>
      <c r="DD233" s="14"/>
      <c r="DE233" s="14"/>
      <c r="DF233" s="14"/>
      <c r="DG233" s="129"/>
      <c r="DH233" s="14"/>
      <c r="DI233" s="47"/>
      <c r="DJ233" s="14"/>
      <c r="DK233" s="14"/>
      <c r="DL233" s="14"/>
      <c r="DM233" s="14"/>
      <c r="DN233" s="14"/>
      <c r="DO233" s="14"/>
      <c r="DP233" s="109" t="s">
        <v>14</v>
      </c>
      <c r="DQ233" s="110" t="s">
        <v>6</v>
      </c>
      <c r="DR233" s="110" t="s">
        <v>7</v>
      </c>
      <c r="DS233" s="14"/>
      <c r="DT233" s="14"/>
      <c r="DU233" s="14"/>
      <c r="DV233" s="14"/>
      <c r="DW233" s="14"/>
      <c r="DX233" s="14"/>
      <c r="DY233" s="14"/>
      <c r="DZ233" s="14"/>
      <c r="EA233" s="14"/>
      <c r="EB233" s="14"/>
      <c r="EC233" s="14"/>
      <c r="ED233" s="14"/>
      <c r="EE233" s="14"/>
      <c r="EF233" s="14"/>
      <c r="EG233" s="14"/>
      <c r="EH233" s="14"/>
      <c r="EI233" s="14"/>
      <c r="EJ233" s="14"/>
      <c r="EK233" s="14"/>
      <c r="EL233" s="14"/>
    </row>
    <row r="234" spans="1:142" x14ac:dyDescent="0.25">
      <c r="A234" s="14"/>
      <c r="B234" s="14"/>
      <c r="C234" s="19"/>
      <c r="D234" s="21"/>
      <c r="E234" s="14"/>
      <c r="F234" s="14"/>
      <c r="G234" s="107" t="s">
        <v>34</v>
      </c>
      <c r="H234" s="27">
        <f>SUM(H207,H180,H153,H126,H99,H72)</f>
        <v>2</v>
      </c>
      <c r="I234" s="41">
        <f>IFERROR(H234/H$239,"")</f>
        <v>0.5</v>
      </c>
      <c r="J234" s="19"/>
      <c r="K234" s="19"/>
      <c r="L234" s="19"/>
      <c r="M234" s="19"/>
      <c r="N234" s="19"/>
      <c r="O234" s="19"/>
      <c r="P234" s="19"/>
      <c r="Q234" s="47"/>
      <c r="R234" s="19"/>
      <c r="S234" s="14"/>
      <c r="T234" s="14"/>
      <c r="U234" s="14"/>
      <c r="V234" s="14"/>
      <c r="W234" s="14"/>
      <c r="X234" s="107" t="s">
        <v>5</v>
      </c>
      <c r="Y234" s="27">
        <f t="shared" ref="Y234:Y241" si="167">SUM(Y207,Y180,Y153,Y126,Y99,Y72)</f>
        <v>1</v>
      </c>
      <c r="Z234" s="41">
        <f t="shared" ref="Z234:Z241" si="168">IFERROR(Y234/Y$241,0)</f>
        <v>0.2</v>
      </c>
      <c r="AA234" s="14"/>
      <c r="AB234" s="14"/>
      <c r="AC234" s="14"/>
      <c r="AD234" s="65"/>
      <c r="AE234" s="63"/>
      <c r="AF234" s="47"/>
      <c r="AG234" s="19"/>
      <c r="AH234" s="14"/>
      <c r="AI234" s="14"/>
      <c r="AJ234" s="14"/>
      <c r="AK234" s="14"/>
      <c r="AL234" s="14"/>
      <c r="AM234" s="107" t="s">
        <v>5</v>
      </c>
      <c r="AN234" s="27">
        <f t="shared" ref="AN234:AN241" si="169">SUM(AN207,AN180,AN153,AN126,AN99,AN72)</f>
        <v>4</v>
      </c>
      <c r="AO234" s="41">
        <f>IFERROR(AN234/AN$241,0)</f>
        <v>0.66666666666666663</v>
      </c>
      <c r="AP234" s="14"/>
      <c r="AQ234" s="14"/>
      <c r="AR234" s="14"/>
      <c r="AS234" s="65"/>
      <c r="AT234" s="63"/>
      <c r="AU234" s="47"/>
      <c r="AV234" s="14"/>
      <c r="AW234" s="14"/>
      <c r="AX234" s="14"/>
      <c r="AY234" s="14"/>
      <c r="AZ234" s="14"/>
      <c r="BA234" s="14"/>
      <c r="BB234" s="107" t="s">
        <v>5</v>
      </c>
      <c r="BC234" s="27">
        <f t="shared" ref="BC234:BC241" si="170">SUM(BC207,BC180,BC153,BC126,BC99,BC72)</f>
        <v>4</v>
      </c>
      <c r="BD234" s="41">
        <f>IFERROR(BC234/BC$241,0)</f>
        <v>0.66666666666666663</v>
      </c>
      <c r="BE234" s="14"/>
      <c r="BF234" s="14"/>
      <c r="BG234" s="14"/>
      <c r="BH234" s="65"/>
      <c r="BI234" s="63"/>
      <c r="BJ234" s="352"/>
      <c r="BK234" s="19"/>
      <c r="BL234" s="14"/>
      <c r="BM234" s="14"/>
      <c r="BN234" s="14"/>
      <c r="BO234" s="14"/>
      <c r="BP234" s="14"/>
      <c r="BQ234" s="107" t="s">
        <v>5</v>
      </c>
      <c r="BR234" s="27">
        <f t="shared" ref="BR234:BR241" si="171">SUM(BR207,BR180,BR153,BR126,BR99,BR72)</f>
        <v>3</v>
      </c>
      <c r="BS234" s="41">
        <f>IFERROR(BR234/BR$241,0)</f>
        <v>0.5</v>
      </c>
      <c r="BT234" s="14"/>
      <c r="BU234" s="14"/>
      <c r="BV234" s="14"/>
      <c r="BW234" s="65"/>
      <c r="BX234" s="63"/>
      <c r="BY234" s="352"/>
      <c r="BZ234" s="14"/>
      <c r="CA234" s="14"/>
      <c r="CB234" s="21"/>
      <c r="CC234" s="21"/>
      <c r="CD234" s="180"/>
      <c r="CE234" s="181"/>
      <c r="CF234" s="97"/>
      <c r="CG234" s="29"/>
      <c r="CH234" s="29"/>
      <c r="CI234" s="14"/>
      <c r="CJ234" s="14"/>
      <c r="CK234" s="14"/>
      <c r="CL234" s="14"/>
      <c r="CM234" s="14"/>
      <c r="CN234" s="14"/>
      <c r="CO234" s="129"/>
      <c r="CP234" s="14"/>
      <c r="CQ234" s="47"/>
      <c r="CR234" s="14"/>
      <c r="CS234" s="86"/>
      <c r="CT234" s="111"/>
      <c r="CU234" s="86"/>
      <c r="CV234" s="179"/>
      <c r="CW234" s="188"/>
      <c r="CX234" s="179"/>
      <c r="CY234" s="52"/>
      <c r="CZ234" s="52"/>
      <c r="DA234" s="14"/>
      <c r="DB234" s="14"/>
      <c r="DC234" s="14"/>
      <c r="DD234" s="14"/>
      <c r="DE234" s="14"/>
      <c r="DF234" s="14"/>
      <c r="DG234" s="129"/>
      <c r="DH234" s="14"/>
      <c r="DI234" s="47"/>
      <c r="DJ234" s="14"/>
      <c r="DK234" s="14"/>
      <c r="DL234" s="14"/>
      <c r="DM234" s="14"/>
      <c r="DN234" s="14"/>
      <c r="DO234" s="14"/>
      <c r="DP234" s="107" t="s">
        <v>34</v>
      </c>
      <c r="DQ234" s="27">
        <f t="shared" ref="DQ234:DQ239" si="172">SUM(DQ207,DQ180,DQ153,DQ126,DQ99,DQ72)</f>
        <v>1</v>
      </c>
      <c r="DR234" s="41">
        <f t="shared" ref="DR234:DR239" si="173">IF($DQ$239=0,"",DQ234/$DQ$239)</f>
        <v>0.25</v>
      </c>
      <c r="DS234" s="14"/>
      <c r="DT234" s="14"/>
      <c r="DU234" s="14"/>
      <c r="DV234" s="14"/>
      <c r="DW234" s="14"/>
      <c r="DX234" s="14"/>
      <c r="DY234" s="14"/>
      <c r="DZ234" s="14"/>
      <c r="EA234" s="14"/>
      <c r="EB234" s="14"/>
      <c r="EC234" s="14"/>
      <c r="ED234" s="14"/>
      <c r="EE234" s="14"/>
      <c r="EF234" s="14"/>
      <c r="EG234" s="14"/>
      <c r="EH234" s="14"/>
      <c r="EI234" s="14"/>
      <c r="EJ234" s="14"/>
      <c r="EK234" s="14"/>
      <c r="EL234" s="14"/>
    </row>
    <row r="235" spans="1:142" x14ac:dyDescent="0.25">
      <c r="A235" s="14"/>
      <c r="B235" s="14"/>
      <c r="C235" s="19"/>
      <c r="D235" s="21"/>
      <c r="E235" s="14"/>
      <c r="F235" s="14"/>
      <c r="G235" s="107" t="s">
        <v>35</v>
      </c>
      <c r="H235" s="27">
        <f>SUM(H208,H181,H154,H127,H100,H73)</f>
        <v>0</v>
      </c>
      <c r="I235" s="41">
        <f t="shared" ref="I235:I239" si="174">IFERROR(H235/H$239,"")</f>
        <v>0</v>
      </c>
      <c r="J235" s="19"/>
      <c r="K235" s="19"/>
      <c r="L235" s="19"/>
      <c r="M235" s="19"/>
      <c r="N235" s="19"/>
      <c r="O235" s="19"/>
      <c r="P235" s="19"/>
      <c r="Q235" s="47"/>
      <c r="R235" s="19"/>
      <c r="S235" s="14"/>
      <c r="T235" s="14"/>
      <c r="U235" s="14"/>
      <c r="V235" s="14"/>
      <c r="W235" s="14"/>
      <c r="X235" s="107" t="s">
        <v>4</v>
      </c>
      <c r="Y235" s="27">
        <f t="shared" si="167"/>
        <v>1</v>
      </c>
      <c r="Z235" s="41">
        <f t="shared" si="168"/>
        <v>0.2</v>
      </c>
      <c r="AA235" s="14"/>
      <c r="AB235" s="14"/>
      <c r="AC235" s="14"/>
      <c r="AD235" s="65"/>
      <c r="AE235" s="63"/>
      <c r="AF235" s="47"/>
      <c r="AG235" s="19"/>
      <c r="AH235" s="14"/>
      <c r="AI235" s="14"/>
      <c r="AJ235" s="14"/>
      <c r="AK235" s="14"/>
      <c r="AL235" s="14"/>
      <c r="AM235" s="107" t="s">
        <v>4</v>
      </c>
      <c r="AN235" s="27">
        <f t="shared" si="169"/>
        <v>2</v>
      </c>
      <c r="AO235" s="41">
        <f t="shared" ref="AO235:AO241" si="175">IFERROR(AN235/AN$241,0)</f>
        <v>0.33333333333333331</v>
      </c>
      <c r="AP235" s="14"/>
      <c r="AQ235" s="14"/>
      <c r="AR235" s="14"/>
      <c r="AS235" s="65"/>
      <c r="AT235" s="63"/>
      <c r="AU235" s="47"/>
      <c r="AV235" s="14"/>
      <c r="AW235" s="14"/>
      <c r="AX235" s="14"/>
      <c r="AY235" s="14"/>
      <c r="AZ235" s="14"/>
      <c r="BA235" s="14"/>
      <c r="BB235" s="107" t="s">
        <v>4</v>
      </c>
      <c r="BC235" s="27">
        <f t="shared" si="170"/>
        <v>2</v>
      </c>
      <c r="BD235" s="41">
        <f t="shared" ref="BD235:BD241" si="176">IFERROR(BC235/BC$241,0)</f>
        <v>0.33333333333333331</v>
      </c>
      <c r="BE235" s="14"/>
      <c r="BF235" s="14"/>
      <c r="BG235" s="14"/>
      <c r="BH235" s="65"/>
      <c r="BI235" s="63"/>
      <c r="BJ235" s="352"/>
      <c r="BK235" s="19"/>
      <c r="BL235" s="14"/>
      <c r="BM235" s="14"/>
      <c r="BN235" s="14"/>
      <c r="BO235" s="14"/>
      <c r="BP235" s="14"/>
      <c r="BQ235" s="107" t="s">
        <v>4</v>
      </c>
      <c r="BR235" s="27">
        <f t="shared" si="171"/>
        <v>3</v>
      </c>
      <c r="BS235" s="41">
        <f t="shared" ref="BS235:BS241" si="177">IFERROR(BR235/BR$241,0)</f>
        <v>0.5</v>
      </c>
      <c r="BT235" s="14"/>
      <c r="BU235" s="14"/>
      <c r="BV235" s="14"/>
      <c r="BW235" s="65"/>
      <c r="BX235" s="63"/>
      <c r="BY235" s="352"/>
      <c r="BZ235" s="14"/>
      <c r="CA235" s="14"/>
      <c r="CB235" s="21"/>
      <c r="CC235" s="21"/>
      <c r="CD235" s="180"/>
      <c r="CE235" s="181"/>
      <c r="CF235" s="97"/>
      <c r="CG235" s="29"/>
      <c r="CH235" s="29"/>
      <c r="CI235" s="14"/>
      <c r="CJ235" s="14"/>
      <c r="CK235" s="14"/>
      <c r="CL235" s="14"/>
      <c r="CM235" s="14"/>
      <c r="CN235" s="14"/>
      <c r="CO235" s="129"/>
      <c r="CP235" s="14"/>
      <c r="CQ235" s="47"/>
      <c r="CR235" s="14"/>
      <c r="CS235" s="14"/>
      <c r="CT235" s="14"/>
      <c r="CU235" s="14"/>
      <c r="CV235" s="180"/>
      <c r="CW235" s="190"/>
      <c r="CX235" s="191"/>
      <c r="CY235" s="52"/>
      <c r="CZ235" s="52"/>
      <c r="DA235" s="14"/>
      <c r="DB235" s="14"/>
      <c r="DC235" s="14"/>
      <c r="DD235" s="14"/>
      <c r="DE235" s="14"/>
      <c r="DF235" s="14"/>
      <c r="DG235" s="129"/>
      <c r="DH235" s="14"/>
      <c r="DI235" s="47"/>
      <c r="DJ235" s="14"/>
      <c r="DK235" s="14"/>
      <c r="DL235" s="14"/>
      <c r="DM235" s="14"/>
      <c r="DN235" s="14"/>
      <c r="DO235" s="14"/>
      <c r="DP235" s="107" t="s">
        <v>35</v>
      </c>
      <c r="DQ235" s="27">
        <f t="shared" si="172"/>
        <v>2</v>
      </c>
      <c r="DR235" s="41">
        <f t="shared" si="173"/>
        <v>0.5</v>
      </c>
      <c r="DS235" s="14"/>
      <c r="DT235" s="14"/>
      <c r="DU235" s="14"/>
      <c r="DV235" s="14"/>
      <c r="DW235" s="14"/>
      <c r="DX235" s="14"/>
      <c r="DY235" s="14"/>
      <c r="DZ235" s="14"/>
      <c r="EA235" s="14"/>
      <c r="EB235" s="14"/>
      <c r="EC235" s="14"/>
      <c r="ED235" s="14"/>
      <c r="EE235" s="14"/>
      <c r="EF235" s="14"/>
      <c r="EG235" s="14"/>
      <c r="EH235" s="14"/>
      <c r="EI235" s="14"/>
      <c r="EJ235" s="14"/>
      <c r="EK235" s="14"/>
      <c r="EL235" s="14"/>
    </row>
    <row r="236" spans="1:142" x14ac:dyDescent="0.25">
      <c r="A236" s="14"/>
      <c r="B236" s="14"/>
      <c r="C236" s="19"/>
      <c r="D236" s="21"/>
      <c r="E236" s="14"/>
      <c r="F236" s="14"/>
      <c r="G236" s="107" t="s">
        <v>36</v>
      </c>
      <c r="H236" s="27">
        <f>SUM(H209,H182,H155,H128,H101,H74)</f>
        <v>0</v>
      </c>
      <c r="I236" s="41">
        <f t="shared" si="174"/>
        <v>0</v>
      </c>
      <c r="J236" s="19"/>
      <c r="K236" s="19"/>
      <c r="L236" s="19"/>
      <c r="M236" s="19"/>
      <c r="N236" s="19"/>
      <c r="O236" s="19"/>
      <c r="P236" s="19"/>
      <c r="Q236" s="47"/>
      <c r="R236" s="19"/>
      <c r="S236" s="14"/>
      <c r="T236" s="14"/>
      <c r="U236" s="14"/>
      <c r="V236" s="14"/>
      <c r="W236" s="14"/>
      <c r="X236" s="107" t="s">
        <v>33</v>
      </c>
      <c r="Y236" s="27">
        <f t="shared" si="167"/>
        <v>0</v>
      </c>
      <c r="Z236" s="41">
        <f t="shared" si="168"/>
        <v>0</v>
      </c>
      <c r="AA236" s="14"/>
      <c r="AB236" s="14"/>
      <c r="AC236" s="14"/>
      <c r="AD236" s="65"/>
      <c r="AE236" s="63"/>
      <c r="AF236" s="47"/>
      <c r="AG236" s="19"/>
      <c r="AH236" s="14"/>
      <c r="AI236" s="14"/>
      <c r="AJ236" s="14"/>
      <c r="AK236" s="14"/>
      <c r="AL236" s="14"/>
      <c r="AM236" s="107" t="s">
        <v>33</v>
      </c>
      <c r="AN236" s="27">
        <f t="shared" si="169"/>
        <v>0</v>
      </c>
      <c r="AO236" s="41">
        <f t="shared" si="175"/>
        <v>0</v>
      </c>
      <c r="AP236" s="14"/>
      <c r="AQ236" s="14"/>
      <c r="AR236" s="14"/>
      <c r="AS236" s="65"/>
      <c r="AT236" s="63"/>
      <c r="AU236" s="47"/>
      <c r="AV236" s="14"/>
      <c r="AW236" s="14"/>
      <c r="AX236" s="14"/>
      <c r="AY236" s="14"/>
      <c r="AZ236" s="14"/>
      <c r="BA236" s="14"/>
      <c r="BB236" s="107" t="s">
        <v>33</v>
      </c>
      <c r="BC236" s="27">
        <f t="shared" si="170"/>
        <v>0</v>
      </c>
      <c r="BD236" s="41">
        <f t="shared" si="176"/>
        <v>0</v>
      </c>
      <c r="BE236" s="14"/>
      <c r="BF236" s="14"/>
      <c r="BG236" s="14"/>
      <c r="BH236" s="65"/>
      <c r="BI236" s="63"/>
      <c r="BJ236" s="352"/>
      <c r="BK236" s="19"/>
      <c r="BL236" s="14"/>
      <c r="BM236" s="14"/>
      <c r="BN236" s="14"/>
      <c r="BO236" s="14"/>
      <c r="BP236" s="14"/>
      <c r="BQ236" s="107" t="s">
        <v>33</v>
      </c>
      <c r="BR236" s="27">
        <f t="shared" si="171"/>
        <v>0</v>
      </c>
      <c r="BS236" s="41">
        <f t="shared" si="177"/>
        <v>0</v>
      </c>
      <c r="BT236" s="14"/>
      <c r="BU236" s="14"/>
      <c r="BV236" s="14"/>
      <c r="BW236" s="65"/>
      <c r="BX236" s="63"/>
      <c r="BY236" s="352"/>
      <c r="BZ236" s="14"/>
      <c r="CA236" s="14"/>
      <c r="CB236" s="21"/>
      <c r="CC236" s="21"/>
      <c r="CD236" s="180"/>
      <c r="CE236" s="181"/>
      <c r="CF236" s="97"/>
      <c r="CG236" s="29"/>
      <c r="CH236" s="29"/>
      <c r="CI236" s="14"/>
      <c r="CJ236" s="14"/>
      <c r="CK236" s="14"/>
      <c r="CL236" s="14"/>
      <c r="CM236" s="14"/>
      <c r="CN236" s="14"/>
      <c r="CO236" s="129"/>
      <c r="CP236" s="14"/>
      <c r="CQ236" s="47"/>
      <c r="CR236" s="14"/>
      <c r="CS236" s="14"/>
      <c r="CT236" s="14"/>
      <c r="CU236" s="14"/>
      <c r="CV236" s="180"/>
      <c r="CW236" s="190"/>
      <c r="CX236" s="191"/>
      <c r="CY236" s="52"/>
      <c r="CZ236" s="52"/>
      <c r="DA236" s="14"/>
      <c r="DB236" s="14"/>
      <c r="DC236" s="14"/>
      <c r="DD236" s="14"/>
      <c r="DE236" s="14"/>
      <c r="DF236" s="14"/>
      <c r="DG236" s="129"/>
      <c r="DH236" s="14"/>
      <c r="DI236" s="47"/>
      <c r="DJ236" s="14"/>
      <c r="DK236" s="14"/>
      <c r="DL236" s="14"/>
      <c r="DM236" s="14"/>
      <c r="DN236" s="14"/>
      <c r="DO236" s="14"/>
      <c r="DP236" s="107" t="s">
        <v>36</v>
      </c>
      <c r="DQ236" s="27">
        <f t="shared" si="172"/>
        <v>1</v>
      </c>
      <c r="DR236" s="41">
        <f t="shared" si="173"/>
        <v>0.25</v>
      </c>
      <c r="DS236" s="14"/>
      <c r="DT236" s="14"/>
      <c r="DU236" s="14"/>
      <c r="DV236" s="14"/>
      <c r="DW236" s="14"/>
      <c r="DX236" s="14"/>
      <c r="DY236" s="14"/>
      <c r="DZ236" s="14"/>
      <c r="EA236" s="14"/>
      <c r="EB236" s="14"/>
      <c r="EC236" s="14"/>
      <c r="ED236" s="14"/>
      <c r="EE236" s="14"/>
      <c r="EF236" s="14"/>
      <c r="EG236" s="14"/>
      <c r="EH236" s="14"/>
      <c r="EI236" s="14"/>
      <c r="EJ236" s="14"/>
      <c r="EK236" s="14"/>
      <c r="EL236" s="14"/>
    </row>
    <row r="237" spans="1:142" x14ac:dyDescent="0.25">
      <c r="A237" s="14"/>
      <c r="B237" s="14"/>
      <c r="C237" s="19"/>
      <c r="D237" s="21"/>
      <c r="E237" s="14"/>
      <c r="F237" s="14"/>
      <c r="G237" s="107" t="s">
        <v>38</v>
      </c>
      <c r="H237" s="27">
        <f>SUM(H210,H183,H156,H129,H102,H75)</f>
        <v>0</v>
      </c>
      <c r="I237" s="41">
        <f t="shared" si="174"/>
        <v>0</v>
      </c>
      <c r="J237" s="19"/>
      <c r="K237" s="19"/>
      <c r="L237" s="19"/>
      <c r="M237" s="19"/>
      <c r="N237" s="19"/>
      <c r="O237" s="19"/>
      <c r="P237" s="19"/>
      <c r="Q237" s="47"/>
      <c r="R237" s="19"/>
      <c r="S237" s="14"/>
      <c r="T237" s="14"/>
      <c r="U237" s="14"/>
      <c r="V237" s="14"/>
      <c r="W237" s="14"/>
      <c r="X237" s="107" t="s">
        <v>29</v>
      </c>
      <c r="Y237" s="27">
        <f t="shared" si="167"/>
        <v>0</v>
      </c>
      <c r="Z237" s="41">
        <f t="shared" si="168"/>
        <v>0</v>
      </c>
      <c r="AA237" s="14"/>
      <c r="AB237" s="14"/>
      <c r="AC237" s="14"/>
      <c r="AD237" s="65"/>
      <c r="AE237" s="63"/>
      <c r="AF237" s="47"/>
      <c r="AG237" s="19"/>
      <c r="AH237" s="14"/>
      <c r="AI237" s="14"/>
      <c r="AJ237" s="14"/>
      <c r="AK237" s="14"/>
      <c r="AL237" s="14"/>
      <c r="AM237" s="107" t="s">
        <v>29</v>
      </c>
      <c r="AN237" s="27">
        <f t="shared" si="169"/>
        <v>0</v>
      </c>
      <c r="AO237" s="41">
        <f t="shared" si="175"/>
        <v>0</v>
      </c>
      <c r="AP237" s="14"/>
      <c r="AQ237" s="14"/>
      <c r="AR237" s="14"/>
      <c r="AS237" s="65"/>
      <c r="AT237" s="63"/>
      <c r="AU237" s="47"/>
      <c r="AV237" s="14"/>
      <c r="AW237" s="14"/>
      <c r="AX237" s="14"/>
      <c r="AY237" s="14"/>
      <c r="AZ237" s="14"/>
      <c r="BA237" s="14"/>
      <c r="BB237" s="107" t="s">
        <v>29</v>
      </c>
      <c r="BC237" s="27">
        <f t="shared" si="170"/>
        <v>0</v>
      </c>
      <c r="BD237" s="41">
        <f t="shared" si="176"/>
        <v>0</v>
      </c>
      <c r="BE237" s="14"/>
      <c r="BF237" s="14"/>
      <c r="BG237" s="14"/>
      <c r="BH237" s="65"/>
      <c r="BI237" s="63"/>
      <c r="BJ237" s="352"/>
      <c r="BK237" s="19"/>
      <c r="BL237" s="14"/>
      <c r="BM237" s="14"/>
      <c r="BN237" s="14"/>
      <c r="BO237" s="14"/>
      <c r="BP237" s="14"/>
      <c r="BQ237" s="107" t="s">
        <v>29</v>
      </c>
      <c r="BR237" s="27">
        <f t="shared" si="171"/>
        <v>0</v>
      </c>
      <c r="BS237" s="41">
        <f t="shared" si="177"/>
        <v>0</v>
      </c>
      <c r="BT237" s="14"/>
      <c r="BU237" s="14"/>
      <c r="BV237" s="14"/>
      <c r="BW237" s="65"/>
      <c r="BX237" s="63"/>
      <c r="BY237" s="352"/>
      <c r="BZ237" s="14"/>
      <c r="CA237" s="14"/>
      <c r="CB237" s="21"/>
      <c r="CC237" s="21"/>
      <c r="CD237" s="180"/>
      <c r="CE237" s="181"/>
      <c r="CF237" s="97"/>
      <c r="CG237" s="29"/>
      <c r="CH237" s="29"/>
      <c r="CI237" s="14"/>
      <c r="CJ237" s="14"/>
      <c r="CK237" s="14"/>
      <c r="CL237" s="14"/>
      <c r="CM237" s="14"/>
      <c r="CN237" s="14"/>
      <c r="CO237" s="129"/>
      <c r="CP237" s="14"/>
      <c r="CQ237" s="47"/>
      <c r="CR237" s="14"/>
      <c r="CS237" s="14"/>
      <c r="CT237" s="14"/>
      <c r="CU237" s="14"/>
      <c r="CV237" s="180"/>
      <c r="CW237" s="190"/>
      <c r="CX237" s="191"/>
      <c r="CY237" s="52"/>
      <c r="CZ237" s="52"/>
      <c r="DA237" s="14"/>
      <c r="DB237" s="14"/>
      <c r="DC237" s="14"/>
      <c r="DD237" s="14"/>
      <c r="DE237" s="14"/>
      <c r="DF237" s="14"/>
      <c r="DG237" s="129"/>
      <c r="DH237" s="14"/>
      <c r="DI237" s="47"/>
      <c r="DJ237" s="14"/>
      <c r="DK237" s="14"/>
      <c r="DL237" s="14"/>
      <c r="DM237" s="14"/>
      <c r="DN237" s="14"/>
      <c r="DO237" s="14"/>
      <c r="DP237" s="107" t="s">
        <v>38</v>
      </c>
      <c r="DQ237" s="27">
        <f t="shared" si="172"/>
        <v>0</v>
      </c>
      <c r="DR237" s="41">
        <f t="shared" si="173"/>
        <v>0</v>
      </c>
      <c r="DS237" s="14"/>
      <c r="DT237" s="14"/>
      <c r="DU237" s="14"/>
      <c r="DV237" s="14"/>
      <c r="DW237" s="14"/>
      <c r="DX237" s="14"/>
      <c r="DY237" s="14"/>
      <c r="DZ237" s="14"/>
      <c r="EA237" s="14"/>
      <c r="EB237" s="14"/>
      <c r="EC237" s="14"/>
      <c r="ED237" s="14"/>
      <c r="EE237" s="14"/>
      <c r="EF237" s="14"/>
      <c r="EG237" s="14"/>
      <c r="EH237" s="14"/>
      <c r="EI237" s="14"/>
      <c r="EJ237" s="14"/>
      <c r="EK237" s="14"/>
      <c r="EL237" s="14"/>
    </row>
    <row r="238" spans="1:142" x14ac:dyDescent="0.25">
      <c r="A238" s="14"/>
      <c r="B238" s="14"/>
      <c r="C238" s="19"/>
      <c r="D238" s="21"/>
      <c r="E238" s="14"/>
      <c r="F238" s="14"/>
      <c r="G238" s="107" t="s">
        <v>39</v>
      </c>
      <c r="H238" s="27">
        <f>SUM(H211,H184,H157,H130,H103,H76)</f>
        <v>2</v>
      </c>
      <c r="I238" s="41">
        <f t="shared" si="174"/>
        <v>0.5</v>
      </c>
      <c r="J238" s="19"/>
      <c r="K238" s="19"/>
      <c r="L238" s="19"/>
      <c r="M238" s="19"/>
      <c r="N238" s="19"/>
      <c r="O238" s="19"/>
      <c r="P238" s="19"/>
      <c r="Q238" s="47"/>
      <c r="R238" s="19"/>
      <c r="S238" s="14"/>
      <c r="T238" s="14"/>
      <c r="U238" s="14"/>
      <c r="V238" s="14"/>
      <c r="W238" s="14"/>
      <c r="X238" s="107" t="s">
        <v>3</v>
      </c>
      <c r="Y238" s="27">
        <f t="shared" si="167"/>
        <v>0</v>
      </c>
      <c r="Z238" s="41">
        <f t="shared" si="168"/>
        <v>0</v>
      </c>
      <c r="AA238" s="14"/>
      <c r="AB238" s="14"/>
      <c r="AC238" s="14"/>
      <c r="AD238" s="65"/>
      <c r="AE238" s="63"/>
      <c r="AF238" s="47"/>
      <c r="AG238" s="19"/>
      <c r="AH238" s="14"/>
      <c r="AI238" s="14"/>
      <c r="AJ238" s="14"/>
      <c r="AK238" s="14"/>
      <c r="AL238" s="14"/>
      <c r="AM238" s="107" t="s">
        <v>3</v>
      </c>
      <c r="AN238" s="27">
        <f t="shared" si="169"/>
        <v>0</v>
      </c>
      <c r="AO238" s="41">
        <f t="shared" si="175"/>
        <v>0</v>
      </c>
      <c r="AP238" s="14"/>
      <c r="AQ238" s="14"/>
      <c r="AR238" s="14"/>
      <c r="AS238" s="65"/>
      <c r="AT238" s="63"/>
      <c r="AU238" s="47"/>
      <c r="AV238" s="14"/>
      <c r="AW238" s="14"/>
      <c r="AX238" s="14"/>
      <c r="AY238" s="14"/>
      <c r="AZ238" s="14"/>
      <c r="BA238" s="14"/>
      <c r="BB238" s="107" t="s">
        <v>3</v>
      </c>
      <c r="BC238" s="27">
        <f t="shared" si="170"/>
        <v>0</v>
      </c>
      <c r="BD238" s="41">
        <f t="shared" si="176"/>
        <v>0</v>
      </c>
      <c r="BE238" s="14"/>
      <c r="BF238" s="14"/>
      <c r="BG238" s="14"/>
      <c r="BH238" s="65"/>
      <c r="BI238" s="63"/>
      <c r="BJ238" s="352"/>
      <c r="BK238" s="19"/>
      <c r="BL238" s="14"/>
      <c r="BM238" s="14"/>
      <c r="BN238" s="14"/>
      <c r="BO238" s="14"/>
      <c r="BP238" s="14"/>
      <c r="BQ238" s="107" t="s">
        <v>3</v>
      </c>
      <c r="BR238" s="27">
        <f t="shared" si="171"/>
        <v>0</v>
      </c>
      <c r="BS238" s="41">
        <f t="shared" si="177"/>
        <v>0</v>
      </c>
      <c r="BT238" s="14"/>
      <c r="BU238" s="14"/>
      <c r="BV238" s="14"/>
      <c r="BW238" s="65"/>
      <c r="BX238" s="63"/>
      <c r="BY238" s="352"/>
      <c r="BZ238" s="14"/>
      <c r="CA238" s="14"/>
      <c r="CB238" s="21"/>
      <c r="CC238" s="21"/>
      <c r="CD238" s="180"/>
      <c r="CE238" s="181"/>
      <c r="CF238" s="97"/>
      <c r="CG238" s="29"/>
      <c r="CH238" s="29"/>
      <c r="CI238" s="14"/>
      <c r="CJ238" s="14"/>
      <c r="CK238" s="14"/>
      <c r="CL238" s="14"/>
      <c r="CM238" s="14"/>
      <c r="CN238" s="14"/>
      <c r="CO238" s="129"/>
      <c r="CP238" s="14"/>
      <c r="CQ238" s="47"/>
      <c r="CR238" s="14"/>
      <c r="CS238" s="14"/>
      <c r="CT238" s="14"/>
      <c r="CU238" s="14"/>
      <c r="CV238" s="180"/>
      <c r="CW238" s="190"/>
      <c r="CX238" s="191"/>
      <c r="CY238" s="52"/>
      <c r="CZ238" s="52"/>
      <c r="DA238" s="14"/>
      <c r="DB238" s="14"/>
      <c r="DC238" s="14"/>
      <c r="DD238" s="14"/>
      <c r="DE238" s="14"/>
      <c r="DF238" s="14"/>
      <c r="DG238" s="129"/>
      <c r="DH238" s="14"/>
      <c r="DI238" s="47"/>
      <c r="DJ238" s="14"/>
      <c r="DK238" s="14"/>
      <c r="DL238" s="14"/>
      <c r="DM238" s="14"/>
      <c r="DN238" s="14"/>
      <c r="DO238" s="14"/>
      <c r="DP238" s="107" t="s">
        <v>39</v>
      </c>
      <c r="DQ238" s="27">
        <f t="shared" si="172"/>
        <v>0</v>
      </c>
      <c r="DR238" s="41">
        <f t="shared" si="173"/>
        <v>0</v>
      </c>
      <c r="DS238" s="14"/>
      <c r="DT238" s="14"/>
      <c r="DU238" s="14"/>
      <c r="DV238" s="14"/>
      <c r="DW238" s="14"/>
      <c r="DX238" s="14"/>
      <c r="DY238" s="14"/>
      <c r="DZ238" s="14"/>
      <c r="EA238" s="14"/>
      <c r="EB238" s="14"/>
      <c r="EC238" s="14"/>
      <c r="ED238" s="14"/>
      <c r="EE238" s="14"/>
      <c r="EF238" s="14"/>
      <c r="EG238" s="14"/>
      <c r="EH238" s="14"/>
      <c r="EI238" s="14"/>
      <c r="EJ238" s="14"/>
      <c r="EK238" s="14"/>
      <c r="EL238" s="14"/>
    </row>
    <row r="239" spans="1:142" x14ac:dyDescent="0.25">
      <c r="A239" s="14"/>
      <c r="B239" s="14"/>
      <c r="C239" s="19"/>
      <c r="D239" s="21"/>
      <c r="E239" s="14"/>
      <c r="F239" s="14"/>
      <c r="G239" s="86" t="s">
        <v>145</v>
      </c>
      <c r="H239" s="111">
        <f>SUM(H234:H238)</f>
        <v>4</v>
      </c>
      <c r="I239" s="119">
        <f t="shared" si="174"/>
        <v>1</v>
      </c>
      <c r="J239" s="19"/>
      <c r="K239" s="19"/>
      <c r="L239" s="19"/>
      <c r="M239" s="19"/>
      <c r="N239" s="19"/>
      <c r="O239" s="19"/>
      <c r="P239" s="19"/>
      <c r="Q239" s="47"/>
      <c r="R239" s="19"/>
      <c r="S239" s="14"/>
      <c r="T239" s="14"/>
      <c r="U239" s="14"/>
      <c r="V239" s="14"/>
      <c r="W239" s="14"/>
      <c r="X239" s="107" t="s">
        <v>54</v>
      </c>
      <c r="Y239" s="27">
        <f t="shared" si="167"/>
        <v>0</v>
      </c>
      <c r="Z239" s="41">
        <f t="shared" si="168"/>
        <v>0</v>
      </c>
      <c r="AA239" s="14"/>
      <c r="AB239" s="14"/>
      <c r="AC239" s="14"/>
      <c r="AD239" s="65"/>
      <c r="AE239" s="63"/>
      <c r="AF239" s="47"/>
      <c r="AG239" s="19"/>
      <c r="AH239" s="14"/>
      <c r="AI239" s="14"/>
      <c r="AJ239" s="14"/>
      <c r="AK239" s="14"/>
      <c r="AL239" s="14"/>
      <c r="AM239" s="107" t="s">
        <v>54</v>
      </c>
      <c r="AN239" s="27">
        <f t="shared" si="169"/>
        <v>0</v>
      </c>
      <c r="AO239" s="41">
        <f t="shared" si="175"/>
        <v>0</v>
      </c>
      <c r="AP239" s="14"/>
      <c r="AQ239" s="14"/>
      <c r="AR239" s="14"/>
      <c r="AS239" s="65"/>
      <c r="AT239" s="63"/>
      <c r="AU239" s="47"/>
      <c r="AV239" s="14"/>
      <c r="AW239" s="14"/>
      <c r="AX239" s="14"/>
      <c r="AY239" s="14"/>
      <c r="AZ239" s="14"/>
      <c r="BA239" s="14"/>
      <c r="BB239" s="107" t="s">
        <v>54</v>
      </c>
      <c r="BC239" s="27">
        <f t="shared" si="170"/>
        <v>0</v>
      </c>
      <c r="BD239" s="41">
        <f t="shared" si="176"/>
        <v>0</v>
      </c>
      <c r="BE239" s="14"/>
      <c r="BF239" s="14"/>
      <c r="BG239" s="14"/>
      <c r="BH239" s="65"/>
      <c r="BI239" s="63"/>
      <c r="BJ239" s="352"/>
      <c r="BK239" s="19"/>
      <c r="BL239" s="14"/>
      <c r="BM239" s="14"/>
      <c r="BN239" s="14"/>
      <c r="BO239" s="14"/>
      <c r="BP239" s="14"/>
      <c r="BQ239" s="107" t="s">
        <v>54</v>
      </c>
      <c r="BR239" s="27">
        <f t="shared" si="171"/>
        <v>0</v>
      </c>
      <c r="BS239" s="41">
        <f t="shared" si="177"/>
        <v>0</v>
      </c>
      <c r="BT239" s="14"/>
      <c r="BU239" s="14"/>
      <c r="BV239" s="14"/>
      <c r="BW239" s="65"/>
      <c r="BX239" s="63"/>
      <c r="BY239" s="352"/>
      <c r="BZ239" s="14"/>
      <c r="CA239" s="14"/>
      <c r="CB239" s="21"/>
      <c r="CC239" s="21"/>
      <c r="CD239" s="180"/>
      <c r="CE239" s="181"/>
      <c r="CF239" s="97"/>
      <c r="CG239" s="29"/>
      <c r="CH239" s="29"/>
      <c r="CI239" s="14"/>
      <c r="CJ239" s="14"/>
      <c r="CK239" s="14"/>
      <c r="CL239" s="14"/>
      <c r="CM239" s="14"/>
      <c r="CN239" s="14"/>
      <c r="CO239" s="129"/>
      <c r="CP239" s="14"/>
      <c r="CQ239" s="47"/>
      <c r="CR239" s="14"/>
      <c r="CS239" s="14"/>
      <c r="CT239" s="14"/>
      <c r="CU239" s="14"/>
      <c r="CV239" s="180"/>
      <c r="CW239" s="190"/>
      <c r="CX239" s="191"/>
      <c r="CY239" s="52"/>
      <c r="CZ239" s="52"/>
      <c r="DA239" s="14"/>
      <c r="DB239" s="14"/>
      <c r="DC239" s="14"/>
      <c r="DD239" s="14"/>
      <c r="DE239" s="14"/>
      <c r="DF239" s="14"/>
      <c r="DG239" s="129"/>
      <c r="DH239" s="14"/>
      <c r="DI239" s="47"/>
      <c r="DJ239" s="14"/>
      <c r="DK239" s="14"/>
      <c r="DL239" s="14"/>
      <c r="DM239" s="14"/>
      <c r="DN239" s="14"/>
      <c r="DO239" s="14"/>
      <c r="DP239" s="86" t="s">
        <v>145</v>
      </c>
      <c r="DQ239" s="111">
        <f t="shared" si="172"/>
        <v>4</v>
      </c>
      <c r="DR239" s="119">
        <f t="shared" si="173"/>
        <v>1</v>
      </c>
      <c r="DS239" s="14"/>
      <c r="DT239" s="14"/>
      <c r="DU239" s="14"/>
      <c r="DV239" s="14"/>
      <c r="DW239" s="14"/>
      <c r="DX239" s="14"/>
      <c r="DY239" s="14"/>
      <c r="DZ239" s="14"/>
      <c r="EA239" s="14"/>
      <c r="EB239" s="14"/>
      <c r="EC239" s="14"/>
      <c r="ED239" s="14"/>
      <c r="EE239" s="14"/>
      <c r="EF239" s="14"/>
      <c r="EG239" s="14"/>
      <c r="EH239" s="14"/>
      <c r="EI239" s="14"/>
      <c r="EJ239" s="14"/>
      <c r="EK239" s="14"/>
      <c r="EL239" s="14"/>
    </row>
    <row r="240" spans="1:142" ht="13.5" customHeight="1" x14ac:dyDescent="0.25">
      <c r="A240" s="14"/>
      <c r="B240" s="14"/>
      <c r="C240" s="14"/>
      <c r="D240" s="21"/>
      <c r="E240" s="14"/>
      <c r="F240" s="14"/>
      <c r="G240" s="14"/>
      <c r="H240" s="21"/>
      <c r="I240" s="21"/>
      <c r="J240" s="14"/>
      <c r="K240" s="14"/>
      <c r="L240" s="14"/>
      <c r="M240" s="14"/>
      <c r="N240" s="14"/>
      <c r="O240" s="14"/>
      <c r="P240" s="14"/>
      <c r="Q240" s="47"/>
      <c r="R240" s="19"/>
      <c r="S240" s="14"/>
      <c r="T240" s="14"/>
      <c r="U240" s="14"/>
      <c r="V240" s="14"/>
      <c r="W240" s="14"/>
      <c r="X240" s="107" t="s">
        <v>39</v>
      </c>
      <c r="Y240" s="27">
        <f t="shared" si="167"/>
        <v>3</v>
      </c>
      <c r="Z240" s="41">
        <f t="shared" si="168"/>
        <v>0.6</v>
      </c>
      <c r="AA240" s="14"/>
      <c r="AB240" s="14"/>
      <c r="AC240" s="14"/>
      <c r="AD240" s="65"/>
      <c r="AE240" s="63"/>
      <c r="AF240" s="47"/>
      <c r="AG240" s="19"/>
      <c r="AH240" s="14"/>
      <c r="AI240" s="14"/>
      <c r="AJ240" s="14"/>
      <c r="AK240" s="14"/>
      <c r="AL240" s="14"/>
      <c r="AM240" s="107" t="s">
        <v>39</v>
      </c>
      <c r="AN240" s="27">
        <f t="shared" si="169"/>
        <v>0</v>
      </c>
      <c r="AO240" s="41">
        <f t="shared" si="175"/>
        <v>0</v>
      </c>
      <c r="AP240" s="14"/>
      <c r="AQ240" s="14"/>
      <c r="AR240" s="14"/>
      <c r="AS240" s="65"/>
      <c r="AT240" s="63"/>
      <c r="AU240" s="47"/>
      <c r="AV240" s="14"/>
      <c r="AW240" s="14"/>
      <c r="AX240" s="14"/>
      <c r="AY240" s="14"/>
      <c r="AZ240" s="14"/>
      <c r="BA240" s="14"/>
      <c r="BB240" s="107" t="s">
        <v>39</v>
      </c>
      <c r="BC240" s="27">
        <f t="shared" si="170"/>
        <v>0</v>
      </c>
      <c r="BD240" s="41">
        <f t="shared" si="176"/>
        <v>0</v>
      </c>
      <c r="BE240" s="14"/>
      <c r="BF240" s="14"/>
      <c r="BG240" s="14"/>
      <c r="BH240" s="65"/>
      <c r="BI240" s="63"/>
      <c r="BJ240" s="352"/>
      <c r="BK240" s="19"/>
      <c r="BL240" s="14"/>
      <c r="BM240" s="14"/>
      <c r="BN240" s="14"/>
      <c r="BO240" s="14"/>
      <c r="BP240" s="14"/>
      <c r="BQ240" s="107" t="s">
        <v>39</v>
      </c>
      <c r="BR240" s="27">
        <f t="shared" si="171"/>
        <v>0</v>
      </c>
      <c r="BS240" s="41">
        <f t="shared" si="177"/>
        <v>0</v>
      </c>
      <c r="BT240" s="14"/>
      <c r="BU240" s="14"/>
      <c r="BV240" s="14"/>
      <c r="BW240" s="65"/>
      <c r="BX240" s="63"/>
      <c r="BY240" s="352"/>
      <c r="BZ240" s="14"/>
      <c r="CA240" s="14"/>
      <c r="CB240" s="21"/>
      <c r="CC240" s="21"/>
      <c r="CD240" s="180"/>
      <c r="CE240" s="181"/>
      <c r="CF240" s="97"/>
      <c r="CG240" s="29"/>
      <c r="CH240" s="29"/>
      <c r="CI240" s="14"/>
      <c r="CJ240" s="14"/>
      <c r="CK240" s="14"/>
      <c r="CL240" s="14"/>
      <c r="CM240" s="14"/>
      <c r="CN240" s="14"/>
      <c r="CO240" s="129"/>
      <c r="CP240" s="14"/>
      <c r="CQ240" s="47"/>
      <c r="CR240" s="14"/>
      <c r="CS240" s="14"/>
      <c r="CT240" s="14"/>
      <c r="CU240" s="14"/>
      <c r="CV240" s="180"/>
      <c r="CW240" s="190"/>
      <c r="CX240" s="191"/>
      <c r="CY240" s="52"/>
      <c r="CZ240" s="52"/>
      <c r="DA240" s="14"/>
      <c r="DB240" s="14"/>
      <c r="DC240" s="14"/>
      <c r="DD240" s="14"/>
      <c r="DE240" s="14"/>
      <c r="DF240" s="14"/>
      <c r="DG240" s="129"/>
      <c r="DH240" s="14"/>
      <c r="DI240" s="47"/>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row>
    <row r="241" spans="1:142" x14ac:dyDescent="0.25">
      <c r="A241" s="14"/>
      <c r="B241" s="14"/>
      <c r="C241" s="14"/>
      <c r="D241" s="21"/>
      <c r="E241" s="14"/>
      <c r="F241" s="14"/>
      <c r="G241" s="14"/>
      <c r="H241" s="21"/>
      <c r="I241" s="21"/>
      <c r="J241" s="14"/>
      <c r="K241" s="14"/>
      <c r="L241" s="14"/>
      <c r="M241" s="14"/>
      <c r="N241" s="14"/>
      <c r="O241" s="14"/>
      <c r="P241" s="14"/>
      <c r="Q241" s="47"/>
      <c r="R241" s="19"/>
      <c r="S241" s="14"/>
      <c r="T241" s="14"/>
      <c r="U241" s="14"/>
      <c r="V241" s="14"/>
      <c r="W241" s="14"/>
      <c r="X241" s="86" t="s">
        <v>145</v>
      </c>
      <c r="Y241" s="111">
        <f t="shared" si="167"/>
        <v>5</v>
      </c>
      <c r="Z241" s="119">
        <f t="shared" si="168"/>
        <v>1</v>
      </c>
      <c r="AA241" s="14"/>
      <c r="AB241" s="14"/>
      <c r="AC241" s="14"/>
      <c r="AD241" s="65"/>
      <c r="AE241" s="63"/>
      <c r="AF241" s="47"/>
      <c r="AG241" s="19"/>
      <c r="AH241" s="14"/>
      <c r="AI241" s="14"/>
      <c r="AJ241" s="14"/>
      <c r="AK241" s="14"/>
      <c r="AL241" s="14"/>
      <c r="AM241" s="86" t="s">
        <v>145</v>
      </c>
      <c r="AN241" s="111">
        <f t="shared" si="169"/>
        <v>6</v>
      </c>
      <c r="AO241" s="119">
        <f t="shared" si="175"/>
        <v>1</v>
      </c>
      <c r="AP241" s="14"/>
      <c r="AQ241" s="14"/>
      <c r="AR241" s="14"/>
      <c r="AS241" s="65"/>
      <c r="AT241" s="63"/>
      <c r="AU241" s="47"/>
      <c r="AV241" s="14"/>
      <c r="AW241" s="14"/>
      <c r="AX241" s="14"/>
      <c r="AY241" s="14"/>
      <c r="AZ241" s="14"/>
      <c r="BA241" s="14"/>
      <c r="BB241" s="86" t="s">
        <v>145</v>
      </c>
      <c r="BC241" s="111">
        <f t="shared" si="170"/>
        <v>6</v>
      </c>
      <c r="BD241" s="119">
        <f t="shared" si="176"/>
        <v>1</v>
      </c>
      <c r="BE241" s="14"/>
      <c r="BF241" s="14"/>
      <c r="BG241" s="14"/>
      <c r="BH241" s="65"/>
      <c r="BI241" s="63"/>
      <c r="BJ241" s="352"/>
      <c r="BK241" s="19"/>
      <c r="BL241" s="14"/>
      <c r="BM241" s="14"/>
      <c r="BN241" s="14"/>
      <c r="BO241" s="14"/>
      <c r="BP241" s="14"/>
      <c r="BQ241" s="86" t="s">
        <v>145</v>
      </c>
      <c r="BR241" s="111">
        <f t="shared" si="171"/>
        <v>6</v>
      </c>
      <c r="BS241" s="119">
        <f t="shared" si="177"/>
        <v>1</v>
      </c>
      <c r="BT241" s="14"/>
      <c r="BU241" s="14"/>
      <c r="BV241" s="14"/>
      <c r="BW241" s="65"/>
      <c r="BX241" s="63"/>
      <c r="BY241" s="352"/>
      <c r="BZ241" s="14"/>
      <c r="CA241" s="14"/>
      <c r="CB241" s="21"/>
      <c r="CC241" s="21"/>
      <c r="CD241" s="180"/>
      <c r="CE241" s="181"/>
      <c r="CF241" s="97"/>
      <c r="CG241" s="29"/>
      <c r="CH241" s="29"/>
      <c r="CI241" s="14"/>
      <c r="CJ241" s="14"/>
      <c r="CK241" s="14"/>
      <c r="CL241" s="14"/>
      <c r="CM241" s="14"/>
      <c r="CN241" s="14"/>
      <c r="CO241" s="129"/>
      <c r="CP241" s="14"/>
      <c r="CQ241" s="47"/>
      <c r="CR241" s="14"/>
      <c r="CS241" s="14"/>
      <c r="CT241" s="14"/>
      <c r="CU241" s="14"/>
      <c r="CV241" s="180"/>
      <c r="CW241" s="190"/>
      <c r="CX241" s="191"/>
      <c r="CY241" s="52"/>
      <c r="CZ241" s="52"/>
      <c r="DA241" s="14"/>
      <c r="DB241" s="14"/>
      <c r="DC241" s="14"/>
      <c r="DD241" s="14"/>
      <c r="DE241" s="14"/>
      <c r="DF241" s="14"/>
      <c r="DG241" s="129"/>
      <c r="DH241" s="14"/>
      <c r="DI241" s="47"/>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row>
    <row r="242" spans="1:142" x14ac:dyDescent="0.25">
      <c r="A242" s="14"/>
      <c r="B242" s="14"/>
      <c r="C242" s="14"/>
      <c r="D242" s="21"/>
      <c r="E242" s="14"/>
      <c r="F242" s="14"/>
      <c r="G242" s="14"/>
      <c r="H242" s="21"/>
      <c r="I242" s="21"/>
      <c r="J242" s="14"/>
      <c r="K242" s="14"/>
      <c r="L242" s="14"/>
      <c r="M242" s="14"/>
      <c r="N242" s="14"/>
      <c r="O242" s="14"/>
      <c r="P242" s="14"/>
      <c r="Q242" s="47"/>
      <c r="R242" s="19"/>
      <c r="S242" s="14"/>
      <c r="T242" s="14"/>
      <c r="U242" s="14"/>
      <c r="V242" s="14"/>
      <c r="W242" s="14"/>
      <c r="X242" s="14"/>
      <c r="Y242" s="14"/>
      <c r="Z242" s="14"/>
      <c r="AA242" s="14"/>
      <c r="AB242" s="14"/>
      <c r="AC242" s="14"/>
      <c r="AD242" s="65"/>
      <c r="AE242" s="63"/>
      <c r="AF242" s="47"/>
      <c r="AG242" s="19"/>
      <c r="AH242" s="14"/>
      <c r="AI242" s="14"/>
      <c r="AJ242" s="14"/>
      <c r="AK242" s="14"/>
      <c r="AL242" s="14"/>
      <c r="AM242" s="14"/>
      <c r="AN242" s="14"/>
      <c r="AO242" s="14"/>
      <c r="AP242" s="14"/>
      <c r="AQ242" s="14"/>
      <c r="AR242" s="14"/>
      <c r="AS242" s="65"/>
      <c r="AT242" s="63"/>
      <c r="AU242" s="47"/>
      <c r="AV242" s="14"/>
      <c r="AW242" s="14"/>
      <c r="AX242" s="14"/>
      <c r="AY242" s="14"/>
      <c r="AZ242" s="14"/>
      <c r="BA242" s="14"/>
      <c r="BB242" s="14"/>
      <c r="BC242" s="14"/>
      <c r="BD242" s="14"/>
      <c r="BE242" s="14"/>
      <c r="BF242" s="14"/>
      <c r="BG242" s="14"/>
      <c r="BH242" s="65"/>
      <c r="BI242" s="63"/>
      <c r="BJ242" s="352"/>
      <c r="BK242" s="19"/>
      <c r="BL242" s="14"/>
      <c r="BM242" s="14"/>
      <c r="BN242" s="14"/>
      <c r="BO242" s="14"/>
      <c r="BP242" s="14"/>
      <c r="BQ242" s="14"/>
      <c r="BR242" s="14"/>
      <c r="BS242" s="14"/>
      <c r="BT242" s="14"/>
      <c r="BU242" s="14"/>
      <c r="BV242" s="14"/>
      <c r="BW242" s="65"/>
      <c r="BX242" s="63"/>
      <c r="BY242" s="352"/>
      <c r="BZ242" s="14"/>
      <c r="CA242" s="14"/>
      <c r="CB242" s="21"/>
      <c r="CC242" s="21"/>
      <c r="CD242" s="180"/>
      <c r="CE242" s="181"/>
      <c r="CF242" s="97"/>
      <c r="CG242" s="29"/>
      <c r="CH242" s="29"/>
      <c r="CI242" s="14"/>
      <c r="CJ242" s="14"/>
      <c r="CK242" s="14"/>
      <c r="CL242" s="14"/>
      <c r="CM242" s="14"/>
      <c r="CN242" s="14"/>
      <c r="CO242" s="129"/>
      <c r="CP242" s="14"/>
      <c r="CQ242" s="47"/>
      <c r="CR242" s="14"/>
      <c r="CS242" s="14"/>
      <c r="CT242" s="14"/>
      <c r="CU242" s="14"/>
      <c r="CV242" s="180"/>
      <c r="CW242" s="190"/>
      <c r="CX242" s="191"/>
      <c r="CY242" s="31"/>
      <c r="CZ242" s="31"/>
      <c r="DA242" s="14"/>
      <c r="DB242" s="14"/>
      <c r="DC242" s="14"/>
      <c r="DD242" s="14"/>
      <c r="DE242" s="14"/>
      <c r="DF242" s="14"/>
      <c r="DG242" s="129"/>
      <c r="DH242" s="14"/>
      <c r="DI242" s="47"/>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row>
    <row r="243" spans="1:142" x14ac:dyDescent="0.25">
      <c r="A243" s="14"/>
      <c r="B243" s="14"/>
      <c r="C243" s="14"/>
      <c r="D243" s="21"/>
      <c r="E243" s="14"/>
      <c r="F243" s="14"/>
      <c r="G243" s="14"/>
      <c r="H243" s="21"/>
      <c r="I243" s="21"/>
      <c r="J243" s="14"/>
      <c r="K243" s="14"/>
      <c r="L243" s="14"/>
      <c r="M243" s="14"/>
      <c r="N243" s="14"/>
      <c r="O243" s="14"/>
      <c r="P243" s="14"/>
      <c r="Q243" s="47"/>
      <c r="R243" s="19"/>
      <c r="S243" s="14"/>
      <c r="T243" s="14"/>
      <c r="U243" s="14"/>
      <c r="V243" s="14"/>
      <c r="W243" s="14"/>
      <c r="X243" s="14"/>
      <c r="Y243" s="14"/>
      <c r="Z243" s="14"/>
      <c r="AA243" s="14"/>
      <c r="AB243" s="14"/>
      <c r="AC243" s="14"/>
      <c r="AD243" s="65"/>
      <c r="AE243" s="63"/>
      <c r="AF243" s="47"/>
      <c r="AG243" s="19"/>
      <c r="AH243" s="14"/>
      <c r="AI243" s="14"/>
      <c r="AJ243" s="14"/>
      <c r="AK243" s="14"/>
      <c r="AL243" s="14"/>
      <c r="AM243" s="14"/>
      <c r="AN243" s="14"/>
      <c r="AO243" s="14"/>
      <c r="AP243" s="14"/>
      <c r="AQ243" s="14"/>
      <c r="AR243" s="14"/>
      <c r="AS243" s="65"/>
      <c r="AT243" s="63"/>
      <c r="AU243" s="47"/>
      <c r="AV243" s="14"/>
      <c r="AW243" s="14"/>
      <c r="AX243" s="14"/>
      <c r="AY243" s="14"/>
      <c r="AZ243" s="14"/>
      <c r="BA243" s="14"/>
      <c r="BB243" s="14"/>
      <c r="BC243" s="14"/>
      <c r="BD243" s="14"/>
      <c r="BE243" s="14"/>
      <c r="BF243" s="14"/>
      <c r="BG243" s="14"/>
      <c r="BH243" s="65"/>
      <c r="BI243" s="63"/>
      <c r="BJ243" s="352"/>
      <c r="BK243" s="19"/>
      <c r="BL243" s="14"/>
      <c r="BM243" s="14"/>
      <c r="BN243" s="14"/>
      <c r="BO243" s="14"/>
      <c r="BP243" s="14"/>
      <c r="BQ243" s="14"/>
      <c r="BR243" s="14"/>
      <c r="BS243" s="14"/>
      <c r="BT243" s="14"/>
      <c r="BU243" s="14"/>
      <c r="BV243" s="14"/>
      <c r="BW243" s="65"/>
      <c r="BX243" s="63"/>
      <c r="BY243" s="352"/>
      <c r="BZ243" s="14"/>
      <c r="CA243" s="14"/>
      <c r="CB243" s="21"/>
      <c r="CC243" s="21"/>
      <c r="CD243" s="180"/>
      <c r="CE243" s="180"/>
      <c r="CF243" s="21"/>
      <c r="CG243" s="14"/>
      <c r="CH243" s="14"/>
      <c r="CI243" s="14"/>
      <c r="CJ243" s="14"/>
      <c r="CK243" s="14"/>
      <c r="CL243" s="14"/>
      <c r="CM243" s="14"/>
      <c r="CN243" s="14"/>
      <c r="CO243" s="129"/>
      <c r="CP243" s="14"/>
      <c r="CQ243" s="47"/>
      <c r="CR243" s="14"/>
      <c r="CS243" s="14"/>
      <c r="CT243" s="14"/>
      <c r="CU243" s="14"/>
      <c r="CV243" s="180"/>
      <c r="CW243" s="189"/>
      <c r="CX243" s="189"/>
      <c r="CY243" s="14"/>
      <c r="CZ243" s="14"/>
      <c r="DA243" s="14"/>
      <c r="DB243" s="14"/>
      <c r="DC243" s="14"/>
      <c r="DD243" s="14"/>
      <c r="DE243" s="14"/>
      <c r="DF243" s="14"/>
      <c r="DG243" s="129"/>
      <c r="DH243" s="14"/>
      <c r="DI243" s="47"/>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row>
    <row r="244" spans="1:142" x14ac:dyDescent="0.25">
      <c r="A244" s="14"/>
      <c r="B244" s="14"/>
      <c r="C244" s="14"/>
      <c r="D244" s="21"/>
      <c r="E244" s="14"/>
      <c r="F244" s="14"/>
      <c r="G244" s="14"/>
      <c r="H244" s="21"/>
      <c r="I244" s="21"/>
      <c r="J244" s="14"/>
      <c r="K244" s="14"/>
      <c r="L244" s="14"/>
      <c r="M244" s="14"/>
      <c r="N244" s="14"/>
      <c r="O244" s="14"/>
      <c r="P244" s="14"/>
      <c r="Q244" s="47"/>
      <c r="R244" s="19"/>
      <c r="S244" s="14"/>
      <c r="T244" s="14"/>
      <c r="U244" s="14"/>
      <c r="V244" s="14"/>
      <c r="W244" s="14"/>
      <c r="X244" s="14"/>
      <c r="Y244" s="14"/>
      <c r="Z244" s="14"/>
      <c r="AA244" s="14"/>
      <c r="AB244" s="14"/>
      <c r="AC244" s="14"/>
      <c r="AD244" s="65"/>
      <c r="AE244" s="63"/>
      <c r="AF244" s="47"/>
      <c r="AG244" s="19"/>
      <c r="AH244" s="14"/>
      <c r="AI244" s="14"/>
      <c r="AJ244" s="14"/>
      <c r="AK244" s="14"/>
      <c r="AL244" s="14"/>
      <c r="AM244" s="14"/>
      <c r="AN244" s="14"/>
      <c r="AO244" s="14"/>
      <c r="AP244" s="14"/>
      <c r="AQ244" s="14"/>
      <c r="AR244" s="14"/>
      <c r="AS244" s="65"/>
      <c r="AT244" s="63"/>
      <c r="AU244" s="47"/>
      <c r="AV244" s="14"/>
      <c r="AW244" s="14"/>
      <c r="AX244" s="14"/>
      <c r="AY244" s="14"/>
      <c r="AZ244" s="14"/>
      <c r="BA244" s="14"/>
      <c r="BB244" s="14"/>
      <c r="BC244" s="14"/>
      <c r="BD244" s="14"/>
      <c r="BE244" s="14"/>
      <c r="BF244" s="14"/>
      <c r="BG244" s="14"/>
      <c r="BH244" s="65"/>
      <c r="BI244" s="63"/>
      <c r="BJ244" s="352"/>
      <c r="BK244" s="19"/>
      <c r="BL244" s="14"/>
      <c r="BM244" s="14"/>
      <c r="BN244" s="14"/>
      <c r="BO244" s="14"/>
      <c r="BP244" s="14"/>
      <c r="BQ244" s="14"/>
      <c r="BR244" s="14"/>
      <c r="BS244" s="14"/>
      <c r="BT244" s="14"/>
      <c r="BU244" s="14"/>
      <c r="BV244" s="14"/>
      <c r="BW244" s="65"/>
      <c r="BX244" s="63"/>
      <c r="BY244" s="352"/>
      <c r="BZ244" s="14"/>
      <c r="CA244" s="14"/>
      <c r="CB244" s="21"/>
      <c r="CC244" s="21"/>
      <c r="CD244" s="180"/>
      <c r="CE244" s="180"/>
      <c r="CF244" s="21"/>
      <c r="CG244" s="14"/>
      <c r="CH244" s="14"/>
      <c r="CI244" s="14"/>
      <c r="CJ244" s="14"/>
      <c r="CK244" s="14"/>
      <c r="CL244" s="14"/>
      <c r="CM244" s="14"/>
      <c r="CN244" s="14"/>
      <c r="CO244" s="129"/>
      <c r="CP244" s="14"/>
      <c r="CQ244" s="47"/>
      <c r="CR244" s="14"/>
      <c r="CS244" s="14"/>
      <c r="CT244" s="14"/>
      <c r="CU244" s="14"/>
      <c r="CV244" s="180"/>
      <c r="CW244" s="189"/>
      <c r="CX244" s="189"/>
      <c r="CY244" s="14"/>
      <c r="CZ244" s="14"/>
      <c r="DA244" s="14"/>
      <c r="DB244" s="14"/>
      <c r="DC244" s="14"/>
      <c r="DD244" s="14"/>
      <c r="DE244" s="14"/>
      <c r="DF244" s="14"/>
      <c r="DG244" s="129"/>
      <c r="DH244" s="14"/>
      <c r="DI244" s="47"/>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row>
    <row r="245" spans="1:142" s="131" customFormat="1" x14ac:dyDescent="0.25">
      <c r="A245" s="78"/>
      <c r="B245" s="78" t="s">
        <v>156</v>
      </c>
      <c r="C245" s="78"/>
      <c r="D245" s="79"/>
      <c r="E245" s="78"/>
      <c r="F245" s="78"/>
      <c r="G245" s="78"/>
      <c r="H245" s="79"/>
      <c r="I245" s="79"/>
      <c r="J245" s="78"/>
      <c r="K245" s="78"/>
      <c r="L245" s="78"/>
      <c r="M245" s="78"/>
      <c r="N245" s="78"/>
      <c r="O245" s="78"/>
      <c r="P245" s="78"/>
      <c r="Q245" s="82"/>
      <c r="R245" s="83"/>
      <c r="S245" s="78" t="s">
        <v>156</v>
      </c>
      <c r="T245" s="78"/>
      <c r="U245" s="78"/>
      <c r="V245" s="78"/>
      <c r="W245" s="78"/>
      <c r="X245" s="78"/>
      <c r="Y245" s="78"/>
      <c r="Z245" s="78"/>
      <c r="AA245" s="78"/>
      <c r="AB245" s="78"/>
      <c r="AC245" s="78"/>
      <c r="AD245" s="80"/>
      <c r="AE245" s="81"/>
      <c r="AF245" s="82"/>
      <c r="AG245" s="83"/>
      <c r="AH245" s="78" t="s">
        <v>156</v>
      </c>
      <c r="AI245" s="78"/>
      <c r="AJ245" s="78"/>
      <c r="AK245" s="78"/>
      <c r="AL245" s="78"/>
      <c r="AM245" s="78"/>
      <c r="AN245" s="78"/>
      <c r="AO245" s="78"/>
      <c r="AP245" s="78"/>
      <c r="AQ245" s="78"/>
      <c r="AR245" s="78"/>
      <c r="AS245" s="80"/>
      <c r="AT245" s="81"/>
      <c r="AU245" s="82"/>
      <c r="AV245" s="78"/>
      <c r="AW245" s="78" t="s">
        <v>156</v>
      </c>
      <c r="AX245" s="78"/>
      <c r="AY245" s="78"/>
      <c r="AZ245" s="78"/>
      <c r="BA245" s="78"/>
      <c r="BB245" s="78"/>
      <c r="BC245" s="78"/>
      <c r="BD245" s="78"/>
      <c r="BE245" s="78"/>
      <c r="BF245" s="78"/>
      <c r="BG245" s="78"/>
      <c r="BH245" s="80"/>
      <c r="BI245" s="81"/>
      <c r="BJ245" s="373"/>
      <c r="BK245" s="83"/>
      <c r="BL245" s="78" t="s">
        <v>156</v>
      </c>
      <c r="BM245" s="78"/>
      <c r="BN245" s="78"/>
      <c r="BO245" s="78"/>
      <c r="BP245" s="78"/>
      <c r="BQ245" s="78"/>
      <c r="BR245" s="78"/>
      <c r="BS245" s="78"/>
      <c r="BT245" s="78"/>
      <c r="BU245" s="78"/>
      <c r="BV245" s="78"/>
      <c r="BW245" s="80"/>
      <c r="BX245" s="81"/>
      <c r="BY245" s="373"/>
      <c r="BZ245" s="78"/>
      <c r="CA245" s="78"/>
      <c r="CB245" s="79"/>
      <c r="CC245" s="79"/>
      <c r="CD245" s="182"/>
      <c r="CE245" s="182"/>
      <c r="CF245" s="79"/>
      <c r="CG245" s="78"/>
      <c r="CH245" s="78"/>
      <c r="CI245" s="78"/>
      <c r="CJ245" s="78"/>
      <c r="CK245" s="78"/>
      <c r="CL245" s="78"/>
      <c r="CM245" s="78"/>
      <c r="CN245" s="78"/>
      <c r="CO245" s="78"/>
      <c r="CP245" s="78"/>
      <c r="CQ245" s="82"/>
      <c r="CR245" s="78"/>
      <c r="CS245" s="78"/>
      <c r="CT245" s="78"/>
      <c r="CU245" s="78"/>
      <c r="CV245" s="182"/>
      <c r="CW245" s="192"/>
      <c r="CX245" s="192"/>
      <c r="CY245" s="78"/>
      <c r="CZ245" s="78"/>
      <c r="DA245" s="78"/>
      <c r="DB245" s="78"/>
      <c r="DC245" s="78"/>
      <c r="DD245" s="78"/>
      <c r="DE245" s="78"/>
      <c r="DF245" s="78"/>
      <c r="DG245" s="78"/>
      <c r="DH245" s="78"/>
      <c r="DI245" s="82"/>
      <c r="DJ245" s="78"/>
      <c r="DK245" s="78" t="s">
        <v>562</v>
      </c>
      <c r="DL245" s="78"/>
      <c r="DM245" s="78"/>
      <c r="DN245" s="78"/>
      <c r="DO245" s="78"/>
      <c r="DP245" s="78"/>
      <c r="DQ245" s="78"/>
      <c r="DR245" s="78"/>
      <c r="DS245" s="78"/>
      <c r="DT245" s="78"/>
      <c r="DU245" s="78"/>
      <c r="DV245" s="78"/>
      <c r="DW245" s="78"/>
      <c r="DX245" s="78"/>
      <c r="DY245" s="78"/>
      <c r="DZ245" s="78"/>
      <c r="EA245" s="78"/>
      <c r="EB245" s="78"/>
      <c r="EC245" s="78"/>
      <c r="ED245" s="78"/>
      <c r="EE245" s="78"/>
      <c r="EF245" s="78"/>
      <c r="EG245" s="78"/>
      <c r="EH245" s="78"/>
      <c r="EI245" s="78"/>
      <c r="EJ245" s="78"/>
      <c r="EK245" s="78"/>
      <c r="EL245" s="78"/>
    </row>
    <row r="246" spans="1:142" x14ac:dyDescent="0.25">
      <c r="A246" s="14"/>
      <c r="B246" s="14"/>
      <c r="C246" s="14"/>
      <c r="D246" s="21"/>
      <c r="E246" s="14"/>
      <c r="F246" s="14"/>
      <c r="G246" s="14"/>
      <c r="H246" s="21"/>
      <c r="I246" s="21"/>
      <c r="J246" s="14"/>
      <c r="K246" s="14"/>
      <c r="L246" s="14"/>
      <c r="M246" s="14"/>
      <c r="N246" s="14"/>
      <c r="O246" s="14"/>
      <c r="P246" s="14"/>
      <c r="Q246" s="47"/>
      <c r="R246" s="19"/>
      <c r="S246" s="14"/>
      <c r="T246" s="14"/>
      <c r="U246" s="14"/>
      <c r="V246" s="14"/>
      <c r="W246" s="14"/>
      <c r="X246" s="14"/>
      <c r="Y246" s="14"/>
      <c r="Z246" s="14"/>
      <c r="AA246" s="14"/>
      <c r="AB246" s="14"/>
      <c r="AC246" s="14"/>
      <c r="AD246" s="65"/>
      <c r="AE246" s="63"/>
      <c r="AF246" s="47"/>
      <c r="AG246" s="19"/>
      <c r="AH246" s="14"/>
      <c r="AI246" s="14"/>
      <c r="AJ246" s="14"/>
      <c r="AK246" s="14"/>
      <c r="AL246" s="14"/>
      <c r="AM246" s="14"/>
      <c r="AN246" s="14"/>
      <c r="AO246" s="14"/>
      <c r="AP246" s="14"/>
      <c r="AQ246" s="14"/>
      <c r="AR246" s="14"/>
      <c r="AS246" s="65"/>
      <c r="AT246" s="63"/>
      <c r="AU246" s="47"/>
      <c r="AV246" s="14"/>
      <c r="AW246" s="14"/>
      <c r="AX246" s="14"/>
      <c r="AY246" s="14"/>
      <c r="AZ246" s="14"/>
      <c r="BA246" s="14"/>
      <c r="BB246" s="14"/>
      <c r="BC246" s="14"/>
      <c r="BD246" s="14"/>
      <c r="BE246" s="14"/>
      <c r="BF246" s="14"/>
      <c r="BG246" s="14"/>
      <c r="BH246" s="65"/>
      <c r="BI246" s="63"/>
      <c r="BJ246" s="352"/>
      <c r="BK246" s="19"/>
      <c r="BL246" s="14"/>
      <c r="BM246" s="14"/>
      <c r="BN246" s="14"/>
      <c r="BO246" s="14"/>
      <c r="BP246" s="14"/>
      <c r="BQ246" s="14"/>
      <c r="BR246" s="14"/>
      <c r="BS246" s="14"/>
      <c r="BT246" s="14"/>
      <c r="BU246" s="14"/>
      <c r="BV246" s="14"/>
      <c r="BW246" s="65"/>
      <c r="BX246" s="63"/>
      <c r="BY246" s="352"/>
      <c r="BZ246" s="14"/>
      <c r="CA246" s="14"/>
      <c r="CB246" s="21"/>
      <c r="CC246" s="21"/>
      <c r="CD246" s="180"/>
      <c r="CE246" s="180"/>
      <c r="CF246" s="21"/>
      <c r="CG246" s="14"/>
      <c r="CH246" s="14"/>
      <c r="CI246" s="14"/>
      <c r="CJ246" s="14"/>
      <c r="CK246" s="14"/>
      <c r="CL246" s="14"/>
      <c r="CM246" s="14"/>
      <c r="CN246" s="14"/>
      <c r="CO246" s="129"/>
      <c r="CP246" s="14"/>
      <c r="CQ246" s="47"/>
      <c r="CR246" s="14"/>
      <c r="CS246" s="14"/>
      <c r="CT246" s="14"/>
      <c r="CU246" s="14"/>
      <c r="CV246" s="180"/>
      <c r="CW246" s="189"/>
      <c r="CX246" s="189"/>
      <c r="CY246" s="14"/>
      <c r="CZ246" s="14"/>
      <c r="DA246" s="14"/>
      <c r="DB246" s="14"/>
      <c r="DC246" s="14"/>
      <c r="DD246" s="14"/>
      <c r="DE246" s="14"/>
      <c r="DF246" s="14"/>
      <c r="DG246" s="129"/>
      <c r="DH246" s="14"/>
      <c r="DI246" s="47"/>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row>
    <row r="247" spans="1:142" ht="27.6" x14ac:dyDescent="0.25">
      <c r="A247" s="14"/>
      <c r="B247" s="109" t="s">
        <v>14</v>
      </c>
      <c r="C247" s="110" t="str">
        <f>B54</f>
        <v>Forest owners/managers</v>
      </c>
      <c r="D247" s="110" t="str">
        <f>B81</f>
        <v>Pellet producers</v>
      </c>
      <c r="E247" s="110" t="str">
        <f>B108</f>
        <v>Pellet users</v>
      </c>
      <c r="F247" s="110" t="str">
        <f>B135</f>
        <v>Non-bioenergy wood users</v>
      </c>
      <c r="G247" s="110" t="str">
        <f>B162</f>
        <v>Policy makers and academia</v>
      </c>
      <c r="H247" s="110" t="str">
        <f>B189</f>
        <v>NGOs</v>
      </c>
      <c r="I247" s="110" t="s">
        <v>8</v>
      </c>
      <c r="J247" s="14"/>
      <c r="K247" s="14"/>
      <c r="L247" s="14"/>
      <c r="M247" s="14"/>
      <c r="N247" s="14"/>
      <c r="O247" s="14"/>
      <c r="P247" s="14"/>
      <c r="Q247" s="47"/>
      <c r="R247" s="19"/>
      <c r="S247" s="109" t="s">
        <v>14</v>
      </c>
      <c r="T247" s="110" t="str">
        <f>S54</f>
        <v>Forest owners/managers</v>
      </c>
      <c r="U247" s="110" t="str">
        <f>S81</f>
        <v>Pellet producers</v>
      </c>
      <c r="V247" s="110" t="str">
        <f>S108</f>
        <v>Pellet users</v>
      </c>
      <c r="W247" s="110" t="str">
        <f>S135</f>
        <v>Non-bioenergy wood users</v>
      </c>
      <c r="X247" s="110" t="str">
        <f>S162</f>
        <v>Policy makers and academia</v>
      </c>
      <c r="Y247" s="110" t="str">
        <f>S189</f>
        <v>NGOs</v>
      </c>
      <c r="Z247" s="110" t="s">
        <v>8</v>
      </c>
      <c r="AA247" s="56"/>
      <c r="AB247" s="56"/>
      <c r="AC247" s="56"/>
      <c r="AD247" s="65"/>
      <c r="AE247" s="63"/>
      <c r="AF247" s="47"/>
      <c r="AG247" s="19"/>
      <c r="AH247" s="109" t="s">
        <v>14</v>
      </c>
      <c r="AI247" s="110" t="str">
        <f>AH54</f>
        <v>Forest owners/managers</v>
      </c>
      <c r="AJ247" s="110" t="str">
        <f>AH81</f>
        <v>Pellet producers</v>
      </c>
      <c r="AK247" s="110" t="str">
        <f>AH108</f>
        <v>Pellet users</v>
      </c>
      <c r="AL247" s="110" t="str">
        <f>AH135</f>
        <v>Non-bioenergy wood users</v>
      </c>
      <c r="AM247" s="110" t="str">
        <f>AH162</f>
        <v>Policy makers and academia</v>
      </c>
      <c r="AN247" s="110" t="str">
        <f>AH189</f>
        <v>NGOs</v>
      </c>
      <c r="AO247" s="110" t="s">
        <v>8</v>
      </c>
      <c r="AP247" s="56"/>
      <c r="AQ247" s="56"/>
      <c r="AR247" s="56"/>
      <c r="AS247" s="65"/>
      <c r="AT247" s="63"/>
      <c r="AU247" s="47"/>
      <c r="AV247" s="14"/>
      <c r="AW247" s="109" t="s">
        <v>14</v>
      </c>
      <c r="AX247" s="110" t="str">
        <f>AW54</f>
        <v>Forest owners/managers</v>
      </c>
      <c r="AY247" s="110" t="str">
        <f>AW81</f>
        <v>Pellet producers</v>
      </c>
      <c r="AZ247" s="110" t="str">
        <f>AW108</f>
        <v>Pellet users</v>
      </c>
      <c r="BA247" s="110" t="str">
        <f>AW135</f>
        <v>Non-bioenergy wood users</v>
      </c>
      <c r="BB247" s="110" t="str">
        <f>AW162</f>
        <v>Policy makers and academia</v>
      </c>
      <c r="BC247" s="110" t="str">
        <f>AW189</f>
        <v>NGOs</v>
      </c>
      <c r="BD247" s="110" t="s">
        <v>8</v>
      </c>
      <c r="BE247" s="56"/>
      <c r="BF247" s="56"/>
      <c r="BG247" s="56"/>
      <c r="BH247" s="65"/>
      <c r="BI247" s="63"/>
      <c r="BJ247" s="352"/>
      <c r="BK247" s="19"/>
      <c r="BL247" s="109" t="s">
        <v>14</v>
      </c>
      <c r="BM247" s="110" t="str">
        <f>BL54</f>
        <v>Forest owners/managers</v>
      </c>
      <c r="BN247" s="110" t="str">
        <f>BL81</f>
        <v>Pellet producers</v>
      </c>
      <c r="BO247" s="110" t="str">
        <f>BL108</f>
        <v>Pellet users</v>
      </c>
      <c r="BP247" s="110" t="str">
        <f>BL135</f>
        <v>Non-bioenergy wood users</v>
      </c>
      <c r="BQ247" s="110" t="str">
        <f>BL162</f>
        <v>Policy makers and academia</v>
      </c>
      <c r="BR247" s="110" t="str">
        <f>BL189</f>
        <v>NGOs</v>
      </c>
      <c r="BS247" s="110" t="s">
        <v>8</v>
      </c>
      <c r="BT247" s="56"/>
      <c r="BU247" s="56"/>
      <c r="BV247" s="56"/>
      <c r="BW247" s="65"/>
      <c r="BX247" s="63"/>
      <c r="BY247" s="352"/>
      <c r="BZ247" s="14"/>
      <c r="CA247" s="14"/>
      <c r="CB247" s="21"/>
      <c r="CC247" s="21"/>
      <c r="CD247" s="180"/>
      <c r="CE247" s="180"/>
      <c r="CF247" s="21"/>
      <c r="CG247" s="14"/>
      <c r="CH247" s="14"/>
      <c r="CI247" s="14"/>
      <c r="CJ247" s="14"/>
      <c r="CK247" s="14"/>
      <c r="CL247" s="14"/>
      <c r="CM247" s="14"/>
      <c r="CN247" s="14"/>
      <c r="CO247" s="129"/>
      <c r="CP247" s="14"/>
      <c r="CQ247" s="47"/>
      <c r="CR247" s="14"/>
      <c r="CS247" s="14"/>
      <c r="CT247" s="14"/>
      <c r="CU247" s="14"/>
      <c r="CV247" s="180"/>
      <c r="CW247" s="189"/>
      <c r="CX247" s="189"/>
      <c r="CY247" s="14"/>
      <c r="CZ247" s="14"/>
      <c r="DA247" s="14"/>
      <c r="DB247" s="14"/>
      <c r="DC247" s="14"/>
      <c r="DD247" s="14"/>
      <c r="DE247" s="14"/>
      <c r="DF247" s="14"/>
      <c r="DG247" s="129"/>
      <c r="DH247" s="14"/>
      <c r="DI247" s="47"/>
      <c r="DJ247" s="14"/>
      <c r="DK247" s="109" t="s">
        <v>14</v>
      </c>
      <c r="DL247" s="110" t="str">
        <f>DK54</f>
        <v>Forest owners/managers</v>
      </c>
      <c r="DM247" s="110" t="str">
        <f>DK81</f>
        <v>Pellet producers</v>
      </c>
      <c r="DN247" s="110" t="str">
        <f>DK108</f>
        <v>Pellet users</v>
      </c>
      <c r="DO247" s="110" t="str">
        <f>DK135</f>
        <v>Non-bioenergy wood users</v>
      </c>
      <c r="DP247" s="110" t="str">
        <f>DK162</f>
        <v>Policy makers and academia</v>
      </c>
      <c r="DQ247" s="110" t="str">
        <f>DK189</f>
        <v>NGOs</v>
      </c>
      <c r="DR247" s="110" t="s">
        <v>8</v>
      </c>
      <c r="DS247" s="14"/>
      <c r="DT247" s="14"/>
      <c r="DU247" s="14"/>
      <c r="DV247" s="14"/>
      <c r="DW247" s="14"/>
      <c r="DX247" s="14"/>
      <c r="DY247" s="14"/>
      <c r="DZ247" s="14"/>
      <c r="EA247" s="14"/>
      <c r="EB247" s="14"/>
      <c r="EC247" s="14"/>
      <c r="ED247" s="14"/>
      <c r="EE247" s="14"/>
      <c r="EF247" s="14"/>
      <c r="EG247" s="14"/>
      <c r="EH247" s="14"/>
      <c r="EI247" s="14"/>
      <c r="EJ247" s="14"/>
      <c r="EK247" s="14"/>
      <c r="EL247" s="14"/>
    </row>
    <row r="248" spans="1:142" x14ac:dyDescent="0.25">
      <c r="A248" s="14"/>
      <c r="B248" s="107" t="s">
        <v>34</v>
      </c>
      <c r="C248" s="33">
        <f>H72</f>
        <v>1</v>
      </c>
      <c r="D248" s="117">
        <f>H99</f>
        <v>0</v>
      </c>
      <c r="E248" s="116">
        <f>H126</f>
        <v>1</v>
      </c>
      <c r="F248" s="33">
        <f>H153</f>
        <v>0</v>
      </c>
      <c r="G248" s="117">
        <f>H180</f>
        <v>0</v>
      </c>
      <c r="H248" s="116">
        <f>H207</f>
        <v>0</v>
      </c>
      <c r="I248" s="27">
        <f t="shared" ref="I248:I253" si="178">SUM(C248:H248)</f>
        <v>2</v>
      </c>
      <c r="J248" s="14"/>
      <c r="K248" s="14"/>
      <c r="L248" s="14"/>
      <c r="M248" s="14"/>
      <c r="N248" s="14"/>
      <c r="O248" s="14"/>
      <c r="P248" s="14"/>
      <c r="Q248" s="47"/>
      <c r="R248" s="19"/>
      <c r="S248" s="107" t="s">
        <v>5</v>
      </c>
      <c r="T248" s="33">
        <f t="shared" ref="T248:T254" si="179">Y72</f>
        <v>1</v>
      </c>
      <c r="U248" s="117">
        <f t="shared" ref="U248:U254" si="180">Y99</f>
        <v>0</v>
      </c>
      <c r="V248" s="116">
        <f t="shared" ref="V248:V254" si="181">Y126</f>
        <v>0</v>
      </c>
      <c r="W248" s="33">
        <f t="shared" ref="W248:W254" si="182">Y153</f>
        <v>0</v>
      </c>
      <c r="X248" s="117">
        <f t="shared" ref="X248:X254" si="183">Y180</f>
        <v>0</v>
      </c>
      <c r="Y248" s="116">
        <f t="shared" ref="Y248:Y254" si="184">Y207</f>
        <v>0</v>
      </c>
      <c r="Z248" s="27">
        <f>SUM(T248:Y248)</f>
        <v>1</v>
      </c>
      <c r="AA248" s="19"/>
      <c r="AB248" s="19"/>
      <c r="AC248" s="19"/>
      <c r="AD248" s="65"/>
      <c r="AE248" s="63"/>
      <c r="AF248" s="47"/>
      <c r="AG248" s="19"/>
      <c r="AH248" s="107" t="s">
        <v>5</v>
      </c>
      <c r="AI248" s="33">
        <f t="shared" ref="AI248:AI254" si="185">AN72</f>
        <v>2</v>
      </c>
      <c r="AJ248" s="117">
        <f t="shared" ref="AJ248:AJ254" si="186">AN99</f>
        <v>0</v>
      </c>
      <c r="AK248" s="116">
        <f t="shared" ref="AK248:AK254" si="187">AN126</f>
        <v>0</v>
      </c>
      <c r="AL248" s="33">
        <f t="shared" ref="AL248:AL254" si="188">AN153</f>
        <v>1</v>
      </c>
      <c r="AM248" s="117">
        <f t="shared" ref="AM248:AM254" si="189">AN180</f>
        <v>1</v>
      </c>
      <c r="AN248" s="116">
        <f t="shared" ref="AN248:AN254" si="190">AN207</f>
        <v>0</v>
      </c>
      <c r="AO248" s="27">
        <f>SUM(AI248:AN248)</f>
        <v>4</v>
      </c>
      <c r="AP248" s="19"/>
      <c r="AQ248" s="19"/>
      <c r="AR248" s="19"/>
      <c r="AS248" s="65"/>
      <c r="AT248" s="63"/>
      <c r="AU248" s="47"/>
      <c r="AV248" s="14"/>
      <c r="AW248" s="107" t="s">
        <v>5</v>
      </c>
      <c r="AX248" s="33">
        <f t="shared" ref="AX248:AX254" si="191">BC72</f>
        <v>2</v>
      </c>
      <c r="AY248" s="117">
        <f t="shared" ref="AY248:AY254" si="192">BC99</f>
        <v>0</v>
      </c>
      <c r="AZ248" s="116">
        <f t="shared" ref="AZ248:AZ254" si="193">BC126</f>
        <v>0</v>
      </c>
      <c r="BA248" s="33">
        <f t="shared" ref="BA248:BA254" si="194">BC153</f>
        <v>1</v>
      </c>
      <c r="BB248" s="117">
        <f t="shared" ref="BB248:BB254" si="195">BC180</f>
        <v>1</v>
      </c>
      <c r="BC248" s="116">
        <f t="shared" ref="BC248:BC254" si="196">BC207</f>
        <v>0</v>
      </c>
      <c r="BD248" s="27">
        <f>SUM(AX248:BC248)</f>
        <v>4</v>
      </c>
      <c r="BE248" s="19"/>
      <c r="BF248" s="19"/>
      <c r="BG248" s="19"/>
      <c r="BH248" s="65"/>
      <c r="BI248" s="63"/>
      <c r="BJ248" s="352"/>
      <c r="BK248" s="19"/>
      <c r="BL248" s="107" t="s">
        <v>5</v>
      </c>
      <c r="BM248" s="33">
        <f t="shared" ref="BM248:BM254" si="197">BR72</f>
        <v>2</v>
      </c>
      <c r="BN248" s="117">
        <f t="shared" ref="BN248:BN254" si="198">BR99</f>
        <v>0</v>
      </c>
      <c r="BO248" s="116">
        <f t="shared" ref="BO248:BO254" si="199">BR126</f>
        <v>0</v>
      </c>
      <c r="BP248" s="33">
        <f t="shared" ref="BP248:BP254" si="200">BR153</f>
        <v>0</v>
      </c>
      <c r="BQ248" s="117">
        <f t="shared" ref="BQ248:BQ254" si="201">BR180</f>
        <v>1</v>
      </c>
      <c r="BR248" s="116">
        <f t="shared" ref="BR248:BR254" si="202">BR207</f>
        <v>0</v>
      </c>
      <c r="BS248" s="27">
        <f>SUM(BM248:BR248)</f>
        <v>3</v>
      </c>
      <c r="BT248" s="19"/>
      <c r="BU248" s="19"/>
      <c r="BV248" s="19"/>
      <c r="BW248" s="65"/>
      <c r="BX248" s="63"/>
      <c r="BY248" s="352"/>
      <c r="BZ248" s="14"/>
      <c r="CA248" s="14"/>
      <c r="CB248" s="21"/>
      <c r="CC248" s="21"/>
      <c r="CD248" s="180"/>
      <c r="CE248" s="180"/>
      <c r="CF248" s="21"/>
      <c r="CG248" s="14"/>
      <c r="CH248" s="14"/>
      <c r="CI248" s="14"/>
      <c r="CJ248" s="14"/>
      <c r="CK248" s="14"/>
      <c r="CL248" s="14"/>
      <c r="CM248" s="14"/>
      <c r="CN248" s="14"/>
      <c r="CO248" s="129"/>
      <c r="CP248" s="14"/>
      <c r="CQ248" s="47"/>
      <c r="CR248" s="14"/>
      <c r="CS248" s="14"/>
      <c r="CT248" s="14"/>
      <c r="CU248" s="14"/>
      <c r="CV248" s="180"/>
      <c r="CW248" s="189"/>
      <c r="CX248" s="189"/>
      <c r="CY248" s="14"/>
      <c r="CZ248" s="14"/>
      <c r="DA248" s="14"/>
      <c r="DB248" s="14"/>
      <c r="DC248" s="14"/>
      <c r="DD248" s="14"/>
      <c r="DE248" s="14"/>
      <c r="DF248" s="14"/>
      <c r="DG248" s="129"/>
      <c r="DH248" s="14"/>
      <c r="DI248" s="47"/>
      <c r="DJ248" s="14"/>
      <c r="DK248" s="107" t="s">
        <v>34</v>
      </c>
      <c r="DL248" s="33">
        <f>DQ72</f>
        <v>1</v>
      </c>
      <c r="DM248" s="117">
        <f>DQ99</f>
        <v>0</v>
      </c>
      <c r="DN248" s="116">
        <f>DQ126</f>
        <v>0</v>
      </c>
      <c r="DO248" s="33">
        <f>DQ153</f>
        <v>0</v>
      </c>
      <c r="DP248" s="117">
        <f>DQ180</f>
        <v>0</v>
      </c>
      <c r="DQ248" s="116">
        <f>DQ207</f>
        <v>0</v>
      </c>
      <c r="DR248" s="27">
        <f t="shared" ref="DR248:DR253" si="203">SUM(DL248:DQ248)</f>
        <v>1</v>
      </c>
      <c r="DS248" s="14"/>
      <c r="DT248" s="14"/>
      <c r="DU248" s="14"/>
      <c r="DV248" s="14"/>
      <c r="DW248" s="14"/>
      <c r="DX248" s="14"/>
      <c r="DY248" s="14"/>
      <c r="DZ248" s="14"/>
      <c r="EA248" s="14"/>
      <c r="EB248" s="14"/>
      <c r="EC248" s="14"/>
      <c r="ED248" s="14"/>
      <c r="EE248" s="14"/>
      <c r="EF248" s="14"/>
      <c r="EG248" s="14"/>
      <c r="EH248" s="14"/>
      <c r="EI248" s="14"/>
      <c r="EJ248" s="14"/>
      <c r="EK248" s="14"/>
      <c r="EL248" s="14"/>
    </row>
    <row r="249" spans="1:142" x14ac:dyDescent="0.25">
      <c r="A249" s="14"/>
      <c r="B249" s="107" t="s">
        <v>35</v>
      </c>
      <c r="C249" s="33">
        <f>H73</f>
        <v>0</v>
      </c>
      <c r="D249" s="117">
        <f>H100</f>
        <v>0</v>
      </c>
      <c r="E249" s="116">
        <f>H127</f>
        <v>0</v>
      </c>
      <c r="F249" s="33">
        <f>H154</f>
        <v>0</v>
      </c>
      <c r="G249" s="117">
        <f>H181</f>
        <v>0</v>
      </c>
      <c r="H249" s="116">
        <f>H208</f>
        <v>0</v>
      </c>
      <c r="I249" s="27">
        <f t="shared" si="178"/>
        <v>0</v>
      </c>
      <c r="J249" s="14"/>
      <c r="K249" s="14"/>
      <c r="L249" s="14"/>
      <c r="M249" s="14"/>
      <c r="N249" s="14"/>
      <c r="O249" s="14"/>
      <c r="P249" s="14"/>
      <c r="Q249" s="47"/>
      <c r="R249" s="19"/>
      <c r="S249" s="107" t="s">
        <v>4</v>
      </c>
      <c r="T249" s="33">
        <f t="shared" si="179"/>
        <v>0</v>
      </c>
      <c r="U249" s="117">
        <f t="shared" si="180"/>
        <v>0</v>
      </c>
      <c r="V249" s="116">
        <f t="shared" si="181"/>
        <v>1</v>
      </c>
      <c r="W249" s="33">
        <f t="shared" si="182"/>
        <v>0</v>
      </c>
      <c r="X249" s="117">
        <f t="shared" si="183"/>
        <v>0</v>
      </c>
      <c r="Y249" s="116">
        <f t="shared" si="184"/>
        <v>0</v>
      </c>
      <c r="Z249" s="27">
        <f t="shared" ref="Z249:Z255" si="204">SUM(T249:Y249)</f>
        <v>1</v>
      </c>
      <c r="AA249" s="19"/>
      <c r="AB249" s="19"/>
      <c r="AC249" s="19"/>
      <c r="AD249" s="65"/>
      <c r="AE249" s="63"/>
      <c r="AF249" s="47"/>
      <c r="AG249" s="19"/>
      <c r="AH249" s="107" t="s">
        <v>4</v>
      </c>
      <c r="AI249" s="33">
        <f t="shared" si="185"/>
        <v>0</v>
      </c>
      <c r="AJ249" s="117">
        <f t="shared" si="186"/>
        <v>1</v>
      </c>
      <c r="AK249" s="116">
        <f t="shared" si="187"/>
        <v>1</v>
      </c>
      <c r="AL249" s="33">
        <f t="shared" si="188"/>
        <v>0</v>
      </c>
      <c r="AM249" s="117">
        <f t="shared" si="189"/>
        <v>0</v>
      </c>
      <c r="AN249" s="116">
        <f t="shared" si="190"/>
        <v>0</v>
      </c>
      <c r="AO249" s="27">
        <f t="shared" ref="AO249:AO255" si="205">SUM(AI249:AN249)</f>
        <v>2</v>
      </c>
      <c r="AP249" s="19"/>
      <c r="AQ249" s="19"/>
      <c r="AR249" s="19"/>
      <c r="AS249" s="65"/>
      <c r="AT249" s="63"/>
      <c r="AU249" s="47"/>
      <c r="AV249" s="14"/>
      <c r="AW249" s="107" t="s">
        <v>4</v>
      </c>
      <c r="AX249" s="33">
        <f t="shared" si="191"/>
        <v>0</v>
      </c>
      <c r="AY249" s="117">
        <f t="shared" si="192"/>
        <v>1</v>
      </c>
      <c r="AZ249" s="116">
        <f t="shared" si="193"/>
        <v>1</v>
      </c>
      <c r="BA249" s="33">
        <f t="shared" si="194"/>
        <v>0</v>
      </c>
      <c r="BB249" s="117">
        <f t="shared" si="195"/>
        <v>0</v>
      </c>
      <c r="BC249" s="116">
        <f t="shared" si="196"/>
        <v>0</v>
      </c>
      <c r="BD249" s="27">
        <f t="shared" ref="BD249:BD255" si="206">SUM(AX249:BC249)</f>
        <v>2</v>
      </c>
      <c r="BE249" s="19"/>
      <c r="BF249" s="19"/>
      <c r="BG249" s="19"/>
      <c r="BH249" s="65"/>
      <c r="BI249" s="63"/>
      <c r="BJ249" s="352"/>
      <c r="BK249" s="19"/>
      <c r="BL249" s="107" t="s">
        <v>4</v>
      </c>
      <c r="BM249" s="33">
        <f t="shared" si="197"/>
        <v>0</v>
      </c>
      <c r="BN249" s="117">
        <f t="shared" si="198"/>
        <v>1</v>
      </c>
      <c r="BO249" s="116">
        <f t="shared" si="199"/>
        <v>1</v>
      </c>
      <c r="BP249" s="33">
        <f t="shared" si="200"/>
        <v>1</v>
      </c>
      <c r="BQ249" s="117">
        <f t="shared" si="201"/>
        <v>0</v>
      </c>
      <c r="BR249" s="116">
        <f t="shared" si="202"/>
        <v>0</v>
      </c>
      <c r="BS249" s="27">
        <f t="shared" ref="BS249:BS255" si="207">SUM(BM249:BR249)</f>
        <v>3</v>
      </c>
      <c r="BT249" s="19"/>
      <c r="BU249" s="19"/>
      <c r="BV249" s="19"/>
      <c r="BW249" s="65"/>
      <c r="BX249" s="63"/>
      <c r="BY249" s="352"/>
      <c r="BZ249" s="14"/>
      <c r="CA249" s="14"/>
      <c r="CB249" s="21"/>
      <c r="CC249" s="21"/>
      <c r="CD249" s="180"/>
      <c r="CE249" s="180"/>
      <c r="CF249" s="21"/>
      <c r="CG249" s="14"/>
      <c r="CH249" s="14"/>
      <c r="CI249" s="14"/>
      <c r="CJ249" s="14"/>
      <c r="CK249" s="14"/>
      <c r="CL249" s="14"/>
      <c r="CM249" s="14"/>
      <c r="CN249" s="14"/>
      <c r="CO249" s="129"/>
      <c r="CP249" s="14"/>
      <c r="CQ249" s="47"/>
      <c r="CR249" s="14"/>
      <c r="CS249" s="14"/>
      <c r="CT249" s="14"/>
      <c r="CU249" s="14"/>
      <c r="CV249" s="180"/>
      <c r="CW249" s="189"/>
      <c r="CX249" s="189"/>
      <c r="CY249" s="14"/>
      <c r="CZ249" s="14"/>
      <c r="DA249" s="14"/>
      <c r="DB249" s="14"/>
      <c r="DC249" s="14"/>
      <c r="DD249" s="14"/>
      <c r="DE249" s="14"/>
      <c r="DF249" s="14"/>
      <c r="DG249" s="129"/>
      <c r="DH249" s="14"/>
      <c r="DI249" s="47"/>
      <c r="DJ249" s="14"/>
      <c r="DK249" s="107" t="s">
        <v>35</v>
      </c>
      <c r="DL249" s="33">
        <f>DQ73</f>
        <v>1</v>
      </c>
      <c r="DM249" s="117">
        <f>DQ100</f>
        <v>0</v>
      </c>
      <c r="DN249" s="116">
        <f>DQ127</f>
        <v>1</v>
      </c>
      <c r="DO249" s="33">
        <f>DQ154</f>
        <v>0</v>
      </c>
      <c r="DP249" s="117">
        <f>DQ181</f>
        <v>0</v>
      </c>
      <c r="DQ249" s="116">
        <f>DQ208</f>
        <v>0</v>
      </c>
      <c r="DR249" s="27">
        <f t="shared" si="203"/>
        <v>2</v>
      </c>
      <c r="DS249" s="14"/>
      <c r="DT249" s="14"/>
      <c r="DU249" s="14"/>
      <c r="DV249" s="14"/>
      <c r="DW249" s="14"/>
      <c r="DX249" s="14"/>
      <c r="DY249" s="14"/>
      <c r="DZ249" s="14"/>
      <c r="EA249" s="14"/>
      <c r="EB249" s="14"/>
      <c r="EC249" s="14"/>
      <c r="ED249" s="14"/>
      <c r="EE249" s="14"/>
      <c r="EF249" s="14"/>
      <c r="EG249" s="14"/>
      <c r="EH249" s="14"/>
      <c r="EI249" s="14"/>
      <c r="EJ249" s="14"/>
      <c r="EK249" s="14"/>
      <c r="EL249" s="14"/>
    </row>
    <row r="250" spans="1:142" x14ac:dyDescent="0.25">
      <c r="A250" s="14"/>
      <c r="B250" s="107" t="s">
        <v>36</v>
      </c>
      <c r="C250" s="33">
        <f>H74</f>
        <v>0</v>
      </c>
      <c r="D250" s="117">
        <f>H101</f>
        <v>0</v>
      </c>
      <c r="E250" s="116">
        <f>H128</f>
        <v>0</v>
      </c>
      <c r="F250" s="33">
        <f>H155</f>
        <v>0</v>
      </c>
      <c r="G250" s="117">
        <f>H182</f>
        <v>0</v>
      </c>
      <c r="H250" s="116">
        <f>H209</f>
        <v>0</v>
      </c>
      <c r="I250" s="27">
        <f t="shared" si="178"/>
        <v>0</v>
      </c>
      <c r="J250" s="14"/>
      <c r="K250" s="14"/>
      <c r="L250" s="14"/>
      <c r="M250" s="14"/>
      <c r="N250" s="14"/>
      <c r="O250" s="14"/>
      <c r="P250" s="14"/>
      <c r="Q250" s="47"/>
      <c r="R250" s="19"/>
      <c r="S250" s="107" t="s">
        <v>33</v>
      </c>
      <c r="T250" s="33">
        <f t="shared" si="179"/>
        <v>0</v>
      </c>
      <c r="U250" s="117">
        <f t="shared" si="180"/>
        <v>0</v>
      </c>
      <c r="V250" s="116">
        <f t="shared" si="181"/>
        <v>0</v>
      </c>
      <c r="W250" s="33">
        <f t="shared" si="182"/>
        <v>0</v>
      </c>
      <c r="X250" s="117">
        <f t="shared" si="183"/>
        <v>0</v>
      </c>
      <c r="Y250" s="116">
        <f t="shared" si="184"/>
        <v>0</v>
      </c>
      <c r="Z250" s="27">
        <f t="shared" si="204"/>
        <v>0</v>
      </c>
      <c r="AA250" s="19"/>
      <c r="AB250" s="19"/>
      <c r="AC250" s="19"/>
      <c r="AD250" s="65"/>
      <c r="AE250" s="63"/>
      <c r="AF250" s="47"/>
      <c r="AG250" s="19"/>
      <c r="AH250" s="107" t="s">
        <v>33</v>
      </c>
      <c r="AI250" s="33">
        <f t="shared" si="185"/>
        <v>0</v>
      </c>
      <c r="AJ250" s="117">
        <f t="shared" si="186"/>
        <v>0</v>
      </c>
      <c r="AK250" s="116">
        <f t="shared" si="187"/>
        <v>0</v>
      </c>
      <c r="AL250" s="33">
        <f t="shared" si="188"/>
        <v>0</v>
      </c>
      <c r="AM250" s="117">
        <f t="shared" si="189"/>
        <v>0</v>
      </c>
      <c r="AN250" s="116">
        <f t="shared" si="190"/>
        <v>0</v>
      </c>
      <c r="AO250" s="27">
        <f t="shared" si="205"/>
        <v>0</v>
      </c>
      <c r="AP250" s="19"/>
      <c r="AQ250" s="19"/>
      <c r="AR250" s="19"/>
      <c r="AS250" s="65"/>
      <c r="AT250" s="63"/>
      <c r="AU250" s="47"/>
      <c r="AV250" s="14"/>
      <c r="AW250" s="107" t="s">
        <v>33</v>
      </c>
      <c r="AX250" s="33">
        <f t="shared" si="191"/>
        <v>0</v>
      </c>
      <c r="AY250" s="117">
        <f t="shared" si="192"/>
        <v>0</v>
      </c>
      <c r="AZ250" s="116">
        <f t="shared" si="193"/>
        <v>0</v>
      </c>
      <c r="BA250" s="33">
        <f t="shared" si="194"/>
        <v>0</v>
      </c>
      <c r="BB250" s="117">
        <f t="shared" si="195"/>
        <v>0</v>
      </c>
      <c r="BC250" s="116">
        <f t="shared" si="196"/>
        <v>0</v>
      </c>
      <c r="BD250" s="27">
        <f t="shared" si="206"/>
        <v>0</v>
      </c>
      <c r="BE250" s="19"/>
      <c r="BF250" s="19"/>
      <c r="BG250" s="19"/>
      <c r="BH250" s="65"/>
      <c r="BI250" s="63"/>
      <c r="BJ250" s="352"/>
      <c r="BK250" s="19"/>
      <c r="BL250" s="107" t="s">
        <v>33</v>
      </c>
      <c r="BM250" s="33">
        <f t="shared" si="197"/>
        <v>0</v>
      </c>
      <c r="BN250" s="117">
        <f t="shared" si="198"/>
        <v>0</v>
      </c>
      <c r="BO250" s="116">
        <f t="shared" si="199"/>
        <v>0</v>
      </c>
      <c r="BP250" s="33">
        <f t="shared" si="200"/>
        <v>0</v>
      </c>
      <c r="BQ250" s="117">
        <f t="shared" si="201"/>
        <v>0</v>
      </c>
      <c r="BR250" s="116">
        <f t="shared" si="202"/>
        <v>0</v>
      </c>
      <c r="BS250" s="27">
        <f t="shared" si="207"/>
        <v>0</v>
      </c>
      <c r="BT250" s="19"/>
      <c r="BU250" s="19"/>
      <c r="BV250" s="19"/>
      <c r="BW250" s="65"/>
      <c r="BX250" s="63"/>
      <c r="BY250" s="352"/>
      <c r="BZ250" s="14"/>
      <c r="CA250" s="14"/>
      <c r="CB250" s="21"/>
      <c r="CC250" s="21"/>
      <c r="CD250" s="180"/>
      <c r="CE250" s="180"/>
      <c r="CF250" s="21"/>
      <c r="CG250" s="14"/>
      <c r="CH250" s="14"/>
      <c r="CI250" s="14"/>
      <c r="CJ250" s="14"/>
      <c r="CK250" s="14"/>
      <c r="CL250" s="14"/>
      <c r="CM250" s="14"/>
      <c r="CN250" s="14"/>
      <c r="CO250" s="129"/>
      <c r="CP250" s="14"/>
      <c r="CQ250" s="47"/>
      <c r="CR250" s="14"/>
      <c r="CS250" s="14"/>
      <c r="CT250" s="14"/>
      <c r="CU250" s="14"/>
      <c r="CV250" s="180"/>
      <c r="CW250" s="189"/>
      <c r="CX250" s="189"/>
      <c r="CY250" s="14"/>
      <c r="CZ250" s="14"/>
      <c r="DA250" s="14"/>
      <c r="DB250" s="14"/>
      <c r="DC250" s="14"/>
      <c r="DD250" s="14"/>
      <c r="DE250" s="14"/>
      <c r="DF250" s="14"/>
      <c r="DG250" s="129"/>
      <c r="DH250" s="14"/>
      <c r="DI250" s="47"/>
      <c r="DJ250" s="14"/>
      <c r="DK250" s="107" t="s">
        <v>36</v>
      </c>
      <c r="DL250" s="33">
        <f>DQ74</f>
        <v>1</v>
      </c>
      <c r="DM250" s="117">
        <f>DQ101</f>
        <v>0</v>
      </c>
      <c r="DN250" s="116">
        <f>DQ128</f>
        <v>0</v>
      </c>
      <c r="DO250" s="33">
        <f>DQ155</f>
        <v>0</v>
      </c>
      <c r="DP250" s="117">
        <f>DQ182</f>
        <v>0</v>
      </c>
      <c r="DQ250" s="116">
        <f>DQ209</f>
        <v>0</v>
      </c>
      <c r="DR250" s="27">
        <f t="shared" si="203"/>
        <v>1</v>
      </c>
      <c r="DS250" s="14"/>
      <c r="DT250" s="14"/>
      <c r="DU250" s="14"/>
      <c r="DV250" s="14"/>
      <c r="DW250" s="14"/>
      <c r="DX250" s="14"/>
      <c r="DY250" s="14"/>
      <c r="DZ250" s="14"/>
      <c r="EA250" s="14"/>
      <c r="EB250" s="14"/>
      <c r="EC250" s="14"/>
      <c r="ED250" s="14"/>
      <c r="EE250" s="14"/>
      <c r="EF250" s="14"/>
      <c r="EG250" s="14"/>
      <c r="EH250" s="14"/>
      <c r="EI250" s="14"/>
      <c r="EJ250" s="14"/>
      <c r="EK250" s="14"/>
      <c r="EL250" s="14"/>
    </row>
    <row r="251" spans="1:142" x14ac:dyDescent="0.25">
      <c r="A251" s="14"/>
      <c r="B251" s="107" t="s">
        <v>38</v>
      </c>
      <c r="C251" s="33">
        <f>H75</f>
        <v>0</v>
      </c>
      <c r="D251" s="117">
        <f>H102</f>
        <v>0</v>
      </c>
      <c r="E251" s="116">
        <f>H129</f>
        <v>0</v>
      </c>
      <c r="F251" s="33">
        <f>H156</f>
        <v>0</v>
      </c>
      <c r="G251" s="117">
        <f>H183</f>
        <v>0</v>
      </c>
      <c r="H251" s="116">
        <f>H210</f>
        <v>0</v>
      </c>
      <c r="I251" s="27">
        <f t="shared" si="178"/>
        <v>0</v>
      </c>
      <c r="J251" s="14"/>
      <c r="K251" s="14"/>
      <c r="L251" s="14"/>
      <c r="M251" s="14"/>
      <c r="N251" s="14"/>
      <c r="O251" s="14"/>
      <c r="P251" s="14"/>
      <c r="Q251" s="47"/>
      <c r="R251" s="19"/>
      <c r="S251" s="107" t="s">
        <v>29</v>
      </c>
      <c r="T251" s="33">
        <f t="shared" si="179"/>
        <v>0</v>
      </c>
      <c r="U251" s="117">
        <f t="shared" si="180"/>
        <v>0</v>
      </c>
      <c r="V251" s="116">
        <f t="shared" si="181"/>
        <v>0</v>
      </c>
      <c r="W251" s="33">
        <f t="shared" si="182"/>
        <v>0</v>
      </c>
      <c r="X251" s="117">
        <f t="shared" si="183"/>
        <v>0</v>
      </c>
      <c r="Y251" s="116">
        <f t="shared" si="184"/>
        <v>0</v>
      </c>
      <c r="Z251" s="27">
        <f t="shared" si="204"/>
        <v>0</v>
      </c>
      <c r="AA251" s="19"/>
      <c r="AB251" s="19"/>
      <c r="AC251" s="19"/>
      <c r="AD251" s="65"/>
      <c r="AE251" s="63"/>
      <c r="AF251" s="47"/>
      <c r="AG251" s="19"/>
      <c r="AH251" s="107" t="s">
        <v>29</v>
      </c>
      <c r="AI251" s="33">
        <f t="shared" si="185"/>
        <v>0</v>
      </c>
      <c r="AJ251" s="117">
        <f t="shared" si="186"/>
        <v>0</v>
      </c>
      <c r="AK251" s="116">
        <f t="shared" si="187"/>
        <v>0</v>
      </c>
      <c r="AL251" s="33">
        <f t="shared" si="188"/>
        <v>0</v>
      </c>
      <c r="AM251" s="117">
        <f t="shared" si="189"/>
        <v>0</v>
      </c>
      <c r="AN251" s="116">
        <f t="shared" si="190"/>
        <v>0</v>
      </c>
      <c r="AO251" s="27">
        <f t="shared" si="205"/>
        <v>0</v>
      </c>
      <c r="AP251" s="19"/>
      <c r="AQ251" s="19"/>
      <c r="AR251" s="19"/>
      <c r="AS251" s="65"/>
      <c r="AT251" s="63"/>
      <c r="AU251" s="47"/>
      <c r="AV251" s="14"/>
      <c r="AW251" s="107" t="s">
        <v>29</v>
      </c>
      <c r="AX251" s="33">
        <f t="shared" si="191"/>
        <v>0</v>
      </c>
      <c r="AY251" s="117">
        <f t="shared" si="192"/>
        <v>0</v>
      </c>
      <c r="AZ251" s="116">
        <f t="shared" si="193"/>
        <v>0</v>
      </c>
      <c r="BA251" s="33">
        <f t="shared" si="194"/>
        <v>0</v>
      </c>
      <c r="BB251" s="117">
        <f t="shared" si="195"/>
        <v>0</v>
      </c>
      <c r="BC251" s="116">
        <f t="shared" si="196"/>
        <v>0</v>
      </c>
      <c r="BD251" s="27">
        <f t="shared" si="206"/>
        <v>0</v>
      </c>
      <c r="BE251" s="19"/>
      <c r="BF251" s="19"/>
      <c r="BG251" s="19"/>
      <c r="BH251" s="65"/>
      <c r="BI251" s="63"/>
      <c r="BJ251" s="352"/>
      <c r="BK251" s="19"/>
      <c r="BL251" s="107" t="s">
        <v>29</v>
      </c>
      <c r="BM251" s="33">
        <f t="shared" si="197"/>
        <v>0</v>
      </c>
      <c r="BN251" s="117">
        <f t="shared" si="198"/>
        <v>0</v>
      </c>
      <c r="BO251" s="116">
        <f t="shared" si="199"/>
        <v>0</v>
      </c>
      <c r="BP251" s="33">
        <f t="shared" si="200"/>
        <v>0</v>
      </c>
      <c r="BQ251" s="117">
        <f t="shared" si="201"/>
        <v>0</v>
      </c>
      <c r="BR251" s="116">
        <f t="shared" si="202"/>
        <v>0</v>
      </c>
      <c r="BS251" s="27">
        <f t="shared" si="207"/>
        <v>0</v>
      </c>
      <c r="BT251" s="19"/>
      <c r="BU251" s="19"/>
      <c r="BV251" s="19"/>
      <c r="BW251" s="65"/>
      <c r="BX251" s="63"/>
      <c r="BY251" s="352"/>
      <c r="BZ251" s="14"/>
      <c r="CA251" s="14"/>
      <c r="CB251" s="21"/>
      <c r="CC251" s="21"/>
      <c r="CD251" s="180"/>
      <c r="CE251" s="180"/>
      <c r="CF251" s="21"/>
      <c r="CG251" s="14"/>
      <c r="CH251" s="14"/>
      <c r="CI251" s="14"/>
      <c r="CJ251" s="14"/>
      <c r="CK251" s="14"/>
      <c r="CL251" s="14"/>
      <c r="CM251" s="14"/>
      <c r="CN251" s="14"/>
      <c r="CO251" s="129"/>
      <c r="CP251" s="14"/>
      <c r="CQ251" s="47"/>
      <c r="CR251" s="14"/>
      <c r="CS251" s="14"/>
      <c r="CT251" s="14"/>
      <c r="CU251" s="14"/>
      <c r="CV251" s="180"/>
      <c r="CW251" s="189"/>
      <c r="CX251" s="189"/>
      <c r="CY251" s="14"/>
      <c r="CZ251" s="14"/>
      <c r="DA251" s="14"/>
      <c r="DB251" s="14"/>
      <c r="DC251" s="14"/>
      <c r="DD251" s="14"/>
      <c r="DE251" s="14"/>
      <c r="DF251" s="14"/>
      <c r="DG251" s="129"/>
      <c r="DH251" s="14"/>
      <c r="DI251" s="47"/>
      <c r="DJ251" s="14"/>
      <c r="DK251" s="107" t="s">
        <v>38</v>
      </c>
      <c r="DL251" s="33">
        <f>DQ75</f>
        <v>0</v>
      </c>
      <c r="DM251" s="117">
        <f>DQ102</f>
        <v>0</v>
      </c>
      <c r="DN251" s="116">
        <f>DQ129</f>
        <v>0</v>
      </c>
      <c r="DO251" s="33">
        <f>DQ156</f>
        <v>0</v>
      </c>
      <c r="DP251" s="117">
        <f>DQ183</f>
        <v>0</v>
      </c>
      <c r="DQ251" s="116">
        <f>DQ210</f>
        <v>0</v>
      </c>
      <c r="DR251" s="27">
        <f t="shared" si="203"/>
        <v>0</v>
      </c>
      <c r="DS251" s="14"/>
      <c r="DT251" s="14"/>
      <c r="DU251" s="14"/>
      <c r="DV251" s="14"/>
      <c r="DW251" s="14"/>
      <c r="DX251" s="14"/>
      <c r="DY251" s="14"/>
      <c r="DZ251" s="14"/>
      <c r="EA251" s="14"/>
      <c r="EB251" s="14"/>
      <c r="EC251" s="14"/>
      <c r="ED251" s="14"/>
      <c r="EE251" s="14"/>
      <c r="EF251" s="14"/>
      <c r="EG251" s="14"/>
      <c r="EH251" s="14"/>
      <c r="EI251" s="14"/>
      <c r="EJ251" s="14"/>
      <c r="EK251" s="14"/>
      <c r="EL251" s="14"/>
    </row>
    <row r="252" spans="1:142" x14ac:dyDescent="0.25">
      <c r="A252" s="14"/>
      <c r="B252" s="107" t="s">
        <v>39</v>
      </c>
      <c r="C252" s="33">
        <f>H76</f>
        <v>2</v>
      </c>
      <c r="D252" s="117">
        <f>H103</f>
        <v>0</v>
      </c>
      <c r="E252" s="116">
        <f>H130</f>
        <v>0</v>
      </c>
      <c r="F252" s="33">
        <f>H157</f>
        <v>0</v>
      </c>
      <c r="G252" s="117">
        <f>H184</f>
        <v>0</v>
      </c>
      <c r="H252" s="116">
        <f>H211</f>
        <v>0</v>
      </c>
      <c r="I252" s="27">
        <f t="shared" si="178"/>
        <v>2</v>
      </c>
      <c r="J252" s="14"/>
      <c r="K252" s="14"/>
      <c r="L252" s="14"/>
      <c r="M252" s="14"/>
      <c r="N252" s="14"/>
      <c r="O252" s="14"/>
      <c r="P252" s="14"/>
      <c r="Q252" s="47"/>
      <c r="R252" s="19"/>
      <c r="S252" s="107" t="s">
        <v>3</v>
      </c>
      <c r="T252" s="33">
        <f t="shared" si="179"/>
        <v>0</v>
      </c>
      <c r="U252" s="117">
        <f t="shared" si="180"/>
        <v>0</v>
      </c>
      <c r="V252" s="116">
        <f t="shared" si="181"/>
        <v>0</v>
      </c>
      <c r="W252" s="33">
        <f t="shared" si="182"/>
        <v>0</v>
      </c>
      <c r="X252" s="117">
        <f t="shared" si="183"/>
        <v>0</v>
      </c>
      <c r="Y252" s="116">
        <f t="shared" si="184"/>
        <v>0</v>
      </c>
      <c r="Z252" s="27">
        <f t="shared" si="204"/>
        <v>0</v>
      </c>
      <c r="AA252" s="19"/>
      <c r="AB252" s="19"/>
      <c r="AC252" s="19"/>
      <c r="AD252" s="65"/>
      <c r="AE252" s="63"/>
      <c r="AF252" s="47"/>
      <c r="AG252" s="19"/>
      <c r="AH252" s="107" t="s">
        <v>3</v>
      </c>
      <c r="AI252" s="33">
        <f t="shared" si="185"/>
        <v>0</v>
      </c>
      <c r="AJ252" s="117">
        <f t="shared" si="186"/>
        <v>0</v>
      </c>
      <c r="AK252" s="116">
        <f t="shared" si="187"/>
        <v>0</v>
      </c>
      <c r="AL252" s="33">
        <f t="shared" si="188"/>
        <v>0</v>
      </c>
      <c r="AM252" s="117">
        <f t="shared" si="189"/>
        <v>0</v>
      </c>
      <c r="AN252" s="116">
        <f t="shared" si="190"/>
        <v>0</v>
      </c>
      <c r="AO252" s="27">
        <f t="shared" si="205"/>
        <v>0</v>
      </c>
      <c r="AP252" s="19"/>
      <c r="AQ252" s="19"/>
      <c r="AR252" s="19"/>
      <c r="AS252" s="65"/>
      <c r="AT252" s="63"/>
      <c r="AU252" s="47"/>
      <c r="AV252" s="14"/>
      <c r="AW252" s="107" t="s">
        <v>3</v>
      </c>
      <c r="AX252" s="33">
        <f t="shared" si="191"/>
        <v>0</v>
      </c>
      <c r="AY252" s="117">
        <f t="shared" si="192"/>
        <v>0</v>
      </c>
      <c r="AZ252" s="116">
        <f t="shared" si="193"/>
        <v>0</v>
      </c>
      <c r="BA252" s="33">
        <f t="shared" si="194"/>
        <v>0</v>
      </c>
      <c r="BB252" s="117">
        <f t="shared" si="195"/>
        <v>0</v>
      </c>
      <c r="BC252" s="116">
        <f t="shared" si="196"/>
        <v>0</v>
      </c>
      <c r="BD252" s="27">
        <f t="shared" si="206"/>
        <v>0</v>
      </c>
      <c r="BE252" s="19"/>
      <c r="BF252" s="19"/>
      <c r="BG252" s="19"/>
      <c r="BH252" s="65"/>
      <c r="BI252" s="63"/>
      <c r="BJ252" s="352"/>
      <c r="BK252" s="19"/>
      <c r="BL252" s="107" t="s">
        <v>3</v>
      </c>
      <c r="BM252" s="33">
        <f t="shared" si="197"/>
        <v>0</v>
      </c>
      <c r="BN252" s="117">
        <f t="shared" si="198"/>
        <v>0</v>
      </c>
      <c r="BO252" s="116">
        <f t="shared" si="199"/>
        <v>0</v>
      </c>
      <c r="BP252" s="33">
        <f t="shared" si="200"/>
        <v>0</v>
      </c>
      <c r="BQ252" s="117">
        <f t="shared" si="201"/>
        <v>0</v>
      </c>
      <c r="BR252" s="116">
        <f t="shared" si="202"/>
        <v>0</v>
      </c>
      <c r="BS252" s="27">
        <f t="shared" si="207"/>
        <v>0</v>
      </c>
      <c r="BT252" s="19"/>
      <c r="BU252" s="19"/>
      <c r="BV252" s="19"/>
      <c r="BW252" s="65"/>
      <c r="BX252" s="63"/>
      <c r="BY252" s="352"/>
      <c r="BZ252" s="14"/>
      <c r="CA252" s="14"/>
      <c r="CB252" s="21"/>
      <c r="CC252" s="21"/>
      <c r="CD252" s="180"/>
      <c r="CE252" s="180"/>
      <c r="CF252" s="21"/>
      <c r="CG252" s="14"/>
      <c r="CH252" s="14"/>
      <c r="CI252" s="14"/>
      <c r="CJ252" s="14"/>
      <c r="CK252" s="14"/>
      <c r="CL252" s="14"/>
      <c r="CM252" s="14"/>
      <c r="CN252" s="14"/>
      <c r="CO252" s="129"/>
      <c r="CP252" s="14"/>
      <c r="CQ252" s="47"/>
      <c r="CR252" s="14"/>
      <c r="CS252" s="14"/>
      <c r="CT252" s="14"/>
      <c r="CU252" s="14"/>
      <c r="CV252" s="180"/>
      <c r="CW252" s="189"/>
      <c r="CX252" s="189"/>
      <c r="CY252" s="14"/>
      <c r="CZ252" s="14"/>
      <c r="DA252" s="14"/>
      <c r="DB252" s="14"/>
      <c r="DC252" s="14"/>
      <c r="DD252" s="14"/>
      <c r="DE252" s="14"/>
      <c r="DF252" s="14"/>
      <c r="DG252" s="129"/>
      <c r="DH252" s="14"/>
      <c r="DI252" s="47"/>
      <c r="DJ252" s="14"/>
      <c r="DK252" s="107" t="s">
        <v>39</v>
      </c>
      <c r="DL252" s="33">
        <f>DQ76</f>
        <v>0</v>
      </c>
      <c r="DM252" s="117">
        <f>DQ103</f>
        <v>0</v>
      </c>
      <c r="DN252" s="116">
        <f>DQ130</f>
        <v>0</v>
      </c>
      <c r="DO252" s="33">
        <f>DQ157</f>
        <v>0</v>
      </c>
      <c r="DP252" s="117">
        <f>DQ184</f>
        <v>0</v>
      </c>
      <c r="DQ252" s="116">
        <f>DQ211</f>
        <v>0</v>
      </c>
      <c r="DR252" s="27">
        <f t="shared" si="203"/>
        <v>0</v>
      </c>
      <c r="DS252" s="14"/>
      <c r="DT252" s="14"/>
      <c r="DU252" s="14"/>
      <c r="DV252" s="14"/>
      <c r="DW252" s="14"/>
      <c r="DX252" s="14"/>
      <c r="DY252" s="14"/>
      <c r="DZ252" s="14"/>
      <c r="EA252" s="14"/>
      <c r="EB252" s="14"/>
      <c r="EC252" s="14"/>
      <c r="ED252" s="14"/>
      <c r="EE252" s="14"/>
      <c r="EF252" s="14"/>
      <c r="EG252" s="14"/>
      <c r="EH252" s="14"/>
      <c r="EI252" s="14"/>
      <c r="EJ252" s="14"/>
      <c r="EK252" s="14"/>
      <c r="EL252" s="14"/>
    </row>
    <row r="253" spans="1:142" x14ac:dyDescent="0.25">
      <c r="A253" s="14"/>
      <c r="B253" s="86" t="s">
        <v>8</v>
      </c>
      <c r="C253" s="111">
        <f t="shared" ref="C253:H253" si="208">SUM(C248:C252)</f>
        <v>3</v>
      </c>
      <c r="D253" s="111">
        <f t="shared" si="208"/>
        <v>0</v>
      </c>
      <c r="E253" s="111">
        <f t="shared" si="208"/>
        <v>1</v>
      </c>
      <c r="F253" s="111">
        <f t="shared" si="208"/>
        <v>0</v>
      </c>
      <c r="G253" s="111">
        <f t="shared" si="208"/>
        <v>0</v>
      </c>
      <c r="H253" s="111">
        <f t="shared" si="208"/>
        <v>0</v>
      </c>
      <c r="I253" s="111">
        <f t="shared" si="178"/>
        <v>4</v>
      </c>
      <c r="J253" s="14"/>
      <c r="K253" s="14"/>
      <c r="L253" s="14"/>
      <c r="M253" s="14"/>
      <c r="N253" s="14"/>
      <c r="O253" s="14"/>
      <c r="P253" s="14"/>
      <c r="Q253" s="47"/>
      <c r="R253" s="19"/>
      <c r="S253" s="107" t="s">
        <v>54</v>
      </c>
      <c r="T253" s="33">
        <f t="shared" si="179"/>
        <v>0</v>
      </c>
      <c r="U253" s="117">
        <f t="shared" si="180"/>
        <v>0</v>
      </c>
      <c r="V253" s="116">
        <f t="shared" si="181"/>
        <v>0</v>
      </c>
      <c r="W253" s="33">
        <f t="shared" si="182"/>
        <v>0</v>
      </c>
      <c r="X253" s="117">
        <f t="shared" si="183"/>
        <v>0</v>
      </c>
      <c r="Y253" s="116">
        <f t="shared" si="184"/>
        <v>0</v>
      </c>
      <c r="Z253" s="27">
        <f t="shared" si="204"/>
        <v>0</v>
      </c>
      <c r="AA253" s="19"/>
      <c r="AB253" s="19"/>
      <c r="AC253" s="19"/>
      <c r="AD253" s="65"/>
      <c r="AE253" s="63"/>
      <c r="AF253" s="47"/>
      <c r="AG253" s="19"/>
      <c r="AH253" s="107" t="s">
        <v>54</v>
      </c>
      <c r="AI253" s="33">
        <f t="shared" si="185"/>
        <v>0</v>
      </c>
      <c r="AJ253" s="117">
        <f t="shared" si="186"/>
        <v>0</v>
      </c>
      <c r="AK253" s="116">
        <f t="shared" si="187"/>
        <v>0</v>
      </c>
      <c r="AL253" s="33">
        <f t="shared" si="188"/>
        <v>0</v>
      </c>
      <c r="AM253" s="117">
        <f t="shared" si="189"/>
        <v>0</v>
      </c>
      <c r="AN253" s="116">
        <f t="shared" si="190"/>
        <v>0</v>
      </c>
      <c r="AO253" s="27">
        <f t="shared" si="205"/>
        <v>0</v>
      </c>
      <c r="AP253" s="19"/>
      <c r="AQ253" s="19"/>
      <c r="AR253" s="19"/>
      <c r="AS253" s="65"/>
      <c r="AT253" s="63"/>
      <c r="AU253" s="47"/>
      <c r="AV253" s="14"/>
      <c r="AW253" s="107" t="s">
        <v>54</v>
      </c>
      <c r="AX253" s="33">
        <f t="shared" si="191"/>
        <v>0</v>
      </c>
      <c r="AY253" s="117">
        <f t="shared" si="192"/>
        <v>0</v>
      </c>
      <c r="AZ253" s="116">
        <f t="shared" si="193"/>
        <v>0</v>
      </c>
      <c r="BA253" s="33">
        <f t="shared" si="194"/>
        <v>0</v>
      </c>
      <c r="BB253" s="117">
        <f t="shared" si="195"/>
        <v>0</v>
      </c>
      <c r="BC253" s="116">
        <f t="shared" si="196"/>
        <v>0</v>
      </c>
      <c r="BD253" s="27">
        <f t="shared" si="206"/>
        <v>0</v>
      </c>
      <c r="BE253" s="19"/>
      <c r="BF253" s="19"/>
      <c r="BG253" s="19"/>
      <c r="BH253" s="65"/>
      <c r="BI253" s="63"/>
      <c r="BJ253" s="352"/>
      <c r="BK253" s="19"/>
      <c r="BL253" s="107" t="s">
        <v>54</v>
      </c>
      <c r="BM253" s="33">
        <f t="shared" si="197"/>
        <v>0</v>
      </c>
      <c r="BN253" s="117">
        <f t="shared" si="198"/>
        <v>0</v>
      </c>
      <c r="BO253" s="116">
        <f t="shared" si="199"/>
        <v>0</v>
      </c>
      <c r="BP253" s="33">
        <f t="shared" si="200"/>
        <v>0</v>
      </c>
      <c r="BQ253" s="117">
        <f t="shared" si="201"/>
        <v>0</v>
      </c>
      <c r="BR253" s="116">
        <f t="shared" si="202"/>
        <v>0</v>
      </c>
      <c r="BS253" s="27">
        <f t="shared" si="207"/>
        <v>0</v>
      </c>
      <c r="BT253" s="19"/>
      <c r="BU253" s="19"/>
      <c r="BV253" s="19"/>
      <c r="BW253" s="65"/>
      <c r="BX253" s="63"/>
      <c r="BY253" s="352"/>
      <c r="BZ253" s="14"/>
      <c r="CA253" s="14"/>
      <c r="CB253" s="21"/>
      <c r="CC253" s="21"/>
      <c r="CD253" s="180"/>
      <c r="CE253" s="180"/>
      <c r="CF253" s="21"/>
      <c r="CG253" s="14"/>
      <c r="CH253" s="14"/>
      <c r="CI253" s="14"/>
      <c r="CJ253" s="14"/>
      <c r="CK253" s="14"/>
      <c r="CL253" s="14"/>
      <c r="CM253" s="14"/>
      <c r="CN253" s="14"/>
      <c r="CO253" s="129"/>
      <c r="CP253" s="14"/>
      <c r="CQ253" s="47"/>
      <c r="CR253" s="14"/>
      <c r="CS253" s="14"/>
      <c r="CT253" s="14"/>
      <c r="CU253" s="14"/>
      <c r="CV253" s="180"/>
      <c r="CW253" s="189"/>
      <c r="CX253" s="189"/>
      <c r="CY253" s="14"/>
      <c r="CZ253" s="14"/>
      <c r="DA253" s="14"/>
      <c r="DB253" s="14"/>
      <c r="DC253" s="14"/>
      <c r="DD253" s="14"/>
      <c r="DE253" s="14"/>
      <c r="DF253" s="14"/>
      <c r="DG253" s="129"/>
      <c r="DH253" s="14"/>
      <c r="DI253" s="47"/>
      <c r="DJ253" s="14"/>
      <c r="DK253" s="86" t="s">
        <v>8</v>
      </c>
      <c r="DL253" s="111">
        <f t="shared" ref="DL253:DQ253" si="209">SUM(DL248:DL252)</f>
        <v>3</v>
      </c>
      <c r="DM253" s="111">
        <f t="shared" si="209"/>
        <v>0</v>
      </c>
      <c r="DN253" s="111">
        <f t="shared" si="209"/>
        <v>1</v>
      </c>
      <c r="DO253" s="111">
        <f t="shared" si="209"/>
        <v>0</v>
      </c>
      <c r="DP253" s="111">
        <f t="shared" si="209"/>
        <v>0</v>
      </c>
      <c r="DQ253" s="111">
        <f t="shared" si="209"/>
        <v>0</v>
      </c>
      <c r="DR253" s="111">
        <f t="shared" si="203"/>
        <v>4</v>
      </c>
      <c r="DS253" s="14"/>
      <c r="DT253" s="14"/>
      <c r="DU253" s="14"/>
      <c r="DV253" s="14"/>
      <c r="DW253" s="14"/>
      <c r="DX253" s="14"/>
      <c r="DY253" s="14"/>
      <c r="DZ253" s="14"/>
      <c r="EA253" s="14"/>
      <c r="EB253" s="14"/>
      <c r="EC253" s="14"/>
      <c r="ED253" s="14"/>
      <c r="EE253" s="14"/>
      <c r="EF253" s="14"/>
      <c r="EG253" s="14"/>
      <c r="EH253" s="14"/>
      <c r="EI253" s="14"/>
      <c r="EJ253" s="14"/>
      <c r="EK253" s="14"/>
      <c r="EL253" s="14"/>
    </row>
    <row r="254" spans="1:142" x14ac:dyDescent="0.25">
      <c r="A254" s="14"/>
      <c r="B254" s="107"/>
      <c r="C254" s="33"/>
      <c r="D254" s="117"/>
      <c r="E254" s="116"/>
      <c r="F254" s="33"/>
      <c r="G254" s="117"/>
      <c r="H254" s="116"/>
      <c r="I254" s="27"/>
      <c r="J254" s="14"/>
      <c r="K254" s="14"/>
      <c r="L254" s="14"/>
      <c r="M254" s="14"/>
      <c r="N254" s="14"/>
      <c r="O254" s="14"/>
      <c r="P254" s="14"/>
      <c r="Q254" s="47"/>
      <c r="R254" s="19"/>
      <c r="S254" s="107" t="s">
        <v>39</v>
      </c>
      <c r="T254" s="33">
        <f t="shared" si="179"/>
        <v>3</v>
      </c>
      <c r="U254" s="117">
        <f t="shared" si="180"/>
        <v>0</v>
      </c>
      <c r="V254" s="116">
        <f t="shared" si="181"/>
        <v>0</v>
      </c>
      <c r="W254" s="33">
        <f t="shared" si="182"/>
        <v>0</v>
      </c>
      <c r="X254" s="117">
        <f t="shared" si="183"/>
        <v>0</v>
      </c>
      <c r="Y254" s="116">
        <f t="shared" si="184"/>
        <v>0</v>
      </c>
      <c r="Z254" s="27">
        <f t="shared" si="204"/>
        <v>3</v>
      </c>
      <c r="AA254" s="19"/>
      <c r="AB254" s="19"/>
      <c r="AC254" s="19"/>
      <c r="AD254" s="65"/>
      <c r="AE254" s="63"/>
      <c r="AF254" s="47"/>
      <c r="AG254" s="19"/>
      <c r="AH254" s="107" t="s">
        <v>39</v>
      </c>
      <c r="AI254" s="33">
        <f t="shared" si="185"/>
        <v>0</v>
      </c>
      <c r="AJ254" s="117">
        <f t="shared" si="186"/>
        <v>0</v>
      </c>
      <c r="AK254" s="116">
        <f t="shared" si="187"/>
        <v>0</v>
      </c>
      <c r="AL254" s="33">
        <f t="shared" si="188"/>
        <v>0</v>
      </c>
      <c r="AM254" s="117">
        <f t="shared" si="189"/>
        <v>0</v>
      </c>
      <c r="AN254" s="116">
        <f t="shared" si="190"/>
        <v>0</v>
      </c>
      <c r="AO254" s="27">
        <f t="shared" si="205"/>
        <v>0</v>
      </c>
      <c r="AP254" s="19"/>
      <c r="AQ254" s="19"/>
      <c r="AR254" s="19"/>
      <c r="AS254" s="65"/>
      <c r="AT254" s="63"/>
      <c r="AU254" s="47"/>
      <c r="AV254" s="14"/>
      <c r="AW254" s="107" t="s">
        <v>39</v>
      </c>
      <c r="AX254" s="33">
        <f t="shared" si="191"/>
        <v>0</v>
      </c>
      <c r="AY254" s="117">
        <f t="shared" si="192"/>
        <v>0</v>
      </c>
      <c r="AZ254" s="116">
        <f t="shared" si="193"/>
        <v>0</v>
      </c>
      <c r="BA254" s="33">
        <f t="shared" si="194"/>
        <v>0</v>
      </c>
      <c r="BB254" s="117">
        <f t="shared" si="195"/>
        <v>0</v>
      </c>
      <c r="BC254" s="116">
        <f t="shared" si="196"/>
        <v>0</v>
      </c>
      <c r="BD254" s="27">
        <f t="shared" si="206"/>
        <v>0</v>
      </c>
      <c r="BE254" s="19"/>
      <c r="BF254" s="19"/>
      <c r="BG254" s="19"/>
      <c r="BH254" s="65"/>
      <c r="BI254" s="63"/>
      <c r="BJ254" s="352"/>
      <c r="BK254" s="19"/>
      <c r="BL254" s="107" t="s">
        <v>39</v>
      </c>
      <c r="BM254" s="33">
        <f t="shared" si="197"/>
        <v>0</v>
      </c>
      <c r="BN254" s="117">
        <f t="shared" si="198"/>
        <v>0</v>
      </c>
      <c r="BO254" s="116">
        <f t="shared" si="199"/>
        <v>0</v>
      </c>
      <c r="BP254" s="33">
        <f t="shared" si="200"/>
        <v>0</v>
      </c>
      <c r="BQ254" s="117">
        <f t="shared" si="201"/>
        <v>0</v>
      </c>
      <c r="BR254" s="116">
        <f t="shared" si="202"/>
        <v>0</v>
      </c>
      <c r="BS254" s="27">
        <f t="shared" si="207"/>
        <v>0</v>
      </c>
      <c r="BT254" s="19"/>
      <c r="BU254" s="19"/>
      <c r="BV254" s="19"/>
      <c r="BW254" s="65"/>
      <c r="BX254" s="63"/>
      <c r="BY254" s="352"/>
      <c r="BZ254" s="14"/>
      <c r="CA254" s="14"/>
      <c r="CB254" s="21"/>
      <c r="CC254" s="21"/>
      <c r="CD254" s="180"/>
      <c r="CE254" s="180"/>
      <c r="CF254" s="21"/>
      <c r="CG254" s="14"/>
      <c r="CH254" s="14"/>
      <c r="CI254" s="14"/>
      <c r="CJ254" s="14"/>
      <c r="CK254" s="14"/>
      <c r="CL254" s="14"/>
      <c r="CM254" s="14"/>
      <c r="CN254" s="14"/>
      <c r="CO254" s="129"/>
      <c r="CP254" s="14"/>
      <c r="CQ254" s="47"/>
      <c r="CR254" s="14"/>
      <c r="CS254" s="14"/>
      <c r="CT254" s="14"/>
      <c r="CU254" s="14"/>
      <c r="CV254" s="180"/>
      <c r="CW254" s="189"/>
      <c r="CX254" s="189"/>
      <c r="CY254" s="14"/>
      <c r="CZ254" s="14"/>
      <c r="DA254" s="14"/>
      <c r="DB254" s="14"/>
      <c r="DC254" s="14"/>
      <c r="DD254" s="14"/>
      <c r="DE254" s="14"/>
      <c r="DF254" s="14"/>
      <c r="DG254" s="129"/>
      <c r="DH254" s="14"/>
      <c r="DI254" s="47"/>
      <c r="DJ254" s="14"/>
      <c r="DK254" s="107"/>
      <c r="DL254" s="33"/>
      <c r="DM254" s="117"/>
      <c r="DN254" s="116"/>
      <c r="DO254" s="33"/>
      <c r="DP254" s="117"/>
      <c r="DQ254" s="116"/>
      <c r="DR254" s="27"/>
      <c r="DS254" s="14"/>
      <c r="DT254" s="14"/>
      <c r="DU254" s="14"/>
      <c r="DV254" s="14"/>
      <c r="DW254" s="14"/>
      <c r="DX254" s="14"/>
      <c r="DY254" s="14"/>
      <c r="DZ254" s="14"/>
      <c r="EA254" s="14"/>
      <c r="EB254" s="14"/>
      <c r="EC254" s="14"/>
      <c r="ED254" s="14"/>
      <c r="EE254" s="14"/>
      <c r="EF254" s="14"/>
      <c r="EG254" s="14"/>
      <c r="EH254" s="14"/>
      <c r="EI254" s="14"/>
      <c r="EJ254" s="14"/>
      <c r="EK254" s="14"/>
      <c r="EL254" s="14"/>
    </row>
    <row r="255" spans="1:142" x14ac:dyDescent="0.25">
      <c r="A255" s="14"/>
      <c r="B255" s="103"/>
      <c r="C255" s="114"/>
      <c r="D255" s="114"/>
      <c r="E255" s="114"/>
      <c r="F255" s="114"/>
      <c r="G255" s="114"/>
      <c r="H255" s="114"/>
      <c r="I255" s="114"/>
      <c r="J255" s="14"/>
      <c r="K255" s="14"/>
      <c r="L255" s="14"/>
      <c r="M255" s="14"/>
      <c r="N255" s="14"/>
      <c r="O255" s="14"/>
      <c r="P255" s="14"/>
      <c r="Q255" s="47"/>
      <c r="R255" s="19"/>
      <c r="S255" s="86" t="s">
        <v>8</v>
      </c>
      <c r="T255" s="111">
        <f t="shared" ref="T255:Y255" si="210">SUM(T248:T254)</f>
        <v>4</v>
      </c>
      <c r="U255" s="111">
        <f t="shared" si="210"/>
        <v>0</v>
      </c>
      <c r="V255" s="111">
        <f t="shared" si="210"/>
        <v>1</v>
      </c>
      <c r="W255" s="111">
        <f t="shared" si="210"/>
        <v>0</v>
      </c>
      <c r="X255" s="111">
        <f t="shared" si="210"/>
        <v>0</v>
      </c>
      <c r="Y255" s="111">
        <f t="shared" si="210"/>
        <v>0</v>
      </c>
      <c r="Z255" s="111">
        <f t="shared" si="204"/>
        <v>5</v>
      </c>
      <c r="AA255" s="19"/>
      <c r="AB255" s="19"/>
      <c r="AC255" s="19"/>
      <c r="AD255" s="65"/>
      <c r="AE255" s="63"/>
      <c r="AF255" s="47"/>
      <c r="AG255" s="19"/>
      <c r="AH255" s="86" t="s">
        <v>8</v>
      </c>
      <c r="AI255" s="111">
        <f t="shared" ref="AI255:AN255" si="211">SUM(AI248:AI254)</f>
        <v>2</v>
      </c>
      <c r="AJ255" s="111">
        <f t="shared" si="211"/>
        <v>1</v>
      </c>
      <c r="AK255" s="111">
        <f t="shared" si="211"/>
        <v>1</v>
      </c>
      <c r="AL255" s="111">
        <f t="shared" si="211"/>
        <v>1</v>
      </c>
      <c r="AM255" s="111">
        <f t="shared" si="211"/>
        <v>1</v>
      </c>
      <c r="AN255" s="111">
        <f t="shared" si="211"/>
        <v>0</v>
      </c>
      <c r="AO255" s="111">
        <f t="shared" si="205"/>
        <v>6</v>
      </c>
      <c r="AP255" s="19"/>
      <c r="AQ255" s="19"/>
      <c r="AR255" s="19"/>
      <c r="AS255" s="65"/>
      <c r="AT255" s="63"/>
      <c r="AU255" s="47"/>
      <c r="AV255" s="14"/>
      <c r="AW255" s="86" t="s">
        <v>8</v>
      </c>
      <c r="AX255" s="111">
        <f t="shared" ref="AX255:BC255" si="212">SUM(AX248:AX254)</f>
        <v>2</v>
      </c>
      <c r="AY255" s="111">
        <f t="shared" si="212"/>
        <v>1</v>
      </c>
      <c r="AZ255" s="111">
        <f t="shared" si="212"/>
        <v>1</v>
      </c>
      <c r="BA255" s="111">
        <f t="shared" si="212"/>
        <v>1</v>
      </c>
      <c r="BB255" s="111">
        <f t="shared" si="212"/>
        <v>1</v>
      </c>
      <c r="BC255" s="111">
        <f t="shared" si="212"/>
        <v>0</v>
      </c>
      <c r="BD255" s="111">
        <f t="shared" si="206"/>
        <v>6</v>
      </c>
      <c r="BE255" s="19"/>
      <c r="BF255" s="19"/>
      <c r="BG255" s="19"/>
      <c r="BH255" s="65"/>
      <c r="BI255" s="63"/>
      <c r="BJ255" s="352"/>
      <c r="BK255" s="19"/>
      <c r="BL255" s="86" t="s">
        <v>8</v>
      </c>
      <c r="BM255" s="111">
        <f t="shared" ref="BM255:BR255" si="213">SUM(BM248:BM254)</f>
        <v>2</v>
      </c>
      <c r="BN255" s="111">
        <f t="shared" si="213"/>
        <v>1</v>
      </c>
      <c r="BO255" s="111">
        <f t="shared" si="213"/>
        <v>1</v>
      </c>
      <c r="BP255" s="111">
        <f t="shared" si="213"/>
        <v>1</v>
      </c>
      <c r="BQ255" s="111">
        <f t="shared" si="213"/>
        <v>1</v>
      </c>
      <c r="BR255" s="111">
        <f t="shared" si="213"/>
        <v>0</v>
      </c>
      <c r="BS255" s="111">
        <f t="shared" si="207"/>
        <v>6</v>
      </c>
      <c r="BT255" s="19"/>
      <c r="BU255" s="19"/>
      <c r="BV255" s="19"/>
      <c r="BW255" s="65"/>
      <c r="BX255" s="63"/>
      <c r="BY255" s="352"/>
      <c r="BZ255" s="14"/>
      <c r="CA255" s="14"/>
      <c r="CB255" s="21"/>
      <c r="CC255" s="21"/>
      <c r="CD255" s="180"/>
      <c r="CE255" s="180"/>
      <c r="CF255" s="21"/>
      <c r="CG255" s="14"/>
      <c r="CH255" s="14"/>
      <c r="CI255" s="14"/>
      <c r="CJ255" s="14"/>
      <c r="CK255" s="14"/>
      <c r="CL255" s="14"/>
      <c r="CM255" s="14"/>
      <c r="CN255" s="14"/>
      <c r="CO255" s="129"/>
      <c r="CP255" s="14"/>
      <c r="CQ255" s="47"/>
      <c r="CR255" s="14"/>
      <c r="CS255" s="14"/>
      <c r="CT255" s="14"/>
      <c r="CU255" s="14"/>
      <c r="CV255" s="180"/>
      <c r="CW255" s="189"/>
      <c r="CX255" s="189"/>
      <c r="CY255" s="14"/>
      <c r="CZ255" s="14"/>
      <c r="DA255" s="14"/>
      <c r="DB255" s="14"/>
      <c r="DC255" s="14"/>
      <c r="DD255" s="14"/>
      <c r="DE255" s="14"/>
      <c r="DF255" s="14"/>
      <c r="DG255" s="129"/>
      <c r="DH255" s="14"/>
      <c r="DI255" s="47"/>
      <c r="DJ255" s="14"/>
      <c r="DK255" s="103"/>
      <c r="DL255" s="114"/>
      <c r="DM255" s="114"/>
      <c r="DN255" s="114"/>
      <c r="DO255" s="114"/>
      <c r="DP255" s="114"/>
      <c r="DQ255" s="114"/>
      <c r="DR255" s="114"/>
      <c r="DS255" s="14"/>
      <c r="DT255" s="14"/>
      <c r="DU255" s="14"/>
      <c r="DV255" s="14"/>
      <c r="DW255" s="14"/>
      <c r="DX255" s="14"/>
      <c r="DY255" s="14"/>
      <c r="DZ255" s="14"/>
      <c r="EA255" s="14"/>
      <c r="EB255" s="14"/>
      <c r="EC255" s="14"/>
      <c r="ED255" s="14"/>
      <c r="EE255" s="14"/>
      <c r="EF255" s="14"/>
      <c r="EG255" s="14"/>
      <c r="EH255" s="14"/>
      <c r="EI255" s="14"/>
      <c r="EJ255" s="14"/>
      <c r="EK255" s="14"/>
      <c r="EL255" s="14"/>
    </row>
    <row r="256" spans="1:142" x14ac:dyDescent="0.25">
      <c r="A256" s="14"/>
      <c r="B256" s="19"/>
      <c r="C256" s="40"/>
      <c r="D256" s="41"/>
      <c r="E256" s="40"/>
      <c r="F256" s="40"/>
      <c r="G256" s="40"/>
      <c r="H256" s="41"/>
      <c r="I256" s="72"/>
      <c r="J256" s="14"/>
      <c r="K256" s="14"/>
      <c r="L256" s="14"/>
      <c r="M256" s="14"/>
      <c r="N256" s="14"/>
      <c r="O256" s="14"/>
      <c r="P256" s="14"/>
      <c r="Q256" s="47"/>
      <c r="R256" s="19"/>
      <c r="S256" s="19"/>
      <c r="T256" s="14"/>
      <c r="U256" s="14"/>
      <c r="V256" s="14"/>
      <c r="W256" s="14"/>
      <c r="X256" s="14"/>
      <c r="Y256" s="14"/>
      <c r="Z256" s="14"/>
      <c r="AA256" s="14"/>
      <c r="AB256" s="14"/>
      <c r="AC256" s="14"/>
      <c r="AD256" s="65"/>
      <c r="AE256" s="63"/>
      <c r="AF256" s="47"/>
      <c r="AG256" s="19"/>
      <c r="AH256" s="19"/>
      <c r="AI256" s="14"/>
      <c r="AJ256" s="14"/>
      <c r="AK256" s="14"/>
      <c r="AL256" s="14"/>
      <c r="AM256" s="14"/>
      <c r="AN256" s="14"/>
      <c r="AO256" s="14"/>
      <c r="AP256" s="14"/>
      <c r="AQ256" s="14"/>
      <c r="AR256" s="14"/>
      <c r="AS256" s="65"/>
      <c r="AT256" s="63"/>
      <c r="AU256" s="47"/>
      <c r="AV256" s="14"/>
      <c r="AW256" s="19"/>
      <c r="AX256" s="14"/>
      <c r="AY256" s="14"/>
      <c r="AZ256" s="14"/>
      <c r="BA256" s="14"/>
      <c r="BB256" s="14"/>
      <c r="BC256" s="14"/>
      <c r="BD256" s="14"/>
      <c r="BE256" s="14"/>
      <c r="BF256" s="14"/>
      <c r="BG256" s="14"/>
      <c r="BH256" s="65"/>
      <c r="BI256" s="63"/>
      <c r="BJ256" s="352"/>
      <c r="BK256" s="19"/>
      <c r="BL256" s="19"/>
      <c r="BM256" s="14"/>
      <c r="BN256" s="14"/>
      <c r="BO256" s="14"/>
      <c r="BP256" s="14"/>
      <c r="BQ256" s="14"/>
      <c r="BR256" s="14"/>
      <c r="BS256" s="14"/>
      <c r="BT256" s="14"/>
      <c r="BU256" s="14"/>
      <c r="BV256" s="14"/>
      <c r="BW256" s="65"/>
      <c r="BX256" s="63"/>
      <c r="BY256" s="352"/>
      <c r="BZ256" s="14"/>
      <c r="CA256" s="14"/>
      <c r="CB256" s="21"/>
      <c r="CC256" s="21"/>
      <c r="CD256" s="180"/>
      <c r="CE256" s="180"/>
      <c r="CF256" s="21"/>
      <c r="CG256" s="14"/>
      <c r="CH256" s="14"/>
      <c r="CI256" s="14"/>
      <c r="CJ256" s="14"/>
      <c r="CK256" s="14"/>
      <c r="CL256" s="14"/>
      <c r="CM256" s="14"/>
      <c r="CN256" s="14"/>
      <c r="CO256" s="129"/>
      <c r="CP256" s="14"/>
      <c r="CQ256" s="47"/>
      <c r="CR256" s="14"/>
      <c r="CS256" s="14"/>
      <c r="CT256" s="14"/>
      <c r="CU256" s="14"/>
      <c r="CV256" s="180"/>
      <c r="CW256" s="189"/>
      <c r="CX256" s="189"/>
      <c r="CY256" s="14"/>
      <c r="CZ256" s="14"/>
      <c r="DA256" s="14"/>
      <c r="DB256" s="14"/>
      <c r="DC256" s="14"/>
      <c r="DD256" s="14"/>
      <c r="DE256" s="14"/>
      <c r="DF256" s="14"/>
      <c r="DG256" s="129"/>
      <c r="DH256" s="14"/>
      <c r="DI256" s="47"/>
      <c r="DJ256" s="14"/>
      <c r="DK256" s="19"/>
      <c r="DL256" s="40"/>
      <c r="DM256" s="41"/>
      <c r="DN256" s="40"/>
      <c r="DO256" s="40"/>
      <c r="DP256" s="40"/>
      <c r="DQ256" s="41"/>
      <c r="DR256" s="72"/>
      <c r="DS256" s="14"/>
      <c r="DT256" s="14"/>
      <c r="DU256" s="14"/>
      <c r="DV256" s="14"/>
      <c r="DW256" s="14"/>
      <c r="DX256" s="14"/>
      <c r="DY256" s="14"/>
      <c r="DZ256" s="14"/>
      <c r="EA256" s="14"/>
      <c r="EB256" s="14"/>
      <c r="EC256" s="14"/>
      <c r="ED256" s="14"/>
      <c r="EE256" s="14"/>
      <c r="EF256" s="14"/>
      <c r="EG256" s="14"/>
      <c r="EH256" s="14"/>
      <c r="EI256" s="14"/>
      <c r="EJ256" s="14"/>
      <c r="EK256" s="14"/>
      <c r="EL256" s="14"/>
    </row>
    <row r="257" spans="1:142" x14ac:dyDescent="0.25">
      <c r="A257" s="14"/>
      <c r="B257" s="19"/>
      <c r="C257" s="40"/>
      <c r="D257" s="41"/>
      <c r="E257" s="40"/>
      <c r="F257" s="40"/>
      <c r="G257" s="40"/>
      <c r="H257" s="41"/>
      <c r="I257" s="72"/>
      <c r="J257" s="14"/>
      <c r="K257" s="14"/>
      <c r="L257" s="14"/>
      <c r="M257" s="14"/>
      <c r="N257" s="14"/>
      <c r="O257" s="14"/>
      <c r="P257" s="14"/>
      <c r="Q257" s="47"/>
      <c r="R257" s="19"/>
      <c r="S257" s="19"/>
      <c r="T257" s="14"/>
      <c r="U257" s="14"/>
      <c r="V257" s="14"/>
      <c r="W257" s="14"/>
      <c r="X257" s="14"/>
      <c r="Y257" s="14"/>
      <c r="Z257" s="14"/>
      <c r="AA257" s="14"/>
      <c r="AB257" s="14"/>
      <c r="AC257" s="14"/>
      <c r="AD257" s="65"/>
      <c r="AE257" s="63"/>
      <c r="AF257" s="47"/>
      <c r="AG257" s="19"/>
      <c r="AH257" s="19"/>
      <c r="AI257" s="14"/>
      <c r="AJ257" s="14"/>
      <c r="AK257" s="14"/>
      <c r="AL257" s="14"/>
      <c r="AM257" s="14"/>
      <c r="AN257" s="14"/>
      <c r="AO257" s="14"/>
      <c r="AP257" s="14"/>
      <c r="AQ257" s="14"/>
      <c r="AR257" s="14"/>
      <c r="AS257" s="65"/>
      <c r="AT257" s="63"/>
      <c r="AU257" s="47"/>
      <c r="AV257" s="14"/>
      <c r="AW257" s="19"/>
      <c r="AX257" s="14"/>
      <c r="AY257" s="14"/>
      <c r="AZ257" s="14"/>
      <c r="BA257" s="14"/>
      <c r="BB257" s="14"/>
      <c r="BC257" s="14"/>
      <c r="BD257" s="14"/>
      <c r="BE257" s="14"/>
      <c r="BF257" s="14"/>
      <c r="BG257" s="14"/>
      <c r="BH257" s="65"/>
      <c r="BI257" s="63"/>
      <c r="BJ257" s="352"/>
      <c r="BK257" s="19"/>
      <c r="BL257" s="19"/>
      <c r="BM257" s="14"/>
      <c r="BN257" s="14"/>
      <c r="BO257" s="14"/>
      <c r="BP257" s="14"/>
      <c r="BQ257" s="14"/>
      <c r="BR257" s="14"/>
      <c r="BS257" s="14"/>
      <c r="BT257" s="14"/>
      <c r="BU257" s="14"/>
      <c r="BV257" s="14"/>
      <c r="BW257" s="65"/>
      <c r="BX257" s="63"/>
      <c r="BY257" s="352"/>
      <c r="BZ257" s="14"/>
      <c r="CA257" s="14"/>
      <c r="CB257" s="21"/>
      <c r="CC257" s="21"/>
      <c r="CD257" s="180"/>
      <c r="CE257" s="180"/>
      <c r="CF257" s="21"/>
      <c r="CG257" s="14"/>
      <c r="CH257" s="14"/>
      <c r="CI257" s="14"/>
      <c r="CJ257" s="14"/>
      <c r="CK257" s="14"/>
      <c r="CL257" s="14"/>
      <c r="CM257" s="14"/>
      <c r="CN257" s="14"/>
      <c r="CO257" s="129"/>
      <c r="CP257" s="14"/>
      <c r="CQ257" s="47"/>
      <c r="CR257" s="14"/>
      <c r="CS257" s="14"/>
      <c r="CT257" s="14"/>
      <c r="CU257" s="14"/>
      <c r="CV257" s="180"/>
      <c r="CW257" s="189"/>
      <c r="CX257" s="189"/>
      <c r="CY257" s="14"/>
      <c r="CZ257" s="14"/>
      <c r="DA257" s="14"/>
      <c r="DB257" s="14"/>
      <c r="DC257" s="14"/>
      <c r="DD257" s="14"/>
      <c r="DE257" s="14"/>
      <c r="DF257" s="14"/>
      <c r="DG257" s="129"/>
      <c r="DH257" s="14"/>
      <c r="DI257" s="47"/>
      <c r="DJ257" s="14"/>
      <c r="DK257" s="19"/>
      <c r="DL257" s="40"/>
      <c r="DM257" s="41"/>
      <c r="DN257" s="40"/>
      <c r="DO257" s="40"/>
      <c r="DP257" s="40"/>
      <c r="DQ257" s="41"/>
      <c r="DR257" s="72"/>
      <c r="DS257" s="14"/>
      <c r="DT257" s="14"/>
      <c r="DU257" s="14"/>
      <c r="DV257" s="14"/>
      <c r="DW257" s="14"/>
      <c r="DX257" s="14"/>
      <c r="DY257" s="14"/>
      <c r="DZ257" s="14"/>
      <c r="EA257" s="14"/>
      <c r="EB257" s="14"/>
      <c r="EC257" s="14"/>
      <c r="ED257" s="14"/>
      <c r="EE257" s="14"/>
      <c r="EF257" s="14"/>
      <c r="EG257" s="14"/>
      <c r="EH257" s="14"/>
      <c r="EI257" s="14"/>
      <c r="EJ257" s="14"/>
      <c r="EK257" s="14"/>
      <c r="EL257" s="14"/>
    </row>
    <row r="258" spans="1:142" x14ac:dyDescent="0.25">
      <c r="A258" s="14"/>
      <c r="B258" s="19"/>
      <c r="C258" s="40"/>
      <c r="D258" s="41"/>
      <c r="E258" s="40"/>
      <c r="F258" s="40"/>
      <c r="G258" s="40"/>
      <c r="H258" s="41"/>
      <c r="I258" s="72"/>
      <c r="J258" s="14"/>
      <c r="K258" s="14"/>
      <c r="L258" s="14"/>
      <c r="M258" s="14"/>
      <c r="N258" s="14"/>
      <c r="O258" s="14"/>
      <c r="P258" s="14"/>
      <c r="Q258" s="47"/>
      <c r="R258" s="19"/>
      <c r="S258" s="19"/>
      <c r="T258" s="14"/>
      <c r="U258" s="14"/>
      <c r="V258" s="14"/>
      <c r="W258" s="14"/>
      <c r="X258" s="14"/>
      <c r="Y258" s="14"/>
      <c r="Z258" s="14"/>
      <c r="AA258" s="14"/>
      <c r="AB258" s="14"/>
      <c r="AC258" s="14"/>
      <c r="AD258" s="65"/>
      <c r="AE258" s="63"/>
      <c r="AF258" s="47"/>
      <c r="AG258" s="19"/>
      <c r="AH258" s="19"/>
      <c r="AI258" s="14"/>
      <c r="AJ258" s="14"/>
      <c r="AK258" s="14"/>
      <c r="AL258" s="14"/>
      <c r="AM258" s="14"/>
      <c r="AN258" s="14"/>
      <c r="AO258" s="14"/>
      <c r="AP258" s="14"/>
      <c r="AQ258" s="14"/>
      <c r="AR258" s="14"/>
      <c r="AS258" s="65"/>
      <c r="AT258" s="63"/>
      <c r="AU258" s="47"/>
      <c r="AV258" s="14"/>
      <c r="AW258" s="19"/>
      <c r="AX258" s="14"/>
      <c r="AY258" s="14"/>
      <c r="AZ258" s="14"/>
      <c r="BA258" s="14"/>
      <c r="BB258" s="14"/>
      <c r="BC258" s="14"/>
      <c r="BD258" s="14"/>
      <c r="BE258" s="14"/>
      <c r="BF258" s="14"/>
      <c r="BG258" s="14"/>
      <c r="BH258" s="65"/>
      <c r="BI258" s="63"/>
      <c r="BJ258" s="352"/>
      <c r="BK258" s="19"/>
      <c r="BL258" s="19"/>
      <c r="BM258" s="14"/>
      <c r="BN258" s="14"/>
      <c r="BO258" s="14"/>
      <c r="BP258" s="14"/>
      <c r="BQ258" s="14"/>
      <c r="BR258" s="14"/>
      <c r="BS258" s="14"/>
      <c r="BT258" s="14"/>
      <c r="BU258" s="14"/>
      <c r="BV258" s="14"/>
      <c r="BW258" s="65"/>
      <c r="BX258" s="63"/>
      <c r="BY258" s="352"/>
      <c r="BZ258" s="14"/>
      <c r="CA258" s="14"/>
      <c r="CB258" s="21"/>
      <c r="CC258" s="21"/>
      <c r="CD258" s="180"/>
      <c r="CE258" s="180"/>
      <c r="CF258" s="21"/>
      <c r="CG258" s="14"/>
      <c r="CH258" s="14"/>
      <c r="CI258" s="14"/>
      <c r="CJ258" s="14"/>
      <c r="CK258" s="14"/>
      <c r="CL258" s="14"/>
      <c r="CM258" s="14"/>
      <c r="CN258" s="14"/>
      <c r="CO258" s="129"/>
      <c r="CP258" s="14"/>
      <c r="CQ258" s="47"/>
      <c r="CR258" s="14"/>
      <c r="CS258" s="14"/>
      <c r="CT258" s="14"/>
      <c r="CU258" s="14"/>
      <c r="CV258" s="180"/>
      <c r="CW258" s="189"/>
      <c r="CX258" s="189"/>
      <c r="CY258" s="14"/>
      <c r="CZ258" s="14"/>
      <c r="DA258" s="14"/>
      <c r="DB258" s="14"/>
      <c r="DC258" s="14"/>
      <c r="DD258" s="14"/>
      <c r="DE258" s="14"/>
      <c r="DF258" s="14"/>
      <c r="DG258" s="129"/>
      <c r="DH258" s="14"/>
      <c r="DI258" s="47"/>
      <c r="DJ258" s="14"/>
      <c r="DK258" s="19"/>
      <c r="DL258" s="40"/>
      <c r="DM258" s="41"/>
      <c r="DN258" s="40"/>
      <c r="DO258" s="40"/>
      <c r="DP258" s="40"/>
      <c r="DQ258" s="41"/>
      <c r="DR258" s="72"/>
      <c r="DS258" s="14"/>
      <c r="DT258" s="14"/>
      <c r="DU258" s="14"/>
      <c r="DV258" s="14"/>
      <c r="DW258" s="14"/>
      <c r="DX258" s="14"/>
      <c r="DY258" s="14"/>
      <c r="DZ258" s="14"/>
      <c r="EA258" s="14"/>
      <c r="EB258" s="14"/>
      <c r="EC258" s="14"/>
      <c r="ED258" s="14"/>
      <c r="EE258" s="14"/>
      <c r="EF258" s="14"/>
      <c r="EG258" s="14"/>
      <c r="EH258" s="14"/>
      <c r="EI258" s="14"/>
      <c r="EJ258" s="14"/>
      <c r="EK258" s="14"/>
      <c r="EL258" s="14"/>
    </row>
    <row r="259" spans="1:142" x14ac:dyDescent="0.25">
      <c r="A259" s="14"/>
      <c r="B259" s="19"/>
      <c r="C259" s="40"/>
      <c r="D259" s="41"/>
      <c r="E259" s="40"/>
      <c r="F259" s="40"/>
      <c r="G259" s="40"/>
      <c r="H259" s="41"/>
      <c r="I259" s="72"/>
      <c r="J259" s="14"/>
      <c r="K259" s="14"/>
      <c r="L259" s="14"/>
      <c r="M259" s="14"/>
      <c r="N259" s="14"/>
      <c r="O259" s="14"/>
      <c r="P259" s="14"/>
      <c r="Q259" s="47"/>
      <c r="R259" s="19"/>
      <c r="S259" s="19"/>
      <c r="T259" s="14"/>
      <c r="U259" s="14"/>
      <c r="V259" s="14"/>
      <c r="W259" s="14"/>
      <c r="X259" s="14"/>
      <c r="Y259" s="14"/>
      <c r="Z259" s="14"/>
      <c r="AA259" s="14"/>
      <c r="AB259" s="14"/>
      <c r="AC259" s="14"/>
      <c r="AD259" s="65"/>
      <c r="AE259" s="63"/>
      <c r="AF259" s="47"/>
      <c r="AG259" s="19"/>
      <c r="AH259" s="19"/>
      <c r="AI259" s="14"/>
      <c r="AJ259" s="14"/>
      <c r="AK259" s="14"/>
      <c r="AL259" s="14"/>
      <c r="AM259" s="14"/>
      <c r="AN259" s="14"/>
      <c r="AO259" s="14"/>
      <c r="AP259" s="14"/>
      <c r="AQ259" s="14"/>
      <c r="AR259" s="14"/>
      <c r="AS259" s="65"/>
      <c r="AT259" s="63"/>
      <c r="AU259" s="47"/>
      <c r="AV259" s="14"/>
      <c r="AW259" s="19"/>
      <c r="AX259" s="14"/>
      <c r="AY259" s="14"/>
      <c r="AZ259" s="14"/>
      <c r="BA259" s="14"/>
      <c r="BB259" s="14"/>
      <c r="BC259" s="14"/>
      <c r="BD259" s="14"/>
      <c r="BE259" s="14"/>
      <c r="BF259" s="14"/>
      <c r="BG259" s="14"/>
      <c r="BH259" s="65"/>
      <c r="BI259" s="63"/>
      <c r="BJ259" s="352"/>
      <c r="BK259" s="19"/>
      <c r="BL259" s="19"/>
      <c r="BM259" s="14"/>
      <c r="BN259" s="14"/>
      <c r="BO259" s="14"/>
      <c r="BP259" s="14"/>
      <c r="BQ259" s="14"/>
      <c r="BR259" s="14"/>
      <c r="BS259" s="14"/>
      <c r="BT259" s="14"/>
      <c r="BU259" s="14"/>
      <c r="BV259" s="14"/>
      <c r="BW259" s="65"/>
      <c r="BX259" s="63"/>
      <c r="BY259" s="352"/>
      <c r="BZ259" s="14"/>
      <c r="CA259" s="14"/>
      <c r="CB259" s="21"/>
      <c r="CC259" s="21"/>
      <c r="CD259" s="180"/>
      <c r="CE259" s="180"/>
      <c r="CF259" s="21"/>
      <c r="CG259" s="14"/>
      <c r="CH259" s="14"/>
      <c r="CI259" s="14"/>
      <c r="CJ259" s="14"/>
      <c r="CK259" s="14"/>
      <c r="CL259" s="14"/>
      <c r="CM259" s="14"/>
      <c r="CN259" s="14"/>
      <c r="CO259" s="129"/>
      <c r="CP259" s="14"/>
      <c r="CQ259" s="47"/>
      <c r="CR259" s="14"/>
      <c r="CS259" s="14"/>
      <c r="CT259" s="14"/>
      <c r="CU259" s="14"/>
      <c r="CV259" s="180"/>
      <c r="CW259" s="189"/>
      <c r="CX259" s="189"/>
      <c r="CY259" s="14"/>
      <c r="CZ259" s="14"/>
      <c r="DA259" s="14"/>
      <c r="DB259" s="14"/>
      <c r="DC259" s="14"/>
      <c r="DD259" s="14"/>
      <c r="DE259" s="14"/>
      <c r="DF259" s="14"/>
      <c r="DG259" s="129"/>
      <c r="DH259" s="14"/>
      <c r="DI259" s="47"/>
      <c r="DJ259" s="14"/>
      <c r="DK259" s="19"/>
      <c r="DL259" s="40"/>
      <c r="DM259" s="41"/>
      <c r="DN259" s="40"/>
      <c r="DO259" s="40"/>
      <c r="DP259" s="40"/>
      <c r="DQ259" s="41"/>
      <c r="DR259" s="72"/>
      <c r="DS259" s="14"/>
      <c r="DT259" s="14"/>
      <c r="DU259" s="14"/>
      <c r="DV259" s="14"/>
      <c r="DW259" s="14"/>
      <c r="DX259" s="14"/>
      <c r="DY259" s="14"/>
      <c r="DZ259" s="14"/>
      <c r="EA259" s="14"/>
      <c r="EB259" s="14"/>
      <c r="EC259" s="14"/>
      <c r="ED259" s="14"/>
      <c r="EE259" s="14"/>
      <c r="EF259" s="14"/>
      <c r="EG259" s="14"/>
      <c r="EH259" s="14"/>
      <c r="EI259" s="14"/>
      <c r="EJ259" s="14"/>
      <c r="EK259" s="14"/>
      <c r="EL259" s="14"/>
    </row>
    <row r="260" spans="1:142" x14ac:dyDescent="0.25">
      <c r="A260" s="14"/>
      <c r="B260" s="19"/>
      <c r="C260" s="40"/>
      <c r="D260" s="41"/>
      <c r="E260" s="40"/>
      <c r="F260" s="40"/>
      <c r="G260" s="40"/>
      <c r="H260" s="41"/>
      <c r="I260" s="72"/>
      <c r="J260" s="14"/>
      <c r="K260" s="14"/>
      <c r="L260" s="14"/>
      <c r="M260" s="14"/>
      <c r="N260" s="14"/>
      <c r="O260" s="14"/>
      <c r="P260" s="14"/>
      <c r="Q260" s="47"/>
      <c r="R260" s="19"/>
      <c r="S260" s="19"/>
      <c r="T260" s="14"/>
      <c r="U260" s="14"/>
      <c r="V260" s="14"/>
      <c r="W260" s="14"/>
      <c r="X260" s="14"/>
      <c r="Y260" s="14"/>
      <c r="Z260" s="14"/>
      <c r="AA260" s="14"/>
      <c r="AB260" s="14"/>
      <c r="AC260" s="14"/>
      <c r="AD260" s="65"/>
      <c r="AE260" s="63"/>
      <c r="AF260" s="47"/>
      <c r="AG260" s="19"/>
      <c r="AH260" s="19"/>
      <c r="AI260" s="14"/>
      <c r="AJ260" s="14"/>
      <c r="AK260" s="14"/>
      <c r="AL260" s="14"/>
      <c r="AM260" s="14"/>
      <c r="AN260" s="14"/>
      <c r="AO260" s="14"/>
      <c r="AP260" s="14"/>
      <c r="AQ260" s="14"/>
      <c r="AR260" s="14"/>
      <c r="AS260" s="65"/>
      <c r="AT260" s="63"/>
      <c r="AU260" s="47"/>
      <c r="AV260" s="14"/>
      <c r="AW260" s="19"/>
      <c r="AX260" s="14"/>
      <c r="AY260" s="14"/>
      <c r="AZ260" s="14"/>
      <c r="BA260" s="14"/>
      <c r="BB260" s="14"/>
      <c r="BC260" s="14"/>
      <c r="BD260" s="14"/>
      <c r="BE260" s="14"/>
      <c r="BF260" s="14"/>
      <c r="BG260" s="14"/>
      <c r="BH260" s="65"/>
      <c r="BI260" s="63"/>
      <c r="BJ260" s="352"/>
      <c r="BK260" s="19"/>
      <c r="BL260" s="19"/>
      <c r="BM260" s="14"/>
      <c r="BN260" s="14"/>
      <c r="BO260" s="14"/>
      <c r="BP260" s="14"/>
      <c r="BQ260" s="14"/>
      <c r="BR260" s="14"/>
      <c r="BS260" s="14"/>
      <c r="BT260" s="14"/>
      <c r="BU260" s="14"/>
      <c r="BV260" s="14"/>
      <c r="BW260" s="65"/>
      <c r="BX260" s="63"/>
      <c r="BY260" s="352"/>
      <c r="BZ260" s="14"/>
      <c r="CA260" s="14"/>
      <c r="CB260" s="21"/>
      <c r="CC260" s="21"/>
      <c r="CD260" s="180"/>
      <c r="CE260" s="180"/>
      <c r="CF260" s="21"/>
      <c r="CG260" s="14"/>
      <c r="CH260" s="14"/>
      <c r="CI260" s="14"/>
      <c r="CJ260" s="14"/>
      <c r="CK260" s="14"/>
      <c r="CL260" s="14"/>
      <c r="CM260" s="14"/>
      <c r="CN260" s="14"/>
      <c r="CO260" s="129"/>
      <c r="CP260" s="14"/>
      <c r="CQ260" s="47"/>
      <c r="CR260" s="14"/>
      <c r="CS260" s="14"/>
      <c r="CT260" s="14"/>
      <c r="CU260" s="14"/>
      <c r="CV260" s="180"/>
      <c r="CW260" s="189"/>
      <c r="CX260" s="189"/>
      <c r="CY260" s="14"/>
      <c r="CZ260" s="14"/>
      <c r="DA260" s="14"/>
      <c r="DB260" s="14"/>
      <c r="DC260" s="14"/>
      <c r="DD260" s="14"/>
      <c r="DE260" s="14"/>
      <c r="DF260" s="14"/>
      <c r="DG260" s="129"/>
      <c r="DH260" s="14"/>
      <c r="DI260" s="47"/>
      <c r="DJ260" s="14"/>
      <c r="DK260" s="19"/>
      <c r="DL260" s="40"/>
      <c r="DM260" s="41"/>
      <c r="DN260" s="40"/>
      <c r="DO260" s="40"/>
      <c r="DP260" s="40"/>
      <c r="DQ260" s="41"/>
      <c r="DR260" s="72"/>
      <c r="DS260" s="14"/>
      <c r="DT260" s="14"/>
      <c r="DU260" s="14"/>
      <c r="DV260" s="14"/>
      <c r="DW260" s="14"/>
      <c r="DX260" s="14"/>
      <c r="DY260" s="14"/>
      <c r="DZ260" s="14"/>
      <c r="EA260" s="14"/>
      <c r="EB260" s="14"/>
      <c r="EC260" s="14"/>
      <c r="ED260" s="14"/>
      <c r="EE260" s="14"/>
      <c r="EF260" s="14"/>
      <c r="EG260" s="14"/>
      <c r="EH260" s="14"/>
      <c r="EI260" s="14"/>
      <c r="EJ260" s="14"/>
      <c r="EK260" s="14"/>
      <c r="EL260" s="14"/>
    </row>
    <row r="261" spans="1:142" x14ac:dyDescent="0.25">
      <c r="A261" s="14"/>
      <c r="B261" s="19"/>
      <c r="C261" s="40"/>
      <c r="D261" s="41"/>
      <c r="E261" s="40"/>
      <c r="F261" s="40"/>
      <c r="G261" s="40"/>
      <c r="H261" s="41"/>
      <c r="I261" s="72"/>
      <c r="J261" s="14"/>
      <c r="K261" s="14"/>
      <c r="L261" s="14"/>
      <c r="M261" s="14"/>
      <c r="N261" s="14"/>
      <c r="O261" s="14"/>
      <c r="P261" s="14"/>
      <c r="Q261" s="47"/>
      <c r="R261" s="19"/>
      <c r="S261" s="19"/>
      <c r="T261" s="14"/>
      <c r="U261" s="14"/>
      <c r="V261" s="14"/>
      <c r="W261" s="14"/>
      <c r="X261" s="14"/>
      <c r="Y261" s="14"/>
      <c r="Z261" s="14"/>
      <c r="AA261" s="14"/>
      <c r="AB261" s="14"/>
      <c r="AC261" s="14"/>
      <c r="AD261" s="65"/>
      <c r="AE261" s="63"/>
      <c r="AF261" s="47"/>
      <c r="AG261" s="19"/>
      <c r="AH261" s="19"/>
      <c r="AI261" s="14"/>
      <c r="AJ261" s="14"/>
      <c r="AK261" s="14"/>
      <c r="AL261" s="14"/>
      <c r="AM261" s="14"/>
      <c r="AN261" s="14"/>
      <c r="AO261" s="14"/>
      <c r="AP261" s="14"/>
      <c r="AQ261" s="14"/>
      <c r="AR261" s="14"/>
      <c r="AS261" s="65"/>
      <c r="AT261" s="63"/>
      <c r="AU261" s="47"/>
      <c r="AV261" s="14"/>
      <c r="AW261" s="19"/>
      <c r="AX261" s="14"/>
      <c r="AY261" s="14"/>
      <c r="AZ261" s="14"/>
      <c r="BA261" s="14"/>
      <c r="BB261" s="14"/>
      <c r="BC261" s="14"/>
      <c r="BD261" s="14"/>
      <c r="BE261" s="14"/>
      <c r="BF261" s="14"/>
      <c r="BG261" s="14"/>
      <c r="BH261" s="65"/>
      <c r="BI261" s="63"/>
      <c r="BJ261" s="352"/>
      <c r="BK261" s="19"/>
      <c r="BL261" s="19"/>
      <c r="BM261" s="14"/>
      <c r="BN261" s="14"/>
      <c r="BO261" s="14"/>
      <c r="BP261" s="14"/>
      <c r="BQ261" s="14"/>
      <c r="BR261" s="14"/>
      <c r="BS261" s="14"/>
      <c r="BT261" s="14"/>
      <c r="BU261" s="14"/>
      <c r="BV261" s="14"/>
      <c r="BW261" s="65"/>
      <c r="BX261" s="63"/>
      <c r="BY261" s="352"/>
      <c r="BZ261" s="14"/>
      <c r="CA261" s="14"/>
      <c r="CB261" s="21"/>
      <c r="CC261" s="21"/>
      <c r="CD261" s="180"/>
      <c r="CE261" s="180"/>
      <c r="CF261" s="21"/>
      <c r="CG261" s="14"/>
      <c r="CH261" s="14"/>
      <c r="CI261" s="14"/>
      <c r="CJ261" s="14"/>
      <c r="CK261" s="14"/>
      <c r="CL261" s="14"/>
      <c r="CM261" s="14"/>
      <c r="CN261" s="14"/>
      <c r="CO261" s="129"/>
      <c r="CP261" s="14"/>
      <c r="CQ261" s="47"/>
      <c r="CR261" s="14"/>
      <c r="CS261" s="14"/>
      <c r="CT261" s="14"/>
      <c r="CU261" s="14"/>
      <c r="CV261" s="180"/>
      <c r="CW261" s="189"/>
      <c r="CX261" s="189"/>
      <c r="CY261" s="14"/>
      <c r="CZ261" s="14"/>
      <c r="DA261" s="14"/>
      <c r="DB261" s="14"/>
      <c r="DC261" s="14"/>
      <c r="DD261" s="14"/>
      <c r="DE261" s="14"/>
      <c r="DF261" s="14"/>
      <c r="DG261" s="129"/>
      <c r="DH261" s="14"/>
      <c r="DI261" s="47"/>
      <c r="DJ261" s="14"/>
      <c r="DK261" s="19"/>
      <c r="DL261" s="40"/>
      <c r="DM261" s="41"/>
      <c r="DN261" s="40"/>
      <c r="DO261" s="40"/>
      <c r="DP261" s="40"/>
      <c r="DQ261" s="41"/>
      <c r="DR261" s="72"/>
      <c r="DS261" s="14"/>
      <c r="DT261" s="14"/>
      <c r="DU261" s="14"/>
      <c r="DV261" s="14"/>
      <c r="DW261" s="14"/>
      <c r="DX261" s="14"/>
      <c r="DY261" s="14"/>
      <c r="DZ261" s="14"/>
      <c r="EA261" s="14"/>
      <c r="EB261" s="14"/>
      <c r="EC261" s="14"/>
      <c r="ED261" s="14"/>
      <c r="EE261" s="14"/>
      <c r="EF261" s="14"/>
      <c r="EG261" s="14"/>
      <c r="EH261" s="14"/>
      <c r="EI261" s="14"/>
      <c r="EJ261" s="14"/>
      <c r="EK261" s="14"/>
      <c r="EL261" s="14"/>
    </row>
    <row r="262" spans="1:142" x14ac:dyDescent="0.25">
      <c r="A262" s="14"/>
      <c r="B262" s="19"/>
      <c r="C262" s="40"/>
      <c r="D262" s="41"/>
      <c r="E262" s="40"/>
      <c r="F262" s="40"/>
      <c r="G262" s="40"/>
      <c r="H262" s="41"/>
      <c r="I262" s="72"/>
      <c r="J262" s="14"/>
      <c r="K262" s="14"/>
      <c r="L262" s="14"/>
      <c r="M262" s="14"/>
      <c r="N262" s="14"/>
      <c r="O262" s="14"/>
      <c r="P262" s="14"/>
      <c r="Q262" s="47"/>
      <c r="R262" s="19"/>
      <c r="S262" s="19"/>
      <c r="T262" s="14"/>
      <c r="U262" s="14"/>
      <c r="V262" s="14"/>
      <c r="W262" s="14"/>
      <c r="X262" s="14"/>
      <c r="Y262" s="14"/>
      <c r="Z262" s="14"/>
      <c r="AA262" s="14"/>
      <c r="AB262" s="14"/>
      <c r="AC262" s="14"/>
      <c r="AD262" s="65"/>
      <c r="AE262" s="63"/>
      <c r="AF262" s="47"/>
      <c r="AG262" s="19"/>
      <c r="AH262" s="19"/>
      <c r="AI262" s="14"/>
      <c r="AJ262" s="14"/>
      <c r="AK262" s="14"/>
      <c r="AL262" s="14"/>
      <c r="AM262" s="14"/>
      <c r="AN262" s="14"/>
      <c r="AO262" s="14"/>
      <c r="AP262" s="14"/>
      <c r="AQ262" s="14"/>
      <c r="AR262" s="14"/>
      <c r="AS262" s="65"/>
      <c r="AT262" s="63"/>
      <c r="AU262" s="47"/>
      <c r="AV262" s="14"/>
      <c r="AW262" s="19"/>
      <c r="AX262" s="14"/>
      <c r="AY262" s="14"/>
      <c r="AZ262" s="14"/>
      <c r="BA262" s="14"/>
      <c r="BB262" s="14"/>
      <c r="BC262" s="14"/>
      <c r="BD262" s="14"/>
      <c r="BE262" s="14"/>
      <c r="BF262" s="14"/>
      <c r="BG262" s="14"/>
      <c r="BH262" s="65"/>
      <c r="BI262" s="63"/>
      <c r="BJ262" s="352"/>
      <c r="BK262" s="19"/>
      <c r="BL262" s="19"/>
      <c r="BM262" s="14"/>
      <c r="BN262" s="14"/>
      <c r="BO262" s="14"/>
      <c r="BP262" s="14"/>
      <c r="BQ262" s="14"/>
      <c r="BR262" s="14"/>
      <c r="BS262" s="14"/>
      <c r="BT262" s="14"/>
      <c r="BU262" s="14"/>
      <c r="BV262" s="14"/>
      <c r="BW262" s="65"/>
      <c r="BX262" s="63"/>
      <c r="BY262" s="352"/>
      <c r="BZ262" s="14"/>
      <c r="CA262" s="14"/>
      <c r="CB262" s="21"/>
      <c r="CC262" s="21"/>
      <c r="CD262" s="180"/>
      <c r="CE262" s="180"/>
      <c r="CF262" s="21"/>
      <c r="CG262" s="14"/>
      <c r="CH262" s="14"/>
      <c r="CI262" s="14"/>
      <c r="CJ262" s="14"/>
      <c r="CK262" s="14"/>
      <c r="CL262" s="14"/>
      <c r="CM262" s="14"/>
      <c r="CN262" s="14"/>
      <c r="CO262" s="129"/>
      <c r="CP262" s="14"/>
      <c r="CQ262" s="47"/>
      <c r="CR262" s="14"/>
      <c r="CS262" s="14"/>
      <c r="CT262" s="14"/>
      <c r="CU262" s="14"/>
      <c r="CV262" s="180"/>
      <c r="CW262" s="189"/>
      <c r="CX262" s="189"/>
      <c r="CY262" s="14"/>
      <c r="CZ262" s="14"/>
      <c r="DA262" s="14"/>
      <c r="DB262" s="14"/>
      <c r="DC262" s="14"/>
      <c r="DD262" s="14"/>
      <c r="DE262" s="14"/>
      <c r="DF262" s="14"/>
      <c r="DG262" s="129"/>
      <c r="DH262" s="14"/>
      <c r="DI262" s="47"/>
      <c r="DJ262" s="14"/>
      <c r="DK262" s="19"/>
      <c r="DL262" s="40"/>
      <c r="DM262" s="41"/>
      <c r="DN262" s="40"/>
      <c r="DO262" s="40"/>
      <c r="DP262" s="40"/>
      <c r="DQ262" s="41"/>
      <c r="DR262" s="72"/>
      <c r="DS262" s="14"/>
      <c r="DT262" s="14"/>
      <c r="DU262" s="14"/>
      <c r="DV262" s="14"/>
      <c r="DW262" s="14"/>
      <c r="DX262" s="14"/>
      <c r="DY262" s="14"/>
      <c r="DZ262" s="14"/>
      <c r="EA262" s="14"/>
      <c r="EB262" s="14"/>
      <c r="EC262" s="14"/>
      <c r="ED262" s="14"/>
      <c r="EE262" s="14"/>
      <c r="EF262" s="14"/>
      <c r="EG262" s="14"/>
      <c r="EH262" s="14"/>
      <c r="EI262" s="14"/>
      <c r="EJ262" s="14"/>
      <c r="EK262" s="14"/>
      <c r="EL262" s="14"/>
    </row>
    <row r="263" spans="1:142" x14ac:dyDescent="0.25">
      <c r="A263" s="14"/>
      <c r="B263" s="19"/>
      <c r="C263" s="40"/>
      <c r="D263" s="41"/>
      <c r="E263" s="40"/>
      <c r="F263" s="40"/>
      <c r="G263" s="40"/>
      <c r="H263" s="41"/>
      <c r="I263" s="72"/>
      <c r="J263" s="14"/>
      <c r="K263" s="14"/>
      <c r="L263" s="14"/>
      <c r="M263" s="14"/>
      <c r="N263" s="14"/>
      <c r="O263" s="14"/>
      <c r="P263" s="14"/>
      <c r="Q263" s="47"/>
      <c r="R263" s="19"/>
      <c r="S263" s="19"/>
      <c r="T263" s="14"/>
      <c r="U263" s="14"/>
      <c r="V263" s="14"/>
      <c r="W263" s="14"/>
      <c r="X263" s="14"/>
      <c r="Y263" s="14"/>
      <c r="Z263" s="14"/>
      <c r="AA263" s="14"/>
      <c r="AB263" s="14"/>
      <c r="AC263" s="14"/>
      <c r="AD263" s="65"/>
      <c r="AE263" s="63"/>
      <c r="AF263" s="47"/>
      <c r="AG263" s="19"/>
      <c r="AH263" s="19"/>
      <c r="AI263" s="14"/>
      <c r="AJ263" s="14"/>
      <c r="AK263" s="14"/>
      <c r="AL263" s="14"/>
      <c r="AM263" s="14"/>
      <c r="AN263" s="14"/>
      <c r="AO263" s="14"/>
      <c r="AP263" s="14"/>
      <c r="AQ263" s="14"/>
      <c r="AR263" s="14"/>
      <c r="AS263" s="65"/>
      <c r="AT263" s="63"/>
      <c r="AU263" s="47"/>
      <c r="AV263" s="14"/>
      <c r="AW263" s="19"/>
      <c r="AX263" s="14"/>
      <c r="AY263" s="14"/>
      <c r="AZ263" s="14"/>
      <c r="BA263" s="14"/>
      <c r="BB263" s="14"/>
      <c r="BC263" s="14"/>
      <c r="BD263" s="14"/>
      <c r="BE263" s="14"/>
      <c r="BF263" s="14"/>
      <c r="BG263" s="14"/>
      <c r="BH263" s="65"/>
      <c r="BI263" s="63"/>
      <c r="BJ263" s="352"/>
      <c r="BK263" s="19"/>
      <c r="BL263" s="19"/>
      <c r="BM263" s="14"/>
      <c r="BN263" s="14"/>
      <c r="BO263" s="14"/>
      <c r="BP263" s="14"/>
      <c r="BQ263" s="14"/>
      <c r="BR263" s="14"/>
      <c r="BS263" s="14"/>
      <c r="BT263" s="14"/>
      <c r="BU263" s="14"/>
      <c r="BV263" s="14"/>
      <c r="BW263" s="65"/>
      <c r="BX263" s="63"/>
      <c r="BY263" s="352"/>
      <c r="BZ263" s="14"/>
      <c r="CA263" s="14"/>
      <c r="CB263" s="21"/>
      <c r="CC263" s="21"/>
      <c r="CD263" s="180"/>
      <c r="CE263" s="180"/>
      <c r="CF263" s="21"/>
      <c r="CG263" s="14"/>
      <c r="CH263" s="14"/>
      <c r="CI263" s="14"/>
      <c r="CJ263" s="14"/>
      <c r="CK263" s="14"/>
      <c r="CL263" s="14"/>
      <c r="CM263" s="14"/>
      <c r="CN263" s="14"/>
      <c r="CO263" s="129"/>
      <c r="CP263" s="14"/>
      <c r="CQ263" s="47"/>
      <c r="CR263" s="14"/>
      <c r="CS263" s="14"/>
      <c r="CT263" s="14"/>
      <c r="CU263" s="14"/>
      <c r="CV263" s="180"/>
      <c r="CW263" s="189"/>
      <c r="CX263" s="189"/>
      <c r="CY263" s="14"/>
      <c r="CZ263" s="14"/>
      <c r="DA263" s="14"/>
      <c r="DB263" s="14"/>
      <c r="DC263" s="14"/>
      <c r="DD263" s="14"/>
      <c r="DE263" s="14"/>
      <c r="DF263" s="14"/>
      <c r="DG263" s="129"/>
      <c r="DH263" s="14"/>
      <c r="DI263" s="47"/>
      <c r="DJ263" s="14"/>
      <c r="DK263" s="19"/>
      <c r="DL263" s="40"/>
      <c r="DM263" s="41"/>
      <c r="DN263" s="40"/>
      <c r="DO263" s="40"/>
      <c r="DP263" s="40"/>
      <c r="DQ263" s="41"/>
      <c r="DR263" s="72"/>
      <c r="DS263" s="14"/>
      <c r="DT263" s="14"/>
      <c r="DU263" s="14"/>
      <c r="DV263" s="14"/>
      <c r="DW263" s="14"/>
      <c r="DX263" s="14"/>
      <c r="DY263" s="14"/>
      <c r="DZ263" s="14"/>
      <c r="EA263" s="14"/>
      <c r="EB263" s="14"/>
      <c r="EC263" s="14"/>
      <c r="ED263" s="14"/>
      <c r="EE263" s="14"/>
      <c r="EF263" s="14"/>
      <c r="EG263" s="14"/>
      <c r="EH263" s="14"/>
      <c r="EI263" s="14"/>
      <c r="EJ263" s="14"/>
      <c r="EK263" s="14"/>
      <c r="EL263" s="14"/>
    </row>
    <row r="264" spans="1:142" x14ac:dyDescent="0.25">
      <c r="A264" s="14"/>
      <c r="B264" s="19"/>
      <c r="C264" s="40"/>
      <c r="D264" s="41"/>
      <c r="E264" s="40"/>
      <c r="F264" s="40"/>
      <c r="G264" s="40"/>
      <c r="H264" s="41"/>
      <c r="I264" s="72"/>
      <c r="J264" s="14"/>
      <c r="K264" s="14"/>
      <c r="L264" s="14"/>
      <c r="M264" s="14"/>
      <c r="N264" s="14"/>
      <c r="O264" s="14"/>
      <c r="P264" s="14"/>
      <c r="Q264" s="47"/>
      <c r="R264" s="19"/>
      <c r="S264" s="19"/>
      <c r="T264" s="14"/>
      <c r="U264" s="14"/>
      <c r="V264" s="14"/>
      <c r="W264" s="14"/>
      <c r="X264" s="14"/>
      <c r="Y264" s="14"/>
      <c r="Z264" s="14"/>
      <c r="AA264" s="14"/>
      <c r="AB264" s="14"/>
      <c r="AC264" s="14"/>
      <c r="AD264" s="65"/>
      <c r="AE264" s="63"/>
      <c r="AF264" s="47"/>
      <c r="AG264" s="19"/>
      <c r="AH264" s="19"/>
      <c r="AI264" s="14"/>
      <c r="AJ264" s="14"/>
      <c r="AK264" s="14"/>
      <c r="AL264" s="14"/>
      <c r="AM264" s="14"/>
      <c r="AN264" s="14"/>
      <c r="AO264" s="14"/>
      <c r="AP264" s="14"/>
      <c r="AQ264" s="14"/>
      <c r="AR264" s="14"/>
      <c r="AS264" s="65"/>
      <c r="AT264" s="63"/>
      <c r="AU264" s="47"/>
      <c r="AV264" s="14"/>
      <c r="AW264" s="19"/>
      <c r="AX264" s="14"/>
      <c r="AY264" s="14"/>
      <c r="AZ264" s="14"/>
      <c r="BA264" s="14"/>
      <c r="BB264" s="14"/>
      <c r="BC264" s="14"/>
      <c r="BD264" s="14"/>
      <c r="BE264" s="14"/>
      <c r="BF264" s="14"/>
      <c r="BG264" s="14"/>
      <c r="BH264" s="65"/>
      <c r="BI264" s="63"/>
      <c r="BJ264" s="352"/>
      <c r="BK264" s="19"/>
      <c r="BL264" s="19"/>
      <c r="BM264" s="14"/>
      <c r="BN264" s="14"/>
      <c r="BO264" s="14"/>
      <c r="BP264" s="14"/>
      <c r="BQ264" s="14"/>
      <c r="BR264" s="14"/>
      <c r="BS264" s="14"/>
      <c r="BT264" s="14"/>
      <c r="BU264" s="14"/>
      <c r="BV264" s="14"/>
      <c r="BW264" s="65"/>
      <c r="BX264" s="63"/>
      <c r="BY264" s="352"/>
      <c r="BZ264" s="14"/>
      <c r="CA264" s="14"/>
      <c r="CB264" s="21"/>
      <c r="CC264" s="21"/>
      <c r="CD264" s="180"/>
      <c r="CE264" s="180"/>
      <c r="CF264" s="21"/>
      <c r="CG264" s="14"/>
      <c r="CH264" s="14"/>
      <c r="CI264" s="14"/>
      <c r="CJ264" s="14"/>
      <c r="CK264" s="14"/>
      <c r="CL264" s="14"/>
      <c r="CM264" s="14"/>
      <c r="CN264" s="14"/>
      <c r="CO264" s="129"/>
      <c r="CP264" s="14"/>
      <c r="CQ264" s="47"/>
      <c r="CR264" s="14"/>
      <c r="CS264" s="14"/>
      <c r="CT264" s="14"/>
      <c r="CU264" s="14"/>
      <c r="CV264" s="180"/>
      <c r="CW264" s="189"/>
      <c r="CX264" s="189"/>
      <c r="CY264" s="14"/>
      <c r="CZ264" s="14"/>
      <c r="DA264" s="14"/>
      <c r="DB264" s="14"/>
      <c r="DC264" s="14"/>
      <c r="DD264" s="14"/>
      <c r="DE264" s="14"/>
      <c r="DF264" s="14"/>
      <c r="DG264" s="129"/>
      <c r="DH264" s="14"/>
      <c r="DI264" s="47"/>
      <c r="DJ264" s="14"/>
      <c r="DK264" s="19"/>
      <c r="DL264" s="40"/>
      <c r="DM264" s="41"/>
      <c r="DN264" s="40"/>
      <c r="DO264" s="40"/>
      <c r="DP264" s="40"/>
      <c r="DQ264" s="41"/>
      <c r="DR264" s="72"/>
      <c r="DS264" s="14"/>
      <c r="DT264" s="14"/>
      <c r="DU264" s="14"/>
      <c r="DV264" s="14"/>
      <c r="DW264" s="14"/>
      <c r="DX264" s="14"/>
      <c r="DY264" s="14"/>
      <c r="DZ264" s="14"/>
      <c r="EA264" s="14"/>
      <c r="EB264" s="14"/>
      <c r="EC264" s="14"/>
      <c r="ED264" s="14"/>
      <c r="EE264" s="14"/>
      <c r="EF264" s="14"/>
      <c r="EG264" s="14"/>
      <c r="EH264" s="14"/>
      <c r="EI264" s="14"/>
      <c r="EJ264" s="14"/>
      <c r="EK264" s="14"/>
      <c r="EL264" s="14"/>
    </row>
    <row r="265" spans="1:142" x14ac:dyDescent="0.25">
      <c r="A265" s="14"/>
      <c r="B265" s="19"/>
      <c r="C265" s="40"/>
      <c r="D265" s="41"/>
      <c r="E265" s="40"/>
      <c r="F265" s="40"/>
      <c r="G265" s="40"/>
      <c r="H265" s="41"/>
      <c r="I265" s="72"/>
      <c r="J265" s="14"/>
      <c r="K265" s="14"/>
      <c r="L265" s="14"/>
      <c r="M265" s="14"/>
      <c r="N265" s="14"/>
      <c r="O265" s="14"/>
      <c r="P265" s="14"/>
      <c r="Q265" s="47"/>
      <c r="R265" s="19"/>
      <c r="S265" s="19"/>
      <c r="T265" s="14"/>
      <c r="U265" s="14"/>
      <c r="V265" s="14"/>
      <c r="W265" s="14"/>
      <c r="X265" s="14"/>
      <c r="Y265" s="14"/>
      <c r="Z265" s="14"/>
      <c r="AA265" s="14"/>
      <c r="AB265" s="14"/>
      <c r="AC265" s="14"/>
      <c r="AD265" s="65"/>
      <c r="AE265" s="63"/>
      <c r="AF265" s="47"/>
      <c r="AG265" s="19"/>
      <c r="AH265" s="19"/>
      <c r="AI265" s="14"/>
      <c r="AJ265" s="14"/>
      <c r="AK265" s="14"/>
      <c r="AL265" s="14"/>
      <c r="AM265" s="14"/>
      <c r="AN265" s="14"/>
      <c r="AO265" s="14"/>
      <c r="AP265" s="14"/>
      <c r="AQ265" s="14"/>
      <c r="AR265" s="14"/>
      <c r="AS265" s="65"/>
      <c r="AT265" s="63"/>
      <c r="AU265" s="47"/>
      <c r="AV265" s="14"/>
      <c r="AW265" s="19"/>
      <c r="AX265" s="14"/>
      <c r="AY265" s="14"/>
      <c r="AZ265" s="14"/>
      <c r="BA265" s="14"/>
      <c r="BB265" s="14"/>
      <c r="BC265" s="14"/>
      <c r="BD265" s="14"/>
      <c r="BE265" s="14"/>
      <c r="BF265" s="14"/>
      <c r="BG265" s="14"/>
      <c r="BH265" s="65"/>
      <c r="BI265" s="63"/>
      <c r="BJ265" s="352"/>
      <c r="BK265" s="19"/>
      <c r="BL265" s="19"/>
      <c r="BM265" s="14"/>
      <c r="BN265" s="14"/>
      <c r="BO265" s="14"/>
      <c r="BP265" s="14"/>
      <c r="BQ265" s="14"/>
      <c r="BR265" s="14"/>
      <c r="BS265" s="14"/>
      <c r="BT265" s="14"/>
      <c r="BU265" s="14"/>
      <c r="BV265" s="14"/>
      <c r="BW265" s="65"/>
      <c r="BX265" s="63"/>
      <c r="BY265" s="352"/>
      <c r="BZ265" s="14"/>
      <c r="CA265" s="14"/>
      <c r="CB265" s="21"/>
      <c r="CC265" s="21"/>
      <c r="CD265" s="180"/>
      <c r="CE265" s="180"/>
      <c r="CF265" s="21"/>
      <c r="CG265" s="14"/>
      <c r="CH265" s="14"/>
      <c r="CI265" s="14"/>
      <c r="CJ265" s="14"/>
      <c r="CK265" s="14"/>
      <c r="CL265" s="14"/>
      <c r="CM265" s="14"/>
      <c r="CN265" s="14"/>
      <c r="CO265" s="129"/>
      <c r="CP265" s="14"/>
      <c r="CQ265" s="47"/>
      <c r="CR265" s="14"/>
      <c r="CS265" s="14"/>
      <c r="CT265" s="14"/>
      <c r="CU265" s="14"/>
      <c r="CV265" s="180"/>
      <c r="CW265" s="189"/>
      <c r="CX265" s="189"/>
      <c r="CY265" s="14"/>
      <c r="CZ265" s="14"/>
      <c r="DA265" s="14"/>
      <c r="DB265" s="14"/>
      <c r="DC265" s="14"/>
      <c r="DD265" s="14"/>
      <c r="DE265" s="14"/>
      <c r="DF265" s="14"/>
      <c r="DG265" s="129"/>
      <c r="DH265" s="14"/>
      <c r="DI265" s="47"/>
      <c r="DJ265" s="14"/>
      <c r="DK265" s="19"/>
      <c r="DL265" s="40"/>
      <c r="DM265" s="41"/>
      <c r="DN265" s="40"/>
      <c r="DO265" s="40"/>
      <c r="DP265" s="40"/>
      <c r="DQ265" s="41"/>
      <c r="DR265" s="72"/>
      <c r="DS265" s="14"/>
      <c r="DT265" s="14"/>
      <c r="DU265" s="14"/>
      <c r="DV265" s="14"/>
      <c r="DW265" s="14"/>
      <c r="DX265" s="14"/>
      <c r="DY265" s="14"/>
      <c r="DZ265" s="14"/>
      <c r="EA265" s="14"/>
      <c r="EB265" s="14"/>
      <c r="EC265" s="14"/>
      <c r="ED265" s="14"/>
      <c r="EE265" s="14"/>
      <c r="EF265" s="14"/>
      <c r="EG265" s="14"/>
      <c r="EH265" s="14"/>
      <c r="EI265" s="14"/>
      <c r="EJ265" s="14"/>
      <c r="EK265" s="14"/>
      <c r="EL265" s="14"/>
    </row>
    <row r="266" spans="1:142" x14ac:dyDescent="0.25">
      <c r="A266" s="14"/>
      <c r="B266" s="19"/>
      <c r="C266" s="40"/>
      <c r="D266" s="41"/>
      <c r="E266" s="40"/>
      <c r="F266" s="40"/>
      <c r="G266" s="40"/>
      <c r="H266" s="41"/>
      <c r="I266" s="72"/>
      <c r="J266" s="14"/>
      <c r="K266" s="14"/>
      <c r="L266" s="14"/>
      <c r="M266" s="14"/>
      <c r="N266" s="14"/>
      <c r="O266" s="14"/>
      <c r="P266" s="14"/>
      <c r="Q266" s="47"/>
      <c r="R266" s="19"/>
      <c r="S266" s="19"/>
      <c r="T266" s="14"/>
      <c r="U266" s="14"/>
      <c r="V266" s="14"/>
      <c r="W266" s="14"/>
      <c r="X266" s="14"/>
      <c r="Y266" s="14"/>
      <c r="Z266" s="14"/>
      <c r="AA266" s="14"/>
      <c r="AB266" s="14"/>
      <c r="AC266" s="14"/>
      <c r="AD266" s="65"/>
      <c r="AE266" s="63"/>
      <c r="AF266" s="47"/>
      <c r="AG266" s="19"/>
      <c r="AH266" s="19"/>
      <c r="AI266" s="14"/>
      <c r="AJ266" s="14"/>
      <c r="AK266" s="14"/>
      <c r="AL266" s="14"/>
      <c r="AM266" s="14"/>
      <c r="AN266" s="14"/>
      <c r="AO266" s="14"/>
      <c r="AP266" s="14"/>
      <c r="AQ266" s="14"/>
      <c r="AR266" s="14"/>
      <c r="AS266" s="65"/>
      <c r="AT266" s="63"/>
      <c r="AU266" s="47"/>
      <c r="AV266" s="14"/>
      <c r="AW266" s="19"/>
      <c r="AX266" s="14"/>
      <c r="AY266" s="14"/>
      <c r="AZ266" s="14"/>
      <c r="BA266" s="14"/>
      <c r="BB266" s="14"/>
      <c r="BC266" s="14"/>
      <c r="BD266" s="14"/>
      <c r="BE266" s="14"/>
      <c r="BF266" s="14"/>
      <c r="BG266" s="14"/>
      <c r="BH266" s="65"/>
      <c r="BI266" s="63"/>
      <c r="BJ266" s="352"/>
      <c r="BK266" s="19"/>
      <c r="BL266" s="19"/>
      <c r="BM266" s="14"/>
      <c r="BN266" s="14"/>
      <c r="BO266" s="14"/>
      <c r="BP266" s="14"/>
      <c r="BQ266" s="14"/>
      <c r="BR266" s="14"/>
      <c r="BS266" s="14"/>
      <c r="BT266" s="14"/>
      <c r="BU266" s="14"/>
      <c r="BV266" s="14"/>
      <c r="BW266" s="65"/>
      <c r="BX266" s="63"/>
      <c r="BY266" s="352"/>
      <c r="BZ266" s="14"/>
      <c r="CA266" s="14"/>
      <c r="CB266" s="21"/>
      <c r="CC266" s="21"/>
      <c r="CD266" s="180"/>
      <c r="CE266" s="180"/>
      <c r="CF266" s="21"/>
      <c r="CG266" s="14"/>
      <c r="CH266" s="14"/>
      <c r="CI266" s="14"/>
      <c r="CJ266" s="14"/>
      <c r="CK266" s="14"/>
      <c r="CL266" s="14"/>
      <c r="CM266" s="14"/>
      <c r="CN266" s="14"/>
      <c r="CO266" s="129"/>
      <c r="CP266" s="14"/>
      <c r="CQ266" s="47"/>
      <c r="CR266" s="14"/>
      <c r="CS266" s="14"/>
      <c r="CT266" s="14"/>
      <c r="CU266" s="14"/>
      <c r="CV266" s="180"/>
      <c r="CW266" s="189"/>
      <c r="CX266" s="189"/>
      <c r="CY266" s="14"/>
      <c r="CZ266" s="14"/>
      <c r="DA266" s="14"/>
      <c r="DB266" s="14"/>
      <c r="DC266" s="14"/>
      <c r="DD266" s="14"/>
      <c r="DE266" s="14"/>
      <c r="DF266" s="14"/>
      <c r="DG266" s="129"/>
      <c r="DH266" s="14"/>
      <c r="DI266" s="47"/>
      <c r="DJ266" s="14"/>
      <c r="DK266" s="19"/>
      <c r="DL266" s="40"/>
      <c r="DM266" s="41"/>
      <c r="DN266" s="40"/>
      <c r="DO266" s="40"/>
      <c r="DP266" s="40"/>
      <c r="DQ266" s="41"/>
      <c r="DR266" s="72"/>
      <c r="DS266" s="14"/>
      <c r="DT266" s="14"/>
      <c r="DU266" s="14"/>
      <c r="DV266" s="14"/>
      <c r="DW266" s="14"/>
      <c r="DX266" s="14"/>
      <c r="DY266" s="14"/>
      <c r="DZ266" s="14"/>
      <c r="EA266" s="14"/>
      <c r="EB266" s="14"/>
      <c r="EC266" s="14"/>
      <c r="ED266" s="14"/>
      <c r="EE266" s="14"/>
      <c r="EF266" s="14"/>
      <c r="EG266" s="14"/>
      <c r="EH266" s="14"/>
      <c r="EI266" s="14"/>
      <c r="EJ266" s="14"/>
      <c r="EK266" s="14"/>
      <c r="EL266" s="14"/>
    </row>
    <row r="267" spans="1:142" x14ac:dyDescent="0.25">
      <c r="A267" s="14"/>
      <c r="B267" s="19"/>
      <c r="C267" s="40"/>
      <c r="D267" s="41"/>
      <c r="E267" s="40"/>
      <c r="F267" s="40"/>
      <c r="G267" s="40"/>
      <c r="H267" s="41"/>
      <c r="I267" s="72"/>
      <c r="J267" s="14"/>
      <c r="K267" s="14"/>
      <c r="L267" s="14"/>
      <c r="M267" s="14"/>
      <c r="N267" s="14"/>
      <c r="O267" s="14"/>
      <c r="P267" s="14"/>
      <c r="Q267" s="47"/>
      <c r="R267" s="19"/>
      <c r="S267" s="19"/>
      <c r="T267" s="14"/>
      <c r="U267" s="14"/>
      <c r="V267" s="14"/>
      <c r="W267" s="14"/>
      <c r="X267" s="14"/>
      <c r="Y267" s="14"/>
      <c r="Z267" s="14"/>
      <c r="AA267" s="14"/>
      <c r="AB267" s="14"/>
      <c r="AC267" s="14"/>
      <c r="AD267" s="65"/>
      <c r="AE267" s="63"/>
      <c r="AF267" s="47"/>
      <c r="AG267" s="19"/>
      <c r="AH267" s="19"/>
      <c r="AI267" s="14"/>
      <c r="AJ267" s="14"/>
      <c r="AK267" s="14"/>
      <c r="AL267" s="14"/>
      <c r="AM267" s="14"/>
      <c r="AN267" s="14"/>
      <c r="AO267" s="14"/>
      <c r="AP267" s="14"/>
      <c r="AQ267" s="14"/>
      <c r="AR267" s="14"/>
      <c r="AS267" s="65"/>
      <c r="AT267" s="63"/>
      <c r="AU267" s="47"/>
      <c r="AV267" s="14"/>
      <c r="AW267" s="19"/>
      <c r="AX267" s="14"/>
      <c r="AY267" s="14"/>
      <c r="AZ267" s="14"/>
      <c r="BA267" s="14"/>
      <c r="BB267" s="14"/>
      <c r="BC267" s="14"/>
      <c r="BD267" s="14"/>
      <c r="BE267" s="14"/>
      <c r="BF267" s="14"/>
      <c r="BG267" s="14"/>
      <c r="BH267" s="65"/>
      <c r="BI267" s="63"/>
      <c r="BJ267" s="352"/>
      <c r="BK267" s="19"/>
      <c r="BL267" s="19"/>
      <c r="BM267" s="14"/>
      <c r="BN267" s="14"/>
      <c r="BO267" s="14"/>
      <c r="BP267" s="14"/>
      <c r="BQ267" s="14"/>
      <c r="BR267" s="14"/>
      <c r="BS267" s="14"/>
      <c r="BT267" s="14"/>
      <c r="BU267" s="14"/>
      <c r="BV267" s="14"/>
      <c r="BW267" s="65"/>
      <c r="BX267" s="63"/>
      <c r="BY267" s="352"/>
      <c r="BZ267" s="14"/>
      <c r="CA267" s="14"/>
      <c r="CB267" s="21"/>
      <c r="CC267" s="21"/>
      <c r="CD267" s="180"/>
      <c r="CE267" s="180"/>
      <c r="CF267" s="21"/>
      <c r="CG267" s="14"/>
      <c r="CH267" s="14"/>
      <c r="CI267" s="14"/>
      <c r="CJ267" s="14"/>
      <c r="CK267" s="14"/>
      <c r="CL267" s="14"/>
      <c r="CM267" s="14"/>
      <c r="CN267" s="14"/>
      <c r="CO267" s="129"/>
      <c r="CP267" s="14"/>
      <c r="CQ267" s="47"/>
      <c r="CR267" s="14"/>
      <c r="CS267" s="14"/>
      <c r="CT267" s="14"/>
      <c r="CU267" s="14"/>
      <c r="CV267" s="180"/>
      <c r="CW267" s="189"/>
      <c r="CX267" s="189"/>
      <c r="CY267" s="14"/>
      <c r="CZ267" s="14"/>
      <c r="DA267" s="14"/>
      <c r="DB267" s="14"/>
      <c r="DC267" s="14"/>
      <c r="DD267" s="14"/>
      <c r="DE267" s="14"/>
      <c r="DF267" s="14"/>
      <c r="DG267" s="129"/>
      <c r="DH267" s="14"/>
      <c r="DI267" s="47"/>
      <c r="DJ267" s="14"/>
      <c r="DK267" s="19"/>
      <c r="DL267" s="40"/>
      <c r="DM267" s="41"/>
      <c r="DN267" s="40"/>
      <c r="DO267" s="40"/>
      <c r="DP267" s="40"/>
      <c r="DQ267" s="41"/>
      <c r="DR267" s="72"/>
      <c r="DS267" s="14"/>
      <c r="DT267" s="14"/>
      <c r="DU267" s="14"/>
      <c r="DV267" s="14"/>
      <c r="DW267" s="14"/>
      <c r="DX267" s="14"/>
      <c r="DY267" s="14"/>
      <c r="DZ267" s="14"/>
      <c r="EA267" s="14"/>
      <c r="EB267" s="14"/>
      <c r="EC267" s="14"/>
      <c r="ED267" s="14"/>
      <c r="EE267" s="14"/>
      <c r="EF267" s="14"/>
      <c r="EG267" s="14"/>
      <c r="EH267" s="14"/>
      <c r="EI267" s="14"/>
      <c r="EJ267" s="14"/>
      <c r="EK267" s="14"/>
      <c r="EL267" s="14"/>
    </row>
    <row r="268" spans="1:142" x14ac:dyDescent="0.25">
      <c r="A268" s="14"/>
      <c r="B268" s="19"/>
      <c r="C268" s="40"/>
      <c r="D268" s="41"/>
      <c r="E268" s="40"/>
      <c r="F268" s="40"/>
      <c r="G268" s="40"/>
      <c r="H268" s="41"/>
      <c r="I268" s="72"/>
      <c r="J268" s="14"/>
      <c r="K268" s="14"/>
      <c r="L268" s="14"/>
      <c r="M268" s="14"/>
      <c r="N268" s="14"/>
      <c r="O268" s="14"/>
      <c r="P268" s="14"/>
      <c r="Q268" s="47"/>
      <c r="R268" s="19"/>
      <c r="S268" s="19"/>
      <c r="T268" s="14"/>
      <c r="U268" s="14"/>
      <c r="V268" s="14"/>
      <c r="W268" s="14"/>
      <c r="X268" s="14"/>
      <c r="Y268" s="14"/>
      <c r="Z268" s="14"/>
      <c r="AA268" s="14"/>
      <c r="AB268" s="14"/>
      <c r="AC268" s="14"/>
      <c r="AD268" s="65"/>
      <c r="AE268" s="63"/>
      <c r="AF268" s="47"/>
      <c r="AG268" s="19"/>
      <c r="AH268" s="19"/>
      <c r="AI268" s="14"/>
      <c r="AJ268" s="14"/>
      <c r="AK268" s="14"/>
      <c r="AL268" s="14"/>
      <c r="AM268" s="14"/>
      <c r="AN268" s="14"/>
      <c r="AO268" s="14"/>
      <c r="AP268" s="14"/>
      <c r="AQ268" s="14"/>
      <c r="AR268" s="14"/>
      <c r="AS268" s="65"/>
      <c r="AT268" s="63"/>
      <c r="AU268" s="47"/>
      <c r="AV268" s="14"/>
      <c r="AW268" s="19"/>
      <c r="AX268" s="14"/>
      <c r="AY268" s="14"/>
      <c r="AZ268" s="14"/>
      <c r="BA268" s="14"/>
      <c r="BB268" s="14"/>
      <c r="BC268" s="14"/>
      <c r="BD268" s="14"/>
      <c r="BE268" s="14"/>
      <c r="BF268" s="14"/>
      <c r="BG268" s="14"/>
      <c r="BH268" s="65"/>
      <c r="BI268" s="63"/>
      <c r="BJ268" s="352"/>
      <c r="BK268" s="19"/>
      <c r="BL268" s="19"/>
      <c r="BM268" s="14"/>
      <c r="BN268" s="14"/>
      <c r="BO268" s="14"/>
      <c r="BP268" s="14"/>
      <c r="BQ268" s="14"/>
      <c r="BR268" s="14"/>
      <c r="BS268" s="14"/>
      <c r="BT268" s="14"/>
      <c r="BU268" s="14"/>
      <c r="BV268" s="14"/>
      <c r="BW268" s="65"/>
      <c r="BX268" s="63"/>
      <c r="BY268" s="352"/>
      <c r="BZ268" s="14"/>
      <c r="CA268" s="14"/>
      <c r="CB268" s="21"/>
      <c r="CC268" s="21"/>
      <c r="CD268" s="180"/>
      <c r="CE268" s="180"/>
      <c r="CF268" s="21"/>
      <c r="CG268" s="14"/>
      <c r="CH268" s="14"/>
      <c r="CI268" s="14"/>
      <c r="CJ268" s="14"/>
      <c r="CK268" s="14"/>
      <c r="CL268" s="14"/>
      <c r="CM268" s="14"/>
      <c r="CN268" s="14"/>
      <c r="CO268" s="129"/>
      <c r="CP268" s="14"/>
      <c r="CQ268" s="47"/>
      <c r="CR268" s="14"/>
      <c r="CS268" s="14"/>
      <c r="CT268" s="14"/>
      <c r="CU268" s="14"/>
      <c r="CV268" s="180"/>
      <c r="CW268" s="189"/>
      <c r="CX268" s="189"/>
      <c r="CY268" s="14"/>
      <c r="CZ268" s="14"/>
      <c r="DA268" s="14"/>
      <c r="DB268" s="14"/>
      <c r="DC268" s="14"/>
      <c r="DD268" s="14"/>
      <c r="DE268" s="14"/>
      <c r="DF268" s="14"/>
      <c r="DG268" s="129"/>
      <c r="DH268" s="14"/>
      <c r="DI268" s="47"/>
      <c r="DJ268" s="14"/>
      <c r="DK268" s="19"/>
      <c r="DL268" s="40"/>
      <c r="DM268" s="41"/>
      <c r="DN268" s="40"/>
      <c r="DO268" s="40"/>
      <c r="DP268" s="40"/>
      <c r="DQ268" s="41"/>
      <c r="DR268" s="72"/>
      <c r="DS268" s="14"/>
      <c r="DT268" s="14"/>
      <c r="DU268" s="14"/>
      <c r="DV268" s="14"/>
      <c r="DW268" s="14"/>
      <c r="DX268" s="14"/>
      <c r="DY268" s="14"/>
      <c r="DZ268" s="14"/>
      <c r="EA268" s="14"/>
      <c r="EB268" s="14"/>
      <c r="EC268" s="14"/>
      <c r="ED268" s="14"/>
      <c r="EE268" s="14"/>
      <c r="EF268" s="14"/>
      <c r="EG268" s="14"/>
      <c r="EH268" s="14"/>
      <c r="EI268" s="14"/>
      <c r="EJ268" s="14"/>
      <c r="EK268" s="14"/>
      <c r="EL268" s="14"/>
    </row>
    <row r="269" spans="1:142" x14ac:dyDescent="0.25">
      <c r="A269" s="14"/>
      <c r="B269" s="19"/>
      <c r="C269" s="40"/>
      <c r="D269" s="41"/>
      <c r="E269" s="40"/>
      <c r="F269" s="40"/>
      <c r="G269" s="40"/>
      <c r="H269" s="41"/>
      <c r="I269" s="72"/>
      <c r="J269" s="14"/>
      <c r="K269" s="14"/>
      <c r="L269" s="14"/>
      <c r="M269" s="14"/>
      <c r="N269" s="14"/>
      <c r="O269" s="14"/>
      <c r="P269" s="14"/>
      <c r="Q269" s="47"/>
      <c r="R269" s="19"/>
      <c r="S269" s="19"/>
      <c r="T269" s="14"/>
      <c r="U269" s="14"/>
      <c r="V269" s="14"/>
      <c r="W269" s="14"/>
      <c r="X269" s="14"/>
      <c r="Y269" s="14"/>
      <c r="Z269" s="14"/>
      <c r="AA269" s="14"/>
      <c r="AB269" s="14"/>
      <c r="AC269" s="14"/>
      <c r="AD269" s="65"/>
      <c r="AE269" s="63"/>
      <c r="AF269" s="47"/>
      <c r="AG269" s="19"/>
      <c r="AH269" s="19"/>
      <c r="AI269" s="14"/>
      <c r="AJ269" s="14"/>
      <c r="AK269" s="14"/>
      <c r="AL269" s="14"/>
      <c r="AM269" s="14"/>
      <c r="AN269" s="14"/>
      <c r="AO269" s="14"/>
      <c r="AP269" s="14"/>
      <c r="AQ269" s="14"/>
      <c r="AR269" s="14"/>
      <c r="AS269" s="65"/>
      <c r="AT269" s="63"/>
      <c r="AU269" s="47"/>
      <c r="AV269" s="14"/>
      <c r="AW269" s="19"/>
      <c r="AX269" s="14"/>
      <c r="AY269" s="14"/>
      <c r="AZ269" s="14"/>
      <c r="BA269" s="14"/>
      <c r="BB269" s="14"/>
      <c r="BC269" s="14"/>
      <c r="BD269" s="14"/>
      <c r="BE269" s="14"/>
      <c r="BF269" s="14"/>
      <c r="BG269" s="14"/>
      <c r="BH269" s="65"/>
      <c r="BI269" s="63"/>
      <c r="BJ269" s="352"/>
      <c r="BK269" s="19"/>
      <c r="BL269" s="19"/>
      <c r="BM269" s="14"/>
      <c r="BN269" s="14"/>
      <c r="BO269" s="14"/>
      <c r="BP269" s="14"/>
      <c r="BQ269" s="14"/>
      <c r="BR269" s="14"/>
      <c r="BS269" s="14"/>
      <c r="BT269" s="14"/>
      <c r="BU269" s="14"/>
      <c r="BV269" s="14"/>
      <c r="BW269" s="65"/>
      <c r="BX269" s="63"/>
      <c r="BY269" s="352"/>
      <c r="BZ269" s="14"/>
      <c r="CA269" s="14"/>
      <c r="CB269" s="21"/>
      <c r="CC269" s="21"/>
      <c r="CD269" s="180"/>
      <c r="CE269" s="180"/>
      <c r="CF269" s="21"/>
      <c r="CG269" s="14"/>
      <c r="CH269" s="14"/>
      <c r="CI269" s="14"/>
      <c r="CJ269" s="14"/>
      <c r="CK269" s="14"/>
      <c r="CL269" s="14"/>
      <c r="CM269" s="14"/>
      <c r="CN269" s="14"/>
      <c r="CO269" s="129"/>
      <c r="CP269" s="14"/>
      <c r="CQ269" s="47"/>
      <c r="CR269" s="14"/>
      <c r="CS269" s="14"/>
      <c r="CT269" s="14"/>
      <c r="CU269" s="14"/>
      <c r="CV269" s="180"/>
      <c r="CW269" s="189"/>
      <c r="CX269" s="189"/>
      <c r="CY269" s="14"/>
      <c r="CZ269" s="14"/>
      <c r="DA269" s="14"/>
      <c r="DB269" s="14"/>
      <c r="DC269" s="14"/>
      <c r="DD269" s="14"/>
      <c r="DE269" s="14"/>
      <c r="DF269" s="14"/>
      <c r="DG269" s="129"/>
      <c r="DH269" s="14"/>
      <c r="DI269" s="47"/>
      <c r="DJ269" s="14"/>
      <c r="DK269" s="19"/>
      <c r="DL269" s="40"/>
      <c r="DM269" s="41"/>
      <c r="DN269" s="40"/>
      <c r="DO269" s="40"/>
      <c r="DP269" s="40"/>
      <c r="DQ269" s="41"/>
      <c r="DR269" s="72"/>
      <c r="DS269" s="14"/>
      <c r="DT269" s="14"/>
      <c r="DU269" s="14"/>
      <c r="DV269" s="14"/>
      <c r="DW269" s="14"/>
      <c r="DX269" s="14"/>
      <c r="DY269" s="14"/>
      <c r="DZ269" s="14"/>
      <c r="EA269" s="14"/>
      <c r="EB269" s="14"/>
      <c r="EC269" s="14"/>
      <c r="ED269" s="14"/>
      <c r="EE269" s="14"/>
      <c r="EF269" s="14"/>
      <c r="EG269" s="14"/>
      <c r="EH269" s="14"/>
      <c r="EI269" s="14"/>
      <c r="EJ269" s="14"/>
      <c r="EK269" s="14"/>
      <c r="EL269" s="14"/>
    </row>
    <row r="270" spans="1:142" x14ac:dyDescent="0.25">
      <c r="A270" s="14"/>
      <c r="B270" s="19"/>
      <c r="C270" s="40"/>
      <c r="D270" s="41"/>
      <c r="E270" s="40"/>
      <c r="F270" s="40"/>
      <c r="G270" s="40"/>
      <c r="H270" s="41"/>
      <c r="I270" s="72"/>
      <c r="J270" s="14"/>
      <c r="K270" s="14"/>
      <c r="L270" s="14"/>
      <c r="M270" s="14"/>
      <c r="N270" s="14"/>
      <c r="O270" s="14"/>
      <c r="P270" s="14"/>
      <c r="Q270" s="47"/>
      <c r="R270" s="19"/>
      <c r="S270" s="19"/>
      <c r="T270" s="14"/>
      <c r="U270" s="14"/>
      <c r="V270" s="14"/>
      <c r="W270" s="14"/>
      <c r="X270" s="14"/>
      <c r="Y270" s="14"/>
      <c r="Z270" s="14"/>
      <c r="AA270" s="14"/>
      <c r="AB270" s="14"/>
      <c r="AC270" s="14"/>
      <c r="AD270" s="65"/>
      <c r="AE270" s="63"/>
      <c r="AF270" s="47"/>
      <c r="AG270" s="19"/>
      <c r="AH270" s="19"/>
      <c r="AI270" s="14"/>
      <c r="AJ270" s="14"/>
      <c r="AK270" s="14"/>
      <c r="AL270" s="14"/>
      <c r="AM270" s="14"/>
      <c r="AN270" s="14"/>
      <c r="AO270" s="14"/>
      <c r="AP270" s="14"/>
      <c r="AQ270" s="14"/>
      <c r="AR270" s="14"/>
      <c r="AS270" s="65"/>
      <c r="AT270" s="63"/>
      <c r="AU270" s="47"/>
      <c r="AV270" s="14"/>
      <c r="AW270" s="19"/>
      <c r="AX270" s="14"/>
      <c r="AY270" s="14"/>
      <c r="AZ270" s="14"/>
      <c r="BA270" s="14"/>
      <c r="BB270" s="14"/>
      <c r="BC270" s="14"/>
      <c r="BD270" s="14"/>
      <c r="BE270" s="14"/>
      <c r="BF270" s="14"/>
      <c r="BG270" s="14"/>
      <c r="BH270" s="65"/>
      <c r="BI270" s="63"/>
      <c r="BJ270" s="352"/>
      <c r="BK270" s="19"/>
      <c r="BL270" s="19"/>
      <c r="BM270" s="14"/>
      <c r="BN270" s="14"/>
      <c r="BO270" s="14"/>
      <c r="BP270" s="14"/>
      <c r="BQ270" s="14"/>
      <c r="BR270" s="14"/>
      <c r="BS270" s="14"/>
      <c r="BT270" s="14"/>
      <c r="BU270" s="14"/>
      <c r="BV270" s="14"/>
      <c r="BW270" s="65"/>
      <c r="BX270" s="63"/>
      <c r="BY270" s="352"/>
      <c r="BZ270" s="14"/>
      <c r="CA270" s="14"/>
      <c r="CB270" s="21"/>
      <c r="CC270" s="21"/>
      <c r="CD270" s="180"/>
      <c r="CE270" s="180"/>
      <c r="CF270" s="21"/>
      <c r="CG270" s="14"/>
      <c r="CH270" s="14"/>
      <c r="CI270" s="14"/>
      <c r="CJ270" s="14"/>
      <c r="CK270" s="14"/>
      <c r="CL270" s="14"/>
      <c r="CM270" s="14"/>
      <c r="CN270" s="14"/>
      <c r="CO270" s="129"/>
      <c r="CP270" s="14"/>
      <c r="CQ270" s="47"/>
      <c r="CR270" s="14"/>
      <c r="CS270" s="14"/>
      <c r="CT270" s="14"/>
      <c r="CU270" s="14"/>
      <c r="CV270" s="180"/>
      <c r="CW270" s="189"/>
      <c r="CX270" s="189"/>
      <c r="CY270" s="14"/>
      <c r="CZ270" s="14"/>
      <c r="DA270" s="14"/>
      <c r="DB270" s="14"/>
      <c r="DC270" s="14"/>
      <c r="DD270" s="14"/>
      <c r="DE270" s="14"/>
      <c r="DF270" s="14"/>
      <c r="DG270" s="129"/>
      <c r="DH270" s="14"/>
      <c r="DI270" s="47"/>
      <c r="DJ270" s="14"/>
      <c r="DK270" s="19"/>
      <c r="DL270" s="40"/>
      <c r="DM270" s="41"/>
      <c r="DN270" s="40"/>
      <c r="DO270" s="40"/>
      <c r="DP270" s="40"/>
      <c r="DQ270" s="41"/>
      <c r="DR270" s="72"/>
      <c r="DS270" s="14"/>
      <c r="DT270" s="14"/>
      <c r="DU270" s="14"/>
      <c r="DV270" s="14"/>
      <c r="DW270" s="14"/>
      <c r="DX270" s="14"/>
      <c r="DY270" s="14"/>
      <c r="DZ270" s="14"/>
      <c r="EA270" s="14"/>
      <c r="EB270" s="14"/>
      <c r="EC270" s="14"/>
      <c r="ED270" s="14"/>
      <c r="EE270" s="14"/>
      <c r="EF270" s="14"/>
      <c r="EG270" s="14"/>
      <c r="EH270" s="14"/>
      <c r="EI270" s="14"/>
      <c r="EJ270" s="14"/>
      <c r="EK270" s="14"/>
      <c r="EL270" s="14"/>
    </row>
    <row r="271" spans="1:142" x14ac:dyDescent="0.25">
      <c r="A271" s="14"/>
      <c r="B271" s="19"/>
      <c r="C271" s="40"/>
      <c r="D271" s="41"/>
      <c r="E271" s="40"/>
      <c r="F271" s="40"/>
      <c r="G271" s="40"/>
      <c r="H271" s="41"/>
      <c r="I271" s="72"/>
      <c r="J271" s="14"/>
      <c r="K271" s="14"/>
      <c r="L271" s="14"/>
      <c r="M271" s="14"/>
      <c r="N271" s="14"/>
      <c r="O271" s="14"/>
      <c r="P271" s="14"/>
      <c r="Q271" s="47"/>
      <c r="R271" s="19"/>
      <c r="S271" s="19"/>
      <c r="T271" s="14"/>
      <c r="U271" s="14"/>
      <c r="V271" s="14"/>
      <c r="W271" s="14"/>
      <c r="X271" s="14"/>
      <c r="Y271" s="14"/>
      <c r="Z271" s="14"/>
      <c r="AA271" s="14"/>
      <c r="AB271" s="14"/>
      <c r="AC271" s="14"/>
      <c r="AD271" s="65"/>
      <c r="AE271" s="63"/>
      <c r="AF271" s="47"/>
      <c r="AG271" s="19"/>
      <c r="AH271" s="19"/>
      <c r="AI271" s="14"/>
      <c r="AJ271" s="14"/>
      <c r="AK271" s="14"/>
      <c r="AL271" s="14"/>
      <c r="AM271" s="14"/>
      <c r="AN271" s="14"/>
      <c r="AO271" s="14"/>
      <c r="AP271" s="14"/>
      <c r="AQ271" s="14"/>
      <c r="AR271" s="14"/>
      <c r="AS271" s="65"/>
      <c r="AT271" s="63"/>
      <c r="AU271" s="47"/>
      <c r="AV271" s="14"/>
      <c r="AW271" s="19"/>
      <c r="AX271" s="14"/>
      <c r="AY271" s="14"/>
      <c r="AZ271" s="14"/>
      <c r="BA271" s="14"/>
      <c r="BB271" s="14"/>
      <c r="BC271" s="14"/>
      <c r="BD271" s="14"/>
      <c r="BE271" s="14"/>
      <c r="BF271" s="14"/>
      <c r="BG271" s="14"/>
      <c r="BH271" s="65"/>
      <c r="BI271" s="63"/>
      <c r="BJ271" s="352"/>
      <c r="BK271" s="19"/>
      <c r="BL271" s="19"/>
      <c r="BM271" s="14"/>
      <c r="BN271" s="14"/>
      <c r="BO271" s="14"/>
      <c r="BP271" s="14"/>
      <c r="BQ271" s="14"/>
      <c r="BR271" s="14"/>
      <c r="BS271" s="14"/>
      <c r="BT271" s="14"/>
      <c r="BU271" s="14"/>
      <c r="BV271" s="14"/>
      <c r="BW271" s="65"/>
      <c r="BX271" s="63"/>
      <c r="BY271" s="352"/>
      <c r="BZ271" s="14"/>
      <c r="CA271" s="14"/>
      <c r="CB271" s="21"/>
      <c r="CC271" s="21"/>
      <c r="CD271" s="180"/>
      <c r="CE271" s="180"/>
      <c r="CF271" s="21"/>
      <c r="CG271" s="14"/>
      <c r="CH271" s="14"/>
      <c r="CI271" s="14"/>
      <c r="CJ271" s="14"/>
      <c r="CK271" s="14"/>
      <c r="CL271" s="14"/>
      <c r="CM271" s="14"/>
      <c r="CN271" s="14"/>
      <c r="CO271" s="129"/>
      <c r="CP271" s="14"/>
      <c r="CQ271" s="47"/>
      <c r="CR271" s="14"/>
      <c r="CS271" s="14"/>
      <c r="CT271" s="14"/>
      <c r="CU271" s="14"/>
      <c r="CV271" s="180"/>
      <c r="CW271" s="189"/>
      <c r="CX271" s="189"/>
      <c r="CY271" s="14"/>
      <c r="CZ271" s="14"/>
      <c r="DA271" s="14"/>
      <c r="DB271" s="14"/>
      <c r="DC271" s="14"/>
      <c r="DD271" s="14"/>
      <c r="DE271" s="14"/>
      <c r="DF271" s="14"/>
      <c r="DG271" s="129"/>
      <c r="DH271" s="14"/>
      <c r="DI271" s="47"/>
      <c r="DJ271" s="14"/>
      <c r="DK271" s="19"/>
      <c r="DL271" s="40"/>
      <c r="DM271" s="41"/>
      <c r="DN271" s="40"/>
      <c r="DO271" s="40"/>
      <c r="DP271" s="40"/>
      <c r="DQ271" s="41"/>
      <c r="DR271" s="72"/>
      <c r="DS271" s="14"/>
      <c r="DT271" s="14"/>
      <c r="DU271" s="14"/>
      <c r="DV271" s="14"/>
      <c r="DW271" s="14"/>
      <c r="DX271" s="14"/>
      <c r="DY271" s="14"/>
      <c r="DZ271" s="14"/>
      <c r="EA271" s="14"/>
      <c r="EB271" s="14"/>
      <c r="EC271" s="14"/>
      <c r="ED271" s="14"/>
      <c r="EE271" s="14"/>
      <c r="EF271" s="14"/>
      <c r="EG271" s="14"/>
      <c r="EH271" s="14"/>
      <c r="EI271" s="14"/>
      <c r="EJ271" s="14"/>
      <c r="EK271" s="14"/>
      <c r="EL271" s="14"/>
    </row>
    <row r="272" spans="1:142" x14ac:dyDescent="0.25">
      <c r="A272" s="14"/>
      <c r="B272" s="19"/>
      <c r="C272" s="40"/>
      <c r="D272" s="41"/>
      <c r="E272" s="40"/>
      <c r="F272" s="40"/>
      <c r="G272" s="40"/>
      <c r="H272" s="41"/>
      <c r="I272" s="72"/>
      <c r="J272" s="14"/>
      <c r="K272" s="14"/>
      <c r="L272" s="14"/>
      <c r="M272" s="14"/>
      <c r="N272" s="14"/>
      <c r="O272" s="14"/>
      <c r="P272" s="14"/>
      <c r="Q272" s="47"/>
      <c r="R272" s="19"/>
      <c r="S272" s="19"/>
      <c r="T272" s="14"/>
      <c r="U272" s="14"/>
      <c r="V272" s="14"/>
      <c r="W272" s="14"/>
      <c r="X272" s="14"/>
      <c r="Y272" s="14"/>
      <c r="Z272" s="14"/>
      <c r="AA272" s="14"/>
      <c r="AB272" s="14"/>
      <c r="AC272" s="14"/>
      <c r="AD272" s="65"/>
      <c r="AE272" s="63"/>
      <c r="AF272" s="47"/>
      <c r="AG272" s="19"/>
      <c r="AH272" s="19"/>
      <c r="AI272" s="14"/>
      <c r="AJ272" s="14"/>
      <c r="AK272" s="14"/>
      <c r="AL272" s="14"/>
      <c r="AM272" s="14"/>
      <c r="AN272" s="14"/>
      <c r="AO272" s="14"/>
      <c r="AP272" s="14"/>
      <c r="AQ272" s="14"/>
      <c r="AR272" s="14"/>
      <c r="AS272" s="65"/>
      <c r="AT272" s="63"/>
      <c r="AU272" s="47"/>
      <c r="AV272" s="14"/>
      <c r="AW272" s="19"/>
      <c r="AX272" s="14"/>
      <c r="AY272" s="14"/>
      <c r="AZ272" s="14"/>
      <c r="BA272" s="14"/>
      <c r="BB272" s="14"/>
      <c r="BC272" s="14"/>
      <c r="BD272" s="14"/>
      <c r="BE272" s="14"/>
      <c r="BF272" s="14"/>
      <c r="BG272" s="14"/>
      <c r="BH272" s="65"/>
      <c r="BI272" s="63"/>
      <c r="BJ272" s="352"/>
      <c r="BK272" s="19"/>
      <c r="BL272" s="19"/>
      <c r="BM272" s="14"/>
      <c r="BN272" s="14"/>
      <c r="BO272" s="14"/>
      <c r="BP272" s="14"/>
      <c r="BQ272" s="14"/>
      <c r="BR272" s="14"/>
      <c r="BS272" s="14"/>
      <c r="BT272" s="14"/>
      <c r="BU272" s="14"/>
      <c r="BV272" s="14"/>
      <c r="BW272" s="65"/>
      <c r="BX272" s="63"/>
      <c r="BY272" s="352"/>
      <c r="BZ272" s="14"/>
      <c r="CA272" s="14"/>
      <c r="CB272" s="21"/>
      <c r="CC272" s="21"/>
      <c r="CD272" s="180"/>
      <c r="CE272" s="180"/>
      <c r="CF272" s="21"/>
      <c r="CG272" s="14"/>
      <c r="CH272" s="14"/>
      <c r="CI272" s="14"/>
      <c r="CJ272" s="14"/>
      <c r="CK272" s="14"/>
      <c r="CL272" s="14"/>
      <c r="CM272" s="14"/>
      <c r="CN272" s="14"/>
      <c r="CO272" s="129"/>
      <c r="CP272" s="14"/>
      <c r="CQ272" s="47"/>
      <c r="CR272" s="14"/>
      <c r="CS272" s="14"/>
      <c r="CT272" s="14"/>
      <c r="CU272" s="14"/>
      <c r="CV272" s="180"/>
      <c r="CW272" s="189"/>
      <c r="CX272" s="189"/>
      <c r="CY272" s="14"/>
      <c r="CZ272" s="14"/>
      <c r="DA272" s="14"/>
      <c r="DB272" s="14"/>
      <c r="DC272" s="14"/>
      <c r="DD272" s="14"/>
      <c r="DE272" s="14"/>
      <c r="DF272" s="14"/>
      <c r="DG272" s="129"/>
      <c r="DH272" s="14"/>
      <c r="DI272" s="47"/>
      <c r="DJ272" s="14"/>
      <c r="DK272" s="19"/>
      <c r="DL272" s="40"/>
      <c r="DM272" s="41"/>
      <c r="DN272" s="40"/>
      <c r="DO272" s="40"/>
      <c r="DP272" s="40"/>
      <c r="DQ272" s="41"/>
      <c r="DR272" s="72"/>
      <c r="DS272" s="14"/>
      <c r="DT272" s="14"/>
      <c r="DU272" s="14"/>
      <c r="DV272" s="14"/>
      <c r="DW272" s="14"/>
      <c r="DX272" s="14"/>
      <c r="DY272" s="14"/>
      <c r="DZ272" s="14"/>
      <c r="EA272" s="14"/>
      <c r="EB272" s="14"/>
      <c r="EC272" s="14"/>
      <c r="ED272" s="14"/>
      <c r="EE272" s="14"/>
      <c r="EF272" s="14"/>
      <c r="EG272" s="14"/>
      <c r="EH272" s="14"/>
      <c r="EI272" s="14"/>
      <c r="EJ272" s="14"/>
      <c r="EK272" s="14"/>
      <c r="EL272" s="14"/>
    </row>
    <row r="273" spans="1:142" x14ac:dyDescent="0.25">
      <c r="A273" s="14"/>
      <c r="B273" s="19"/>
      <c r="C273" s="40"/>
      <c r="D273" s="41"/>
      <c r="E273" s="40"/>
      <c r="F273" s="40"/>
      <c r="G273" s="40"/>
      <c r="H273" s="41"/>
      <c r="I273" s="72"/>
      <c r="J273" s="14"/>
      <c r="K273" s="14"/>
      <c r="L273" s="14"/>
      <c r="M273" s="14"/>
      <c r="N273" s="14"/>
      <c r="O273" s="14"/>
      <c r="P273" s="14"/>
      <c r="Q273" s="47"/>
      <c r="R273" s="19"/>
      <c r="S273" s="19"/>
      <c r="T273" s="14"/>
      <c r="U273" s="14"/>
      <c r="V273" s="14"/>
      <c r="W273" s="14"/>
      <c r="X273" s="14"/>
      <c r="Y273" s="14"/>
      <c r="Z273" s="14"/>
      <c r="AA273" s="14"/>
      <c r="AB273" s="14"/>
      <c r="AC273" s="14"/>
      <c r="AD273" s="65"/>
      <c r="AE273" s="63"/>
      <c r="AF273" s="47"/>
      <c r="AG273" s="19"/>
      <c r="AH273" s="19"/>
      <c r="AI273" s="14"/>
      <c r="AJ273" s="14"/>
      <c r="AK273" s="14"/>
      <c r="AL273" s="14"/>
      <c r="AM273" s="14"/>
      <c r="AN273" s="14"/>
      <c r="AO273" s="14"/>
      <c r="AP273" s="14"/>
      <c r="AQ273" s="14"/>
      <c r="AR273" s="14"/>
      <c r="AS273" s="65"/>
      <c r="AT273" s="63"/>
      <c r="AU273" s="47"/>
      <c r="AV273" s="14"/>
      <c r="AW273" s="19"/>
      <c r="AX273" s="14"/>
      <c r="AY273" s="14"/>
      <c r="AZ273" s="14"/>
      <c r="BA273" s="14"/>
      <c r="BB273" s="14"/>
      <c r="BC273" s="14"/>
      <c r="BD273" s="14"/>
      <c r="BE273" s="14"/>
      <c r="BF273" s="14"/>
      <c r="BG273" s="14"/>
      <c r="BH273" s="65"/>
      <c r="BI273" s="63"/>
      <c r="BJ273" s="352"/>
      <c r="BK273" s="19"/>
      <c r="BL273" s="19"/>
      <c r="BM273" s="14"/>
      <c r="BN273" s="14"/>
      <c r="BO273" s="14"/>
      <c r="BP273" s="14"/>
      <c r="BQ273" s="14"/>
      <c r="BR273" s="14"/>
      <c r="BS273" s="14"/>
      <c r="BT273" s="14"/>
      <c r="BU273" s="14"/>
      <c r="BV273" s="14"/>
      <c r="BW273" s="65"/>
      <c r="BX273" s="63"/>
      <c r="BY273" s="352"/>
      <c r="BZ273" s="14"/>
      <c r="CA273" s="14"/>
      <c r="CB273" s="21"/>
      <c r="CC273" s="21"/>
      <c r="CD273" s="180"/>
      <c r="CE273" s="180"/>
      <c r="CF273" s="21"/>
      <c r="CG273" s="14"/>
      <c r="CH273" s="14"/>
      <c r="CI273" s="14"/>
      <c r="CJ273" s="14"/>
      <c r="CK273" s="14"/>
      <c r="CL273" s="14"/>
      <c r="CM273" s="14"/>
      <c r="CN273" s="14"/>
      <c r="CO273" s="129"/>
      <c r="CP273" s="14"/>
      <c r="CQ273" s="47"/>
      <c r="CR273" s="14"/>
      <c r="CS273" s="14"/>
      <c r="CT273" s="14"/>
      <c r="CU273" s="14"/>
      <c r="CV273" s="180"/>
      <c r="CW273" s="189"/>
      <c r="CX273" s="189"/>
      <c r="CY273" s="14"/>
      <c r="CZ273" s="14"/>
      <c r="DA273" s="14"/>
      <c r="DB273" s="14"/>
      <c r="DC273" s="14"/>
      <c r="DD273" s="14"/>
      <c r="DE273" s="14"/>
      <c r="DF273" s="14"/>
      <c r="DG273" s="129"/>
      <c r="DH273" s="14"/>
      <c r="DI273" s="47"/>
      <c r="DJ273" s="14"/>
      <c r="DK273" s="19"/>
      <c r="DL273" s="40"/>
      <c r="DM273" s="41"/>
      <c r="DN273" s="40"/>
      <c r="DO273" s="40"/>
      <c r="DP273" s="40"/>
      <c r="DQ273" s="41"/>
      <c r="DR273" s="72"/>
      <c r="DS273" s="14"/>
      <c r="DT273" s="14"/>
      <c r="DU273" s="14"/>
      <c r="DV273" s="14"/>
      <c r="DW273" s="14"/>
      <c r="DX273" s="14"/>
      <c r="DY273" s="14"/>
      <c r="DZ273" s="14"/>
      <c r="EA273" s="14"/>
      <c r="EB273" s="14"/>
      <c r="EC273" s="14"/>
      <c r="ED273" s="14"/>
      <c r="EE273" s="14"/>
      <c r="EF273" s="14"/>
      <c r="EG273" s="14"/>
      <c r="EH273" s="14"/>
      <c r="EI273" s="14"/>
      <c r="EJ273" s="14"/>
      <c r="EK273" s="14"/>
      <c r="EL273" s="14"/>
    </row>
    <row r="274" spans="1:142" x14ac:dyDescent="0.25">
      <c r="A274" s="14"/>
      <c r="B274" s="19"/>
      <c r="C274" s="40"/>
      <c r="D274" s="41"/>
      <c r="E274" s="40"/>
      <c r="F274" s="40"/>
      <c r="G274" s="40"/>
      <c r="H274" s="41"/>
      <c r="I274" s="72"/>
      <c r="J274" s="14"/>
      <c r="K274" s="14"/>
      <c r="L274" s="14"/>
      <c r="M274" s="14"/>
      <c r="N274" s="14"/>
      <c r="O274" s="14"/>
      <c r="P274" s="14"/>
      <c r="Q274" s="47"/>
      <c r="R274" s="19"/>
      <c r="S274" s="19"/>
      <c r="T274" s="14"/>
      <c r="U274" s="14"/>
      <c r="V274" s="14"/>
      <c r="W274" s="14"/>
      <c r="X274" s="14"/>
      <c r="Y274" s="14"/>
      <c r="Z274" s="14"/>
      <c r="AA274" s="14"/>
      <c r="AB274" s="14"/>
      <c r="AC274" s="14"/>
      <c r="AD274" s="65"/>
      <c r="AE274" s="63"/>
      <c r="AF274" s="47"/>
      <c r="AG274" s="19"/>
      <c r="AH274" s="19"/>
      <c r="AI274" s="14"/>
      <c r="AJ274" s="14"/>
      <c r="AK274" s="14"/>
      <c r="AL274" s="14"/>
      <c r="AM274" s="14"/>
      <c r="AN274" s="14"/>
      <c r="AO274" s="14"/>
      <c r="AP274" s="14"/>
      <c r="AQ274" s="14"/>
      <c r="AR274" s="14"/>
      <c r="AS274" s="65"/>
      <c r="AT274" s="63"/>
      <c r="AU274" s="47"/>
      <c r="AV274" s="14"/>
      <c r="AW274" s="19"/>
      <c r="AX274" s="14"/>
      <c r="AY274" s="14"/>
      <c r="AZ274" s="14"/>
      <c r="BA274" s="14"/>
      <c r="BB274" s="14"/>
      <c r="BC274" s="14"/>
      <c r="BD274" s="14"/>
      <c r="BE274" s="14"/>
      <c r="BF274" s="14"/>
      <c r="BG274" s="14"/>
      <c r="BH274" s="65"/>
      <c r="BI274" s="63"/>
      <c r="BJ274" s="352"/>
      <c r="BK274" s="19"/>
      <c r="BL274" s="19"/>
      <c r="BM274" s="14"/>
      <c r="BN274" s="14"/>
      <c r="BO274" s="14"/>
      <c r="BP274" s="14"/>
      <c r="BQ274" s="14"/>
      <c r="BR274" s="14"/>
      <c r="BS274" s="14"/>
      <c r="BT274" s="14"/>
      <c r="BU274" s="14"/>
      <c r="BV274" s="14"/>
      <c r="BW274" s="65"/>
      <c r="BX274" s="63"/>
      <c r="BY274" s="352"/>
      <c r="BZ274" s="14"/>
      <c r="CA274" s="14"/>
      <c r="CB274" s="21"/>
      <c r="CC274" s="21"/>
      <c r="CD274" s="180"/>
      <c r="CE274" s="180"/>
      <c r="CF274" s="21"/>
      <c r="CG274" s="14"/>
      <c r="CH274" s="14"/>
      <c r="CI274" s="14"/>
      <c r="CJ274" s="14"/>
      <c r="CK274" s="14"/>
      <c r="CL274" s="14"/>
      <c r="CM274" s="14"/>
      <c r="CN274" s="14"/>
      <c r="CO274" s="129"/>
      <c r="CP274" s="14"/>
      <c r="CQ274" s="47"/>
      <c r="CR274" s="14"/>
      <c r="CS274" s="14"/>
      <c r="CT274" s="14"/>
      <c r="CU274" s="14"/>
      <c r="CV274" s="180"/>
      <c r="CW274" s="189"/>
      <c r="CX274" s="189"/>
      <c r="CY274" s="14"/>
      <c r="CZ274" s="14"/>
      <c r="DA274" s="14"/>
      <c r="DB274" s="14"/>
      <c r="DC274" s="14"/>
      <c r="DD274" s="14"/>
      <c r="DE274" s="14"/>
      <c r="DF274" s="14"/>
      <c r="DG274" s="129"/>
      <c r="DH274" s="14"/>
      <c r="DI274" s="47"/>
      <c r="DJ274" s="14"/>
      <c r="DK274" s="19"/>
      <c r="DL274" s="40"/>
      <c r="DM274" s="41"/>
      <c r="DN274" s="40"/>
      <c r="DO274" s="40"/>
      <c r="DP274" s="40"/>
      <c r="DQ274" s="41"/>
      <c r="DR274" s="72"/>
      <c r="DS274" s="14"/>
      <c r="DT274" s="14"/>
      <c r="DU274" s="14"/>
      <c r="DV274" s="14"/>
      <c r="DW274" s="14"/>
      <c r="DX274" s="14"/>
      <c r="DY274" s="14"/>
      <c r="DZ274" s="14"/>
      <c r="EA274" s="14"/>
      <c r="EB274" s="14"/>
      <c r="EC274" s="14"/>
      <c r="ED274" s="14"/>
      <c r="EE274" s="14"/>
      <c r="EF274" s="14"/>
      <c r="EG274" s="14"/>
      <c r="EH274" s="14"/>
      <c r="EI274" s="14"/>
      <c r="EJ274" s="14"/>
      <c r="EK274" s="14"/>
      <c r="EL274" s="14"/>
    </row>
    <row r="275" spans="1:142" x14ac:dyDescent="0.25">
      <c r="A275" s="14"/>
      <c r="B275" s="19"/>
      <c r="C275" s="40"/>
      <c r="D275" s="41"/>
      <c r="E275" s="40"/>
      <c r="F275" s="40"/>
      <c r="G275" s="40"/>
      <c r="H275" s="41"/>
      <c r="I275" s="72"/>
      <c r="J275" s="14"/>
      <c r="K275" s="14"/>
      <c r="L275" s="14"/>
      <c r="M275" s="14"/>
      <c r="N275" s="14"/>
      <c r="O275" s="14"/>
      <c r="P275" s="14"/>
      <c r="Q275" s="47"/>
      <c r="R275" s="19"/>
      <c r="S275" s="19"/>
      <c r="T275" s="14"/>
      <c r="U275" s="14"/>
      <c r="V275" s="14"/>
      <c r="W275" s="14"/>
      <c r="X275" s="14"/>
      <c r="Y275" s="14"/>
      <c r="Z275" s="14"/>
      <c r="AA275" s="14"/>
      <c r="AB275" s="14"/>
      <c r="AC275" s="14"/>
      <c r="AD275" s="65"/>
      <c r="AE275" s="63"/>
      <c r="AF275" s="47"/>
      <c r="AG275" s="19"/>
      <c r="AH275" s="19"/>
      <c r="AI275" s="14"/>
      <c r="AJ275" s="14"/>
      <c r="AK275" s="14"/>
      <c r="AL275" s="14"/>
      <c r="AM275" s="14"/>
      <c r="AN275" s="14"/>
      <c r="AO275" s="14"/>
      <c r="AP275" s="14"/>
      <c r="AQ275" s="14"/>
      <c r="AR275" s="14"/>
      <c r="AS275" s="65"/>
      <c r="AT275" s="63"/>
      <c r="AU275" s="47"/>
      <c r="AV275" s="14"/>
      <c r="AW275" s="19"/>
      <c r="AX275" s="14"/>
      <c r="AY275" s="14"/>
      <c r="AZ275" s="14"/>
      <c r="BA275" s="14"/>
      <c r="BB275" s="14"/>
      <c r="BC275" s="14"/>
      <c r="BD275" s="14"/>
      <c r="BE275" s="14"/>
      <c r="BF275" s="14"/>
      <c r="BG275" s="14"/>
      <c r="BH275" s="65"/>
      <c r="BI275" s="63"/>
      <c r="BJ275" s="352"/>
      <c r="BK275" s="19"/>
      <c r="BL275" s="19"/>
      <c r="BM275" s="14"/>
      <c r="BN275" s="14"/>
      <c r="BO275" s="14"/>
      <c r="BP275" s="14"/>
      <c r="BQ275" s="14"/>
      <c r="BR275" s="14"/>
      <c r="BS275" s="14"/>
      <c r="BT275" s="14"/>
      <c r="BU275" s="14"/>
      <c r="BV275" s="14"/>
      <c r="BW275" s="65"/>
      <c r="BX275" s="63"/>
      <c r="BY275" s="352"/>
      <c r="BZ275" s="14"/>
      <c r="CA275" s="14"/>
      <c r="CB275" s="21"/>
      <c r="CC275" s="21"/>
      <c r="CD275" s="180"/>
      <c r="CE275" s="180"/>
      <c r="CF275" s="21"/>
      <c r="CG275" s="14"/>
      <c r="CH275" s="14"/>
      <c r="CI275" s="14"/>
      <c r="CJ275" s="14"/>
      <c r="CK275" s="14"/>
      <c r="CL275" s="14"/>
      <c r="CM275" s="14"/>
      <c r="CN275" s="14"/>
      <c r="CO275" s="129"/>
      <c r="CP275" s="14"/>
      <c r="CQ275" s="47"/>
      <c r="CR275" s="14"/>
      <c r="CS275" s="14"/>
      <c r="CT275" s="14"/>
      <c r="CU275" s="14"/>
      <c r="CV275" s="180"/>
      <c r="CW275" s="189"/>
      <c r="CX275" s="189"/>
      <c r="CY275" s="14"/>
      <c r="CZ275" s="14"/>
      <c r="DA275" s="14"/>
      <c r="DB275" s="14"/>
      <c r="DC275" s="14"/>
      <c r="DD275" s="14"/>
      <c r="DE275" s="14"/>
      <c r="DF275" s="14"/>
      <c r="DG275" s="129"/>
      <c r="DH275" s="14"/>
      <c r="DI275" s="47"/>
      <c r="DJ275" s="14"/>
      <c r="DK275" s="19"/>
      <c r="DL275" s="40"/>
      <c r="DM275" s="41"/>
      <c r="DN275" s="40"/>
      <c r="DO275" s="40"/>
      <c r="DP275" s="40"/>
      <c r="DQ275" s="41"/>
      <c r="DR275" s="72"/>
      <c r="DS275" s="14"/>
      <c r="DT275" s="14"/>
      <c r="DU275" s="14"/>
      <c r="DV275" s="14"/>
      <c r="DW275" s="14"/>
      <c r="DX275" s="14"/>
      <c r="DY275" s="14"/>
      <c r="DZ275" s="14"/>
      <c r="EA275" s="14"/>
      <c r="EB275" s="14"/>
      <c r="EC275" s="14"/>
      <c r="ED275" s="14"/>
      <c r="EE275" s="14"/>
      <c r="EF275" s="14"/>
      <c r="EG275" s="14"/>
      <c r="EH275" s="14"/>
      <c r="EI275" s="14"/>
      <c r="EJ275" s="14"/>
      <c r="EK275" s="14"/>
      <c r="EL275" s="14"/>
    </row>
    <row r="276" spans="1:142" x14ac:dyDescent="0.25">
      <c r="A276" s="14"/>
      <c r="B276" s="14"/>
      <c r="C276" s="14"/>
      <c r="D276" s="21"/>
      <c r="E276" s="14"/>
      <c r="F276" s="14"/>
      <c r="G276" s="14"/>
      <c r="H276" s="21"/>
      <c r="I276" s="21"/>
      <c r="J276" s="14"/>
      <c r="K276" s="14"/>
      <c r="L276" s="14"/>
      <c r="M276" s="14"/>
      <c r="N276" s="14"/>
      <c r="O276" s="14"/>
      <c r="P276" s="14"/>
      <c r="Q276" s="47"/>
      <c r="R276" s="19"/>
      <c r="S276" s="19"/>
      <c r="T276" s="19"/>
      <c r="U276" s="14"/>
      <c r="V276" s="14"/>
      <c r="W276" s="14"/>
      <c r="X276" s="14"/>
      <c r="Y276" s="14"/>
      <c r="Z276" s="14"/>
      <c r="AA276" s="14"/>
      <c r="AB276" s="14"/>
      <c r="AC276" s="14"/>
      <c r="AD276" s="65"/>
      <c r="AE276" s="63"/>
      <c r="AF276" s="47"/>
      <c r="AG276" s="19"/>
      <c r="AH276" s="19"/>
      <c r="AI276" s="19"/>
      <c r="AJ276" s="14"/>
      <c r="AK276" s="14"/>
      <c r="AL276" s="14"/>
      <c r="AM276" s="14"/>
      <c r="AN276" s="14"/>
      <c r="AO276" s="14"/>
      <c r="AP276" s="14"/>
      <c r="AQ276" s="14"/>
      <c r="AR276" s="14"/>
      <c r="AS276" s="65"/>
      <c r="AT276" s="63"/>
      <c r="AU276" s="47"/>
      <c r="AV276" s="14"/>
      <c r="AW276" s="19"/>
      <c r="AX276" s="19"/>
      <c r="AY276" s="14"/>
      <c r="AZ276" s="14"/>
      <c r="BA276" s="14"/>
      <c r="BB276" s="14"/>
      <c r="BC276" s="14"/>
      <c r="BD276" s="14"/>
      <c r="BE276" s="14"/>
      <c r="BF276" s="14"/>
      <c r="BG276" s="14"/>
      <c r="BH276" s="65"/>
      <c r="BI276" s="63"/>
      <c r="BJ276" s="352"/>
      <c r="BK276" s="19"/>
      <c r="BL276" s="42"/>
      <c r="BM276" s="19"/>
      <c r="BN276" s="14"/>
      <c r="BO276" s="14"/>
      <c r="BP276" s="14"/>
      <c r="BQ276" s="14"/>
      <c r="BR276" s="14"/>
      <c r="BS276" s="14"/>
      <c r="BT276" s="14"/>
      <c r="BU276" s="14"/>
      <c r="BV276" s="14"/>
      <c r="BW276" s="65"/>
      <c r="BX276" s="63"/>
      <c r="BY276" s="352"/>
      <c r="BZ276" s="14"/>
      <c r="CA276" s="14"/>
      <c r="CB276" s="21"/>
      <c r="CC276" s="21"/>
      <c r="CD276" s="180"/>
      <c r="CE276" s="180"/>
      <c r="CF276" s="21"/>
      <c r="CG276" s="14"/>
      <c r="CH276" s="14"/>
      <c r="CI276" s="14"/>
      <c r="CJ276" s="14"/>
      <c r="CK276" s="14"/>
      <c r="CL276" s="14"/>
      <c r="CM276" s="14"/>
      <c r="CN276" s="14"/>
      <c r="CO276" s="129"/>
      <c r="CP276" s="14"/>
      <c r="CQ276" s="47"/>
      <c r="CR276" s="14"/>
      <c r="CS276" s="14"/>
      <c r="CT276" s="14"/>
      <c r="CU276" s="14"/>
      <c r="CV276" s="180"/>
      <c r="CW276" s="189"/>
      <c r="CX276" s="189"/>
      <c r="CY276" s="14"/>
      <c r="CZ276" s="14"/>
      <c r="DA276" s="14"/>
      <c r="DB276" s="14"/>
      <c r="DC276" s="14"/>
      <c r="DD276" s="14"/>
      <c r="DE276" s="14"/>
      <c r="DF276" s="14"/>
      <c r="DG276" s="129"/>
      <c r="DH276" s="14"/>
      <c r="DI276" s="47"/>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row>
    <row r="277" spans="1:142" s="131" customFormat="1" x14ac:dyDescent="0.25">
      <c r="A277" s="78"/>
      <c r="B277" s="78" t="s">
        <v>157</v>
      </c>
      <c r="C277" s="78"/>
      <c r="D277" s="79"/>
      <c r="E277" s="78"/>
      <c r="F277" s="78"/>
      <c r="G277" s="78"/>
      <c r="H277" s="79"/>
      <c r="I277" s="79"/>
      <c r="J277" s="78"/>
      <c r="K277" s="78"/>
      <c r="L277" s="78"/>
      <c r="M277" s="78"/>
      <c r="N277" s="78"/>
      <c r="O277" s="78"/>
      <c r="P277" s="78"/>
      <c r="Q277" s="82"/>
      <c r="R277" s="83"/>
      <c r="S277" s="83" t="s">
        <v>157</v>
      </c>
      <c r="T277" s="78"/>
      <c r="U277" s="78"/>
      <c r="V277" s="78"/>
      <c r="W277" s="78"/>
      <c r="X277" s="78"/>
      <c r="Y277" s="78"/>
      <c r="Z277" s="78"/>
      <c r="AA277" s="78"/>
      <c r="AB277" s="78"/>
      <c r="AC277" s="78"/>
      <c r="AD277" s="80"/>
      <c r="AE277" s="81"/>
      <c r="AF277" s="82"/>
      <c r="AG277" s="83"/>
      <c r="AH277" s="83" t="s">
        <v>157</v>
      </c>
      <c r="AI277" s="78"/>
      <c r="AJ277" s="78"/>
      <c r="AK277" s="78"/>
      <c r="AL277" s="78"/>
      <c r="AM277" s="78"/>
      <c r="AN277" s="78"/>
      <c r="AO277" s="78"/>
      <c r="AP277" s="78"/>
      <c r="AQ277" s="78"/>
      <c r="AR277" s="78"/>
      <c r="AS277" s="80"/>
      <c r="AT277" s="81"/>
      <c r="AU277" s="82"/>
      <c r="AV277" s="78"/>
      <c r="AW277" s="83" t="s">
        <v>157</v>
      </c>
      <c r="AX277" s="78"/>
      <c r="AY277" s="78"/>
      <c r="AZ277" s="78"/>
      <c r="BA277" s="78"/>
      <c r="BB277" s="78"/>
      <c r="BC277" s="78"/>
      <c r="BD277" s="78"/>
      <c r="BE277" s="78"/>
      <c r="BF277" s="78"/>
      <c r="BG277" s="78"/>
      <c r="BH277" s="80"/>
      <c r="BI277" s="81"/>
      <c r="BJ277" s="373"/>
      <c r="BK277" s="83"/>
      <c r="BL277" s="78" t="s">
        <v>157</v>
      </c>
      <c r="BM277" s="78"/>
      <c r="BN277" s="78"/>
      <c r="BO277" s="78"/>
      <c r="BP277" s="78"/>
      <c r="BQ277" s="78"/>
      <c r="BR277" s="78"/>
      <c r="BS277" s="78"/>
      <c r="BT277" s="78"/>
      <c r="BU277" s="78"/>
      <c r="BV277" s="78"/>
      <c r="BW277" s="80"/>
      <c r="BX277" s="81"/>
      <c r="BY277" s="373"/>
      <c r="BZ277" s="78"/>
      <c r="CA277" s="78"/>
      <c r="CB277" s="79"/>
      <c r="CC277" s="79"/>
      <c r="CD277" s="182"/>
      <c r="CE277" s="182"/>
      <c r="CF277" s="79"/>
      <c r="CG277" s="78"/>
      <c r="CH277" s="78"/>
      <c r="CI277" s="78"/>
      <c r="CJ277" s="78"/>
      <c r="CK277" s="78"/>
      <c r="CL277" s="78"/>
      <c r="CM277" s="78"/>
      <c r="CN277" s="78"/>
      <c r="CO277" s="78"/>
      <c r="CP277" s="78"/>
      <c r="CQ277" s="82"/>
      <c r="CR277" s="78"/>
      <c r="CS277" s="78"/>
      <c r="CT277" s="78"/>
      <c r="CU277" s="78"/>
      <c r="CV277" s="182"/>
      <c r="CW277" s="192"/>
      <c r="CX277" s="192"/>
      <c r="CY277" s="78"/>
      <c r="CZ277" s="78"/>
      <c r="DA277" s="78"/>
      <c r="DB277" s="78"/>
      <c r="DC277" s="78"/>
      <c r="DD277" s="78"/>
      <c r="DE277" s="78"/>
      <c r="DF277" s="78"/>
      <c r="DG277" s="78"/>
      <c r="DH277" s="78"/>
      <c r="DI277" s="82"/>
      <c r="DJ277" s="78"/>
      <c r="DK277" s="78" t="s">
        <v>157</v>
      </c>
      <c r="DL277" s="78"/>
      <c r="DM277" s="78"/>
      <c r="DN277" s="78"/>
      <c r="DO277" s="78"/>
      <c r="DP277" s="78"/>
      <c r="DQ277" s="78"/>
      <c r="DR277" s="78"/>
      <c r="DS277" s="78"/>
      <c r="DT277" s="78"/>
      <c r="DU277" s="78"/>
      <c r="DV277" s="78"/>
      <c r="DW277" s="78"/>
      <c r="DX277" s="78"/>
      <c r="DY277" s="78"/>
      <c r="DZ277" s="78"/>
      <c r="EA277" s="78"/>
      <c r="EB277" s="78"/>
      <c r="EC277" s="78"/>
      <c r="ED277" s="78"/>
      <c r="EE277" s="78"/>
      <c r="EF277" s="78"/>
      <c r="EG277" s="78"/>
      <c r="EH277" s="78"/>
      <c r="EI277" s="78"/>
      <c r="EJ277" s="78"/>
      <c r="EK277" s="78"/>
      <c r="EL277" s="78"/>
    </row>
    <row r="278" spans="1:142" x14ac:dyDescent="0.25">
      <c r="A278" s="14"/>
      <c r="B278" s="14"/>
      <c r="C278" s="14"/>
      <c r="D278" s="21"/>
      <c r="E278" s="14"/>
      <c r="F278" s="14"/>
      <c r="G278" s="14"/>
      <c r="H278" s="21"/>
      <c r="I278" s="21"/>
      <c r="J278" s="14"/>
      <c r="K278" s="14"/>
      <c r="L278" s="14"/>
      <c r="M278" s="14"/>
      <c r="N278" s="14"/>
      <c r="O278" s="14"/>
      <c r="P278" s="14"/>
      <c r="Q278" s="47"/>
      <c r="R278" s="19"/>
      <c r="S278" s="19"/>
      <c r="T278" s="19"/>
      <c r="U278" s="14"/>
      <c r="V278" s="14"/>
      <c r="W278" s="14"/>
      <c r="X278" s="14"/>
      <c r="Y278" s="14"/>
      <c r="Z278" s="14"/>
      <c r="AA278" s="14"/>
      <c r="AB278" s="14"/>
      <c r="AC278" s="14"/>
      <c r="AD278" s="65"/>
      <c r="AE278" s="63"/>
      <c r="AF278" s="47"/>
      <c r="AG278" s="19"/>
      <c r="AH278" s="19"/>
      <c r="AI278" s="19"/>
      <c r="AJ278" s="14"/>
      <c r="AK278" s="14"/>
      <c r="AL278" s="14"/>
      <c r="AM278" s="14"/>
      <c r="AN278" s="14"/>
      <c r="AO278" s="14"/>
      <c r="AP278" s="14"/>
      <c r="AQ278" s="14"/>
      <c r="AR278" s="14"/>
      <c r="AS278" s="65"/>
      <c r="AT278" s="63"/>
      <c r="AU278" s="47"/>
      <c r="AV278" s="14"/>
      <c r="AW278" s="19"/>
      <c r="AX278" s="19"/>
      <c r="AY278" s="14"/>
      <c r="AZ278" s="14"/>
      <c r="BA278" s="14"/>
      <c r="BB278" s="14"/>
      <c r="BC278" s="14"/>
      <c r="BD278" s="14"/>
      <c r="BE278" s="14"/>
      <c r="BF278" s="14"/>
      <c r="BG278" s="14"/>
      <c r="BH278" s="65"/>
      <c r="BI278" s="63"/>
      <c r="BJ278" s="352"/>
      <c r="BK278" s="19"/>
      <c r="BL278" s="19"/>
      <c r="BM278" s="19"/>
      <c r="BN278" s="19"/>
      <c r="BO278" s="19"/>
      <c r="BP278" s="19"/>
      <c r="BQ278" s="19"/>
      <c r="BR278" s="19"/>
      <c r="BS278" s="19"/>
      <c r="BT278" s="14"/>
      <c r="BU278" s="14"/>
      <c r="BV278" s="14"/>
      <c r="BW278" s="65"/>
      <c r="BX278" s="63"/>
      <c r="BY278" s="352"/>
      <c r="BZ278" s="14"/>
      <c r="CA278" s="14"/>
      <c r="CB278" s="21"/>
      <c r="CC278" s="21"/>
      <c r="CD278" s="180"/>
      <c r="CE278" s="180"/>
      <c r="CF278" s="21"/>
      <c r="CG278" s="14"/>
      <c r="CH278" s="14"/>
      <c r="CI278" s="14"/>
      <c r="CJ278" s="14"/>
      <c r="CK278" s="14"/>
      <c r="CL278" s="14"/>
      <c r="CM278" s="14"/>
      <c r="CN278" s="14"/>
      <c r="CO278" s="129"/>
      <c r="CP278" s="14"/>
      <c r="CQ278" s="47"/>
      <c r="CR278" s="14"/>
      <c r="CS278" s="14"/>
      <c r="CT278" s="14"/>
      <c r="CU278" s="14"/>
      <c r="CV278" s="180"/>
      <c r="CW278" s="189"/>
      <c r="CX278" s="189"/>
      <c r="CY278" s="14"/>
      <c r="CZ278" s="14"/>
      <c r="DA278" s="14"/>
      <c r="DB278" s="14"/>
      <c r="DC278" s="14"/>
      <c r="DD278" s="14"/>
      <c r="DE278" s="14"/>
      <c r="DF278" s="14"/>
      <c r="DG278" s="129"/>
      <c r="DH278" s="14"/>
      <c r="DI278" s="47"/>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row>
    <row r="279" spans="1:142" s="134" customFormat="1" ht="24.75" customHeight="1" x14ac:dyDescent="0.25">
      <c r="A279" s="8"/>
      <c r="B279" s="109"/>
      <c r="C279" s="110" t="str">
        <f t="shared" ref="C279:H279" si="214">C247</f>
        <v>Forest owners/managers</v>
      </c>
      <c r="D279" s="110" t="str">
        <f t="shared" si="214"/>
        <v>Pellet producers</v>
      </c>
      <c r="E279" s="110" t="str">
        <f t="shared" si="214"/>
        <v>Pellet users</v>
      </c>
      <c r="F279" s="110" t="str">
        <f t="shared" si="214"/>
        <v>Non-bioenergy wood users</v>
      </c>
      <c r="G279" s="110" t="str">
        <f t="shared" si="214"/>
        <v>Policy makers and academia</v>
      </c>
      <c r="H279" s="110" t="str">
        <f t="shared" si="214"/>
        <v>NGOs</v>
      </c>
      <c r="I279" s="110" t="s">
        <v>8</v>
      </c>
      <c r="J279" s="8"/>
      <c r="K279" s="8"/>
      <c r="L279" s="8"/>
      <c r="M279" s="8"/>
      <c r="N279" s="8"/>
      <c r="O279" s="8"/>
      <c r="P279" s="8"/>
      <c r="Q279" s="48"/>
      <c r="R279" s="44"/>
      <c r="S279" s="109"/>
      <c r="T279" s="110" t="str">
        <f t="shared" ref="T279:Y279" si="215">T247</f>
        <v>Forest owners/managers</v>
      </c>
      <c r="U279" s="110" t="str">
        <f t="shared" si="215"/>
        <v>Pellet producers</v>
      </c>
      <c r="V279" s="110" t="str">
        <f t="shared" si="215"/>
        <v>Pellet users</v>
      </c>
      <c r="W279" s="110" t="str">
        <f t="shared" si="215"/>
        <v>Non-bioenergy wood users</v>
      </c>
      <c r="X279" s="110" t="str">
        <f t="shared" si="215"/>
        <v>Policy makers and academia</v>
      </c>
      <c r="Y279" s="110" t="str">
        <f t="shared" si="215"/>
        <v>NGOs</v>
      </c>
      <c r="Z279" s="110" t="s">
        <v>8</v>
      </c>
      <c r="AA279" s="17"/>
      <c r="AB279" s="17"/>
      <c r="AC279" s="17"/>
      <c r="AD279" s="102"/>
      <c r="AE279" s="101"/>
      <c r="AF279" s="48"/>
      <c r="AG279" s="44"/>
      <c r="AH279" s="109"/>
      <c r="AI279" s="110" t="str">
        <f t="shared" ref="AI279:AN279" si="216">AI247</f>
        <v>Forest owners/managers</v>
      </c>
      <c r="AJ279" s="110" t="str">
        <f t="shared" si="216"/>
        <v>Pellet producers</v>
      </c>
      <c r="AK279" s="110" t="str">
        <f t="shared" si="216"/>
        <v>Pellet users</v>
      </c>
      <c r="AL279" s="110" t="str">
        <f t="shared" si="216"/>
        <v>Non-bioenergy wood users</v>
      </c>
      <c r="AM279" s="110" t="str">
        <f t="shared" si="216"/>
        <v>Policy makers and academia</v>
      </c>
      <c r="AN279" s="110" t="str">
        <f t="shared" si="216"/>
        <v>NGOs</v>
      </c>
      <c r="AO279" s="110" t="s">
        <v>8</v>
      </c>
      <c r="AP279" s="17"/>
      <c r="AQ279" s="17"/>
      <c r="AR279" s="17"/>
      <c r="AS279" s="102"/>
      <c r="AT279" s="101"/>
      <c r="AU279" s="48"/>
      <c r="AV279" s="8"/>
      <c r="AW279" s="109"/>
      <c r="AX279" s="110" t="str">
        <f t="shared" ref="AX279:BC279" si="217">AX247</f>
        <v>Forest owners/managers</v>
      </c>
      <c r="AY279" s="110" t="str">
        <f t="shared" si="217"/>
        <v>Pellet producers</v>
      </c>
      <c r="AZ279" s="110" t="str">
        <f t="shared" si="217"/>
        <v>Pellet users</v>
      </c>
      <c r="BA279" s="110" t="str">
        <f t="shared" si="217"/>
        <v>Non-bioenergy wood users</v>
      </c>
      <c r="BB279" s="110" t="str">
        <f t="shared" si="217"/>
        <v>Policy makers and academia</v>
      </c>
      <c r="BC279" s="110" t="str">
        <f t="shared" si="217"/>
        <v>NGOs</v>
      </c>
      <c r="BD279" s="110" t="s">
        <v>8</v>
      </c>
      <c r="BE279" s="17"/>
      <c r="BF279" s="17"/>
      <c r="BG279" s="17"/>
      <c r="BH279" s="102"/>
      <c r="BI279" s="101"/>
      <c r="BJ279" s="371"/>
      <c r="BK279" s="44"/>
      <c r="BL279" s="109"/>
      <c r="BM279" s="110" t="str">
        <f t="shared" ref="BM279:BR279" si="218">BM247</f>
        <v>Forest owners/managers</v>
      </c>
      <c r="BN279" s="110" t="str">
        <f t="shared" si="218"/>
        <v>Pellet producers</v>
      </c>
      <c r="BO279" s="110" t="str">
        <f t="shared" si="218"/>
        <v>Pellet users</v>
      </c>
      <c r="BP279" s="110" t="str">
        <f t="shared" si="218"/>
        <v>Non-bioenergy wood users</v>
      </c>
      <c r="BQ279" s="110" t="str">
        <f t="shared" si="218"/>
        <v>Policy makers and academia</v>
      </c>
      <c r="BR279" s="110" t="str">
        <f t="shared" si="218"/>
        <v>NGOs</v>
      </c>
      <c r="BS279" s="110" t="s">
        <v>8</v>
      </c>
      <c r="BT279" s="17"/>
      <c r="BU279" s="17"/>
      <c r="BV279" s="17"/>
      <c r="BW279" s="102"/>
      <c r="BX279" s="101"/>
      <c r="BY279" s="371"/>
      <c r="BZ279" s="8"/>
      <c r="CA279" s="8"/>
      <c r="CB279" s="77"/>
      <c r="CC279" s="77"/>
      <c r="CD279" s="187"/>
      <c r="CE279" s="187"/>
      <c r="CF279" s="77"/>
      <c r="CG279" s="8"/>
      <c r="CH279" s="8"/>
      <c r="CI279" s="8"/>
      <c r="CJ279" s="8"/>
      <c r="CK279" s="8"/>
      <c r="CL279" s="8"/>
      <c r="CM279" s="8"/>
      <c r="CN279" s="8"/>
      <c r="CO279" s="315"/>
      <c r="CP279" s="8"/>
      <c r="CQ279" s="48"/>
      <c r="CR279" s="8"/>
      <c r="CS279" s="8"/>
      <c r="CT279" s="8"/>
      <c r="CU279" s="8"/>
      <c r="CV279" s="187"/>
      <c r="CW279" s="195"/>
      <c r="CX279" s="195"/>
      <c r="CY279" s="8"/>
      <c r="CZ279" s="8"/>
      <c r="DA279" s="8"/>
      <c r="DB279" s="8"/>
      <c r="DC279" s="8"/>
      <c r="DD279" s="8"/>
      <c r="DE279" s="8"/>
      <c r="DF279" s="8"/>
      <c r="DG279" s="315"/>
      <c r="DH279" s="8"/>
      <c r="DI279" s="48"/>
      <c r="DJ279" s="8"/>
      <c r="DK279" s="109"/>
      <c r="DL279" s="110" t="str">
        <f t="shared" ref="DL279:DQ279" si="219">DL247</f>
        <v>Forest owners/managers</v>
      </c>
      <c r="DM279" s="110" t="str">
        <f t="shared" si="219"/>
        <v>Pellet producers</v>
      </c>
      <c r="DN279" s="110" t="str">
        <f t="shared" si="219"/>
        <v>Pellet users</v>
      </c>
      <c r="DO279" s="110" t="str">
        <f t="shared" si="219"/>
        <v>Non-bioenergy wood users</v>
      </c>
      <c r="DP279" s="110" t="str">
        <f t="shared" si="219"/>
        <v>Policy makers and academia</v>
      </c>
      <c r="DQ279" s="110" t="str">
        <f t="shared" si="219"/>
        <v>NGOs</v>
      </c>
      <c r="DR279" s="110" t="s">
        <v>8</v>
      </c>
      <c r="DS279" s="8"/>
      <c r="DT279" s="8"/>
      <c r="DU279" s="8"/>
      <c r="DV279" s="8"/>
      <c r="DW279" s="8"/>
      <c r="DX279" s="8"/>
      <c r="DY279" s="8"/>
      <c r="DZ279" s="8"/>
      <c r="EA279" s="8"/>
      <c r="EB279" s="8"/>
      <c r="EC279" s="8"/>
      <c r="ED279" s="8"/>
      <c r="EE279" s="8"/>
      <c r="EF279" s="8"/>
      <c r="EG279" s="8"/>
      <c r="EH279" s="8"/>
      <c r="EI279" s="8"/>
      <c r="EJ279" s="8"/>
      <c r="EK279" s="8"/>
      <c r="EL279" s="8"/>
    </row>
    <row r="280" spans="1:142" x14ac:dyDescent="0.25">
      <c r="A280" s="14"/>
      <c r="B280" s="107" t="s">
        <v>34</v>
      </c>
      <c r="C280" s="41">
        <f t="shared" ref="C280:H284" si="220">IF(OR(C$253=0,C248=0),"",C248/C$253/6)</f>
        <v>5.5555555555555552E-2</v>
      </c>
      <c r="D280" s="41" t="str">
        <f t="shared" si="220"/>
        <v/>
      </c>
      <c r="E280" s="118">
        <f t="shared" si="220"/>
        <v>0.16666666666666666</v>
      </c>
      <c r="F280" s="41" t="str">
        <f t="shared" si="220"/>
        <v/>
      </c>
      <c r="G280" s="41" t="str">
        <f t="shared" si="220"/>
        <v/>
      </c>
      <c r="H280" s="118" t="str">
        <f t="shared" si="220"/>
        <v/>
      </c>
      <c r="I280" s="41">
        <f>SUM(C280:H280)</f>
        <v>0.22222222222222221</v>
      </c>
      <c r="J280" s="14"/>
      <c r="K280" s="14"/>
      <c r="L280" s="14"/>
      <c r="M280" s="14"/>
      <c r="N280" s="14"/>
      <c r="O280" s="14"/>
      <c r="P280" s="14"/>
      <c r="Q280" s="47"/>
      <c r="R280" s="19"/>
      <c r="S280" s="107" t="s">
        <v>5</v>
      </c>
      <c r="T280" s="41">
        <f t="shared" ref="T280:Y286" si="221">IF(OR(T$255=0,T248=0),"",T248/T$255/6)</f>
        <v>4.1666666666666664E-2</v>
      </c>
      <c r="U280" s="41" t="str">
        <f t="shared" si="221"/>
        <v/>
      </c>
      <c r="V280" s="118" t="str">
        <f t="shared" si="221"/>
        <v/>
      </c>
      <c r="W280" s="41" t="str">
        <f t="shared" si="221"/>
        <v/>
      </c>
      <c r="X280" s="41" t="str">
        <f t="shared" si="221"/>
        <v/>
      </c>
      <c r="Y280" s="118" t="str">
        <f t="shared" si="221"/>
        <v/>
      </c>
      <c r="Z280" s="41">
        <f>SUM(T280:Y280)</f>
        <v>4.1666666666666664E-2</v>
      </c>
      <c r="AA280" s="35"/>
      <c r="AB280" s="35"/>
      <c r="AC280" s="35"/>
      <c r="AD280" s="65"/>
      <c r="AE280" s="63"/>
      <c r="AF280" s="47"/>
      <c r="AG280" s="19"/>
      <c r="AH280" s="107" t="s">
        <v>5</v>
      </c>
      <c r="AI280" s="41">
        <f t="shared" ref="AI280:AN286" si="222">IF(OR(AI$255=0,AI248=0),"",AI248/AI$255/6)</f>
        <v>0.16666666666666666</v>
      </c>
      <c r="AJ280" s="41" t="str">
        <f t="shared" si="222"/>
        <v/>
      </c>
      <c r="AK280" s="118" t="str">
        <f t="shared" si="222"/>
        <v/>
      </c>
      <c r="AL280" s="41">
        <f t="shared" si="222"/>
        <v>0.16666666666666666</v>
      </c>
      <c r="AM280" s="41">
        <f t="shared" si="222"/>
        <v>0.16666666666666666</v>
      </c>
      <c r="AN280" s="118" t="str">
        <f t="shared" si="222"/>
        <v/>
      </c>
      <c r="AO280" s="41">
        <f>SUM(AI280:AN280)</f>
        <v>0.5</v>
      </c>
      <c r="AP280" s="35"/>
      <c r="AQ280" s="35"/>
      <c r="AR280" s="35"/>
      <c r="AS280" s="65"/>
      <c r="AT280" s="63"/>
      <c r="AU280" s="47"/>
      <c r="AV280" s="14"/>
      <c r="AW280" s="107" t="s">
        <v>5</v>
      </c>
      <c r="AX280" s="41">
        <f t="shared" ref="AX280:BC286" si="223">IF(OR(AX$255=0,AX248=0),"",AX248/AX$255/6)</f>
        <v>0.16666666666666666</v>
      </c>
      <c r="AY280" s="41" t="str">
        <f t="shared" si="223"/>
        <v/>
      </c>
      <c r="AZ280" s="118" t="str">
        <f t="shared" si="223"/>
        <v/>
      </c>
      <c r="BA280" s="41">
        <f t="shared" si="223"/>
        <v>0.16666666666666666</v>
      </c>
      <c r="BB280" s="41">
        <f t="shared" si="223"/>
        <v>0.16666666666666666</v>
      </c>
      <c r="BC280" s="118" t="str">
        <f t="shared" si="223"/>
        <v/>
      </c>
      <c r="BD280" s="41">
        <f>SUM(AX280:BC280)</f>
        <v>0.5</v>
      </c>
      <c r="BE280" s="35"/>
      <c r="BF280" s="35"/>
      <c r="BG280" s="35"/>
      <c r="BH280" s="65"/>
      <c r="BI280" s="63"/>
      <c r="BJ280" s="352"/>
      <c r="BK280" s="19"/>
      <c r="BL280" s="107" t="s">
        <v>5</v>
      </c>
      <c r="BM280" s="41">
        <f t="shared" ref="BM280:BR286" si="224">IF(OR(BM$255=0,BM248=0),"",BM248/BM$255/6)</f>
        <v>0.16666666666666666</v>
      </c>
      <c r="BN280" s="41" t="str">
        <f t="shared" si="224"/>
        <v/>
      </c>
      <c r="BO280" s="118" t="str">
        <f t="shared" si="224"/>
        <v/>
      </c>
      <c r="BP280" s="41" t="str">
        <f t="shared" si="224"/>
        <v/>
      </c>
      <c r="BQ280" s="41">
        <f t="shared" si="224"/>
        <v>0.16666666666666666</v>
      </c>
      <c r="BR280" s="118" t="str">
        <f t="shared" si="224"/>
        <v/>
      </c>
      <c r="BS280" s="41">
        <f>SUM(BM280:BR280)</f>
        <v>0.33333333333333331</v>
      </c>
      <c r="BT280" s="35"/>
      <c r="BU280" s="35"/>
      <c r="BV280" s="35"/>
      <c r="BW280" s="65"/>
      <c r="BX280" s="63"/>
      <c r="BY280" s="352"/>
      <c r="BZ280" s="14"/>
      <c r="CA280" s="14"/>
      <c r="CB280" s="21"/>
      <c r="CC280" s="21"/>
      <c r="CD280" s="180"/>
      <c r="CE280" s="180"/>
      <c r="CF280" s="21"/>
      <c r="CG280" s="14"/>
      <c r="CH280" s="14"/>
      <c r="CI280" s="14"/>
      <c r="CJ280" s="14"/>
      <c r="CK280" s="14"/>
      <c r="CL280" s="14"/>
      <c r="CM280" s="14"/>
      <c r="CN280" s="14"/>
      <c r="CO280" s="129"/>
      <c r="CP280" s="14"/>
      <c r="CQ280" s="47"/>
      <c r="CR280" s="14"/>
      <c r="CS280" s="14"/>
      <c r="CT280" s="14"/>
      <c r="CU280" s="14"/>
      <c r="CV280" s="180"/>
      <c r="CW280" s="189"/>
      <c r="CX280" s="189"/>
      <c r="CY280" s="14"/>
      <c r="CZ280" s="14"/>
      <c r="DA280" s="14"/>
      <c r="DB280" s="14"/>
      <c r="DC280" s="14"/>
      <c r="DD280" s="14"/>
      <c r="DE280" s="14"/>
      <c r="DF280" s="14"/>
      <c r="DG280" s="129"/>
      <c r="DH280" s="14"/>
      <c r="DI280" s="47"/>
      <c r="DJ280" s="14"/>
      <c r="DK280" s="107" t="s">
        <v>34</v>
      </c>
      <c r="DL280" s="41">
        <f t="shared" ref="DL280:DQ284" si="225">IF(OR(DL$253=0,DL248=0),"",DL248/DL$253/6)</f>
        <v>5.5555555555555552E-2</v>
      </c>
      <c r="DM280" s="41" t="str">
        <f t="shared" si="225"/>
        <v/>
      </c>
      <c r="DN280" s="118" t="str">
        <f t="shared" si="225"/>
        <v/>
      </c>
      <c r="DO280" s="41" t="str">
        <f t="shared" si="225"/>
        <v/>
      </c>
      <c r="DP280" s="41" t="str">
        <f t="shared" si="225"/>
        <v/>
      </c>
      <c r="DQ280" s="118" t="str">
        <f t="shared" si="225"/>
        <v/>
      </c>
      <c r="DR280" s="41">
        <f>SUM(DL280:DQ280)</f>
        <v>5.5555555555555552E-2</v>
      </c>
      <c r="DS280" s="14"/>
      <c r="DT280" s="14"/>
      <c r="DU280" s="14"/>
      <c r="DV280" s="14"/>
      <c r="DW280" s="14"/>
      <c r="DX280" s="14"/>
      <c r="DY280" s="14"/>
      <c r="DZ280" s="14"/>
      <c r="EA280" s="14"/>
      <c r="EB280" s="14"/>
      <c r="EC280" s="14"/>
      <c r="ED280" s="14"/>
      <c r="EE280" s="14"/>
      <c r="EF280" s="14"/>
      <c r="EG280" s="14"/>
      <c r="EH280" s="14"/>
      <c r="EI280" s="14"/>
      <c r="EJ280" s="14"/>
      <c r="EK280" s="14"/>
      <c r="EL280" s="14"/>
    </row>
    <row r="281" spans="1:142" x14ac:dyDescent="0.25">
      <c r="A281" s="14"/>
      <c r="B281" s="107" t="s">
        <v>35</v>
      </c>
      <c r="C281" s="41" t="str">
        <f t="shared" si="220"/>
        <v/>
      </c>
      <c r="D281" s="41" t="str">
        <f t="shared" si="220"/>
        <v/>
      </c>
      <c r="E281" s="118" t="str">
        <f t="shared" si="220"/>
        <v/>
      </c>
      <c r="F281" s="41" t="str">
        <f t="shared" si="220"/>
        <v/>
      </c>
      <c r="G281" s="41" t="str">
        <f t="shared" si="220"/>
        <v/>
      </c>
      <c r="H281" s="118" t="str">
        <f t="shared" si="220"/>
        <v/>
      </c>
      <c r="I281" s="41">
        <f>SUM(C281:H281)</f>
        <v>0</v>
      </c>
      <c r="J281" s="14"/>
      <c r="K281" s="14"/>
      <c r="L281" s="14"/>
      <c r="M281" s="14"/>
      <c r="N281" s="14"/>
      <c r="O281" s="14"/>
      <c r="P281" s="14"/>
      <c r="Q281" s="47"/>
      <c r="R281" s="19"/>
      <c r="S281" s="107" t="s">
        <v>4</v>
      </c>
      <c r="T281" s="41" t="str">
        <f t="shared" si="221"/>
        <v/>
      </c>
      <c r="U281" s="41" t="str">
        <f t="shared" si="221"/>
        <v/>
      </c>
      <c r="V281" s="118">
        <f t="shared" si="221"/>
        <v>0.16666666666666666</v>
      </c>
      <c r="W281" s="41" t="str">
        <f t="shared" si="221"/>
        <v/>
      </c>
      <c r="X281" s="41" t="str">
        <f t="shared" si="221"/>
        <v/>
      </c>
      <c r="Y281" s="118" t="str">
        <f t="shared" si="221"/>
        <v/>
      </c>
      <c r="Z281" s="41">
        <f t="shared" ref="Z281:Z286" si="226">SUM(T281:Y281)</f>
        <v>0.16666666666666666</v>
      </c>
      <c r="AA281" s="35"/>
      <c r="AB281" s="35"/>
      <c r="AC281" s="35"/>
      <c r="AD281" s="65"/>
      <c r="AE281" s="63"/>
      <c r="AF281" s="47"/>
      <c r="AG281" s="19"/>
      <c r="AH281" s="107" t="s">
        <v>4</v>
      </c>
      <c r="AI281" s="41" t="str">
        <f t="shared" si="222"/>
        <v/>
      </c>
      <c r="AJ281" s="41">
        <f t="shared" si="222"/>
        <v>0.16666666666666666</v>
      </c>
      <c r="AK281" s="118">
        <f t="shared" si="222"/>
        <v>0.16666666666666666</v>
      </c>
      <c r="AL281" s="41" t="str">
        <f t="shared" si="222"/>
        <v/>
      </c>
      <c r="AM281" s="41" t="str">
        <f t="shared" si="222"/>
        <v/>
      </c>
      <c r="AN281" s="118" t="str">
        <f t="shared" si="222"/>
        <v/>
      </c>
      <c r="AO281" s="41">
        <f t="shared" ref="AO281:AO286" si="227">SUM(AI281:AN281)</f>
        <v>0.33333333333333331</v>
      </c>
      <c r="AP281" s="35"/>
      <c r="AQ281" s="35"/>
      <c r="AR281" s="35"/>
      <c r="AS281" s="65"/>
      <c r="AT281" s="63"/>
      <c r="AU281" s="47"/>
      <c r="AV281" s="14"/>
      <c r="AW281" s="107" t="s">
        <v>4</v>
      </c>
      <c r="AX281" s="41" t="str">
        <f t="shared" si="223"/>
        <v/>
      </c>
      <c r="AY281" s="41">
        <f t="shared" si="223"/>
        <v>0.16666666666666666</v>
      </c>
      <c r="AZ281" s="118">
        <f t="shared" si="223"/>
        <v>0.16666666666666666</v>
      </c>
      <c r="BA281" s="41" t="str">
        <f t="shared" si="223"/>
        <v/>
      </c>
      <c r="BB281" s="41" t="str">
        <f t="shared" si="223"/>
        <v/>
      </c>
      <c r="BC281" s="118" t="str">
        <f t="shared" si="223"/>
        <v/>
      </c>
      <c r="BD281" s="41">
        <f t="shared" ref="BD281:BD286" si="228">SUM(AX281:BC281)</f>
        <v>0.33333333333333331</v>
      </c>
      <c r="BE281" s="35"/>
      <c r="BF281" s="35"/>
      <c r="BG281" s="35"/>
      <c r="BH281" s="65"/>
      <c r="BI281" s="63"/>
      <c r="BJ281" s="352"/>
      <c r="BK281" s="19"/>
      <c r="BL281" s="107" t="s">
        <v>4</v>
      </c>
      <c r="BM281" s="41" t="str">
        <f t="shared" si="224"/>
        <v/>
      </c>
      <c r="BN281" s="41">
        <f t="shared" si="224"/>
        <v>0.16666666666666666</v>
      </c>
      <c r="BO281" s="118">
        <f t="shared" si="224"/>
        <v>0.16666666666666666</v>
      </c>
      <c r="BP281" s="41">
        <f t="shared" si="224"/>
        <v>0.16666666666666666</v>
      </c>
      <c r="BQ281" s="41" t="str">
        <f t="shared" si="224"/>
        <v/>
      </c>
      <c r="BR281" s="118" t="str">
        <f t="shared" si="224"/>
        <v/>
      </c>
      <c r="BS281" s="41">
        <f t="shared" ref="BS281:BS286" si="229">SUM(BM281:BR281)</f>
        <v>0.5</v>
      </c>
      <c r="BT281" s="35"/>
      <c r="BU281" s="35"/>
      <c r="BV281" s="35"/>
      <c r="BW281" s="65"/>
      <c r="BX281" s="63"/>
      <c r="BY281" s="352"/>
      <c r="BZ281" s="14"/>
      <c r="CA281" s="14"/>
      <c r="CB281" s="21"/>
      <c r="CC281" s="21"/>
      <c r="CD281" s="180"/>
      <c r="CE281" s="180"/>
      <c r="CF281" s="21"/>
      <c r="CG281" s="14"/>
      <c r="CH281" s="14"/>
      <c r="CI281" s="14"/>
      <c r="CJ281" s="14"/>
      <c r="CK281" s="14"/>
      <c r="CL281" s="14"/>
      <c r="CM281" s="14"/>
      <c r="CN281" s="14"/>
      <c r="CO281" s="129"/>
      <c r="CP281" s="14"/>
      <c r="CQ281" s="47"/>
      <c r="CR281" s="14"/>
      <c r="CS281" s="14"/>
      <c r="CT281" s="14"/>
      <c r="CU281" s="14"/>
      <c r="CV281" s="180"/>
      <c r="CW281" s="189"/>
      <c r="CX281" s="189"/>
      <c r="CY281" s="14"/>
      <c r="CZ281" s="14"/>
      <c r="DA281" s="14"/>
      <c r="DB281" s="14"/>
      <c r="DC281" s="14"/>
      <c r="DD281" s="14"/>
      <c r="DE281" s="14"/>
      <c r="DF281" s="14"/>
      <c r="DG281" s="129"/>
      <c r="DH281" s="14"/>
      <c r="DI281" s="47"/>
      <c r="DJ281" s="14"/>
      <c r="DK281" s="107" t="s">
        <v>35</v>
      </c>
      <c r="DL281" s="41">
        <f t="shared" si="225"/>
        <v>5.5555555555555552E-2</v>
      </c>
      <c r="DM281" s="41" t="str">
        <f t="shared" si="225"/>
        <v/>
      </c>
      <c r="DN281" s="118">
        <f t="shared" si="225"/>
        <v>0.16666666666666666</v>
      </c>
      <c r="DO281" s="41" t="str">
        <f t="shared" si="225"/>
        <v/>
      </c>
      <c r="DP281" s="41" t="str">
        <f t="shared" si="225"/>
        <v/>
      </c>
      <c r="DQ281" s="118" t="str">
        <f>IF(OR(DQ$253=0,DQ249=0),"",DQ249/DQ$253/6)</f>
        <v/>
      </c>
      <c r="DR281" s="41">
        <f>SUM(DL281:DQ281)</f>
        <v>0.22222222222222221</v>
      </c>
      <c r="DS281" s="14"/>
      <c r="DT281" s="14"/>
      <c r="DU281" s="14"/>
      <c r="DV281" s="14"/>
      <c r="DW281" s="14"/>
      <c r="DX281" s="14"/>
      <c r="DY281" s="14"/>
      <c r="DZ281" s="14"/>
      <c r="EA281" s="14"/>
      <c r="EB281" s="14"/>
      <c r="EC281" s="14"/>
      <c r="ED281" s="14"/>
      <c r="EE281" s="14"/>
      <c r="EF281" s="14"/>
      <c r="EG281" s="14"/>
      <c r="EH281" s="14"/>
      <c r="EI281" s="14"/>
      <c r="EJ281" s="14"/>
      <c r="EK281" s="14"/>
      <c r="EL281" s="14"/>
    </row>
    <row r="282" spans="1:142" x14ac:dyDescent="0.25">
      <c r="A282" s="14"/>
      <c r="B282" s="107" t="s">
        <v>36</v>
      </c>
      <c r="C282" s="41" t="str">
        <f t="shared" si="220"/>
        <v/>
      </c>
      <c r="D282" s="41" t="str">
        <f t="shared" si="220"/>
        <v/>
      </c>
      <c r="E282" s="118" t="str">
        <f t="shared" si="220"/>
        <v/>
      </c>
      <c r="F282" s="41" t="str">
        <f t="shared" si="220"/>
        <v/>
      </c>
      <c r="G282" s="41" t="str">
        <f t="shared" si="220"/>
        <v/>
      </c>
      <c r="H282" s="118" t="str">
        <f t="shared" si="220"/>
        <v/>
      </c>
      <c r="I282" s="41">
        <f>SUM(C282:H282)</f>
        <v>0</v>
      </c>
      <c r="J282" s="14"/>
      <c r="K282" s="14"/>
      <c r="L282" s="14"/>
      <c r="M282" s="14"/>
      <c r="N282" s="14"/>
      <c r="O282" s="14"/>
      <c r="P282" s="14"/>
      <c r="Q282" s="47"/>
      <c r="R282" s="14"/>
      <c r="S282" s="107" t="s">
        <v>33</v>
      </c>
      <c r="T282" s="41" t="str">
        <f t="shared" si="221"/>
        <v/>
      </c>
      <c r="U282" s="41" t="str">
        <f t="shared" si="221"/>
        <v/>
      </c>
      <c r="V282" s="118" t="str">
        <f t="shared" si="221"/>
        <v/>
      </c>
      <c r="W282" s="41" t="str">
        <f t="shared" si="221"/>
        <v/>
      </c>
      <c r="X282" s="41" t="str">
        <f t="shared" si="221"/>
        <v/>
      </c>
      <c r="Y282" s="118" t="str">
        <f t="shared" si="221"/>
        <v/>
      </c>
      <c r="Z282" s="41">
        <f t="shared" si="226"/>
        <v>0</v>
      </c>
      <c r="AA282" s="35"/>
      <c r="AB282" s="35"/>
      <c r="AC282" s="35"/>
      <c r="AD282" s="65"/>
      <c r="AE282" s="63"/>
      <c r="AF282" s="47"/>
      <c r="AG282" s="14"/>
      <c r="AH282" s="107" t="s">
        <v>33</v>
      </c>
      <c r="AI282" s="41" t="str">
        <f t="shared" si="222"/>
        <v/>
      </c>
      <c r="AJ282" s="41" t="str">
        <f t="shared" si="222"/>
        <v/>
      </c>
      <c r="AK282" s="118" t="str">
        <f t="shared" si="222"/>
        <v/>
      </c>
      <c r="AL282" s="41" t="str">
        <f t="shared" si="222"/>
        <v/>
      </c>
      <c r="AM282" s="41" t="str">
        <f t="shared" si="222"/>
        <v/>
      </c>
      <c r="AN282" s="118" t="str">
        <f t="shared" si="222"/>
        <v/>
      </c>
      <c r="AO282" s="41">
        <f t="shared" si="227"/>
        <v>0</v>
      </c>
      <c r="AP282" s="35"/>
      <c r="AQ282" s="35"/>
      <c r="AR282" s="35"/>
      <c r="AS282" s="65"/>
      <c r="AT282" s="63"/>
      <c r="AU282" s="47"/>
      <c r="AV282" s="14"/>
      <c r="AW282" s="107" t="s">
        <v>33</v>
      </c>
      <c r="AX282" s="41" t="str">
        <f t="shared" si="223"/>
        <v/>
      </c>
      <c r="AY282" s="41" t="str">
        <f t="shared" si="223"/>
        <v/>
      </c>
      <c r="AZ282" s="118" t="str">
        <f t="shared" si="223"/>
        <v/>
      </c>
      <c r="BA282" s="41" t="str">
        <f t="shared" si="223"/>
        <v/>
      </c>
      <c r="BB282" s="41" t="str">
        <f t="shared" si="223"/>
        <v/>
      </c>
      <c r="BC282" s="118" t="str">
        <f t="shared" si="223"/>
        <v/>
      </c>
      <c r="BD282" s="41">
        <f t="shared" si="228"/>
        <v>0</v>
      </c>
      <c r="BE282" s="35"/>
      <c r="BF282" s="35"/>
      <c r="BG282" s="35"/>
      <c r="BH282" s="65"/>
      <c r="BI282" s="63"/>
      <c r="BJ282" s="352"/>
      <c r="BK282" s="14"/>
      <c r="BL282" s="107" t="s">
        <v>33</v>
      </c>
      <c r="BM282" s="41" t="str">
        <f t="shared" si="224"/>
        <v/>
      </c>
      <c r="BN282" s="41" t="str">
        <f t="shared" si="224"/>
        <v/>
      </c>
      <c r="BO282" s="118" t="str">
        <f t="shared" si="224"/>
        <v/>
      </c>
      <c r="BP282" s="41" t="str">
        <f t="shared" si="224"/>
        <v/>
      </c>
      <c r="BQ282" s="41" t="str">
        <f t="shared" si="224"/>
        <v/>
      </c>
      <c r="BR282" s="118" t="str">
        <f t="shared" si="224"/>
        <v/>
      </c>
      <c r="BS282" s="41">
        <f t="shared" si="229"/>
        <v>0</v>
      </c>
      <c r="BT282" s="35"/>
      <c r="BU282" s="35"/>
      <c r="BV282" s="35"/>
      <c r="BW282" s="65"/>
      <c r="BX282" s="63"/>
      <c r="BY282" s="352"/>
      <c r="BZ282" s="14"/>
      <c r="CA282" s="14"/>
      <c r="CB282" s="21"/>
      <c r="CC282" s="21"/>
      <c r="CD282" s="180"/>
      <c r="CE282" s="180"/>
      <c r="CF282" s="21"/>
      <c r="CG282" s="14"/>
      <c r="CH282" s="14"/>
      <c r="CI282" s="14"/>
      <c r="CJ282" s="14"/>
      <c r="CK282" s="14"/>
      <c r="CL282" s="14"/>
      <c r="CM282" s="14"/>
      <c r="CN282" s="14"/>
      <c r="CO282" s="129"/>
      <c r="CP282" s="14"/>
      <c r="CQ282" s="47"/>
      <c r="CR282" s="14"/>
      <c r="CS282" s="14"/>
      <c r="CT282" s="14"/>
      <c r="CU282" s="14"/>
      <c r="CV282" s="180"/>
      <c r="CW282" s="189"/>
      <c r="CX282" s="189"/>
      <c r="CY282" s="14"/>
      <c r="CZ282" s="14"/>
      <c r="DA282" s="14"/>
      <c r="DB282" s="14"/>
      <c r="DC282" s="14"/>
      <c r="DD282" s="14"/>
      <c r="DE282" s="14"/>
      <c r="DF282" s="14"/>
      <c r="DG282" s="129"/>
      <c r="DH282" s="14"/>
      <c r="DI282" s="47"/>
      <c r="DJ282" s="14"/>
      <c r="DK282" s="107" t="s">
        <v>36</v>
      </c>
      <c r="DL282" s="41">
        <f t="shared" si="225"/>
        <v>5.5555555555555552E-2</v>
      </c>
      <c r="DM282" s="41" t="str">
        <f t="shared" si="225"/>
        <v/>
      </c>
      <c r="DN282" s="118" t="str">
        <f t="shared" si="225"/>
        <v/>
      </c>
      <c r="DO282" s="41" t="str">
        <f t="shared" si="225"/>
        <v/>
      </c>
      <c r="DP282" s="41" t="str">
        <f t="shared" si="225"/>
        <v/>
      </c>
      <c r="DQ282" s="118" t="str">
        <f t="shared" si="225"/>
        <v/>
      </c>
      <c r="DR282" s="41">
        <f>SUM(DL282:DQ282)</f>
        <v>5.5555555555555552E-2</v>
      </c>
      <c r="DS282" s="14"/>
      <c r="DT282" s="14"/>
      <c r="DU282" s="14"/>
      <c r="DV282" s="14"/>
      <c r="DW282" s="14"/>
      <c r="DX282" s="14"/>
      <c r="DY282" s="14"/>
      <c r="DZ282" s="14"/>
      <c r="EA282" s="14"/>
      <c r="EB282" s="14"/>
      <c r="EC282" s="14"/>
      <c r="ED282" s="14"/>
      <c r="EE282" s="14"/>
      <c r="EF282" s="14"/>
      <c r="EG282" s="14"/>
      <c r="EH282" s="14"/>
      <c r="EI282" s="14"/>
      <c r="EJ282" s="14"/>
      <c r="EK282" s="14"/>
      <c r="EL282" s="14"/>
    </row>
    <row r="283" spans="1:142" x14ac:dyDescent="0.25">
      <c r="A283" s="14"/>
      <c r="B283" s="107" t="s">
        <v>38</v>
      </c>
      <c r="C283" s="41" t="str">
        <f t="shared" si="220"/>
        <v/>
      </c>
      <c r="D283" s="41" t="str">
        <f t="shared" si="220"/>
        <v/>
      </c>
      <c r="E283" s="118" t="str">
        <f t="shared" si="220"/>
        <v/>
      </c>
      <c r="F283" s="41" t="str">
        <f t="shared" si="220"/>
        <v/>
      </c>
      <c r="G283" s="41" t="str">
        <f t="shared" si="220"/>
        <v/>
      </c>
      <c r="H283" s="118" t="str">
        <f t="shared" si="220"/>
        <v/>
      </c>
      <c r="I283" s="41">
        <f>SUM(C283:H283)</f>
        <v>0</v>
      </c>
      <c r="J283" s="14"/>
      <c r="K283" s="14"/>
      <c r="L283" s="14"/>
      <c r="M283" s="14"/>
      <c r="N283" s="14"/>
      <c r="O283" s="14"/>
      <c r="P283" s="14"/>
      <c r="Q283" s="47"/>
      <c r="R283" s="14"/>
      <c r="S283" s="107" t="s">
        <v>29</v>
      </c>
      <c r="T283" s="41" t="str">
        <f t="shared" si="221"/>
        <v/>
      </c>
      <c r="U283" s="41" t="str">
        <f t="shared" si="221"/>
        <v/>
      </c>
      <c r="V283" s="118" t="str">
        <f t="shared" si="221"/>
        <v/>
      </c>
      <c r="W283" s="41" t="str">
        <f t="shared" si="221"/>
        <v/>
      </c>
      <c r="X283" s="41" t="str">
        <f t="shared" si="221"/>
        <v/>
      </c>
      <c r="Y283" s="118" t="str">
        <f t="shared" si="221"/>
        <v/>
      </c>
      <c r="Z283" s="41">
        <f t="shared" si="226"/>
        <v>0</v>
      </c>
      <c r="AA283" s="35"/>
      <c r="AB283" s="35"/>
      <c r="AC283" s="35"/>
      <c r="AD283" s="65"/>
      <c r="AE283" s="63"/>
      <c r="AF283" s="47"/>
      <c r="AG283" s="14"/>
      <c r="AH283" s="107" t="s">
        <v>29</v>
      </c>
      <c r="AI283" s="41" t="str">
        <f t="shared" si="222"/>
        <v/>
      </c>
      <c r="AJ283" s="41" t="str">
        <f t="shared" si="222"/>
        <v/>
      </c>
      <c r="AK283" s="118" t="str">
        <f t="shared" si="222"/>
        <v/>
      </c>
      <c r="AL283" s="41" t="str">
        <f t="shared" si="222"/>
        <v/>
      </c>
      <c r="AM283" s="41" t="str">
        <f t="shared" si="222"/>
        <v/>
      </c>
      <c r="AN283" s="118" t="str">
        <f t="shared" si="222"/>
        <v/>
      </c>
      <c r="AO283" s="41">
        <f t="shared" si="227"/>
        <v>0</v>
      </c>
      <c r="AP283" s="35"/>
      <c r="AQ283" s="35"/>
      <c r="AR283" s="35"/>
      <c r="AS283" s="65"/>
      <c r="AT283" s="63"/>
      <c r="AU283" s="47"/>
      <c r="AV283" s="14"/>
      <c r="AW283" s="107" t="s">
        <v>29</v>
      </c>
      <c r="AX283" s="41" t="str">
        <f t="shared" si="223"/>
        <v/>
      </c>
      <c r="AY283" s="41" t="str">
        <f t="shared" si="223"/>
        <v/>
      </c>
      <c r="AZ283" s="118" t="str">
        <f t="shared" si="223"/>
        <v/>
      </c>
      <c r="BA283" s="41" t="str">
        <f t="shared" si="223"/>
        <v/>
      </c>
      <c r="BB283" s="41" t="str">
        <f t="shared" si="223"/>
        <v/>
      </c>
      <c r="BC283" s="118" t="str">
        <f t="shared" si="223"/>
        <v/>
      </c>
      <c r="BD283" s="41">
        <f t="shared" si="228"/>
        <v>0</v>
      </c>
      <c r="BE283" s="35"/>
      <c r="BF283" s="35"/>
      <c r="BG283" s="35"/>
      <c r="BH283" s="65"/>
      <c r="BI283" s="63"/>
      <c r="BJ283" s="352"/>
      <c r="BK283" s="14"/>
      <c r="BL283" s="107" t="s">
        <v>29</v>
      </c>
      <c r="BM283" s="41" t="str">
        <f t="shared" si="224"/>
        <v/>
      </c>
      <c r="BN283" s="41" t="str">
        <f t="shared" si="224"/>
        <v/>
      </c>
      <c r="BO283" s="118" t="str">
        <f t="shared" si="224"/>
        <v/>
      </c>
      <c r="BP283" s="41" t="str">
        <f t="shared" si="224"/>
        <v/>
      </c>
      <c r="BQ283" s="41" t="str">
        <f t="shared" si="224"/>
        <v/>
      </c>
      <c r="BR283" s="118" t="str">
        <f t="shared" si="224"/>
        <v/>
      </c>
      <c r="BS283" s="41">
        <f t="shared" si="229"/>
        <v>0</v>
      </c>
      <c r="BT283" s="35"/>
      <c r="BU283" s="35"/>
      <c r="BV283" s="35"/>
      <c r="BW283" s="65"/>
      <c r="BX283" s="63"/>
      <c r="BY283" s="352"/>
      <c r="BZ283" s="14"/>
      <c r="CA283" s="14"/>
      <c r="CB283" s="21"/>
      <c r="CC283" s="21"/>
      <c r="CD283" s="180"/>
      <c r="CE283" s="180"/>
      <c r="CF283" s="21"/>
      <c r="CG283" s="14"/>
      <c r="CH283" s="14"/>
      <c r="CI283" s="14"/>
      <c r="CJ283" s="14"/>
      <c r="CK283" s="14"/>
      <c r="CL283" s="14"/>
      <c r="CM283" s="14"/>
      <c r="CN283" s="14"/>
      <c r="CO283" s="129"/>
      <c r="CP283" s="14"/>
      <c r="CQ283" s="47"/>
      <c r="CR283" s="14"/>
      <c r="CS283" s="14"/>
      <c r="CT283" s="14"/>
      <c r="CU283" s="14"/>
      <c r="CV283" s="180"/>
      <c r="CW283" s="189"/>
      <c r="CX283" s="189"/>
      <c r="CY283" s="14"/>
      <c r="CZ283" s="14"/>
      <c r="DA283" s="14"/>
      <c r="DB283" s="14"/>
      <c r="DC283" s="14"/>
      <c r="DD283" s="14"/>
      <c r="DE283" s="14"/>
      <c r="DF283" s="14"/>
      <c r="DG283" s="129"/>
      <c r="DH283" s="14"/>
      <c r="DI283" s="47"/>
      <c r="DJ283" s="14"/>
      <c r="DK283" s="107" t="s">
        <v>38</v>
      </c>
      <c r="DL283" s="41" t="str">
        <f t="shared" si="225"/>
        <v/>
      </c>
      <c r="DM283" s="41" t="str">
        <f t="shared" si="225"/>
        <v/>
      </c>
      <c r="DN283" s="118" t="str">
        <f t="shared" si="225"/>
        <v/>
      </c>
      <c r="DO283" s="41" t="str">
        <f t="shared" si="225"/>
        <v/>
      </c>
      <c r="DP283" s="41" t="str">
        <f t="shared" si="225"/>
        <v/>
      </c>
      <c r="DQ283" s="118" t="str">
        <f t="shared" si="225"/>
        <v/>
      </c>
      <c r="DR283" s="41">
        <f>SUM(DL283:DQ283)</f>
        <v>0</v>
      </c>
      <c r="DS283" s="14"/>
      <c r="DT283" s="14"/>
      <c r="DU283" s="14"/>
      <c r="DV283" s="14"/>
      <c r="DW283" s="14"/>
      <c r="DX283" s="14"/>
      <c r="DY283" s="14"/>
      <c r="DZ283" s="14"/>
      <c r="EA283" s="14"/>
      <c r="EB283" s="14"/>
      <c r="EC283" s="14"/>
      <c r="ED283" s="14"/>
      <c r="EE283" s="14"/>
      <c r="EF283" s="14"/>
      <c r="EG283" s="14"/>
      <c r="EH283" s="14"/>
      <c r="EI283" s="14"/>
      <c r="EJ283" s="14"/>
      <c r="EK283" s="14"/>
      <c r="EL283" s="14"/>
    </row>
    <row r="284" spans="1:142" x14ac:dyDescent="0.25">
      <c r="A284" s="14"/>
      <c r="B284" s="107" t="s">
        <v>39</v>
      </c>
      <c r="C284" s="41">
        <f t="shared" si="220"/>
        <v>0.1111111111111111</v>
      </c>
      <c r="D284" s="41" t="str">
        <f t="shared" si="220"/>
        <v/>
      </c>
      <c r="E284" s="118" t="str">
        <f t="shared" si="220"/>
        <v/>
      </c>
      <c r="F284" s="41" t="str">
        <f t="shared" si="220"/>
        <v/>
      </c>
      <c r="G284" s="41" t="str">
        <f t="shared" si="220"/>
        <v/>
      </c>
      <c r="H284" s="118" t="str">
        <f t="shared" si="220"/>
        <v/>
      </c>
      <c r="I284" s="41">
        <f>SUM(C284:H284)</f>
        <v>0.1111111111111111</v>
      </c>
      <c r="J284" s="14"/>
      <c r="K284" s="14"/>
      <c r="L284" s="14"/>
      <c r="M284" s="14"/>
      <c r="N284" s="14"/>
      <c r="O284" s="14"/>
      <c r="P284" s="14"/>
      <c r="Q284" s="47"/>
      <c r="R284" s="14"/>
      <c r="S284" s="107" t="s">
        <v>3</v>
      </c>
      <c r="T284" s="41" t="str">
        <f t="shared" si="221"/>
        <v/>
      </c>
      <c r="U284" s="41" t="str">
        <f t="shared" si="221"/>
        <v/>
      </c>
      <c r="V284" s="118" t="str">
        <f t="shared" si="221"/>
        <v/>
      </c>
      <c r="W284" s="41" t="str">
        <f t="shared" si="221"/>
        <v/>
      </c>
      <c r="X284" s="41" t="str">
        <f t="shared" si="221"/>
        <v/>
      </c>
      <c r="Y284" s="118" t="str">
        <f t="shared" si="221"/>
        <v/>
      </c>
      <c r="Z284" s="41">
        <f t="shared" si="226"/>
        <v>0</v>
      </c>
      <c r="AA284" s="35"/>
      <c r="AB284" s="35"/>
      <c r="AC284" s="35"/>
      <c r="AD284" s="65"/>
      <c r="AE284" s="63"/>
      <c r="AF284" s="47"/>
      <c r="AG284" s="14"/>
      <c r="AH284" s="107" t="s">
        <v>3</v>
      </c>
      <c r="AI284" s="41" t="str">
        <f t="shared" si="222"/>
        <v/>
      </c>
      <c r="AJ284" s="41" t="str">
        <f t="shared" si="222"/>
        <v/>
      </c>
      <c r="AK284" s="118" t="str">
        <f t="shared" si="222"/>
        <v/>
      </c>
      <c r="AL284" s="41" t="str">
        <f t="shared" si="222"/>
        <v/>
      </c>
      <c r="AM284" s="41" t="str">
        <f t="shared" si="222"/>
        <v/>
      </c>
      <c r="AN284" s="118" t="str">
        <f t="shared" si="222"/>
        <v/>
      </c>
      <c r="AO284" s="41">
        <f t="shared" si="227"/>
        <v>0</v>
      </c>
      <c r="AP284" s="35"/>
      <c r="AQ284" s="35"/>
      <c r="AR284" s="35"/>
      <c r="AS284" s="65"/>
      <c r="AT284" s="63"/>
      <c r="AU284" s="47"/>
      <c r="AV284" s="14"/>
      <c r="AW284" s="107" t="s">
        <v>3</v>
      </c>
      <c r="AX284" s="41" t="str">
        <f t="shared" si="223"/>
        <v/>
      </c>
      <c r="AY284" s="41" t="str">
        <f t="shared" si="223"/>
        <v/>
      </c>
      <c r="AZ284" s="118" t="str">
        <f t="shared" si="223"/>
        <v/>
      </c>
      <c r="BA284" s="41" t="str">
        <f t="shared" si="223"/>
        <v/>
      </c>
      <c r="BB284" s="41" t="str">
        <f t="shared" si="223"/>
        <v/>
      </c>
      <c r="BC284" s="118" t="str">
        <f t="shared" si="223"/>
        <v/>
      </c>
      <c r="BD284" s="41">
        <f t="shared" si="228"/>
        <v>0</v>
      </c>
      <c r="BE284" s="35"/>
      <c r="BF284" s="35"/>
      <c r="BG284" s="35"/>
      <c r="BH284" s="65"/>
      <c r="BI284" s="63"/>
      <c r="BJ284" s="352"/>
      <c r="BK284" s="14"/>
      <c r="BL284" s="107" t="s">
        <v>3</v>
      </c>
      <c r="BM284" s="41" t="str">
        <f t="shared" si="224"/>
        <v/>
      </c>
      <c r="BN284" s="41" t="str">
        <f t="shared" si="224"/>
        <v/>
      </c>
      <c r="BO284" s="118" t="str">
        <f t="shared" si="224"/>
        <v/>
      </c>
      <c r="BP284" s="41" t="str">
        <f t="shared" si="224"/>
        <v/>
      </c>
      <c r="BQ284" s="41" t="str">
        <f t="shared" si="224"/>
        <v/>
      </c>
      <c r="BR284" s="118" t="str">
        <f t="shared" si="224"/>
        <v/>
      </c>
      <c r="BS284" s="41">
        <f t="shared" si="229"/>
        <v>0</v>
      </c>
      <c r="BT284" s="35"/>
      <c r="BU284" s="35"/>
      <c r="BV284" s="35"/>
      <c r="BW284" s="65"/>
      <c r="BX284" s="63"/>
      <c r="BY284" s="352"/>
      <c r="BZ284" s="14"/>
      <c r="CA284" s="14"/>
      <c r="CB284" s="21"/>
      <c r="CC284" s="21"/>
      <c r="CD284" s="180"/>
      <c r="CE284" s="180"/>
      <c r="CF284" s="21"/>
      <c r="CG284" s="14"/>
      <c r="CH284" s="14"/>
      <c r="CI284" s="14"/>
      <c r="CJ284" s="14"/>
      <c r="CK284" s="14"/>
      <c r="CL284" s="14"/>
      <c r="CM284" s="14"/>
      <c r="CN284" s="14"/>
      <c r="CO284" s="129"/>
      <c r="CP284" s="14"/>
      <c r="CQ284" s="47"/>
      <c r="CR284" s="14"/>
      <c r="CS284" s="14"/>
      <c r="CT284" s="14"/>
      <c r="CU284" s="14"/>
      <c r="CV284" s="180"/>
      <c r="CW284" s="189"/>
      <c r="CX284" s="189"/>
      <c r="CY284" s="14"/>
      <c r="CZ284" s="14"/>
      <c r="DA284" s="14"/>
      <c r="DB284" s="14"/>
      <c r="DC284" s="14"/>
      <c r="DD284" s="14"/>
      <c r="DE284" s="14"/>
      <c r="DF284" s="14"/>
      <c r="DG284" s="129"/>
      <c r="DH284" s="14"/>
      <c r="DI284" s="47"/>
      <c r="DJ284" s="14"/>
      <c r="DK284" s="107" t="s">
        <v>39</v>
      </c>
      <c r="DL284" s="41" t="str">
        <f t="shared" si="225"/>
        <v/>
      </c>
      <c r="DM284" s="41" t="str">
        <f t="shared" si="225"/>
        <v/>
      </c>
      <c r="DN284" s="118" t="str">
        <f t="shared" si="225"/>
        <v/>
      </c>
      <c r="DO284" s="41" t="str">
        <f t="shared" si="225"/>
        <v/>
      </c>
      <c r="DP284" s="41" t="str">
        <f t="shared" si="225"/>
        <v/>
      </c>
      <c r="DQ284" s="118" t="str">
        <f t="shared" si="225"/>
        <v/>
      </c>
      <c r="DR284" s="41">
        <f>SUM(DL284:DQ284)</f>
        <v>0</v>
      </c>
      <c r="DS284" s="14"/>
      <c r="DT284" s="14"/>
      <c r="DU284" s="14"/>
      <c r="DV284" s="14"/>
      <c r="DW284" s="14"/>
      <c r="DX284" s="14"/>
      <c r="DY284" s="14"/>
      <c r="DZ284" s="14"/>
      <c r="EA284" s="14"/>
      <c r="EB284" s="14"/>
      <c r="EC284" s="14"/>
      <c r="ED284" s="14"/>
      <c r="EE284" s="14"/>
      <c r="EF284" s="14"/>
      <c r="EG284" s="14"/>
      <c r="EH284" s="14"/>
      <c r="EI284" s="14"/>
      <c r="EJ284" s="14"/>
      <c r="EK284" s="14"/>
      <c r="EL284" s="14"/>
    </row>
    <row r="285" spans="1:142" x14ac:dyDescent="0.25">
      <c r="A285" s="14"/>
      <c r="B285" s="86" t="s">
        <v>8</v>
      </c>
      <c r="C285" s="119">
        <f t="shared" ref="C285:I285" si="230">SUM(C280:C284)</f>
        <v>0.16666666666666666</v>
      </c>
      <c r="D285" s="119">
        <f t="shared" si="230"/>
        <v>0</v>
      </c>
      <c r="E285" s="119">
        <f t="shared" si="230"/>
        <v>0.16666666666666666</v>
      </c>
      <c r="F285" s="119">
        <f t="shared" si="230"/>
        <v>0</v>
      </c>
      <c r="G285" s="119">
        <f t="shared" si="230"/>
        <v>0</v>
      </c>
      <c r="H285" s="119">
        <f t="shared" si="230"/>
        <v>0</v>
      </c>
      <c r="I285" s="119">
        <f t="shared" si="230"/>
        <v>0.33333333333333331</v>
      </c>
      <c r="J285" s="14"/>
      <c r="K285" s="14"/>
      <c r="L285" s="14"/>
      <c r="M285" s="14"/>
      <c r="N285" s="14"/>
      <c r="O285" s="14"/>
      <c r="P285" s="14"/>
      <c r="Q285" s="47"/>
      <c r="R285" s="14"/>
      <c r="S285" s="107" t="s">
        <v>54</v>
      </c>
      <c r="T285" s="41" t="str">
        <f t="shared" si="221"/>
        <v/>
      </c>
      <c r="U285" s="41" t="str">
        <f t="shared" si="221"/>
        <v/>
      </c>
      <c r="V285" s="118" t="str">
        <f t="shared" si="221"/>
        <v/>
      </c>
      <c r="W285" s="41" t="str">
        <f t="shared" si="221"/>
        <v/>
      </c>
      <c r="X285" s="41" t="str">
        <f t="shared" si="221"/>
        <v/>
      </c>
      <c r="Y285" s="118" t="str">
        <f t="shared" si="221"/>
        <v/>
      </c>
      <c r="Z285" s="41">
        <f t="shared" si="226"/>
        <v>0</v>
      </c>
      <c r="AA285" s="35"/>
      <c r="AB285" s="35"/>
      <c r="AC285" s="35"/>
      <c r="AD285" s="65"/>
      <c r="AE285" s="63"/>
      <c r="AF285" s="47"/>
      <c r="AG285" s="14"/>
      <c r="AH285" s="107" t="s">
        <v>54</v>
      </c>
      <c r="AI285" s="41" t="str">
        <f t="shared" si="222"/>
        <v/>
      </c>
      <c r="AJ285" s="41" t="str">
        <f t="shared" si="222"/>
        <v/>
      </c>
      <c r="AK285" s="118" t="str">
        <f t="shared" si="222"/>
        <v/>
      </c>
      <c r="AL285" s="41" t="str">
        <f t="shared" si="222"/>
        <v/>
      </c>
      <c r="AM285" s="41" t="str">
        <f t="shared" si="222"/>
        <v/>
      </c>
      <c r="AN285" s="118" t="str">
        <f t="shared" si="222"/>
        <v/>
      </c>
      <c r="AO285" s="41">
        <f t="shared" si="227"/>
        <v>0</v>
      </c>
      <c r="AP285" s="35"/>
      <c r="AQ285" s="35"/>
      <c r="AR285" s="35"/>
      <c r="AS285" s="65"/>
      <c r="AT285" s="63"/>
      <c r="AU285" s="47"/>
      <c r="AV285" s="14"/>
      <c r="AW285" s="107" t="s">
        <v>54</v>
      </c>
      <c r="AX285" s="41" t="str">
        <f t="shared" si="223"/>
        <v/>
      </c>
      <c r="AY285" s="41" t="str">
        <f t="shared" si="223"/>
        <v/>
      </c>
      <c r="AZ285" s="118" t="str">
        <f t="shared" si="223"/>
        <v/>
      </c>
      <c r="BA285" s="41" t="str">
        <f t="shared" si="223"/>
        <v/>
      </c>
      <c r="BB285" s="41" t="str">
        <f t="shared" si="223"/>
        <v/>
      </c>
      <c r="BC285" s="118" t="str">
        <f t="shared" si="223"/>
        <v/>
      </c>
      <c r="BD285" s="41">
        <f t="shared" si="228"/>
        <v>0</v>
      </c>
      <c r="BE285" s="35"/>
      <c r="BF285" s="35"/>
      <c r="BG285" s="35"/>
      <c r="BH285" s="65"/>
      <c r="BI285" s="63"/>
      <c r="BJ285" s="352"/>
      <c r="BK285" s="14"/>
      <c r="BL285" s="107" t="s">
        <v>54</v>
      </c>
      <c r="BM285" s="41" t="str">
        <f t="shared" si="224"/>
        <v/>
      </c>
      <c r="BN285" s="41" t="str">
        <f t="shared" si="224"/>
        <v/>
      </c>
      <c r="BO285" s="118" t="str">
        <f t="shared" si="224"/>
        <v/>
      </c>
      <c r="BP285" s="41" t="str">
        <f t="shared" si="224"/>
        <v/>
      </c>
      <c r="BQ285" s="41" t="str">
        <f t="shared" si="224"/>
        <v/>
      </c>
      <c r="BR285" s="118" t="str">
        <f t="shared" si="224"/>
        <v/>
      </c>
      <c r="BS285" s="41">
        <f t="shared" si="229"/>
        <v>0</v>
      </c>
      <c r="BT285" s="35"/>
      <c r="BU285" s="35"/>
      <c r="BV285" s="35"/>
      <c r="BW285" s="65"/>
      <c r="BX285" s="63"/>
      <c r="BY285" s="352"/>
      <c r="BZ285" s="14"/>
      <c r="CA285" s="14"/>
      <c r="CB285" s="21"/>
      <c r="CC285" s="21"/>
      <c r="CD285" s="180"/>
      <c r="CE285" s="180"/>
      <c r="CF285" s="21"/>
      <c r="CG285" s="14"/>
      <c r="CH285" s="14"/>
      <c r="CI285" s="14"/>
      <c r="CJ285" s="14"/>
      <c r="CK285" s="14"/>
      <c r="CL285" s="14"/>
      <c r="CM285" s="14"/>
      <c r="CN285" s="14"/>
      <c r="CO285" s="129"/>
      <c r="CP285" s="14"/>
      <c r="CQ285" s="47"/>
      <c r="CR285" s="14"/>
      <c r="CS285" s="14"/>
      <c r="CT285" s="14"/>
      <c r="CU285" s="14"/>
      <c r="CV285" s="180"/>
      <c r="CW285" s="189"/>
      <c r="CX285" s="189"/>
      <c r="CY285" s="14"/>
      <c r="CZ285" s="14"/>
      <c r="DA285" s="14"/>
      <c r="DB285" s="14"/>
      <c r="DC285" s="14"/>
      <c r="DD285" s="14"/>
      <c r="DE285" s="14"/>
      <c r="DF285" s="14"/>
      <c r="DG285" s="129"/>
      <c r="DH285" s="14"/>
      <c r="DI285" s="47"/>
      <c r="DJ285" s="14"/>
      <c r="DK285" s="86" t="s">
        <v>8</v>
      </c>
      <c r="DL285" s="119">
        <f t="shared" ref="DL285:DR285" si="231">SUM(DL280:DL284)</f>
        <v>0.16666666666666666</v>
      </c>
      <c r="DM285" s="119">
        <f t="shared" si="231"/>
        <v>0</v>
      </c>
      <c r="DN285" s="119">
        <f t="shared" si="231"/>
        <v>0.16666666666666666</v>
      </c>
      <c r="DO285" s="119">
        <f t="shared" si="231"/>
        <v>0</v>
      </c>
      <c r="DP285" s="119">
        <f t="shared" si="231"/>
        <v>0</v>
      </c>
      <c r="DQ285" s="119">
        <f t="shared" si="231"/>
        <v>0</v>
      </c>
      <c r="DR285" s="119">
        <f t="shared" si="231"/>
        <v>0.33333333333333337</v>
      </c>
      <c r="DS285" s="14"/>
      <c r="DT285" s="14"/>
      <c r="DU285" s="14"/>
      <c r="DV285" s="14"/>
      <c r="DW285" s="14"/>
      <c r="DX285" s="14"/>
      <c r="DY285" s="14"/>
      <c r="DZ285" s="14"/>
      <c r="EA285" s="14"/>
      <c r="EB285" s="14"/>
      <c r="EC285" s="14"/>
      <c r="ED285" s="14"/>
      <c r="EE285" s="14"/>
      <c r="EF285" s="14"/>
      <c r="EG285" s="14"/>
      <c r="EH285" s="14"/>
      <c r="EI285" s="14"/>
      <c r="EJ285" s="14"/>
      <c r="EK285" s="14"/>
      <c r="EL285" s="14"/>
    </row>
    <row r="286" spans="1:142" x14ac:dyDescent="0.25">
      <c r="A286" s="14"/>
      <c r="B286" s="107"/>
      <c r="C286" s="41"/>
      <c r="D286" s="41"/>
      <c r="E286" s="118"/>
      <c r="F286" s="41"/>
      <c r="G286" s="41"/>
      <c r="H286" s="118"/>
      <c r="I286" s="41"/>
      <c r="J286" s="14"/>
      <c r="K286" s="14"/>
      <c r="L286" s="14"/>
      <c r="M286" s="14"/>
      <c r="N286" s="14"/>
      <c r="O286" s="14"/>
      <c r="P286" s="14"/>
      <c r="Q286" s="47"/>
      <c r="R286" s="14"/>
      <c r="S286" s="107" t="s">
        <v>39</v>
      </c>
      <c r="T286" s="41">
        <f t="shared" si="221"/>
        <v>0.125</v>
      </c>
      <c r="U286" s="41" t="str">
        <f t="shared" si="221"/>
        <v/>
      </c>
      <c r="V286" s="118" t="str">
        <f t="shared" si="221"/>
        <v/>
      </c>
      <c r="W286" s="41" t="str">
        <f t="shared" si="221"/>
        <v/>
      </c>
      <c r="X286" s="41" t="str">
        <f t="shared" si="221"/>
        <v/>
      </c>
      <c r="Y286" s="118" t="str">
        <f t="shared" si="221"/>
        <v/>
      </c>
      <c r="Z286" s="41">
        <f t="shared" si="226"/>
        <v>0.125</v>
      </c>
      <c r="AA286" s="35"/>
      <c r="AB286" s="35"/>
      <c r="AC286" s="35"/>
      <c r="AD286" s="65"/>
      <c r="AE286" s="63"/>
      <c r="AF286" s="47"/>
      <c r="AG286" s="14"/>
      <c r="AH286" s="107" t="s">
        <v>39</v>
      </c>
      <c r="AI286" s="41" t="str">
        <f t="shared" si="222"/>
        <v/>
      </c>
      <c r="AJ286" s="41" t="str">
        <f t="shared" si="222"/>
        <v/>
      </c>
      <c r="AK286" s="118" t="str">
        <f t="shared" si="222"/>
        <v/>
      </c>
      <c r="AL286" s="41" t="str">
        <f t="shared" si="222"/>
        <v/>
      </c>
      <c r="AM286" s="41" t="str">
        <f t="shared" si="222"/>
        <v/>
      </c>
      <c r="AN286" s="118" t="str">
        <f t="shared" si="222"/>
        <v/>
      </c>
      <c r="AO286" s="41">
        <f t="shared" si="227"/>
        <v>0</v>
      </c>
      <c r="AP286" s="35"/>
      <c r="AQ286" s="35"/>
      <c r="AR286" s="35"/>
      <c r="AS286" s="65"/>
      <c r="AT286" s="63"/>
      <c r="AU286" s="47"/>
      <c r="AV286" s="14"/>
      <c r="AW286" s="107" t="s">
        <v>39</v>
      </c>
      <c r="AX286" s="41" t="str">
        <f t="shared" si="223"/>
        <v/>
      </c>
      <c r="AY286" s="41" t="str">
        <f t="shared" si="223"/>
        <v/>
      </c>
      <c r="AZ286" s="118" t="str">
        <f t="shared" si="223"/>
        <v/>
      </c>
      <c r="BA286" s="41" t="str">
        <f t="shared" si="223"/>
        <v/>
      </c>
      <c r="BB286" s="41" t="str">
        <f t="shared" si="223"/>
        <v/>
      </c>
      <c r="BC286" s="118" t="str">
        <f t="shared" si="223"/>
        <v/>
      </c>
      <c r="BD286" s="41">
        <f t="shared" si="228"/>
        <v>0</v>
      </c>
      <c r="BE286" s="35"/>
      <c r="BF286" s="35"/>
      <c r="BG286" s="35"/>
      <c r="BH286" s="65"/>
      <c r="BI286" s="63"/>
      <c r="BJ286" s="352"/>
      <c r="BK286" s="14"/>
      <c r="BL286" s="107" t="s">
        <v>39</v>
      </c>
      <c r="BM286" s="41" t="str">
        <f t="shared" si="224"/>
        <v/>
      </c>
      <c r="BN286" s="41" t="str">
        <f t="shared" si="224"/>
        <v/>
      </c>
      <c r="BO286" s="118" t="str">
        <f t="shared" si="224"/>
        <v/>
      </c>
      <c r="BP286" s="41" t="str">
        <f t="shared" si="224"/>
        <v/>
      </c>
      <c r="BQ286" s="41" t="str">
        <f t="shared" si="224"/>
        <v/>
      </c>
      <c r="BR286" s="118" t="str">
        <f t="shared" si="224"/>
        <v/>
      </c>
      <c r="BS286" s="41">
        <f t="shared" si="229"/>
        <v>0</v>
      </c>
      <c r="BT286" s="35"/>
      <c r="BU286" s="35"/>
      <c r="BV286" s="35"/>
      <c r="BW286" s="65"/>
      <c r="BX286" s="63"/>
      <c r="BY286" s="352"/>
      <c r="BZ286" s="14"/>
      <c r="CA286" s="14"/>
      <c r="CB286" s="21"/>
      <c r="CC286" s="21"/>
      <c r="CD286" s="180"/>
      <c r="CE286" s="180"/>
      <c r="CF286" s="21"/>
      <c r="CG286" s="14"/>
      <c r="CH286" s="14"/>
      <c r="CI286" s="14"/>
      <c r="CJ286" s="14"/>
      <c r="CK286" s="14"/>
      <c r="CL286" s="14"/>
      <c r="CM286" s="14"/>
      <c r="CN286" s="14"/>
      <c r="CO286" s="129"/>
      <c r="CP286" s="14"/>
      <c r="CQ286" s="47"/>
      <c r="CR286" s="14"/>
      <c r="CS286" s="14"/>
      <c r="CT286" s="14"/>
      <c r="CU286" s="14"/>
      <c r="CV286" s="180"/>
      <c r="CW286" s="189"/>
      <c r="CX286" s="189"/>
      <c r="CY286" s="14"/>
      <c r="CZ286" s="14"/>
      <c r="DA286" s="14"/>
      <c r="DB286" s="14"/>
      <c r="DC286" s="14"/>
      <c r="DD286" s="14"/>
      <c r="DE286" s="14"/>
      <c r="DF286" s="14"/>
      <c r="DG286" s="129"/>
      <c r="DH286" s="14"/>
      <c r="DI286" s="47"/>
      <c r="DJ286" s="14"/>
      <c r="DK286" s="107"/>
      <c r="DL286" s="41"/>
      <c r="DM286" s="41"/>
      <c r="DN286" s="118"/>
      <c r="DO286" s="41"/>
      <c r="DP286" s="41"/>
      <c r="DQ286" s="118"/>
      <c r="DR286" s="41"/>
      <c r="DS286" s="14"/>
      <c r="DT286" s="14"/>
      <c r="DU286" s="14"/>
      <c r="DV286" s="14"/>
      <c r="DW286" s="14"/>
      <c r="DX286" s="14"/>
      <c r="DY286" s="14"/>
      <c r="DZ286" s="14"/>
      <c r="EA286" s="14"/>
      <c r="EB286" s="14"/>
      <c r="EC286" s="14"/>
      <c r="ED286" s="14"/>
      <c r="EE286" s="14"/>
      <c r="EF286" s="14"/>
      <c r="EG286" s="14"/>
      <c r="EH286" s="14"/>
      <c r="EI286" s="14"/>
      <c r="EJ286" s="14"/>
      <c r="EK286" s="14"/>
      <c r="EL286" s="14"/>
    </row>
    <row r="287" spans="1:142" x14ac:dyDescent="0.25">
      <c r="A287" s="14"/>
      <c r="B287" s="103"/>
      <c r="C287" s="120"/>
      <c r="D287" s="120"/>
      <c r="E287" s="120"/>
      <c r="F287" s="120"/>
      <c r="G287" s="120"/>
      <c r="H287" s="120"/>
      <c r="I287" s="120"/>
      <c r="J287" s="14"/>
      <c r="K287" s="14"/>
      <c r="L287" s="14"/>
      <c r="M287" s="14"/>
      <c r="N287" s="14"/>
      <c r="O287" s="14"/>
      <c r="P287" s="14"/>
      <c r="Q287" s="47"/>
      <c r="R287" s="14"/>
      <c r="S287" s="86" t="s">
        <v>8</v>
      </c>
      <c r="T287" s="119">
        <f t="shared" ref="T287:Y287" si="232">SUM(T280:T286)</f>
        <v>0.16666666666666666</v>
      </c>
      <c r="U287" s="119">
        <f t="shared" si="232"/>
        <v>0</v>
      </c>
      <c r="V287" s="119">
        <f t="shared" si="232"/>
        <v>0.16666666666666666</v>
      </c>
      <c r="W287" s="119">
        <f t="shared" si="232"/>
        <v>0</v>
      </c>
      <c r="X287" s="119">
        <f t="shared" si="232"/>
        <v>0</v>
      </c>
      <c r="Y287" s="119">
        <f t="shared" si="232"/>
        <v>0</v>
      </c>
      <c r="Z287" s="119">
        <f>SUM(T287:Y287)</f>
        <v>0.33333333333333331</v>
      </c>
      <c r="AA287" s="35"/>
      <c r="AB287" s="35"/>
      <c r="AC287" s="35"/>
      <c r="AD287" s="65"/>
      <c r="AE287" s="63"/>
      <c r="AF287" s="47"/>
      <c r="AG287" s="14"/>
      <c r="AH287" s="86" t="s">
        <v>8</v>
      </c>
      <c r="AI287" s="119">
        <f t="shared" ref="AI287:AN287" si="233">SUM(AI280:AI286)</f>
        <v>0.16666666666666666</v>
      </c>
      <c r="AJ287" s="119">
        <f t="shared" si="233"/>
        <v>0.16666666666666666</v>
      </c>
      <c r="AK287" s="119">
        <f t="shared" si="233"/>
        <v>0.16666666666666666</v>
      </c>
      <c r="AL287" s="119">
        <f t="shared" si="233"/>
        <v>0.16666666666666666</v>
      </c>
      <c r="AM287" s="119">
        <f t="shared" si="233"/>
        <v>0.16666666666666666</v>
      </c>
      <c r="AN287" s="119">
        <f t="shared" si="233"/>
        <v>0</v>
      </c>
      <c r="AO287" s="119">
        <f>SUM(AI287:AN287)</f>
        <v>0.83333333333333326</v>
      </c>
      <c r="AP287" s="35"/>
      <c r="AQ287" s="35"/>
      <c r="AR287" s="35"/>
      <c r="AS287" s="65"/>
      <c r="AT287" s="63"/>
      <c r="AU287" s="47"/>
      <c r="AV287" s="14"/>
      <c r="AW287" s="86" t="s">
        <v>8</v>
      </c>
      <c r="AX287" s="119">
        <f t="shared" ref="AX287:BC287" si="234">SUM(AX280:AX286)</f>
        <v>0.16666666666666666</v>
      </c>
      <c r="AY287" s="119">
        <f t="shared" si="234"/>
        <v>0.16666666666666666</v>
      </c>
      <c r="AZ287" s="119">
        <f t="shared" si="234"/>
        <v>0.16666666666666666</v>
      </c>
      <c r="BA287" s="119">
        <f t="shared" si="234"/>
        <v>0.16666666666666666</v>
      </c>
      <c r="BB287" s="119">
        <f t="shared" si="234"/>
        <v>0.16666666666666666</v>
      </c>
      <c r="BC287" s="119">
        <f t="shared" si="234"/>
        <v>0</v>
      </c>
      <c r="BD287" s="119">
        <f>SUM(AX287:BC287)</f>
        <v>0.83333333333333326</v>
      </c>
      <c r="BE287" s="35"/>
      <c r="BF287" s="35"/>
      <c r="BG287" s="35"/>
      <c r="BH287" s="65"/>
      <c r="BI287" s="63"/>
      <c r="BJ287" s="352"/>
      <c r="BK287" s="14"/>
      <c r="BL287" s="86" t="s">
        <v>8</v>
      </c>
      <c r="BM287" s="119">
        <f t="shared" ref="BM287:BR287" si="235">SUM(BM280:BM286)</f>
        <v>0.16666666666666666</v>
      </c>
      <c r="BN287" s="119">
        <f t="shared" si="235"/>
        <v>0.16666666666666666</v>
      </c>
      <c r="BO287" s="119">
        <f t="shared" si="235"/>
        <v>0.16666666666666666</v>
      </c>
      <c r="BP287" s="119">
        <f t="shared" si="235"/>
        <v>0.16666666666666666</v>
      </c>
      <c r="BQ287" s="119">
        <f t="shared" si="235"/>
        <v>0.16666666666666666</v>
      </c>
      <c r="BR287" s="119">
        <f t="shared" si="235"/>
        <v>0</v>
      </c>
      <c r="BS287" s="119">
        <f>SUM(BM287:BR287)</f>
        <v>0.83333333333333326</v>
      </c>
      <c r="BT287" s="35"/>
      <c r="BU287" s="35"/>
      <c r="BV287" s="35"/>
      <c r="BW287" s="65"/>
      <c r="BX287" s="63"/>
      <c r="BY287" s="352"/>
      <c r="BZ287" s="14"/>
      <c r="CA287" s="14"/>
      <c r="CB287" s="21"/>
      <c r="CC287" s="21"/>
      <c r="CD287" s="180"/>
      <c r="CE287" s="180"/>
      <c r="CF287" s="21"/>
      <c r="CG287" s="14"/>
      <c r="CH287" s="14"/>
      <c r="CI287" s="14"/>
      <c r="CJ287" s="14"/>
      <c r="CK287" s="14"/>
      <c r="CL287" s="14"/>
      <c r="CM287" s="14"/>
      <c r="CN287" s="14"/>
      <c r="CO287" s="129"/>
      <c r="CP287" s="14"/>
      <c r="CQ287" s="47"/>
      <c r="CR287" s="14"/>
      <c r="CS287" s="14"/>
      <c r="CT287" s="14"/>
      <c r="CU287" s="14"/>
      <c r="CV287" s="180"/>
      <c r="CW287" s="189"/>
      <c r="CX287" s="189"/>
      <c r="CY287" s="14"/>
      <c r="CZ287" s="14"/>
      <c r="DA287" s="14"/>
      <c r="DB287" s="14"/>
      <c r="DC287" s="14"/>
      <c r="DD287" s="14"/>
      <c r="DE287" s="14"/>
      <c r="DF287" s="14"/>
      <c r="DG287" s="129"/>
      <c r="DH287" s="14"/>
      <c r="DI287" s="47"/>
      <c r="DJ287" s="14"/>
      <c r="DK287" s="103"/>
      <c r="DL287" s="120"/>
      <c r="DM287" s="120"/>
      <c r="DN287" s="120"/>
      <c r="DO287" s="120"/>
      <c r="DP287" s="120"/>
      <c r="DQ287" s="120"/>
      <c r="DR287" s="120"/>
      <c r="DS287" s="14"/>
      <c r="DT287" s="14"/>
      <c r="DU287" s="14"/>
      <c r="DV287" s="14"/>
      <c r="DW287" s="14"/>
      <c r="DX287" s="14"/>
      <c r="DY287" s="14"/>
      <c r="DZ287" s="14"/>
      <c r="EA287" s="14"/>
      <c r="EB287" s="14"/>
      <c r="EC287" s="14"/>
      <c r="ED287" s="14"/>
      <c r="EE287" s="14"/>
      <c r="EF287" s="14"/>
      <c r="EG287" s="14"/>
      <c r="EH287" s="14"/>
      <c r="EI287" s="14"/>
      <c r="EJ287" s="14"/>
      <c r="EK287" s="14"/>
      <c r="EL287" s="14"/>
    </row>
    <row r="288" spans="1:142" x14ac:dyDescent="0.25">
      <c r="A288" s="14"/>
      <c r="B288" s="19"/>
      <c r="C288" s="19"/>
      <c r="D288" s="19"/>
      <c r="E288" s="19"/>
      <c r="F288" s="19"/>
      <c r="G288" s="19"/>
      <c r="H288" s="19"/>
      <c r="I288" s="19"/>
      <c r="J288" s="14"/>
      <c r="K288" s="14"/>
      <c r="L288" s="14"/>
      <c r="M288" s="14"/>
      <c r="N288" s="14"/>
      <c r="O288" s="14"/>
      <c r="P288" s="14"/>
      <c r="Q288" s="47"/>
      <c r="R288" s="14"/>
      <c r="S288" s="19"/>
      <c r="T288" s="14"/>
      <c r="U288" s="14"/>
      <c r="V288" s="14"/>
      <c r="W288" s="14"/>
      <c r="X288" s="14"/>
      <c r="Y288" s="14"/>
      <c r="Z288" s="14"/>
      <c r="AA288" s="14"/>
      <c r="AB288" s="14"/>
      <c r="AC288" s="14"/>
      <c r="AD288" s="65"/>
      <c r="AE288" s="63"/>
      <c r="AF288" s="47"/>
      <c r="AG288" s="14"/>
      <c r="AH288" s="19"/>
      <c r="AI288" s="19"/>
      <c r="AJ288" s="19"/>
      <c r="AK288" s="19"/>
      <c r="AL288" s="19"/>
      <c r="AM288" s="19"/>
      <c r="AN288" s="19"/>
      <c r="AO288" s="19"/>
      <c r="AP288" s="14"/>
      <c r="AQ288" s="14"/>
      <c r="AR288" s="14"/>
      <c r="AS288" s="65"/>
      <c r="AT288" s="63"/>
      <c r="AU288" s="47"/>
      <c r="AV288" s="14"/>
      <c r="AW288" s="19"/>
      <c r="AX288" s="14"/>
      <c r="AY288" s="14"/>
      <c r="AZ288" s="14"/>
      <c r="BA288" s="14"/>
      <c r="BB288" s="14"/>
      <c r="BC288" s="14"/>
      <c r="BD288" s="14"/>
      <c r="BE288" s="14"/>
      <c r="BF288" s="14"/>
      <c r="BG288" s="14"/>
      <c r="BH288" s="65"/>
      <c r="BI288" s="63"/>
      <c r="BJ288" s="352"/>
      <c r="BK288" s="14"/>
      <c r="BL288" s="19"/>
      <c r="BM288" s="14"/>
      <c r="BN288" s="14"/>
      <c r="BO288" s="14"/>
      <c r="BP288" s="14"/>
      <c r="BQ288" s="14"/>
      <c r="BR288" s="14"/>
      <c r="BS288" s="14"/>
      <c r="BT288" s="14"/>
      <c r="BU288" s="14"/>
      <c r="BV288" s="14"/>
      <c r="BW288" s="65"/>
      <c r="BX288" s="63"/>
      <c r="BY288" s="352"/>
      <c r="BZ288" s="14"/>
      <c r="CA288" s="14"/>
      <c r="CB288" s="21"/>
      <c r="CC288" s="21"/>
      <c r="CD288" s="180"/>
      <c r="CE288" s="180"/>
      <c r="CF288" s="21"/>
      <c r="CG288" s="14"/>
      <c r="CH288" s="14"/>
      <c r="CI288" s="14"/>
      <c r="CJ288" s="14"/>
      <c r="CK288" s="14"/>
      <c r="CL288" s="14"/>
      <c r="CM288" s="14"/>
      <c r="CN288" s="14"/>
      <c r="CO288" s="129"/>
      <c r="CP288" s="14"/>
      <c r="CQ288" s="47"/>
      <c r="CR288" s="14"/>
      <c r="CS288" s="14"/>
      <c r="CT288" s="14"/>
      <c r="CU288" s="14"/>
      <c r="CV288" s="180"/>
      <c r="CW288" s="189"/>
      <c r="CX288" s="189"/>
      <c r="CY288" s="14"/>
      <c r="CZ288" s="14"/>
      <c r="DA288" s="14"/>
      <c r="DB288" s="14"/>
      <c r="DC288" s="14"/>
      <c r="DD288" s="14"/>
      <c r="DE288" s="14"/>
      <c r="DF288" s="14"/>
      <c r="DG288" s="129"/>
      <c r="DH288" s="14"/>
      <c r="DI288" s="47"/>
      <c r="DJ288" s="14"/>
      <c r="DK288" s="19"/>
      <c r="DL288" s="19"/>
      <c r="DM288" s="19"/>
      <c r="DN288" s="19"/>
      <c r="DO288" s="19"/>
      <c r="DP288" s="19"/>
      <c r="DQ288" s="19"/>
      <c r="DR288" s="19"/>
      <c r="DS288" s="14"/>
      <c r="DT288" s="14"/>
      <c r="DU288" s="14"/>
      <c r="DV288" s="14"/>
      <c r="DW288" s="14"/>
      <c r="DX288" s="14"/>
      <c r="DY288" s="14"/>
      <c r="DZ288" s="14"/>
      <c r="EA288" s="14"/>
      <c r="EB288" s="14"/>
      <c r="EC288" s="14"/>
      <c r="ED288" s="14"/>
      <c r="EE288" s="14"/>
      <c r="EF288" s="14"/>
      <c r="EG288" s="14"/>
      <c r="EH288" s="14"/>
      <c r="EI288" s="14"/>
      <c r="EJ288" s="14"/>
      <c r="EK288" s="14"/>
      <c r="EL288" s="14"/>
    </row>
    <row r="289" spans="1:142" x14ac:dyDescent="0.25">
      <c r="A289" s="14"/>
      <c r="B289" s="19"/>
      <c r="C289" s="40"/>
      <c r="D289" s="41"/>
      <c r="E289" s="40"/>
      <c r="F289" s="40"/>
      <c r="G289" s="40"/>
      <c r="H289" s="41"/>
      <c r="I289" s="72"/>
      <c r="J289" s="14"/>
      <c r="K289" s="14"/>
      <c r="L289" s="14"/>
      <c r="M289" s="14"/>
      <c r="N289" s="14"/>
      <c r="O289" s="14"/>
      <c r="P289" s="14"/>
      <c r="Q289" s="47"/>
      <c r="R289" s="14"/>
      <c r="S289" s="19"/>
      <c r="T289" s="14"/>
      <c r="U289" s="14"/>
      <c r="V289" s="14"/>
      <c r="W289" s="14"/>
      <c r="X289" s="14"/>
      <c r="Y289" s="14"/>
      <c r="Z289" s="14"/>
      <c r="AA289" s="14"/>
      <c r="AB289" s="14"/>
      <c r="AC289" s="14"/>
      <c r="AD289" s="65"/>
      <c r="AE289" s="63"/>
      <c r="AF289" s="47"/>
      <c r="AG289" s="14"/>
      <c r="AH289" s="19"/>
      <c r="AI289" s="14"/>
      <c r="AJ289" s="14"/>
      <c r="AK289" s="14"/>
      <c r="AL289" s="14"/>
      <c r="AM289" s="14"/>
      <c r="AN289" s="14"/>
      <c r="AO289" s="14"/>
      <c r="AP289" s="14"/>
      <c r="AQ289" s="14"/>
      <c r="AR289" s="14"/>
      <c r="AS289" s="65"/>
      <c r="AT289" s="63"/>
      <c r="AU289" s="47"/>
      <c r="AV289" s="14"/>
      <c r="AW289" s="19"/>
      <c r="AX289" s="14"/>
      <c r="AY289" s="14"/>
      <c r="AZ289" s="14"/>
      <c r="BA289" s="14"/>
      <c r="BB289" s="14"/>
      <c r="BC289" s="14"/>
      <c r="BD289" s="14"/>
      <c r="BE289" s="14"/>
      <c r="BF289" s="14"/>
      <c r="BG289" s="14"/>
      <c r="BH289" s="65"/>
      <c r="BI289" s="63"/>
      <c r="BJ289" s="352"/>
      <c r="BK289" s="14"/>
      <c r="BL289" s="19"/>
      <c r="BM289" s="14"/>
      <c r="BN289" s="14"/>
      <c r="BO289" s="14"/>
      <c r="BP289" s="14"/>
      <c r="BQ289" s="14"/>
      <c r="BR289" s="14"/>
      <c r="BS289" s="14"/>
      <c r="BT289" s="14"/>
      <c r="BU289" s="14"/>
      <c r="BV289" s="14"/>
      <c r="BW289" s="65"/>
      <c r="BX289" s="63"/>
      <c r="BY289" s="352"/>
      <c r="BZ289" s="14"/>
      <c r="CA289" s="14"/>
      <c r="CB289" s="21"/>
      <c r="CC289" s="21"/>
      <c r="CD289" s="180"/>
      <c r="CE289" s="180"/>
      <c r="CF289" s="21"/>
      <c r="CG289" s="14"/>
      <c r="CH289" s="14"/>
      <c r="CI289" s="14"/>
      <c r="CJ289" s="14"/>
      <c r="CK289" s="14"/>
      <c r="CL289" s="14"/>
      <c r="CM289" s="14"/>
      <c r="CN289" s="14"/>
      <c r="CO289" s="129"/>
      <c r="CP289" s="14"/>
      <c r="CQ289" s="47"/>
      <c r="CR289" s="14"/>
      <c r="CS289" s="14"/>
      <c r="CT289" s="14"/>
      <c r="CU289" s="14"/>
      <c r="CV289" s="180"/>
      <c r="CW289" s="189"/>
      <c r="CX289" s="189"/>
      <c r="CY289" s="14"/>
      <c r="CZ289" s="14"/>
      <c r="DA289" s="14"/>
      <c r="DB289" s="14"/>
      <c r="DC289" s="14"/>
      <c r="DD289" s="14"/>
      <c r="DE289" s="14"/>
      <c r="DF289" s="14"/>
      <c r="DG289" s="129"/>
      <c r="DH289" s="14"/>
      <c r="DI289" s="47"/>
      <c r="DJ289" s="14"/>
      <c r="DK289" s="19"/>
      <c r="DL289" s="40"/>
      <c r="DM289" s="41"/>
      <c r="DN289" s="40"/>
      <c r="DO289" s="40"/>
      <c r="DP289" s="40"/>
      <c r="DQ289" s="41"/>
      <c r="DR289" s="72"/>
      <c r="DS289" s="14"/>
      <c r="DT289" s="14"/>
      <c r="DU289" s="14"/>
      <c r="DV289" s="14"/>
      <c r="DW289" s="14"/>
      <c r="DX289" s="14"/>
      <c r="DY289" s="14"/>
      <c r="DZ289" s="14"/>
      <c r="EA289" s="14"/>
      <c r="EB289" s="14"/>
      <c r="EC289" s="14"/>
      <c r="ED289" s="14"/>
      <c r="EE289" s="14"/>
      <c r="EF289" s="14"/>
      <c r="EG289" s="14"/>
      <c r="EH289" s="14"/>
      <c r="EI289" s="14"/>
      <c r="EJ289" s="14"/>
      <c r="EK289" s="14"/>
      <c r="EL289" s="14"/>
    </row>
    <row r="290" spans="1:142" x14ac:dyDescent="0.25">
      <c r="A290" s="14"/>
      <c r="B290" s="19"/>
      <c r="C290" s="40"/>
      <c r="D290" s="41"/>
      <c r="E290" s="40"/>
      <c r="F290" s="40"/>
      <c r="G290" s="40"/>
      <c r="H290" s="41"/>
      <c r="I290" s="72"/>
      <c r="J290" s="14"/>
      <c r="K290" s="14"/>
      <c r="L290" s="14"/>
      <c r="M290" s="14"/>
      <c r="N290" s="14"/>
      <c r="O290" s="14"/>
      <c r="P290" s="14"/>
      <c r="Q290" s="47"/>
      <c r="R290" s="14"/>
      <c r="S290" s="19"/>
      <c r="T290" s="14"/>
      <c r="U290" s="14"/>
      <c r="V290" s="14"/>
      <c r="W290" s="14"/>
      <c r="X290" s="14"/>
      <c r="Y290" s="14"/>
      <c r="Z290" s="14"/>
      <c r="AA290" s="14"/>
      <c r="AB290" s="14"/>
      <c r="AC290" s="44"/>
      <c r="AD290" s="44"/>
      <c r="AE290" s="63"/>
      <c r="AF290" s="352"/>
      <c r="AG290" s="14"/>
      <c r="AH290" s="19"/>
      <c r="AI290" s="14"/>
      <c r="AJ290" s="14"/>
      <c r="AK290" s="14"/>
      <c r="AL290" s="14"/>
      <c r="AM290" s="14"/>
      <c r="AN290" s="14"/>
      <c r="AO290" s="14"/>
      <c r="AP290" s="14"/>
      <c r="AQ290" s="14"/>
      <c r="AR290" s="14"/>
      <c r="AS290" s="65"/>
      <c r="AT290" s="63"/>
      <c r="AU290" s="47"/>
      <c r="AV290" s="14"/>
      <c r="AW290" s="19"/>
      <c r="AX290" s="14"/>
      <c r="AY290" s="14"/>
      <c r="AZ290" s="14"/>
      <c r="BA290" s="14"/>
      <c r="BB290" s="14"/>
      <c r="BC290" s="14"/>
      <c r="BD290" s="14"/>
      <c r="BE290" s="14"/>
      <c r="BF290" s="14"/>
      <c r="BG290" s="14"/>
      <c r="BH290" s="65"/>
      <c r="BI290" s="63"/>
      <c r="BJ290" s="352"/>
      <c r="BK290" s="14"/>
      <c r="BL290" s="19"/>
      <c r="BM290" s="14"/>
      <c r="BN290" s="14"/>
      <c r="BO290" s="14"/>
      <c r="BP290" s="14"/>
      <c r="BQ290" s="14"/>
      <c r="BR290" s="14"/>
      <c r="BS290" s="14"/>
      <c r="BT290" s="14"/>
      <c r="BU290" s="14"/>
      <c r="BV290" s="14"/>
      <c r="BW290" s="65"/>
      <c r="BX290" s="63"/>
      <c r="BY290" s="352"/>
      <c r="BZ290" s="14"/>
      <c r="CA290" s="14"/>
      <c r="CB290" s="21"/>
      <c r="CC290" s="21"/>
      <c r="CD290" s="180"/>
      <c r="CE290" s="180"/>
      <c r="CF290" s="21"/>
      <c r="CG290" s="14"/>
      <c r="CH290" s="14"/>
      <c r="CI290" s="14"/>
      <c r="CJ290" s="14"/>
      <c r="CK290" s="14"/>
      <c r="CL290" s="14"/>
      <c r="CM290" s="14"/>
      <c r="CN290" s="14"/>
      <c r="CO290" s="129"/>
      <c r="CP290" s="14"/>
      <c r="CQ290" s="47"/>
      <c r="CR290" s="14"/>
      <c r="CS290" s="14"/>
      <c r="CT290" s="14"/>
      <c r="CU290" s="14"/>
      <c r="CV290" s="180"/>
      <c r="CW290" s="189"/>
      <c r="CX290" s="189"/>
      <c r="CY290" s="14"/>
      <c r="CZ290" s="14"/>
      <c r="DA290" s="14"/>
      <c r="DB290" s="14"/>
      <c r="DC290" s="14"/>
      <c r="DD290" s="14"/>
      <c r="DE290" s="14"/>
      <c r="DF290" s="14"/>
      <c r="DG290" s="129"/>
      <c r="DH290" s="14"/>
      <c r="DI290" s="47"/>
      <c r="DJ290" s="14"/>
      <c r="DK290" s="19"/>
      <c r="DL290" s="40"/>
      <c r="DM290" s="41"/>
      <c r="DN290" s="40"/>
      <c r="DO290" s="40"/>
      <c r="DP290" s="40"/>
      <c r="DQ290" s="41"/>
      <c r="DR290" s="72"/>
      <c r="DS290" s="14"/>
      <c r="DT290" s="14"/>
      <c r="DU290" s="14"/>
      <c r="DV290" s="14"/>
      <c r="DW290" s="14"/>
      <c r="DX290" s="14"/>
      <c r="DY290" s="14"/>
      <c r="DZ290" s="14"/>
      <c r="EA290" s="14"/>
      <c r="EB290" s="14"/>
      <c r="EC290" s="14"/>
      <c r="ED290" s="14"/>
      <c r="EE290" s="14"/>
      <c r="EF290" s="14"/>
      <c r="EG290" s="14"/>
      <c r="EH290" s="14"/>
      <c r="EI290" s="14"/>
      <c r="EJ290" s="14"/>
      <c r="EK290" s="14"/>
      <c r="EL290" s="14"/>
    </row>
    <row r="291" spans="1:142" x14ac:dyDescent="0.25">
      <c r="A291" s="14"/>
      <c r="B291" s="19"/>
      <c r="C291" s="40"/>
      <c r="D291" s="41"/>
      <c r="E291" s="40"/>
      <c r="F291" s="40"/>
      <c r="G291" s="40"/>
      <c r="H291" s="41"/>
      <c r="I291" s="72"/>
      <c r="J291" s="14"/>
      <c r="K291" s="14"/>
      <c r="L291" s="14"/>
      <c r="M291" s="14"/>
      <c r="N291" s="14"/>
      <c r="O291" s="14"/>
      <c r="P291" s="14"/>
      <c r="Q291" s="47"/>
      <c r="R291" s="14"/>
      <c r="S291" s="19"/>
      <c r="T291" s="14"/>
      <c r="U291" s="14"/>
      <c r="V291" s="14"/>
      <c r="W291" s="14"/>
      <c r="X291" s="14"/>
      <c r="Y291" s="14"/>
      <c r="Z291" s="14"/>
      <c r="AA291" s="14"/>
      <c r="AB291" s="14"/>
      <c r="AC291" s="44"/>
      <c r="AD291" s="44"/>
      <c r="AE291" s="63"/>
      <c r="AF291" s="352"/>
      <c r="AG291" s="14"/>
      <c r="AH291" s="19"/>
      <c r="AI291" s="14"/>
      <c r="AJ291" s="14"/>
      <c r="AK291" s="14"/>
      <c r="AL291" s="14"/>
      <c r="AM291" s="14"/>
      <c r="AN291" s="14"/>
      <c r="AO291" s="14"/>
      <c r="AP291" s="14"/>
      <c r="AQ291" s="14"/>
      <c r="AR291" s="14"/>
      <c r="AS291" s="65"/>
      <c r="AT291" s="63"/>
      <c r="AU291" s="47"/>
      <c r="AV291" s="14"/>
      <c r="AW291" s="19"/>
      <c r="AX291" s="14"/>
      <c r="AY291" s="14"/>
      <c r="AZ291" s="14"/>
      <c r="BA291" s="14"/>
      <c r="BB291" s="14"/>
      <c r="BC291" s="14"/>
      <c r="BD291" s="14"/>
      <c r="BE291" s="14"/>
      <c r="BF291" s="14"/>
      <c r="BG291" s="14"/>
      <c r="BH291" s="65"/>
      <c r="BI291" s="63"/>
      <c r="BJ291" s="352"/>
      <c r="BK291" s="14"/>
      <c r="BL291" s="19"/>
      <c r="BM291" s="14"/>
      <c r="BN291" s="14"/>
      <c r="BO291" s="14"/>
      <c r="BP291" s="14"/>
      <c r="BQ291" s="14"/>
      <c r="BR291" s="14"/>
      <c r="BS291" s="14"/>
      <c r="BT291" s="14"/>
      <c r="BU291" s="14"/>
      <c r="BV291" s="14"/>
      <c r="BW291" s="65"/>
      <c r="BX291" s="63"/>
      <c r="BY291" s="352"/>
      <c r="BZ291" s="14"/>
      <c r="CA291" s="14"/>
      <c r="CB291" s="21"/>
      <c r="CC291" s="21"/>
      <c r="CD291" s="180"/>
      <c r="CE291" s="180"/>
      <c r="CF291" s="21"/>
      <c r="CG291" s="14"/>
      <c r="CH291" s="14"/>
      <c r="CI291" s="14"/>
      <c r="CJ291" s="14"/>
      <c r="CK291" s="14"/>
      <c r="CL291" s="14"/>
      <c r="CM291" s="14"/>
      <c r="CN291" s="14"/>
      <c r="CO291" s="129"/>
      <c r="CP291" s="14"/>
      <c r="CQ291" s="47"/>
      <c r="CR291" s="14"/>
      <c r="CS291" s="14"/>
      <c r="CT291" s="14"/>
      <c r="CU291" s="14"/>
      <c r="CV291" s="180"/>
      <c r="CW291" s="189"/>
      <c r="CX291" s="189"/>
      <c r="CY291" s="14"/>
      <c r="CZ291" s="14"/>
      <c r="DA291" s="14"/>
      <c r="DB291" s="14"/>
      <c r="DC291" s="14"/>
      <c r="DD291" s="14"/>
      <c r="DE291" s="14"/>
      <c r="DF291" s="14"/>
      <c r="DG291" s="129"/>
      <c r="DH291" s="14"/>
      <c r="DI291" s="47"/>
      <c r="DJ291" s="14"/>
      <c r="DK291" s="19"/>
      <c r="DL291" s="40"/>
      <c r="DM291" s="41"/>
      <c r="DN291" s="40"/>
      <c r="DO291" s="40"/>
      <c r="DP291" s="40"/>
      <c r="DQ291" s="41"/>
      <c r="DR291" s="72"/>
      <c r="DS291" s="14"/>
      <c r="DT291" s="14"/>
      <c r="DU291" s="14"/>
      <c r="DV291" s="14"/>
      <c r="DW291" s="14"/>
      <c r="DX291" s="14"/>
      <c r="DY291" s="14"/>
      <c r="DZ291" s="14"/>
      <c r="EA291" s="14"/>
      <c r="EB291" s="14"/>
      <c r="EC291" s="14"/>
      <c r="ED291" s="14"/>
      <c r="EE291" s="14"/>
      <c r="EF291" s="14"/>
      <c r="EG291" s="14"/>
      <c r="EH291" s="14"/>
      <c r="EI291" s="14"/>
      <c r="EJ291" s="14"/>
      <c r="EK291" s="14"/>
      <c r="EL291" s="14"/>
    </row>
    <row r="292" spans="1:142" x14ac:dyDescent="0.25">
      <c r="A292" s="14"/>
      <c r="B292" s="19"/>
      <c r="C292" s="40"/>
      <c r="D292" s="41"/>
      <c r="E292" s="40"/>
      <c r="F292" s="40"/>
      <c r="G292" s="40"/>
      <c r="H292" s="41"/>
      <c r="I292" s="72"/>
      <c r="J292" s="14"/>
      <c r="K292" s="14"/>
      <c r="L292" s="14"/>
      <c r="M292" s="14"/>
      <c r="N292" s="14"/>
      <c r="O292" s="14"/>
      <c r="P292" s="14"/>
      <c r="Q292" s="47"/>
      <c r="R292" s="14"/>
      <c r="S292" s="19"/>
      <c r="T292" s="14"/>
      <c r="U292" s="14"/>
      <c r="V292" s="14"/>
      <c r="W292" s="14"/>
      <c r="X292" s="14"/>
      <c r="Y292" s="14"/>
      <c r="Z292" s="14"/>
      <c r="AA292" s="14"/>
      <c r="AB292" s="14"/>
      <c r="AC292" s="44"/>
      <c r="AD292" s="44"/>
      <c r="AE292" s="63"/>
      <c r="AF292" s="352"/>
      <c r="AG292" s="14"/>
      <c r="AH292" s="19"/>
      <c r="AI292" s="14"/>
      <c r="AJ292" s="14"/>
      <c r="AK292" s="14"/>
      <c r="AL292" s="14"/>
      <c r="AM292" s="14"/>
      <c r="AN292" s="14"/>
      <c r="AO292" s="14"/>
      <c r="AP292" s="14"/>
      <c r="AQ292" s="14"/>
      <c r="AR292" s="14"/>
      <c r="AS292" s="65"/>
      <c r="AT292" s="63"/>
      <c r="AU292" s="47"/>
      <c r="AV292" s="14"/>
      <c r="AW292" s="19"/>
      <c r="AX292" s="14"/>
      <c r="AY292" s="14"/>
      <c r="AZ292" s="14"/>
      <c r="BA292" s="14"/>
      <c r="BB292" s="14"/>
      <c r="BC292" s="14"/>
      <c r="BD292" s="14"/>
      <c r="BE292" s="14"/>
      <c r="BF292" s="14"/>
      <c r="BG292" s="14"/>
      <c r="BH292" s="65"/>
      <c r="BI292" s="63"/>
      <c r="BJ292" s="352"/>
      <c r="BK292" s="14"/>
      <c r="BL292" s="19"/>
      <c r="BM292" s="14"/>
      <c r="BN292" s="14"/>
      <c r="BO292" s="14"/>
      <c r="BP292" s="14"/>
      <c r="BQ292" s="14"/>
      <c r="BR292" s="14"/>
      <c r="BS292" s="14"/>
      <c r="BT292" s="14"/>
      <c r="BU292" s="14"/>
      <c r="BV292" s="14"/>
      <c r="BW292" s="65"/>
      <c r="BX292" s="63"/>
      <c r="BY292" s="352"/>
      <c r="BZ292" s="14"/>
      <c r="CA292" s="14"/>
      <c r="CB292" s="21"/>
      <c r="CC292" s="21"/>
      <c r="CD292" s="180"/>
      <c r="CE292" s="180"/>
      <c r="CF292" s="21"/>
      <c r="CG292" s="14"/>
      <c r="CH292" s="14"/>
      <c r="CI292" s="14"/>
      <c r="CJ292" s="14"/>
      <c r="CK292" s="14"/>
      <c r="CL292" s="14"/>
      <c r="CM292" s="14"/>
      <c r="CN292" s="14"/>
      <c r="CO292" s="129"/>
      <c r="CP292" s="14"/>
      <c r="CQ292" s="47"/>
      <c r="CR292" s="14"/>
      <c r="CS292" s="14"/>
      <c r="CT292" s="14"/>
      <c r="CU292" s="14"/>
      <c r="CV292" s="180"/>
      <c r="CW292" s="189"/>
      <c r="CX292" s="189"/>
      <c r="CY292" s="14"/>
      <c r="CZ292" s="14"/>
      <c r="DA292" s="14"/>
      <c r="DB292" s="14"/>
      <c r="DC292" s="14"/>
      <c r="DD292" s="14"/>
      <c r="DE292" s="14"/>
      <c r="DF292" s="14"/>
      <c r="DG292" s="129"/>
      <c r="DH292" s="14"/>
      <c r="DI292" s="47"/>
      <c r="DJ292" s="14"/>
      <c r="DK292" s="19"/>
      <c r="DL292" s="40"/>
      <c r="DM292" s="41"/>
      <c r="DN292" s="40"/>
      <c r="DO292" s="40"/>
      <c r="DP292" s="40"/>
      <c r="DQ292" s="41"/>
      <c r="DR292" s="72"/>
      <c r="DS292" s="14"/>
      <c r="DT292" s="14"/>
      <c r="DU292" s="14"/>
      <c r="DV292" s="14"/>
      <c r="DW292" s="14"/>
      <c r="DX292" s="14"/>
      <c r="DY292" s="14"/>
      <c r="DZ292" s="14"/>
      <c r="EA292" s="14"/>
      <c r="EB292" s="14"/>
      <c r="EC292" s="14"/>
      <c r="ED292" s="14"/>
      <c r="EE292" s="14"/>
      <c r="EF292" s="14"/>
      <c r="EG292" s="14"/>
      <c r="EH292" s="14"/>
      <c r="EI292" s="14"/>
      <c r="EJ292" s="14"/>
      <c r="EK292" s="14"/>
      <c r="EL292" s="14"/>
    </row>
    <row r="293" spans="1:142" x14ac:dyDescent="0.25">
      <c r="A293" s="14"/>
      <c r="B293" s="19"/>
      <c r="C293" s="40"/>
      <c r="D293" s="41"/>
      <c r="E293" s="40"/>
      <c r="F293" s="40"/>
      <c r="G293" s="40"/>
      <c r="H293" s="41"/>
      <c r="I293" s="72"/>
      <c r="J293" s="14"/>
      <c r="K293" s="14"/>
      <c r="L293" s="14"/>
      <c r="M293" s="14"/>
      <c r="N293" s="14"/>
      <c r="O293" s="14"/>
      <c r="P293" s="14"/>
      <c r="Q293" s="47"/>
      <c r="R293" s="14"/>
      <c r="S293" s="19"/>
      <c r="T293" s="14"/>
      <c r="U293" s="14"/>
      <c r="V293" s="14"/>
      <c r="W293" s="14"/>
      <c r="X293" s="14"/>
      <c r="Y293" s="14"/>
      <c r="Z293" s="14"/>
      <c r="AA293" s="14"/>
      <c r="AB293" s="14"/>
      <c r="AC293" s="44"/>
      <c r="AD293" s="44"/>
      <c r="AE293" s="63"/>
      <c r="AF293" s="352"/>
      <c r="AG293" s="14"/>
      <c r="AH293" s="19"/>
      <c r="AI293" s="14"/>
      <c r="AJ293" s="14"/>
      <c r="AK293" s="14"/>
      <c r="AL293" s="14"/>
      <c r="AM293" s="14"/>
      <c r="AN293" s="14"/>
      <c r="AO293" s="14"/>
      <c r="AP293" s="14"/>
      <c r="AQ293" s="14"/>
      <c r="AR293" s="14"/>
      <c r="AS293" s="65"/>
      <c r="AT293" s="63"/>
      <c r="AU293" s="47"/>
      <c r="AV293" s="14"/>
      <c r="AW293" s="19"/>
      <c r="AX293" s="14"/>
      <c r="AY293" s="14"/>
      <c r="AZ293" s="14"/>
      <c r="BA293" s="14"/>
      <c r="BB293" s="14"/>
      <c r="BC293" s="14"/>
      <c r="BD293" s="14"/>
      <c r="BE293" s="14"/>
      <c r="BF293" s="14"/>
      <c r="BG293" s="14"/>
      <c r="BH293" s="65"/>
      <c r="BI293" s="63"/>
      <c r="BJ293" s="352"/>
      <c r="BK293" s="14"/>
      <c r="BL293" s="19"/>
      <c r="BM293" s="14"/>
      <c r="BN293" s="14"/>
      <c r="BO293" s="14"/>
      <c r="BP293" s="14"/>
      <c r="BQ293" s="14"/>
      <c r="BR293" s="14"/>
      <c r="BS293" s="14"/>
      <c r="BT293" s="14"/>
      <c r="BU293" s="14"/>
      <c r="BV293" s="14"/>
      <c r="BW293" s="65"/>
      <c r="BX293" s="63"/>
      <c r="BY293" s="352"/>
      <c r="BZ293" s="14"/>
      <c r="CA293" s="14"/>
      <c r="CB293" s="21"/>
      <c r="CC293" s="21"/>
      <c r="CD293" s="180"/>
      <c r="CE293" s="180"/>
      <c r="CF293" s="21"/>
      <c r="CG293" s="14"/>
      <c r="CH293" s="14"/>
      <c r="CI293" s="14"/>
      <c r="CJ293" s="14"/>
      <c r="CK293" s="14"/>
      <c r="CL293" s="14"/>
      <c r="CM293" s="14"/>
      <c r="CN293" s="14"/>
      <c r="CO293" s="129"/>
      <c r="CP293" s="14"/>
      <c r="CQ293" s="47"/>
      <c r="CR293" s="14"/>
      <c r="CS293" s="14"/>
      <c r="CT293" s="14"/>
      <c r="CU293" s="14"/>
      <c r="CV293" s="180"/>
      <c r="CW293" s="189"/>
      <c r="CX293" s="189"/>
      <c r="CY293" s="14"/>
      <c r="CZ293" s="14"/>
      <c r="DA293" s="14"/>
      <c r="DB293" s="14"/>
      <c r="DC293" s="14"/>
      <c r="DD293" s="14"/>
      <c r="DE293" s="14"/>
      <c r="DF293" s="14"/>
      <c r="DG293" s="129"/>
      <c r="DH293" s="14"/>
      <c r="DI293" s="47"/>
      <c r="DJ293" s="14"/>
      <c r="DK293" s="19"/>
      <c r="DL293" s="40"/>
      <c r="DM293" s="41"/>
      <c r="DN293" s="40"/>
      <c r="DO293" s="40"/>
      <c r="DP293" s="40"/>
      <c r="DQ293" s="41"/>
      <c r="DR293" s="72"/>
      <c r="DS293" s="14"/>
      <c r="DT293" s="14"/>
      <c r="DU293" s="14"/>
      <c r="DV293" s="14"/>
      <c r="DW293" s="14"/>
      <c r="DX293" s="14"/>
      <c r="DY293" s="14"/>
      <c r="DZ293" s="14"/>
      <c r="EA293" s="14"/>
      <c r="EB293" s="14"/>
      <c r="EC293" s="14"/>
      <c r="ED293" s="14"/>
      <c r="EE293" s="14"/>
      <c r="EF293" s="14"/>
      <c r="EG293" s="14"/>
      <c r="EH293" s="14"/>
      <c r="EI293" s="14"/>
      <c r="EJ293" s="14"/>
      <c r="EK293" s="14"/>
      <c r="EL293" s="14"/>
    </row>
    <row r="294" spans="1:142" x14ac:dyDescent="0.25">
      <c r="A294" s="14"/>
      <c r="B294" s="19"/>
      <c r="C294" s="40"/>
      <c r="D294" s="41"/>
      <c r="E294" s="40"/>
      <c r="F294" s="40"/>
      <c r="G294" s="40"/>
      <c r="H294" s="41"/>
      <c r="I294" s="72"/>
      <c r="J294" s="14"/>
      <c r="K294" s="14"/>
      <c r="L294" s="14"/>
      <c r="M294" s="14"/>
      <c r="N294" s="14"/>
      <c r="O294" s="14"/>
      <c r="P294" s="14"/>
      <c r="Q294" s="47"/>
      <c r="R294" s="14"/>
      <c r="S294" s="19"/>
      <c r="T294" s="14"/>
      <c r="U294" s="14"/>
      <c r="V294" s="14"/>
      <c r="W294" s="14"/>
      <c r="X294" s="14"/>
      <c r="Y294" s="14"/>
      <c r="Z294" s="14"/>
      <c r="AA294" s="14"/>
      <c r="AB294" s="14"/>
      <c r="AC294" s="44"/>
      <c r="AD294" s="44"/>
      <c r="AE294" s="63"/>
      <c r="AF294" s="352"/>
      <c r="AG294" s="14"/>
      <c r="AH294" s="19"/>
      <c r="AI294" s="14"/>
      <c r="AJ294" s="14"/>
      <c r="AK294" s="14"/>
      <c r="AL294" s="14"/>
      <c r="AM294" s="14"/>
      <c r="AN294" s="14"/>
      <c r="AO294" s="14"/>
      <c r="AP294" s="14"/>
      <c r="AQ294" s="14"/>
      <c r="AR294" s="14"/>
      <c r="AS294" s="65"/>
      <c r="AT294" s="63"/>
      <c r="AU294" s="47"/>
      <c r="AV294" s="14"/>
      <c r="AW294" s="19"/>
      <c r="AX294" s="14"/>
      <c r="AY294" s="14"/>
      <c r="AZ294" s="14"/>
      <c r="BA294" s="14"/>
      <c r="BB294" s="14"/>
      <c r="BC294" s="14"/>
      <c r="BD294" s="14"/>
      <c r="BE294" s="14"/>
      <c r="BF294" s="14"/>
      <c r="BG294" s="14"/>
      <c r="BH294" s="65"/>
      <c r="BI294" s="63"/>
      <c r="BJ294" s="352"/>
      <c r="BK294" s="14"/>
      <c r="BL294" s="19"/>
      <c r="BM294" s="14"/>
      <c r="BN294" s="14"/>
      <c r="BO294" s="14"/>
      <c r="BP294" s="14"/>
      <c r="BQ294" s="14"/>
      <c r="BR294" s="14"/>
      <c r="BS294" s="14"/>
      <c r="BT294" s="14"/>
      <c r="BU294" s="14"/>
      <c r="BV294" s="14"/>
      <c r="BW294" s="65"/>
      <c r="BX294" s="63"/>
      <c r="BY294" s="352"/>
      <c r="BZ294" s="14"/>
      <c r="CA294" s="14"/>
      <c r="CB294" s="21"/>
      <c r="CC294" s="21"/>
      <c r="CD294" s="180"/>
      <c r="CE294" s="180"/>
      <c r="CF294" s="21"/>
      <c r="CG294" s="14"/>
      <c r="CH294" s="14"/>
      <c r="CI294" s="14"/>
      <c r="CJ294" s="14"/>
      <c r="CK294" s="14"/>
      <c r="CL294" s="14"/>
      <c r="CM294" s="14"/>
      <c r="CN294" s="14"/>
      <c r="CO294" s="129"/>
      <c r="CP294" s="14"/>
      <c r="CQ294" s="47"/>
      <c r="CR294" s="14"/>
      <c r="CS294" s="14"/>
      <c r="CT294" s="14"/>
      <c r="CU294" s="14"/>
      <c r="CV294" s="180"/>
      <c r="CW294" s="189"/>
      <c r="CX294" s="189"/>
      <c r="CY294" s="14"/>
      <c r="CZ294" s="14"/>
      <c r="DA294" s="14"/>
      <c r="DB294" s="14"/>
      <c r="DC294" s="14"/>
      <c r="DD294" s="14"/>
      <c r="DE294" s="14"/>
      <c r="DF294" s="14"/>
      <c r="DG294" s="129"/>
      <c r="DH294" s="14"/>
      <c r="DI294" s="47"/>
      <c r="DJ294" s="14"/>
      <c r="DK294" s="19"/>
      <c r="DL294" s="40"/>
      <c r="DM294" s="41"/>
      <c r="DN294" s="40"/>
      <c r="DO294" s="40"/>
      <c r="DP294" s="40"/>
      <c r="DQ294" s="41"/>
      <c r="DR294" s="72"/>
      <c r="DS294" s="14"/>
      <c r="DT294" s="14"/>
      <c r="DU294" s="14"/>
      <c r="DV294" s="14"/>
      <c r="DW294" s="14"/>
      <c r="DX294" s="14"/>
      <c r="DY294" s="14"/>
      <c r="DZ294" s="14"/>
      <c r="EA294" s="14"/>
      <c r="EB294" s="14"/>
      <c r="EC294" s="14"/>
      <c r="ED294" s="14"/>
      <c r="EE294" s="14"/>
      <c r="EF294" s="14"/>
      <c r="EG294" s="14"/>
      <c r="EH294" s="14"/>
      <c r="EI294" s="14"/>
      <c r="EJ294" s="14"/>
      <c r="EK294" s="14"/>
      <c r="EL294" s="14"/>
    </row>
    <row r="295" spans="1:142" x14ac:dyDescent="0.25">
      <c r="A295" s="14"/>
      <c r="B295" s="19"/>
      <c r="C295" s="40"/>
      <c r="D295" s="41"/>
      <c r="E295" s="40"/>
      <c r="F295" s="40"/>
      <c r="G295" s="40"/>
      <c r="H295" s="41"/>
      <c r="I295" s="72"/>
      <c r="J295" s="14"/>
      <c r="K295" s="14"/>
      <c r="L295" s="14"/>
      <c r="M295" s="14"/>
      <c r="N295" s="14"/>
      <c r="O295" s="14"/>
      <c r="P295" s="14"/>
      <c r="Q295" s="47"/>
      <c r="R295" s="14"/>
      <c r="S295" s="19"/>
      <c r="T295" s="14"/>
      <c r="U295" s="14"/>
      <c r="V295" s="14"/>
      <c r="W295" s="14"/>
      <c r="X295" s="14"/>
      <c r="Y295" s="14"/>
      <c r="Z295" s="14"/>
      <c r="AA295" s="14"/>
      <c r="AB295" s="14"/>
      <c r="AC295" s="44"/>
      <c r="AD295" s="44"/>
      <c r="AE295" s="63"/>
      <c r="AF295" s="352"/>
      <c r="AG295" s="14"/>
      <c r="AH295" s="19"/>
      <c r="AI295" s="14"/>
      <c r="AJ295" s="14"/>
      <c r="AK295" s="14"/>
      <c r="AL295" s="14"/>
      <c r="AM295" s="14"/>
      <c r="AN295" s="14"/>
      <c r="AO295" s="14"/>
      <c r="AP295" s="14"/>
      <c r="AQ295" s="14"/>
      <c r="AR295" s="14"/>
      <c r="AS295" s="65"/>
      <c r="AT295" s="63"/>
      <c r="AU295" s="47"/>
      <c r="AV295" s="14"/>
      <c r="AW295" s="19"/>
      <c r="AX295" s="14"/>
      <c r="AY295" s="14"/>
      <c r="AZ295" s="14"/>
      <c r="BA295" s="14"/>
      <c r="BB295" s="14"/>
      <c r="BC295" s="14"/>
      <c r="BD295" s="14"/>
      <c r="BE295" s="14"/>
      <c r="BF295" s="14"/>
      <c r="BG295" s="14"/>
      <c r="BH295" s="65"/>
      <c r="BI295" s="63"/>
      <c r="BJ295" s="352"/>
      <c r="BK295" s="14"/>
      <c r="BL295" s="19"/>
      <c r="BM295" s="14"/>
      <c r="BN295" s="14"/>
      <c r="BO295" s="14"/>
      <c r="BP295" s="14"/>
      <c r="BQ295" s="14"/>
      <c r="BR295" s="14"/>
      <c r="BS295" s="14"/>
      <c r="BT295" s="14"/>
      <c r="BU295" s="14"/>
      <c r="BV295" s="14"/>
      <c r="BW295" s="65"/>
      <c r="BX295" s="63"/>
      <c r="BY295" s="352"/>
      <c r="BZ295" s="14"/>
      <c r="CA295" s="14"/>
      <c r="CB295" s="21"/>
      <c r="CC295" s="21"/>
      <c r="CD295" s="180"/>
      <c r="CE295" s="180"/>
      <c r="CF295" s="21"/>
      <c r="CG295" s="14"/>
      <c r="CH295" s="14"/>
      <c r="CI295" s="14"/>
      <c r="CJ295" s="14"/>
      <c r="CK295" s="14"/>
      <c r="CL295" s="14"/>
      <c r="CM295" s="14"/>
      <c r="CN295" s="14"/>
      <c r="CO295" s="129"/>
      <c r="CP295" s="14"/>
      <c r="CQ295" s="47"/>
      <c r="CR295" s="14"/>
      <c r="CS295" s="14"/>
      <c r="CT295" s="14"/>
      <c r="CU295" s="14"/>
      <c r="CV295" s="180"/>
      <c r="CW295" s="189"/>
      <c r="CX295" s="189"/>
      <c r="CY295" s="14"/>
      <c r="CZ295" s="14"/>
      <c r="DA295" s="14"/>
      <c r="DB295" s="14"/>
      <c r="DC295" s="14"/>
      <c r="DD295" s="14"/>
      <c r="DE295" s="14"/>
      <c r="DF295" s="14"/>
      <c r="DG295" s="129"/>
      <c r="DH295" s="14"/>
      <c r="DI295" s="47"/>
      <c r="DJ295" s="14"/>
      <c r="DK295" s="19"/>
      <c r="DL295" s="40"/>
      <c r="DM295" s="41"/>
      <c r="DN295" s="40"/>
      <c r="DO295" s="40"/>
      <c r="DP295" s="40"/>
      <c r="DQ295" s="41"/>
      <c r="DR295" s="72"/>
      <c r="DS295" s="14"/>
      <c r="DT295" s="14"/>
      <c r="DU295" s="14"/>
      <c r="DV295" s="14"/>
      <c r="DW295" s="14"/>
      <c r="DX295" s="14"/>
      <c r="DY295" s="14"/>
      <c r="DZ295" s="14"/>
      <c r="EA295" s="14"/>
      <c r="EB295" s="14"/>
      <c r="EC295" s="14"/>
      <c r="ED295" s="14"/>
      <c r="EE295" s="14"/>
      <c r="EF295" s="14"/>
      <c r="EG295" s="14"/>
      <c r="EH295" s="14"/>
      <c r="EI295" s="14"/>
      <c r="EJ295" s="14"/>
      <c r="EK295" s="14"/>
      <c r="EL295" s="14"/>
    </row>
    <row r="296" spans="1:142" x14ac:dyDescent="0.25">
      <c r="A296" s="14"/>
      <c r="B296" s="19"/>
      <c r="C296" s="40"/>
      <c r="D296" s="41"/>
      <c r="E296" s="40"/>
      <c r="F296" s="40"/>
      <c r="G296" s="40"/>
      <c r="H296" s="41"/>
      <c r="I296" s="72"/>
      <c r="J296" s="14"/>
      <c r="K296" s="14"/>
      <c r="L296" s="14"/>
      <c r="M296" s="14"/>
      <c r="N296" s="14"/>
      <c r="O296" s="14"/>
      <c r="P296" s="14"/>
      <c r="Q296" s="47"/>
      <c r="R296" s="14"/>
      <c r="S296" s="19"/>
      <c r="T296" s="14"/>
      <c r="U296" s="14"/>
      <c r="V296" s="14"/>
      <c r="W296" s="14"/>
      <c r="X296" s="14"/>
      <c r="Y296" s="14"/>
      <c r="Z296" s="14"/>
      <c r="AA296" s="14"/>
      <c r="AB296" s="14"/>
      <c r="AC296" s="44"/>
      <c r="AD296" s="44"/>
      <c r="AE296" s="63"/>
      <c r="AF296" s="352"/>
      <c r="AG296" s="14"/>
      <c r="AH296" s="19"/>
      <c r="AI296" s="14"/>
      <c r="AJ296" s="14"/>
      <c r="AK296" s="14"/>
      <c r="AL296" s="14"/>
      <c r="AM296" s="14"/>
      <c r="AN296" s="14"/>
      <c r="AO296" s="14"/>
      <c r="AP296" s="14"/>
      <c r="AQ296" s="14"/>
      <c r="AR296" s="14"/>
      <c r="AS296" s="65"/>
      <c r="AT296" s="63"/>
      <c r="AU296" s="47"/>
      <c r="AV296" s="14"/>
      <c r="AW296" s="19"/>
      <c r="AX296" s="14"/>
      <c r="AY296" s="14"/>
      <c r="AZ296" s="14"/>
      <c r="BA296" s="14"/>
      <c r="BB296" s="14"/>
      <c r="BC296" s="14"/>
      <c r="BD296" s="14"/>
      <c r="BE296" s="14"/>
      <c r="BF296" s="14"/>
      <c r="BG296" s="14"/>
      <c r="BH296" s="65"/>
      <c r="BI296" s="63"/>
      <c r="BJ296" s="352"/>
      <c r="BK296" s="14"/>
      <c r="BL296" s="19"/>
      <c r="BM296" s="14"/>
      <c r="BN296" s="14"/>
      <c r="BO296" s="14"/>
      <c r="BP296" s="14"/>
      <c r="BQ296" s="14"/>
      <c r="BR296" s="14"/>
      <c r="BS296" s="14"/>
      <c r="BT296" s="14"/>
      <c r="BU296" s="14"/>
      <c r="BV296" s="14"/>
      <c r="BW296" s="65"/>
      <c r="BX296" s="63"/>
      <c r="BY296" s="352"/>
      <c r="BZ296" s="14"/>
      <c r="CA296" s="14"/>
      <c r="CB296" s="21"/>
      <c r="CC296" s="21"/>
      <c r="CD296" s="180"/>
      <c r="CE296" s="180"/>
      <c r="CF296" s="21"/>
      <c r="CG296" s="14"/>
      <c r="CH296" s="14"/>
      <c r="CI296" s="14"/>
      <c r="CJ296" s="14"/>
      <c r="CK296" s="14"/>
      <c r="CL296" s="14"/>
      <c r="CM296" s="14"/>
      <c r="CN296" s="14"/>
      <c r="CO296" s="129"/>
      <c r="CP296" s="14"/>
      <c r="CQ296" s="47"/>
      <c r="CR296" s="14"/>
      <c r="CS296" s="14"/>
      <c r="CT296" s="14"/>
      <c r="CU296" s="14"/>
      <c r="CV296" s="180"/>
      <c r="CW296" s="189"/>
      <c r="CX296" s="189"/>
      <c r="CY296" s="14"/>
      <c r="CZ296" s="14"/>
      <c r="DA296" s="14"/>
      <c r="DB296" s="14"/>
      <c r="DC296" s="14"/>
      <c r="DD296" s="14"/>
      <c r="DE296" s="14"/>
      <c r="DF296" s="14"/>
      <c r="DG296" s="129"/>
      <c r="DH296" s="14"/>
      <c r="DI296" s="47"/>
      <c r="DJ296" s="14"/>
      <c r="DK296" s="19"/>
      <c r="DL296" s="40"/>
      <c r="DM296" s="41"/>
      <c r="DN296" s="40"/>
      <c r="DO296" s="40"/>
      <c r="DP296" s="40"/>
      <c r="DQ296" s="41"/>
      <c r="DR296" s="72"/>
      <c r="DS296" s="14"/>
      <c r="DT296" s="14"/>
      <c r="DU296" s="14"/>
      <c r="DV296" s="14"/>
      <c r="DW296" s="14"/>
      <c r="DX296" s="14"/>
      <c r="DY296" s="14"/>
      <c r="DZ296" s="14"/>
      <c r="EA296" s="14"/>
      <c r="EB296" s="14"/>
      <c r="EC296" s="14"/>
      <c r="ED296" s="14"/>
      <c r="EE296" s="14"/>
      <c r="EF296" s="14"/>
      <c r="EG296" s="14"/>
      <c r="EH296" s="14"/>
      <c r="EI296" s="14"/>
      <c r="EJ296" s="14"/>
      <c r="EK296" s="14"/>
      <c r="EL296" s="14"/>
    </row>
    <row r="297" spans="1:142" x14ac:dyDescent="0.25">
      <c r="A297" s="14"/>
      <c r="B297" s="19"/>
      <c r="C297" s="40"/>
      <c r="D297" s="41"/>
      <c r="E297" s="40"/>
      <c r="F297" s="40"/>
      <c r="G297" s="40"/>
      <c r="H297" s="41"/>
      <c r="I297" s="72"/>
      <c r="J297" s="14"/>
      <c r="K297" s="14"/>
      <c r="L297" s="14"/>
      <c r="M297" s="14"/>
      <c r="N297" s="14"/>
      <c r="O297" s="14"/>
      <c r="P297" s="14"/>
      <c r="Q297" s="47"/>
      <c r="R297" s="14"/>
      <c r="S297" s="19"/>
      <c r="T297" s="14"/>
      <c r="U297" s="14"/>
      <c r="V297" s="14"/>
      <c r="W297" s="14"/>
      <c r="X297" s="14"/>
      <c r="Y297" s="14"/>
      <c r="Z297" s="14"/>
      <c r="AA297" s="14"/>
      <c r="AB297" s="14"/>
      <c r="AC297" s="44"/>
      <c r="AD297" s="44"/>
      <c r="AE297" s="63"/>
      <c r="AF297" s="352"/>
      <c r="AG297" s="14"/>
      <c r="AH297" s="19"/>
      <c r="AI297" s="14"/>
      <c r="AJ297" s="14"/>
      <c r="AK297" s="14"/>
      <c r="AL297" s="14"/>
      <c r="AM297" s="14"/>
      <c r="AN297" s="14"/>
      <c r="AO297" s="14"/>
      <c r="AP297" s="14"/>
      <c r="AQ297" s="14"/>
      <c r="AR297" s="14"/>
      <c r="AS297" s="65"/>
      <c r="AT297" s="63"/>
      <c r="AU297" s="47"/>
      <c r="AV297" s="14"/>
      <c r="AW297" s="19"/>
      <c r="AX297" s="14"/>
      <c r="AY297" s="14"/>
      <c r="AZ297" s="14"/>
      <c r="BA297" s="14"/>
      <c r="BB297" s="14"/>
      <c r="BC297" s="14"/>
      <c r="BD297" s="14"/>
      <c r="BE297" s="14"/>
      <c r="BF297" s="14"/>
      <c r="BG297" s="14"/>
      <c r="BH297" s="65"/>
      <c r="BI297" s="63"/>
      <c r="BJ297" s="352"/>
      <c r="BK297" s="14"/>
      <c r="BL297" s="19"/>
      <c r="BM297" s="14"/>
      <c r="BN297" s="14"/>
      <c r="BO297" s="14"/>
      <c r="BP297" s="14"/>
      <c r="BQ297" s="14"/>
      <c r="BR297" s="14"/>
      <c r="BS297" s="14"/>
      <c r="BT297" s="14"/>
      <c r="BU297" s="14"/>
      <c r="BV297" s="14"/>
      <c r="BW297" s="65"/>
      <c r="BX297" s="63"/>
      <c r="BY297" s="352"/>
      <c r="BZ297" s="14"/>
      <c r="CA297" s="14"/>
      <c r="CB297" s="21"/>
      <c r="CC297" s="21"/>
      <c r="CD297" s="180"/>
      <c r="CE297" s="180"/>
      <c r="CF297" s="21"/>
      <c r="CG297" s="14"/>
      <c r="CH297" s="14"/>
      <c r="CI297" s="14"/>
      <c r="CJ297" s="14"/>
      <c r="CK297" s="14"/>
      <c r="CL297" s="14"/>
      <c r="CM297" s="14"/>
      <c r="CN297" s="14"/>
      <c r="CO297" s="129"/>
      <c r="CP297" s="14"/>
      <c r="CQ297" s="47"/>
      <c r="CR297" s="14"/>
      <c r="CS297" s="14"/>
      <c r="CT297" s="14"/>
      <c r="CU297" s="14"/>
      <c r="CV297" s="180"/>
      <c r="CW297" s="189"/>
      <c r="CX297" s="189"/>
      <c r="CY297" s="14"/>
      <c r="CZ297" s="14"/>
      <c r="DA297" s="14"/>
      <c r="DB297" s="14"/>
      <c r="DC297" s="14"/>
      <c r="DD297" s="14"/>
      <c r="DE297" s="14"/>
      <c r="DF297" s="14"/>
      <c r="DG297" s="129"/>
      <c r="DH297" s="14"/>
      <c r="DI297" s="47"/>
      <c r="DJ297" s="14"/>
      <c r="DK297" s="19"/>
      <c r="DL297" s="40"/>
      <c r="DM297" s="41"/>
      <c r="DN297" s="40"/>
      <c r="DO297" s="40"/>
      <c r="DP297" s="40"/>
      <c r="DQ297" s="41"/>
      <c r="DR297" s="72"/>
      <c r="DS297" s="14"/>
      <c r="DT297" s="14"/>
      <c r="DU297" s="14"/>
      <c r="DV297" s="14"/>
      <c r="DW297" s="14"/>
      <c r="DX297" s="14"/>
      <c r="DY297" s="14"/>
      <c r="DZ297" s="14"/>
      <c r="EA297" s="14"/>
      <c r="EB297" s="14"/>
      <c r="EC297" s="14"/>
      <c r="ED297" s="14"/>
      <c r="EE297" s="14"/>
      <c r="EF297" s="14"/>
      <c r="EG297" s="14"/>
      <c r="EH297" s="14"/>
      <c r="EI297" s="14"/>
      <c r="EJ297" s="14"/>
      <c r="EK297" s="14"/>
      <c r="EL297" s="14"/>
    </row>
    <row r="298" spans="1:142" x14ac:dyDescent="0.25">
      <c r="A298" s="14"/>
      <c r="B298" s="19"/>
      <c r="C298" s="40"/>
      <c r="D298" s="41"/>
      <c r="E298" s="40"/>
      <c r="F298" s="40"/>
      <c r="G298" s="40"/>
      <c r="H298" s="41"/>
      <c r="I298" s="72"/>
      <c r="J298" s="14"/>
      <c r="K298" s="14"/>
      <c r="L298" s="14"/>
      <c r="M298" s="14"/>
      <c r="N298" s="14"/>
      <c r="O298" s="14"/>
      <c r="P298" s="14"/>
      <c r="Q298" s="47"/>
      <c r="R298" s="14"/>
      <c r="S298" s="19"/>
      <c r="T298" s="14"/>
      <c r="U298" s="14"/>
      <c r="V298" s="14"/>
      <c r="W298" s="14"/>
      <c r="X298" s="14"/>
      <c r="Y298" s="14"/>
      <c r="Z298" s="14"/>
      <c r="AA298" s="14"/>
      <c r="AB298" s="14"/>
      <c r="AC298" s="44"/>
      <c r="AD298" s="44"/>
      <c r="AE298" s="63"/>
      <c r="AF298" s="352"/>
      <c r="AG298" s="14"/>
      <c r="AH298" s="19"/>
      <c r="AI298" s="14"/>
      <c r="AJ298" s="14"/>
      <c r="AK298" s="14"/>
      <c r="AL298" s="14"/>
      <c r="AM298" s="14"/>
      <c r="AN298" s="14"/>
      <c r="AO298" s="14"/>
      <c r="AP298" s="14"/>
      <c r="AQ298" s="14"/>
      <c r="AR298" s="14"/>
      <c r="AS298" s="65"/>
      <c r="AT298" s="63"/>
      <c r="AU298" s="47"/>
      <c r="AV298" s="14"/>
      <c r="AW298" s="19"/>
      <c r="AX298" s="14"/>
      <c r="AY298" s="14"/>
      <c r="AZ298" s="14"/>
      <c r="BA298" s="14"/>
      <c r="BB298" s="14"/>
      <c r="BC298" s="14"/>
      <c r="BD298" s="14"/>
      <c r="BE298" s="14"/>
      <c r="BF298" s="14"/>
      <c r="BG298" s="14"/>
      <c r="BH298" s="65"/>
      <c r="BI298" s="63"/>
      <c r="BJ298" s="352"/>
      <c r="BK298" s="14"/>
      <c r="BL298" s="19"/>
      <c r="BM298" s="14"/>
      <c r="BN298" s="14"/>
      <c r="BO298" s="14"/>
      <c r="BP298" s="14"/>
      <c r="BQ298" s="14"/>
      <c r="BR298" s="14"/>
      <c r="BS298" s="14"/>
      <c r="BT298" s="14"/>
      <c r="BU298" s="14"/>
      <c r="BV298" s="14"/>
      <c r="BW298" s="65"/>
      <c r="BX298" s="63"/>
      <c r="BY298" s="352"/>
      <c r="BZ298" s="14"/>
      <c r="CA298" s="14"/>
      <c r="CB298" s="21"/>
      <c r="CC298" s="21"/>
      <c r="CD298" s="180"/>
      <c r="CE298" s="180"/>
      <c r="CF298" s="21"/>
      <c r="CG298" s="14"/>
      <c r="CH298" s="14"/>
      <c r="CI298" s="14"/>
      <c r="CJ298" s="14"/>
      <c r="CK298" s="14"/>
      <c r="CL298" s="14"/>
      <c r="CM298" s="14"/>
      <c r="CN298" s="14"/>
      <c r="CO298" s="129"/>
      <c r="CP298" s="14"/>
      <c r="CQ298" s="47"/>
      <c r="CR298" s="14"/>
      <c r="CS298" s="14"/>
      <c r="CT298" s="14"/>
      <c r="CU298" s="14"/>
      <c r="CV298" s="180"/>
      <c r="CW298" s="189"/>
      <c r="CX298" s="189"/>
      <c r="CY298" s="14"/>
      <c r="CZ298" s="14"/>
      <c r="DA298" s="14"/>
      <c r="DB298" s="14"/>
      <c r="DC298" s="14"/>
      <c r="DD298" s="14"/>
      <c r="DE298" s="14"/>
      <c r="DF298" s="14"/>
      <c r="DG298" s="129"/>
      <c r="DH298" s="14"/>
      <c r="DI298" s="47"/>
      <c r="DJ298" s="14"/>
      <c r="DK298" s="19"/>
      <c r="DL298" s="40"/>
      <c r="DM298" s="41"/>
      <c r="DN298" s="40"/>
      <c r="DO298" s="40"/>
      <c r="DP298" s="40"/>
      <c r="DQ298" s="41"/>
      <c r="DR298" s="72"/>
      <c r="DS298" s="14"/>
      <c r="DT298" s="14"/>
      <c r="DU298" s="14"/>
      <c r="DV298" s="14"/>
      <c r="DW298" s="14"/>
      <c r="DX298" s="14"/>
      <c r="DY298" s="14"/>
      <c r="DZ298" s="14"/>
      <c r="EA298" s="14"/>
      <c r="EB298" s="14"/>
      <c r="EC298" s="14"/>
      <c r="ED298" s="14"/>
      <c r="EE298" s="14"/>
      <c r="EF298" s="14"/>
      <c r="EG298" s="14"/>
      <c r="EH298" s="14"/>
      <c r="EI298" s="14"/>
      <c r="EJ298" s="14"/>
      <c r="EK298" s="14"/>
      <c r="EL298" s="14"/>
    </row>
    <row r="299" spans="1:142" x14ac:dyDescent="0.25">
      <c r="A299" s="14"/>
      <c r="B299" s="19"/>
      <c r="C299" s="40"/>
      <c r="D299" s="41"/>
      <c r="E299" s="40"/>
      <c r="F299" s="40"/>
      <c r="G299" s="40"/>
      <c r="H299" s="41"/>
      <c r="I299" s="72"/>
      <c r="J299" s="14"/>
      <c r="K299" s="14"/>
      <c r="L299" s="14"/>
      <c r="M299" s="14"/>
      <c r="N299" s="14"/>
      <c r="O299" s="14"/>
      <c r="P299" s="14"/>
      <c r="Q299" s="47"/>
      <c r="R299" s="14"/>
      <c r="S299" s="19"/>
      <c r="T299" s="14"/>
      <c r="U299" s="14"/>
      <c r="V299" s="14"/>
      <c r="W299" s="14"/>
      <c r="X299" s="14"/>
      <c r="Y299" s="14"/>
      <c r="Z299" s="14"/>
      <c r="AA299" s="14"/>
      <c r="AB299" s="14"/>
      <c r="AC299" s="44"/>
      <c r="AD299" s="44"/>
      <c r="AE299" s="63"/>
      <c r="AF299" s="352"/>
      <c r="AG299" s="14"/>
      <c r="AH299" s="19"/>
      <c r="AI299" s="14"/>
      <c r="AJ299" s="14"/>
      <c r="AK299" s="14"/>
      <c r="AL299" s="14"/>
      <c r="AM299" s="14"/>
      <c r="AN299" s="14"/>
      <c r="AO299" s="14"/>
      <c r="AP299" s="14"/>
      <c r="AQ299" s="14"/>
      <c r="AR299" s="14"/>
      <c r="AS299" s="65"/>
      <c r="AT299" s="63"/>
      <c r="AU299" s="47"/>
      <c r="AV299" s="14"/>
      <c r="AW299" s="19"/>
      <c r="AX299" s="14"/>
      <c r="AY299" s="14"/>
      <c r="AZ299" s="14"/>
      <c r="BA299" s="14"/>
      <c r="BB299" s="14"/>
      <c r="BC299" s="14"/>
      <c r="BD299" s="14"/>
      <c r="BE299" s="14"/>
      <c r="BF299" s="14"/>
      <c r="BG299" s="14"/>
      <c r="BH299" s="65"/>
      <c r="BI299" s="63"/>
      <c r="BJ299" s="352"/>
      <c r="BK299" s="14"/>
      <c r="BL299" s="19"/>
      <c r="BM299" s="14"/>
      <c r="BN299" s="14"/>
      <c r="BO299" s="14"/>
      <c r="BP299" s="14"/>
      <c r="BQ299" s="14"/>
      <c r="BR299" s="14"/>
      <c r="BS299" s="14"/>
      <c r="BT299" s="14"/>
      <c r="BU299" s="14"/>
      <c r="BV299" s="14"/>
      <c r="BW299" s="65"/>
      <c r="BX299" s="63"/>
      <c r="BY299" s="352"/>
      <c r="BZ299" s="14"/>
      <c r="CA299" s="14"/>
      <c r="CB299" s="21"/>
      <c r="CC299" s="21"/>
      <c r="CD299" s="180"/>
      <c r="CE299" s="180"/>
      <c r="CF299" s="21"/>
      <c r="CG299" s="14"/>
      <c r="CH299" s="14"/>
      <c r="CI299" s="14"/>
      <c r="CJ299" s="14"/>
      <c r="CK299" s="14"/>
      <c r="CL299" s="14"/>
      <c r="CM299" s="14"/>
      <c r="CN299" s="14"/>
      <c r="CO299" s="129"/>
      <c r="CP299" s="14"/>
      <c r="CQ299" s="47"/>
      <c r="CR299" s="14"/>
      <c r="CS299" s="14"/>
      <c r="CT299" s="14"/>
      <c r="CU299" s="14"/>
      <c r="CV299" s="180"/>
      <c r="CW299" s="189"/>
      <c r="CX299" s="189"/>
      <c r="CY299" s="14"/>
      <c r="CZ299" s="14"/>
      <c r="DA299" s="14"/>
      <c r="DB299" s="14"/>
      <c r="DC299" s="14"/>
      <c r="DD299" s="14"/>
      <c r="DE299" s="14"/>
      <c r="DF299" s="14"/>
      <c r="DG299" s="129"/>
      <c r="DH299" s="14"/>
      <c r="DI299" s="47"/>
      <c r="DJ299" s="14"/>
      <c r="DK299" s="19"/>
      <c r="DL299" s="40"/>
      <c r="DM299" s="41"/>
      <c r="DN299" s="40"/>
      <c r="DO299" s="40"/>
      <c r="DP299" s="40"/>
      <c r="DQ299" s="41"/>
      <c r="DR299" s="72"/>
      <c r="DS299" s="14"/>
      <c r="DT299" s="14"/>
      <c r="DU299" s="14"/>
      <c r="DV299" s="14"/>
      <c r="DW299" s="14"/>
      <c r="DX299" s="14"/>
      <c r="DY299" s="14"/>
      <c r="DZ299" s="14"/>
      <c r="EA299" s="14"/>
      <c r="EB299" s="14"/>
      <c r="EC299" s="14"/>
      <c r="ED299" s="14"/>
      <c r="EE299" s="14"/>
      <c r="EF299" s="14"/>
      <c r="EG299" s="14"/>
      <c r="EH299" s="14"/>
      <c r="EI299" s="14"/>
      <c r="EJ299" s="14"/>
      <c r="EK299" s="14"/>
      <c r="EL299" s="14"/>
    </row>
    <row r="300" spans="1:142" x14ac:dyDescent="0.25">
      <c r="A300" s="14"/>
      <c r="B300" s="19"/>
      <c r="C300" s="40"/>
      <c r="D300" s="41"/>
      <c r="E300" s="40"/>
      <c r="F300" s="40"/>
      <c r="G300" s="40"/>
      <c r="H300" s="41"/>
      <c r="I300" s="72"/>
      <c r="J300" s="14"/>
      <c r="K300" s="14"/>
      <c r="L300" s="14"/>
      <c r="M300" s="14"/>
      <c r="N300" s="14"/>
      <c r="O300" s="14"/>
      <c r="P300" s="14"/>
      <c r="Q300" s="47"/>
      <c r="R300" s="14"/>
      <c r="S300" s="19"/>
      <c r="T300" s="14"/>
      <c r="U300" s="14"/>
      <c r="V300" s="14"/>
      <c r="W300" s="14"/>
      <c r="X300" s="14"/>
      <c r="Y300" s="14"/>
      <c r="Z300" s="14"/>
      <c r="AA300" s="14"/>
      <c r="AB300" s="14"/>
      <c r="AC300" s="44"/>
      <c r="AD300" s="44"/>
      <c r="AE300" s="63"/>
      <c r="AF300" s="352"/>
      <c r="AG300" s="14"/>
      <c r="AH300" s="19"/>
      <c r="AI300" s="14"/>
      <c r="AJ300" s="14"/>
      <c r="AK300" s="14"/>
      <c r="AL300" s="14"/>
      <c r="AM300" s="14"/>
      <c r="AN300" s="14"/>
      <c r="AO300" s="14"/>
      <c r="AP300" s="14"/>
      <c r="AQ300" s="14"/>
      <c r="AR300" s="14"/>
      <c r="AS300" s="65"/>
      <c r="AT300" s="63"/>
      <c r="AU300" s="47"/>
      <c r="AV300" s="14"/>
      <c r="AW300" s="19"/>
      <c r="AX300" s="14"/>
      <c r="AY300" s="14"/>
      <c r="AZ300" s="14"/>
      <c r="BA300" s="14"/>
      <c r="BB300" s="14"/>
      <c r="BC300" s="14"/>
      <c r="BD300" s="14"/>
      <c r="BE300" s="14"/>
      <c r="BF300" s="14"/>
      <c r="BG300" s="14"/>
      <c r="BH300" s="65"/>
      <c r="BI300" s="63"/>
      <c r="BJ300" s="352"/>
      <c r="BK300" s="14"/>
      <c r="BL300" s="19"/>
      <c r="BM300" s="14"/>
      <c r="BN300" s="14"/>
      <c r="BO300" s="14"/>
      <c r="BP300" s="14"/>
      <c r="BQ300" s="14"/>
      <c r="BR300" s="14"/>
      <c r="BS300" s="14"/>
      <c r="BT300" s="14"/>
      <c r="BU300" s="14"/>
      <c r="BV300" s="14"/>
      <c r="BW300" s="65"/>
      <c r="BX300" s="63"/>
      <c r="BY300" s="352"/>
      <c r="BZ300" s="14"/>
      <c r="CA300" s="14"/>
      <c r="CB300" s="21"/>
      <c r="CC300" s="21"/>
      <c r="CD300" s="180"/>
      <c r="CE300" s="180"/>
      <c r="CF300" s="21"/>
      <c r="CG300" s="14"/>
      <c r="CH300" s="14"/>
      <c r="CI300" s="14"/>
      <c r="CJ300" s="14"/>
      <c r="CK300" s="14"/>
      <c r="CL300" s="14"/>
      <c r="CM300" s="14"/>
      <c r="CN300" s="14"/>
      <c r="CO300" s="129"/>
      <c r="CP300" s="14"/>
      <c r="CQ300" s="47"/>
      <c r="CR300" s="14"/>
      <c r="CS300" s="14"/>
      <c r="CT300" s="14"/>
      <c r="CU300" s="14"/>
      <c r="CV300" s="180"/>
      <c r="CW300" s="189"/>
      <c r="CX300" s="189"/>
      <c r="CY300" s="14"/>
      <c r="CZ300" s="14"/>
      <c r="DA300" s="14"/>
      <c r="DB300" s="14"/>
      <c r="DC300" s="14"/>
      <c r="DD300" s="14"/>
      <c r="DE300" s="14"/>
      <c r="DF300" s="14"/>
      <c r="DG300" s="129"/>
      <c r="DH300" s="14"/>
      <c r="DI300" s="47"/>
      <c r="DJ300" s="14"/>
      <c r="DK300" s="19"/>
      <c r="DL300" s="40"/>
      <c r="DM300" s="41"/>
      <c r="DN300" s="40"/>
      <c r="DO300" s="40"/>
      <c r="DP300" s="40"/>
      <c r="DQ300" s="41"/>
      <c r="DR300" s="72"/>
      <c r="DS300" s="14"/>
      <c r="DT300" s="14"/>
      <c r="DU300" s="14"/>
      <c r="DV300" s="14"/>
      <c r="DW300" s="14"/>
      <c r="DX300" s="14"/>
      <c r="DY300" s="14"/>
      <c r="DZ300" s="14"/>
      <c r="EA300" s="14"/>
      <c r="EB300" s="14"/>
      <c r="EC300" s="14"/>
      <c r="ED300" s="14"/>
      <c r="EE300" s="14"/>
      <c r="EF300" s="14"/>
      <c r="EG300" s="14"/>
      <c r="EH300" s="14"/>
      <c r="EI300" s="14"/>
      <c r="EJ300" s="14"/>
      <c r="EK300" s="14"/>
      <c r="EL300" s="14"/>
    </row>
    <row r="301" spans="1:142" x14ac:dyDescent="0.25">
      <c r="A301" s="14"/>
      <c r="B301" s="19"/>
      <c r="C301" s="40"/>
      <c r="D301" s="41"/>
      <c r="E301" s="40"/>
      <c r="F301" s="40"/>
      <c r="G301" s="40"/>
      <c r="H301" s="41"/>
      <c r="I301" s="72"/>
      <c r="J301" s="14"/>
      <c r="K301" s="14"/>
      <c r="L301" s="14"/>
      <c r="M301" s="14"/>
      <c r="N301" s="14"/>
      <c r="O301" s="14"/>
      <c r="P301" s="14"/>
      <c r="Q301" s="47"/>
      <c r="R301" s="14"/>
      <c r="S301" s="19"/>
      <c r="T301" s="14"/>
      <c r="U301" s="14"/>
      <c r="V301" s="14"/>
      <c r="W301" s="14"/>
      <c r="X301" s="14"/>
      <c r="Y301" s="14"/>
      <c r="Z301" s="14"/>
      <c r="AA301" s="14"/>
      <c r="AB301" s="14"/>
      <c r="AC301" s="44"/>
      <c r="AD301" s="44"/>
      <c r="AE301" s="63"/>
      <c r="AF301" s="352"/>
      <c r="AG301" s="14"/>
      <c r="AH301" s="19"/>
      <c r="AI301" s="14"/>
      <c r="AJ301" s="14"/>
      <c r="AK301" s="14"/>
      <c r="AL301" s="14"/>
      <c r="AM301" s="14"/>
      <c r="AN301" s="14"/>
      <c r="AO301" s="14"/>
      <c r="AP301" s="14"/>
      <c r="AQ301" s="14"/>
      <c r="AR301" s="14"/>
      <c r="AS301" s="65"/>
      <c r="AT301" s="63"/>
      <c r="AU301" s="47"/>
      <c r="AV301" s="14"/>
      <c r="AW301" s="19"/>
      <c r="AX301" s="14"/>
      <c r="AY301" s="14"/>
      <c r="AZ301" s="14"/>
      <c r="BA301" s="14"/>
      <c r="BB301" s="14"/>
      <c r="BC301" s="14"/>
      <c r="BD301" s="14"/>
      <c r="BE301" s="14"/>
      <c r="BF301" s="14"/>
      <c r="BG301" s="14"/>
      <c r="BH301" s="65"/>
      <c r="BI301" s="63"/>
      <c r="BJ301" s="352"/>
      <c r="BK301" s="14"/>
      <c r="BL301" s="19"/>
      <c r="BM301" s="14"/>
      <c r="BN301" s="14"/>
      <c r="BO301" s="14"/>
      <c r="BP301" s="14"/>
      <c r="BQ301" s="14"/>
      <c r="BR301" s="14"/>
      <c r="BS301" s="14"/>
      <c r="BT301" s="14"/>
      <c r="BU301" s="14"/>
      <c r="BV301" s="14"/>
      <c r="BW301" s="65"/>
      <c r="BX301" s="63"/>
      <c r="BY301" s="352"/>
      <c r="BZ301" s="14"/>
      <c r="CA301" s="14"/>
      <c r="CB301" s="21"/>
      <c r="CC301" s="21"/>
      <c r="CD301" s="180"/>
      <c r="CE301" s="180"/>
      <c r="CF301" s="21"/>
      <c r="CG301" s="14"/>
      <c r="CH301" s="14"/>
      <c r="CI301" s="14"/>
      <c r="CJ301" s="14"/>
      <c r="CK301" s="14"/>
      <c r="CL301" s="14"/>
      <c r="CM301" s="14"/>
      <c r="CN301" s="14"/>
      <c r="CO301" s="129"/>
      <c r="CP301" s="14"/>
      <c r="CQ301" s="47"/>
      <c r="CR301" s="14"/>
      <c r="CS301" s="14"/>
      <c r="CT301" s="14"/>
      <c r="CU301" s="14"/>
      <c r="CV301" s="180"/>
      <c r="CW301" s="189"/>
      <c r="CX301" s="189"/>
      <c r="CY301" s="14"/>
      <c r="CZ301" s="14"/>
      <c r="DA301" s="14"/>
      <c r="DB301" s="14"/>
      <c r="DC301" s="14"/>
      <c r="DD301" s="14"/>
      <c r="DE301" s="14"/>
      <c r="DF301" s="14"/>
      <c r="DG301" s="129"/>
      <c r="DH301" s="14"/>
      <c r="DI301" s="47"/>
      <c r="DJ301" s="14"/>
      <c r="DK301" s="19"/>
      <c r="DL301" s="40"/>
      <c r="DM301" s="41"/>
      <c r="DN301" s="40"/>
      <c r="DO301" s="40"/>
      <c r="DP301" s="40"/>
      <c r="DQ301" s="41"/>
      <c r="DR301" s="72"/>
      <c r="DS301" s="14"/>
      <c r="DT301" s="14"/>
      <c r="DU301" s="14"/>
      <c r="DV301" s="14"/>
      <c r="DW301" s="14"/>
      <c r="DX301" s="14"/>
      <c r="DY301" s="14"/>
      <c r="DZ301" s="14"/>
      <c r="EA301" s="14"/>
      <c r="EB301" s="14"/>
      <c r="EC301" s="14"/>
      <c r="ED301" s="14"/>
      <c r="EE301" s="14"/>
      <c r="EF301" s="14"/>
      <c r="EG301" s="14"/>
      <c r="EH301" s="14"/>
      <c r="EI301" s="14"/>
      <c r="EJ301" s="14"/>
      <c r="EK301" s="14"/>
      <c r="EL301" s="14"/>
    </row>
    <row r="302" spans="1:142" x14ac:dyDescent="0.25">
      <c r="A302" s="14"/>
      <c r="B302" s="19"/>
      <c r="C302" s="40"/>
      <c r="D302" s="41"/>
      <c r="E302" s="40"/>
      <c r="F302" s="40"/>
      <c r="G302" s="40"/>
      <c r="H302" s="41"/>
      <c r="I302" s="72"/>
      <c r="J302" s="14"/>
      <c r="K302" s="14"/>
      <c r="L302" s="14"/>
      <c r="M302" s="14"/>
      <c r="N302" s="14"/>
      <c r="O302" s="14"/>
      <c r="P302" s="14"/>
      <c r="Q302" s="47"/>
      <c r="R302" s="14"/>
      <c r="S302" s="19"/>
      <c r="T302" s="14"/>
      <c r="U302" s="14"/>
      <c r="V302" s="14"/>
      <c r="W302" s="14"/>
      <c r="X302" s="14"/>
      <c r="Y302" s="14"/>
      <c r="Z302" s="14"/>
      <c r="AA302" s="14"/>
      <c r="AB302" s="14"/>
      <c r="AC302" s="44"/>
      <c r="AD302" s="44"/>
      <c r="AE302" s="63"/>
      <c r="AF302" s="352"/>
      <c r="AG302" s="14"/>
      <c r="AH302" s="19"/>
      <c r="AI302" s="14"/>
      <c r="AJ302" s="14"/>
      <c r="AK302" s="14"/>
      <c r="AL302" s="14"/>
      <c r="AM302" s="14"/>
      <c r="AN302" s="14"/>
      <c r="AO302" s="14"/>
      <c r="AP302" s="14"/>
      <c r="AQ302" s="14"/>
      <c r="AR302" s="14"/>
      <c r="AS302" s="65"/>
      <c r="AT302" s="63"/>
      <c r="AU302" s="47"/>
      <c r="AV302" s="14"/>
      <c r="AW302" s="19"/>
      <c r="AX302" s="14"/>
      <c r="AY302" s="14"/>
      <c r="AZ302" s="14"/>
      <c r="BA302" s="14"/>
      <c r="BB302" s="14"/>
      <c r="BC302" s="14"/>
      <c r="BD302" s="14"/>
      <c r="BE302" s="14"/>
      <c r="BF302" s="14"/>
      <c r="BG302" s="14"/>
      <c r="BH302" s="65"/>
      <c r="BI302" s="63"/>
      <c r="BJ302" s="352"/>
      <c r="BK302" s="14"/>
      <c r="BL302" s="19"/>
      <c r="BM302" s="14"/>
      <c r="BN302" s="14"/>
      <c r="BO302" s="14"/>
      <c r="BP302" s="14"/>
      <c r="BQ302" s="14"/>
      <c r="BR302" s="14"/>
      <c r="BS302" s="14"/>
      <c r="BT302" s="14"/>
      <c r="BU302" s="14"/>
      <c r="BV302" s="14"/>
      <c r="BW302" s="65"/>
      <c r="BX302" s="63"/>
      <c r="BY302" s="352"/>
      <c r="BZ302" s="14"/>
      <c r="CA302" s="14"/>
      <c r="CB302" s="21"/>
      <c r="CC302" s="21"/>
      <c r="CD302" s="180"/>
      <c r="CE302" s="180"/>
      <c r="CF302" s="21"/>
      <c r="CG302" s="14"/>
      <c r="CH302" s="14"/>
      <c r="CI302" s="14"/>
      <c r="CJ302" s="14"/>
      <c r="CK302" s="14"/>
      <c r="CL302" s="14"/>
      <c r="CM302" s="14"/>
      <c r="CN302" s="14"/>
      <c r="CO302" s="129"/>
      <c r="CP302" s="14"/>
      <c r="CQ302" s="47"/>
      <c r="CR302" s="14"/>
      <c r="CS302" s="14"/>
      <c r="CT302" s="14"/>
      <c r="CU302" s="14"/>
      <c r="CV302" s="180"/>
      <c r="CW302" s="189"/>
      <c r="CX302" s="189"/>
      <c r="CY302" s="14"/>
      <c r="CZ302" s="14"/>
      <c r="DA302" s="14"/>
      <c r="DB302" s="14"/>
      <c r="DC302" s="14"/>
      <c r="DD302" s="14"/>
      <c r="DE302" s="14"/>
      <c r="DF302" s="14"/>
      <c r="DG302" s="129"/>
      <c r="DH302" s="14"/>
      <c r="DI302" s="47"/>
      <c r="DJ302" s="14"/>
      <c r="DK302" s="19"/>
      <c r="DL302" s="40"/>
      <c r="DM302" s="41"/>
      <c r="DN302" s="40"/>
      <c r="DO302" s="40"/>
      <c r="DP302" s="40"/>
      <c r="DQ302" s="41"/>
      <c r="DR302" s="72"/>
      <c r="DS302" s="14"/>
      <c r="DT302" s="14"/>
      <c r="DU302" s="14"/>
      <c r="DV302" s="14"/>
      <c r="DW302" s="14"/>
      <c r="DX302" s="14"/>
      <c r="DY302" s="14"/>
      <c r="DZ302" s="14"/>
      <c r="EA302" s="14"/>
      <c r="EB302" s="14"/>
      <c r="EC302" s="14"/>
      <c r="ED302" s="14"/>
      <c r="EE302" s="14"/>
      <c r="EF302" s="14"/>
      <c r="EG302" s="14"/>
      <c r="EH302" s="14"/>
      <c r="EI302" s="14"/>
      <c r="EJ302" s="14"/>
      <c r="EK302" s="14"/>
      <c r="EL302" s="14"/>
    </row>
    <row r="303" spans="1:142" x14ac:dyDescent="0.25">
      <c r="A303" s="14"/>
      <c r="B303" s="19"/>
      <c r="C303" s="40"/>
      <c r="D303" s="41"/>
      <c r="E303" s="40"/>
      <c r="F303" s="40"/>
      <c r="G303" s="40"/>
      <c r="H303" s="41"/>
      <c r="I303" s="72"/>
      <c r="J303" s="14"/>
      <c r="K303" s="14"/>
      <c r="L303" s="14"/>
      <c r="M303" s="14"/>
      <c r="N303" s="14"/>
      <c r="O303" s="14"/>
      <c r="P303" s="14"/>
      <c r="Q303" s="47"/>
      <c r="R303" s="14"/>
      <c r="S303" s="19"/>
      <c r="T303" s="14"/>
      <c r="U303" s="14"/>
      <c r="V303" s="14"/>
      <c r="W303" s="14"/>
      <c r="X303" s="14"/>
      <c r="Y303" s="14"/>
      <c r="Z303" s="14"/>
      <c r="AA303" s="14"/>
      <c r="AB303" s="14"/>
      <c r="AC303" s="44"/>
      <c r="AD303" s="44"/>
      <c r="AE303" s="63"/>
      <c r="AF303" s="352"/>
      <c r="AG303" s="14"/>
      <c r="AH303" s="19"/>
      <c r="AI303" s="14"/>
      <c r="AJ303" s="14"/>
      <c r="AK303" s="14"/>
      <c r="AL303" s="14"/>
      <c r="AM303" s="14"/>
      <c r="AN303" s="14"/>
      <c r="AO303" s="14"/>
      <c r="AP303" s="14"/>
      <c r="AQ303" s="14"/>
      <c r="AR303" s="14"/>
      <c r="AS303" s="65"/>
      <c r="AT303" s="63"/>
      <c r="AU303" s="47"/>
      <c r="AV303" s="14"/>
      <c r="AW303" s="19"/>
      <c r="AX303" s="14"/>
      <c r="AY303" s="14"/>
      <c r="AZ303" s="14"/>
      <c r="BA303" s="14"/>
      <c r="BB303" s="14"/>
      <c r="BC303" s="14"/>
      <c r="BD303" s="14"/>
      <c r="BE303" s="14"/>
      <c r="BF303" s="14"/>
      <c r="BG303" s="14"/>
      <c r="BH303" s="65"/>
      <c r="BI303" s="63"/>
      <c r="BJ303" s="352"/>
      <c r="BK303" s="14"/>
      <c r="BL303" s="19"/>
      <c r="BM303" s="14"/>
      <c r="BN303" s="14"/>
      <c r="BO303" s="14"/>
      <c r="BP303" s="14"/>
      <c r="BQ303" s="14"/>
      <c r="BR303" s="14"/>
      <c r="BS303" s="14"/>
      <c r="BT303" s="14"/>
      <c r="BU303" s="14"/>
      <c r="BV303" s="14"/>
      <c r="BW303" s="65"/>
      <c r="BX303" s="63"/>
      <c r="BY303" s="352"/>
      <c r="BZ303" s="14"/>
      <c r="CA303" s="14"/>
      <c r="CB303" s="21"/>
      <c r="CC303" s="21"/>
      <c r="CD303" s="180"/>
      <c r="CE303" s="180"/>
      <c r="CF303" s="21"/>
      <c r="CG303" s="14"/>
      <c r="CH303" s="14"/>
      <c r="CI303" s="14"/>
      <c r="CJ303" s="14"/>
      <c r="CK303" s="14"/>
      <c r="CL303" s="14"/>
      <c r="CM303" s="14"/>
      <c r="CN303" s="14"/>
      <c r="CO303" s="129"/>
      <c r="CP303" s="14"/>
      <c r="CQ303" s="47"/>
      <c r="CR303" s="14"/>
      <c r="CS303" s="14"/>
      <c r="CT303" s="14"/>
      <c r="CU303" s="14"/>
      <c r="CV303" s="180"/>
      <c r="CW303" s="189"/>
      <c r="CX303" s="189"/>
      <c r="CY303" s="14"/>
      <c r="CZ303" s="14"/>
      <c r="DA303" s="14"/>
      <c r="DB303" s="14"/>
      <c r="DC303" s="14"/>
      <c r="DD303" s="14"/>
      <c r="DE303" s="14"/>
      <c r="DF303" s="14"/>
      <c r="DG303" s="129"/>
      <c r="DH303" s="14"/>
      <c r="DI303" s="47"/>
      <c r="DJ303" s="14"/>
      <c r="DK303" s="19"/>
      <c r="DL303" s="40"/>
      <c r="DM303" s="41"/>
      <c r="DN303" s="40"/>
      <c r="DO303" s="40"/>
      <c r="DP303" s="40"/>
      <c r="DQ303" s="41"/>
      <c r="DR303" s="72"/>
      <c r="DS303" s="14"/>
      <c r="DT303" s="14"/>
      <c r="DU303" s="14"/>
      <c r="DV303" s="14"/>
      <c r="DW303" s="14"/>
      <c r="DX303" s="14"/>
      <c r="DY303" s="14"/>
      <c r="DZ303" s="14"/>
      <c r="EA303" s="14"/>
      <c r="EB303" s="14"/>
      <c r="EC303" s="14"/>
      <c r="ED303" s="14"/>
      <c r="EE303" s="14"/>
      <c r="EF303" s="14"/>
      <c r="EG303" s="14"/>
      <c r="EH303" s="14"/>
      <c r="EI303" s="14"/>
      <c r="EJ303" s="14"/>
      <c r="EK303" s="14"/>
      <c r="EL303" s="14"/>
    </row>
    <row r="304" spans="1:142" x14ac:dyDescent="0.25">
      <c r="A304" s="14"/>
      <c r="B304" s="19"/>
      <c r="C304" s="40"/>
      <c r="D304" s="41"/>
      <c r="E304" s="40"/>
      <c r="F304" s="40"/>
      <c r="G304" s="40"/>
      <c r="H304" s="41"/>
      <c r="I304" s="72"/>
      <c r="J304" s="14"/>
      <c r="K304" s="14"/>
      <c r="L304" s="14"/>
      <c r="M304" s="14"/>
      <c r="N304" s="14"/>
      <c r="O304" s="14"/>
      <c r="P304" s="14"/>
      <c r="Q304" s="47"/>
      <c r="R304" s="14"/>
      <c r="S304" s="19"/>
      <c r="T304" s="14"/>
      <c r="U304" s="14"/>
      <c r="V304" s="14"/>
      <c r="W304" s="14"/>
      <c r="X304" s="14"/>
      <c r="Y304" s="14"/>
      <c r="Z304" s="14"/>
      <c r="AA304" s="14"/>
      <c r="AB304" s="14"/>
      <c r="AC304" s="44"/>
      <c r="AD304" s="44"/>
      <c r="AE304" s="63"/>
      <c r="AF304" s="352"/>
      <c r="AG304" s="14"/>
      <c r="AH304" s="19"/>
      <c r="AI304" s="14"/>
      <c r="AJ304" s="14"/>
      <c r="AK304" s="14"/>
      <c r="AL304" s="14"/>
      <c r="AM304" s="14"/>
      <c r="AN304" s="14"/>
      <c r="AO304" s="14"/>
      <c r="AP304" s="14"/>
      <c r="AQ304" s="14"/>
      <c r="AR304" s="14"/>
      <c r="AS304" s="65"/>
      <c r="AT304" s="63"/>
      <c r="AU304" s="47"/>
      <c r="AV304" s="14"/>
      <c r="AW304" s="19"/>
      <c r="AX304" s="14"/>
      <c r="AY304" s="14"/>
      <c r="AZ304" s="14"/>
      <c r="BA304" s="14"/>
      <c r="BB304" s="14"/>
      <c r="BC304" s="14"/>
      <c r="BD304" s="14"/>
      <c r="BE304" s="14"/>
      <c r="BF304" s="14"/>
      <c r="BG304" s="14"/>
      <c r="BH304" s="65"/>
      <c r="BI304" s="63"/>
      <c r="BJ304" s="352"/>
      <c r="BK304" s="14"/>
      <c r="BL304" s="19"/>
      <c r="BM304" s="14"/>
      <c r="BN304" s="14"/>
      <c r="BO304" s="14"/>
      <c r="BP304" s="14"/>
      <c r="BQ304" s="14"/>
      <c r="BR304" s="14"/>
      <c r="BS304" s="14"/>
      <c r="BT304" s="14"/>
      <c r="BU304" s="14"/>
      <c r="BV304" s="14"/>
      <c r="BW304" s="65"/>
      <c r="BX304" s="63"/>
      <c r="BY304" s="352"/>
      <c r="BZ304" s="14"/>
      <c r="CA304" s="14"/>
      <c r="CB304" s="21"/>
      <c r="CC304" s="21"/>
      <c r="CD304" s="180"/>
      <c r="CE304" s="180"/>
      <c r="CF304" s="21"/>
      <c r="CG304" s="14"/>
      <c r="CH304" s="14"/>
      <c r="CI304" s="14"/>
      <c r="CJ304" s="14"/>
      <c r="CK304" s="14"/>
      <c r="CL304" s="14"/>
      <c r="CM304" s="14"/>
      <c r="CN304" s="14"/>
      <c r="CO304" s="129"/>
      <c r="CP304" s="14"/>
      <c r="CQ304" s="47"/>
      <c r="CR304" s="14"/>
      <c r="CS304" s="14"/>
      <c r="CT304" s="14"/>
      <c r="CU304" s="14"/>
      <c r="CV304" s="180"/>
      <c r="CW304" s="189"/>
      <c r="CX304" s="189"/>
      <c r="CY304" s="14"/>
      <c r="CZ304" s="14"/>
      <c r="DA304" s="14"/>
      <c r="DB304" s="14"/>
      <c r="DC304" s="14"/>
      <c r="DD304" s="14"/>
      <c r="DE304" s="14"/>
      <c r="DF304" s="14"/>
      <c r="DG304" s="129"/>
      <c r="DH304" s="14"/>
      <c r="DI304" s="47"/>
      <c r="DJ304" s="14"/>
      <c r="DK304" s="19"/>
      <c r="DL304" s="40"/>
      <c r="DM304" s="41"/>
      <c r="DN304" s="40"/>
      <c r="DO304" s="40"/>
      <c r="DP304" s="40"/>
      <c r="DQ304" s="41"/>
      <c r="DR304" s="72"/>
      <c r="DS304" s="14"/>
      <c r="DT304" s="14"/>
      <c r="DU304" s="14"/>
      <c r="DV304" s="14"/>
      <c r="DW304" s="14"/>
      <c r="DX304" s="14"/>
      <c r="DY304" s="14"/>
      <c r="DZ304" s="14"/>
      <c r="EA304" s="14"/>
      <c r="EB304" s="14"/>
      <c r="EC304" s="14"/>
      <c r="ED304" s="14"/>
      <c r="EE304" s="14"/>
      <c r="EF304" s="14"/>
      <c r="EG304" s="14"/>
      <c r="EH304" s="14"/>
      <c r="EI304" s="14"/>
      <c r="EJ304" s="14"/>
      <c r="EK304" s="14"/>
      <c r="EL304" s="14"/>
    </row>
    <row r="305" spans="1:142" x14ac:dyDescent="0.25">
      <c r="A305" s="14"/>
      <c r="B305" s="19"/>
      <c r="C305" s="40"/>
      <c r="D305" s="41"/>
      <c r="E305" s="40"/>
      <c r="F305" s="40"/>
      <c r="G305" s="40"/>
      <c r="H305" s="41"/>
      <c r="I305" s="72"/>
      <c r="J305" s="14"/>
      <c r="K305" s="14"/>
      <c r="L305" s="14"/>
      <c r="M305" s="14"/>
      <c r="N305" s="14"/>
      <c r="O305" s="14"/>
      <c r="P305" s="14"/>
      <c r="Q305" s="47"/>
      <c r="R305" s="14"/>
      <c r="S305" s="19"/>
      <c r="T305" s="14"/>
      <c r="U305" s="14"/>
      <c r="V305" s="14"/>
      <c r="W305" s="14"/>
      <c r="X305" s="14"/>
      <c r="Y305" s="14"/>
      <c r="Z305" s="14"/>
      <c r="AA305" s="14"/>
      <c r="AB305" s="14"/>
      <c r="AC305" s="44"/>
      <c r="AD305" s="44"/>
      <c r="AE305" s="63"/>
      <c r="AF305" s="352"/>
      <c r="AG305" s="14"/>
      <c r="AH305" s="19"/>
      <c r="AI305" s="14"/>
      <c r="AJ305" s="14"/>
      <c r="AK305" s="14"/>
      <c r="AL305" s="14"/>
      <c r="AM305" s="14"/>
      <c r="AN305" s="14"/>
      <c r="AO305" s="14"/>
      <c r="AP305" s="14"/>
      <c r="AQ305" s="14"/>
      <c r="AR305" s="14"/>
      <c r="AS305" s="65"/>
      <c r="AT305" s="63"/>
      <c r="AU305" s="47"/>
      <c r="AV305" s="14"/>
      <c r="AW305" s="19"/>
      <c r="AX305" s="14"/>
      <c r="AY305" s="14"/>
      <c r="AZ305" s="14"/>
      <c r="BA305" s="14"/>
      <c r="BB305" s="14"/>
      <c r="BC305" s="14"/>
      <c r="BD305" s="14"/>
      <c r="BE305" s="14"/>
      <c r="BF305" s="14"/>
      <c r="BG305" s="14"/>
      <c r="BH305" s="65"/>
      <c r="BI305" s="63"/>
      <c r="BJ305" s="352"/>
      <c r="BK305" s="14"/>
      <c r="BL305" s="19"/>
      <c r="BM305" s="14"/>
      <c r="BN305" s="14"/>
      <c r="BO305" s="14"/>
      <c r="BP305" s="14"/>
      <c r="BQ305" s="14"/>
      <c r="BR305" s="14"/>
      <c r="BS305" s="14"/>
      <c r="BT305" s="14"/>
      <c r="BU305" s="14"/>
      <c r="BV305" s="14"/>
      <c r="BW305" s="65"/>
      <c r="BX305" s="63"/>
      <c r="BY305" s="352"/>
      <c r="BZ305" s="14"/>
      <c r="CA305" s="14"/>
      <c r="CB305" s="21"/>
      <c r="CC305" s="21"/>
      <c r="CD305" s="180"/>
      <c r="CE305" s="180"/>
      <c r="CF305" s="21"/>
      <c r="CG305" s="14"/>
      <c r="CH305" s="14"/>
      <c r="CI305" s="14"/>
      <c r="CJ305" s="14"/>
      <c r="CK305" s="14"/>
      <c r="CL305" s="14"/>
      <c r="CM305" s="14"/>
      <c r="CN305" s="14"/>
      <c r="CO305" s="129"/>
      <c r="CP305" s="14"/>
      <c r="CQ305" s="47"/>
      <c r="CR305" s="14"/>
      <c r="CS305" s="14"/>
      <c r="CT305" s="14"/>
      <c r="CU305" s="14"/>
      <c r="CV305" s="180"/>
      <c r="CW305" s="189"/>
      <c r="CX305" s="189"/>
      <c r="CY305" s="14"/>
      <c r="CZ305" s="14"/>
      <c r="DA305" s="14"/>
      <c r="DB305" s="14"/>
      <c r="DC305" s="14"/>
      <c r="DD305" s="14"/>
      <c r="DE305" s="14"/>
      <c r="DF305" s="14"/>
      <c r="DG305" s="129"/>
      <c r="DH305" s="14"/>
      <c r="DI305" s="47"/>
      <c r="DJ305" s="14"/>
      <c r="DK305" s="19"/>
      <c r="DL305" s="40"/>
      <c r="DM305" s="41"/>
      <c r="DN305" s="40"/>
      <c r="DO305" s="40"/>
      <c r="DP305" s="40"/>
      <c r="DQ305" s="41"/>
      <c r="DR305" s="72"/>
      <c r="DS305" s="14"/>
      <c r="DT305" s="14"/>
      <c r="DU305" s="14"/>
      <c r="DV305" s="14"/>
      <c r="DW305" s="14"/>
      <c r="DX305" s="14"/>
      <c r="DY305" s="14"/>
      <c r="DZ305" s="14"/>
      <c r="EA305" s="14"/>
      <c r="EB305" s="14"/>
      <c r="EC305" s="14"/>
      <c r="ED305" s="14"/>
      <c r="EE305" s="14"/>
      <c r="EF305" s="14"/>
      <c r="EG305" s="14"/>
      <c r="EH305" s="14"/>
      <c r="EI305" s="14"/>
      <c r="EJ305" s="14"/>
      <c r="EK305" s="14"/>
      <c r="EL305" s="14"/>
    </row>
    <row r="306" spans="1:142" x14ac:dyDescent="0.25">
      <c r="A306" s="14"/>
      <c r="B306" s="19"/>
      <c r="C306" s="40"/>
      <c r="D306" s="41"/>
      <c r="E306" s="40"/>
      <c r="F306" s="40"/>
      <c r="G306" s="40"/>
      <c r="H306" s="41"/>
      <c r="I306" s="72"/>
      <c r="J306" s="14"/>
      <c r="K306" s="14"/>
      <c r="L306" s="14"/>
      <c r="M306" s="14"/>
      <c r="N306" s="14"/>
      <c r="O306" s="14"/>
      <c r="P306" s="14"/>
      <c r="Q306" s="47"/>
      <c r="R306" s="14"/>
      <c r="S306" s="19"/>
      <c r="T306" s="14"/>
      <c r="U306" s="14"/>
      <c r="V306" s="14"/>
      <c r="W306" s="14"/>
      <c r="X306" s="14"/>
      <c r="Y306" s="14"/>
      <c r="Z306" s="14"/>
      <c r="AA306" s="14"/>
      <c r="AB306" s="14"/>
      <c r="AC306" s="19"/>
      <c r="AD306" s="63"/>
      <c r="AE306" s="63"/>
      <c r="AF306" s="47"/>
      <c r="AG306" s="14"/>
      <c r="AH306" s="19"/>
      <c r="AI306" s="14"/>
      <c r="AJ306" s="14"/>
      <c r="AK306" s="14"/>
      <c r="AL306" s="14"/>
      <c r="AM306" s="14"/>
      <c r="AN306" s="14"/>
      <c r="AO306" s="14"/>
      <c r="AP306" s="14"/>
      <c r="AQ306" s="14"/>
      <c r="AR306" s="14"/>
      <c r="AS306" s="65"/>
      <c r="AT306" s="63"/>
      <c r="AU306" s="47"/>
      <c r="AV306" s="14"/>
      <c r="AW306" s="19"/>
      <c r="AX306" s="14"/>
      <c r="AY306" s="14"/>
      <c r="AZ306" s="14"/>
      <c r="BA306" s="14"/>
      <c r="BB306" s="14"/>
      <c r="BC306" s="14"/>
      <c r="BD306" s="14"/>
      <c r="BE306" s="14"/>
      <c r="BF306" s="14"/>
      <c r="BG306" s="14"/>
      <c r="BH306" s="65"/>
      <c r="BI306" s="63"/>
      <c r="BJ306" s="352"/>
      <c r="BK306" s="14"/>
      <c r="BL306" s="19"/>
      <c r="BM306" s="14"/>
      <c r="BN306" s="14"/>
      <c r="BO306" s="14"/>
      <c r="BP306" s="14"/>
      <c r="BQ306" s="14"/>
      <c r="BR306" s="14"/>
      <c r="BS306" s="14"/>
      <c r="BT306" s="14"/>
      <c r="BU306" s="14"/>
      <c r="BV306" s="14"/>
      <c r="BW306" s="65"/>
      <c r="BX306" s="63"/>
      <c r="BY306" s="352"/>
      <c r="BZ306" s="14"/>
      <c r="CA306" s="14"/>
      <c r="CB306" s="21"/>
      <c r="CC306" s="21"/>
      <c r="CD306" s="180"/>
      <c r="CE306" s="180"/>
      <c r="CF306" s="21"/>
      <c r="CG306" s="14"/>
      <c r="CH306" s="14"/>
      <c r="CI306" s="14"/>
      <c r="CJ306" s="14"/>
      <c r="CK306" s="14"/>
      <c r="CL306" s="14"/>
      <c r="CM306" s="14"/>
      <c r="CN306" s="14"/>
      <c r="CO306" s="129"/>
      <c r="CP306" s="14"/>
      <c r="CQ306" s="47"/>
      <c r="CR306" s="14"/>
      <c r="CS306" s="14"/>
      <c r="CT306" s="14"/>
      <c r="CU306" s="14"/>
      <c r="CV306" s="180"/>
      <c r="CW306" s="189"/>
      <c r="CX306" s="189"/>
      <c r="CY306" s="14"/>
      <c r="CZ306" s="14"/>
      <c r="DA306" s="14"/>
      <c r="DB306" s="14"/>
      <c r="DC306" s="14"/>
      <c r="DD306" s="14"/>
      <c r="DE306" s="14"/>
      <c r="DF306" s="14"/>
      <c r="DG306" s="129"/>
      <c r="DH306" s="14"/>
      <c r="DI306" s="47"/>
      <c r="DJ306" s="14"/>
      <c r="DK306" s="19"/>
      <c r="DL306" s="40"/>
      <c r="DM306" s="41"/>
      <c r="DN306" s="40"/>
      <c r="DO306" s="40"/>
      <c r="DP306" s="40"/>
      <c r="DQ306" s="41"/>
      <c r="DR306" s="72"/>
      <c r="DS306" s="14"/>
      <c r="DT306" s="14"/>
      <c r="DU306" s="14"/>
      <c r="DV306" s="14"/>
      <c r="DW306" s="14"/>
      <c r="DX306" s="14"/>
      <c r="DY306" s="14"/>
      <c r="DZ306" s="14"/>
      <c r="EA306" s="14"/>
      <c r="EB306" s="14"/>
      <c r="EC306" s="14"/>
      <c r="ED306" s="14"/>
      <c r="EE306" s="14"/>
      <c r="EF306" s="14"/>
      <c r="EG306" s="14"/>
      <c r="EH306" s="14"/>
      <c r="EI306" s="14"/>
      <c r="EJ306" s="14"/>
      <c r="EK306" s="14"/>
      <c r="EL306" s="14"/>
    </row>
    <row r="307" spans="1:142" x14ac:dyDescent="0.25">
      <c r="A307" s="14"/>
      <c r="B307" s="19"/>
      <c r="C307" s="40"/>
      <c r="D307" s="41"/>
      <c r="E307" s="40"/>
      <c r="F307" s="40"/>
      <c r="G307" s="40"/>
      <c r="H307" s="41"/>
      <c r="I307" s="72"/>
      <c r="J307" s="14"/>
      <c r="K307" s="14"/>
      <c r="L307" s="14"/>
      <c r="M307" s="14"/>
      <c r="N307" s="14"/>
      <c r="O307" s="14"/>
      <c r="P307" s="14"/>
      <c r="Q307" s="47"/>
      <c r="R307" s="14"/>
      <c r="S307" s="19"/>
      <c r="T307" s="14"/>
      <c r="U307" s="14"/>
      <c r="V307" s="14"/>
      <c r="W307" s="14"/>
      <c r="X307" s="14"/>
      <c r="Y307" s="14"/>
      <c r="Z307" s="14"/>
      <c r="AA307" s="14"/>
      <c r="AB307" s="14"/>
      <c r="AC307" s="19"/>
      <c r="AD307" s="63"/>
      <c r="AE307" s="63"/>
      <c r="AF307" s="47"/>
      <c r="AG307" s="14"/>
      <c r="AH307" s="19"/>
      <c r="AI307" s="14"/>
      <c r="AJ307" s="14"/>
      <c r="AK307" s="14"/>
      <c r="AL307" s="14"/>
      <c r="AM307" s="14"/>
      <c r="AN307" s="14"/>
      <c r="AO307" s="14"/>
      <c r="AP307" s="14"/>
      <c r="AQ307" s="14"/>
      <c r="AR307" s="14"/>
      <c r="AS307" s="65"/>
      <c r="AT307" s="63"/>
      <c r="AU307" s="47"/>
      <c r="AV307" s="14"/>
      <c r="AW307" s="19"/>
      <c r="AX307" s="14"/>
      <c r="AY307" s="14"/>
      <c r="AZ307" s="14"/>
      <c r="BA307" s="14"/>
      <c r="BB307" s="14"/>
      <c r="BC307" s="14"/>
      <c r="BD307" s="14"/>
      <c r="BE307" s="14"/>
      <c r="BF307" s="14"/>
      <c r="BG307" s="14"/>
      <c r="BH307" s="65"/>
      <c r="BI307" s="63"/>
      <c r="BJ307" s="352"/>
      <c r="BK307" s="14"/>
      <c r="BL307" s="19"/>
      <c r="BM307" s="14"/>
      <c r="BN307" s="14"/>
      <c r="BO307" s="14"/>
      <c r="BP307" s="14"/>
      <c r="BQ307" s="14"/>
      <c r="BR307" s="14"/>
      <c r="BS307" s="14"/>
      <c r="BT307" s="14"/>
      <c r="BU307" s="14"/>
      <c r="BV307" s="14"/>
      <c r="BW307" s="65"/>
      <c r="BX307" s="63"/>
      <c r="BY307" s="352"/>
      <c r="BZ307" s="14"/>
      <c r="CA307" s="14"/>
      <c r="CB307" s="21"/>
      <c r="CC307" s="21"/>
      <c r="CD307" s="180"/>
      <c r="CE307" s="180"/>
      <c r="CF307" s="21"/>
      <c r="CG307" s="14"/>
      <c r="CH307" s="14"/>
      <c r="CI307" s="14"/>
      <c r="CJ307" s="14"/>
      <c r="CK307" s="14"/>
      <c r="CL307" s="14"/>
      <c r="CM307" s="14"/>
      <c r="CN307" s="14"/>
      <c r="CO307" s="129"/>
      <c r="CP307" s="14"/>
      <c r="CQ307" s="47"/>
      <c r="CR307" s="14"/>
      <c r="CS307" s="14"/>
      <c r="CT307" s="14"/>
      <c r="CU307" s="14"/>
      <c r="CV307" s="180"/>
      <c r="CW307" s="189"/>
      <c r="CX307" s="189"/>
      <c r="CY307" s="14"/>
      <c r="CZ307" s="14"/>
      <c r="DA307" s="14"/>
      <c r="DB307" s="14"/>
      <c r="DC307" s="14"/>
      <c r="DD307" s="14"/>
      <c r="DE307" s="14"/>
      <c r="DF307" s="14"/>
      <c r="DG307" s="129"/>
      <c r="DH307" s="14"/>
      <c r="DI307" s="47"/>
      <c r="DJ307" s="14"/>
      <c r="DK307" s="19"/>
      <c r="DL307" s="40"/>
      <c r="DM307" s="41"/>
      <c r="DN307" s="40"/>
      <c r="DO307" s="40"/>
      <c r="DP307" s="40"/>
      <c r="DQ307" s="41"/>
      <c r="DR307" s="72"/>
      <c r="DS307" s="14"/>
      <c r="DT307" s="14"/>
      <c r="DU307" s="14"/>
      <c r="DV307" s="14"/>
      <c r="DW307" s="14"/>
      <c r="DX307" s="14"/>
      <c r="DY307" s="14"/>
      <c r="DZ307" s="14"/>
      <c r="EA307" s="14"/>
      <c r="EB307" s="14"/>
      <c r="EC307" s="14"/>
      <c r="ED307" s="14"/>
      <c r="EE307" s="14"/>
      <c r="EF307" s="14"/>
      <c r="EG307" s="14"/>
      <c r="EH307" s="14"/>
      <c r="EI307" s="14"/>
      <c r="EJ307" s="14"/>
      <c r="EK307" s="14"/>
      <c r="EL307" s="14"/>
    </row>
    <row r="308" spans="1:142" x14ac:dyDescent="0.25">
      <c r="A308" s="14"/>
      <c r="B308" s="19"/>
      <c r="C308" s="40"/>
      <c r="D308" s="41"/>
      <c r="E308" s="40"/>
      <c r="F308" s="40"/>
      <c r="G308" s="40"/>
      <c r="H308" s="41"/>
      <c r="I308" s="72"/>
      <c r="J308" s="14"/>
      <c r="K308" s="14"/>
      <c r="L308" s="14"/>
      <c r="M308" s="14"/>
      <c r="N308" s="14"/>
      <c r="O308" s="14"/>
      <c r="P308" s="14"/>
      <c r="Q308" s="47"/>
      <c r="R308" s="14"/>
      <c r="S308" s="19"/>
      <c r="T308" s="14"/>
      <c r="U308" s="14"/>
      <c r="V308" s="14"/>
      <c r="W308" s="14"/>
      <c r="X308" s="14"/>
      <c r="Y308" s="14"/>
      <c r="Z308" s="14"/>
      <c r="AA308" s="14"/>
      <c r="AB308" s="14"/>
      <c r="AC308" s="14"/>
      <c r="AD308" s="65"/>
      <c r="AE308" s="63"/>
      <c r="AF308" s="47"/>
      <c r="AG308" s="14"/>
      <c r="AH308" s="19"/>
      <c r="AI308" s="14"/>
      <c r="AJ308" s="14"/>
      <c r="AK308" s="14"/>
      <c r="AL308" s="14"/>
      <c r="AM308" s="14"/>
      <c r="AN308" s="14"/>
      <c r="AO308" s="14"/>
      <c r="AP308" s="14"/>
      <c r="AQ308" s="14"/>
      <c r="AR308" s="14"/>
      <c r="AS308" s="65"/>
      <c r="AT308" s="63"/>
      <c r="AU308" s="47"/>
      <c r="AV308" s="14"/>
      <c r="AW308" s="19"/>
      <c r="AX308" s="14"/>
      <c r="AY308" s="14"/>
      <c r="AZ308" s="14"/>
      <c r="BA308" s="14"/>
      <c r="BB308" s="14"/>
      <c r="BC308" s="14"/>
      <c r="BD308" s="14"/>
      <c r="BE308" s="14"/>
      <c r="BF308" s="14"/>
      <c r="BG308" s="14"/>
      <c r="BH308" s="65"/>
      <c r="BI308" s="63"/>
      <c r="BJ308" s="352"/>
      <c r="BK308" s="14"/>
      <c r="BL308" s="19"/>
      <c r="BM308" s="14"/>
      <c r="BN308" s="14"/>
      <c r="BO308" s="14"/>
      <c r="BP308" s="14"/>
      <c r="BQ308" s="14"/>
      <c r="BR308" s="14"/>
      <c r="BS308" s="14"/>
      <c r="BT308" s="14"/>
      <c r="BU308" s="14"/>
      <c r="BV308" s="14"/>
      <c r="BW308" s="65"/>
      <c r="BX308" s="63"/>
      <c r="BY308" s="352"/>
      <c r="BZ308" s="14"/>
      <c r="CA308" s="14"/>
      <c r="CB308" s="21"/>
      <c r="CC308" s="21"/>
      <c r="CD308" s="21"/>
      <c r="CE308" s="21"/>
      <c r="CF308" s="21"/>
      <c r="CG308" s="14"/>
      <c r="CH308" s="14"/>
      <c r="CI308" s="14"/>
      <c r="CJ308" s="14"/>
      <c r="CK308" s="14"/>
      <c r="CL308" s="14"/>
      <c r="CM308" s="14"/>
      <c r="CN308" s="14"/>
      <c r="CO308" s="129"/>
      <c r="CP308" s="14"/>
      <c r="CQ308" s="47"/>
      <c r="CR308" s="14"/>
      <c r="CS308" s="14"/>
      <c r="CT308" s="14"/>
      <c r="CU308" s="14"/>
      <c r="CV308" s="180"/>
      <c r="CW308" s="189"/>
      <c r="CX308" s="189"/>
      <c r="CY308" s="14"/>
      <c r="CZ308" s="14"/>
      <c r="DA308" s="14"/>
      <c r="DB308" s="14"/>
      <c r="DC308" s="14"/>
      <c r="DD308" s="14"/>
      <c r="DE308" s="14"/>
      <c r="DF308" s="14"/>
      <c r="DG308" s="129"/>
      <c r="DH308" s="14"/>
      <c r="DI308" s="47"/>
      <c r="DJ308" s="14"/>
      <c r="DK308" s="19"/>
      <c r="DL308" s="40"/>
      <c r="DM308" s="41"/>
      <c r="DN308" s="40"/>
      <c r="DO308" s="40"/>
      <c r="DP308" s="40"/>
      <c r="DQ308" s="41"/>
      <c r="DR308" s="72"/>
      <c r="DS308" s="14"/>
      <c r="DT308" s="14"/>
      <c r="DU308" s="14"/>
      <c r="DV308" s="14"/>
      <c r="DW308" s="14"/>
      <c r="DX308" s="14"/>
      <c r="DY308" s="14"/>
      <c r="DZ308" s="14"/>
      <c r="EA308" s="14"/>
      <c r="EB308" s="14"/>
      <c r="EC308" s="14"/>
      <c r="ED308" s="14"/>
      <c r="EE308" s="14"/>
      <c r="EF308" s="14"/>
      <c r="EG308" s="14"/>
      <c r="EH308" s="14"/>
      <c r="EI308" s="14"/>
      <c r="EJ308" s="14"/>
      <c r="EK308" s="14"/>
      <c r="EL308" s="14"/>
    </row>
    <row r="309" spans="1:142" x14ac:dyDescent="0.25">
      <c r="A309" s="14"/>
      <c r="B309" s="19"/>
      <c r="C309" s="40"/>
      <c r="D309" s="41"/>
      <c r="E309" s="40"/>
      <c r="F309" s="40"/>
      <c r="G309" s="40"/>
      <c r="H309" s="41"/>
      <c r="I309" s="72"/>
      <c r="J309" s="14"/>
      <c r="K309" s="14"/>
      <c r="L309" s="14"/>
      <c r="M309" s="14"/>
      <c r="N309" s="14"/>
      <c r="O309" s="14"/>
      <c r="P309" s="14"/>
      <c r="Q309" s="47"/>
      <c r="R309" s="14"/>
      <c r="S309" s="19"/>
      <c r="T309" s="14"/>
      <c r="U309" s="14"/>
      <c r="V309" s="14"/>
      <c r="W309" s="14"/>
      <c r="X309" s="14"/>
      <c r="Y309" s="14"/>
      <c r="Z309" s="14"/>
      <c r="AA309" s="14"/>
      <c r="AB309" s="14"/>
      <c r="AC309" s="14"/>
      <c r="AD309" s="65"/>
      <c r="AE309" s="63"/>
      <c r="AF309" s="47"/>
      <c r="AG309" s="14"/>
      <c r="AH309" s="19"/>
      <c r="AI309" s="14"/>
      <c r="AJ309" s="14"/>
      <c r="AK309" s="14"/>
      <c r="AL309" s="14"/>
      <c r="AM309" s="14"/>
      <c r="AN309" s="14"/>
      <c r="AO309" s="14"/>
      <c r="AP309" s="14"/>
      <c r="AQ309" s="14"/>
      <c r="AR309" s="14"/>
      <c r="AS309" s="65"/>
      <c r="AT309" s="63"/>
      <c r="AU309" s="47"/>
      <c r="AV309" s="14"/>
      <c r="AW309" s="19"/>
      <c r="AX309" s="14"/>
      <c r="AY309" s="14"/>
      <c r="AZ309" s="14"/>
      <c r="BA309" s="14"/>
      <c r="BB309" s="14"/>
      <c r="BC309" s="14"/>
      <c r="BD309" s="14"/>
      <c r="BE309" s="14"/>
      <c r="BF309" s="14"/>
      <c r="BG309" s="14"/>
      <c r="BH309" s="65"/>
      <c r="BI309" s="63"/>
      <c r="BJ309" s="352"/>
      <c r="BK309" s="14"/>
      <c r="BL309" s="19"/>
      <c r="BM309" s="14"/>
      <c r="BN309" s="14"/>
      <c r="BO309" s="14"/>
      <c r="BP309" s="14"/>
      <c r="BQ309" s="14"/>
      <c r="BR309" s="14"/>
      <c r="BS309" s="14"/>
      <c r="BT309" s="14"/>
      <c r="BU309" s="14"/>
      <c r="BV309" s="14"/>
      <c r="BW309" s="65"/>
      <c r="BX309" s="63"/>
      <c r="BY309" s="352"/>
      <c r="BZ309" s="14"/>
      <c r="CA309" s="14"/>
      <c r="CB309" s="21"/>
      <c r="CC309" s="21"/>
      <c r="CD309" s="21"/>
      <c r="CE309" s="21"/>
      <c r="CF309" s="21"/>
      <c r="CG309" s="14"/>
      <c r="CH309" s="14"/>
      <c r="CI309" s="14"/>
      <c r="CJ309" s="14"/>
      <c r="CK309" s="14"/>
      <c r="CL309" s="14"/>
      <c r="CM309" s="14"/>
      <c r="CN309" s="14"/>
      <c r="CO309" s="129"/>
      <c r="CP309" s="14"/>
      <c r="CQ309" s="47"/>
      <c r="CR309" s="14"/>
      <c r="CS309" s="14"/>
      <c r="CT309" s="14"/>
      <c r="CU309" s="14"/>
      <c r="CV309" s="180"/>
      <c r="CW309" s="189"/>
      <c r="CX309" s="189"/>
      <c r="CY309" s="14"/>
      <c r="CZ309" s="14"/>
      <c r="DA309" s="14"/>
      <c r="DB309" s="14"/>
      <c r="DC309" s="14"/>
      <c r="DD309" s="14"/>
      <c r="DE309" s="14"/>
      <c r="DF309" s="14"/>
      <c r="DG309" s="129"/>
      <c r="DH309" s="14"/>
      <c r="DI309" s="47"/>
      <c r="DJ309" s="14"/>
      <c r="DK309" s="19"/>
      <c r="DL309" s="40"/>
      <c r="DM309" s="41"/>
      <c r="DN309" s="40"/>
      <c r="DO309" s="40"/>
      <c r="DP309" s="40"/>
      <c r="DQ309" s="41"/>
      <c r="DR309" s="72"/>
      <c r="DS309" s="14"/>
      <c r="DT309" s="14"/>
      <c r="DU309" s="14"/>
      <c r="DV309" s="14"/>
      <c r="DW309" s="14"/>
      <c r="DX309" s="14"/>
      <c r="DY309" s="14"/>
      <c r="DZ309" s="14"/>
      <c r="EA309" s="14"/>
      <c r="EB309" s="14"/>
      <c r="EC309" s="14"/>
      <c r="ED309" s="14"/>
      <c r="EE309" s="14"/>
      <c r="EF309" s="14"/>
      <c r="EG309" s="14"/>
      <c r="EH309" s="14"/>
      <c r="EI309" s="14"/>
      <c r="EJ309" s="14"/>
      <c r="EK309" s="14"/>
      <c r="EL309" s="14"/>
    </row>
    <row r="310" spans="1:142" x14ac:dyDescent="0.25">
      <c r="A310" s="14"/>
      <c r="B310" s="19"/>
      <c r="C310" s="40"/>
      <c r="D310" s="41"/>
      <c r="E310" s="40"/>
      <c r="F310" s="40"/>
      <c r="G310" s="40"/>
      <c r="H310" s="41"/>
      <c r="I310" s="72"/>
      <c r="J310" s="14"/>
      <c r="K310" s="14"/>
      <c r="L310" s="14"/>
      <c r="M310" s="14"/>
      <c r="N310" s="14"/>
      <c r="O310" s="14"/>
      <c r="P310" s="14"/>
      <c r="Q310" s="47"/>
      <c r="R310" s="14"/>
      <c r="S310" s="19"/>
      <c r="T310" s="14"/>
      <c r="U310" s="14"/>
      <c r="V310" s="14"/>
      <c r="W310" s="14"/>
      <c r="X310" s="14"/>
      <c r="Y310" s="14"/>
      <c r="Z310" s="14"/>
      <c r="AA310" s="14"/>
      <c r="AB310" s="14"/>
      <c r="AC310" s="14"/>
      <c r="AD310" s="65"/>
      <c r="AE310" s="63"/>
      <c r="AF310" s="47"/>
      <c r="AG310" s="14"/>
      <c r="AH310" s="19"/>
      <c r="AI310" s="14"/>
      <c r="AJ310" s="14"/>
      <c r="AK310" s="14"/>
      <c r="AL310" s="14"/>
      <c r="AM310" s="14"/>
      <c r="AN310" s="14"/>
      <c r="AO310" s="14"/>
      <c r="AP310" s="14"/>
      <c r="AQ310" s="14"/>
      <c r="AR310" s="14"/>
      <c r="AS310" s="65"/>
      <c r="AT310" s="63"/>
      <c r="AU310" s="47"/>
      <c r="AV310" s="14"/>
      <c r="AW310" s="19"/>
      <c r="AX310" s="14"/>
      <c r="AY310" s="14"/>
      <c r="AZ310" s="14"/>
      <c r="BA310" s="14"/>
      <c r="BB310" s="14"/>
      <c r="BC310" s="14"/>
      <c r="BD310" s="14"/>
      <c r="BE310" s="14"/>
      <c r="BF310" s="14"/>
      <c r="BG310" s="14"/>
      <c r="BH310" s="65"/>
      <c r="BI310" s="63"/>
      <c r="BJ310" s="352"/>
      <c r="BK310" s="14"/>
      <c r="BL310" s="19"/>
      <c r="BM310" s="14"/>
      <c r="BN310" s="14"/>
      <c r="BO310" s="14"/>
      <c r="BP310" s="14"/>
      <c r="BQ310" s="14"/>
      <c r="BR310" s="14"/>
      <c r="BS310" s="14"/>
      <c r="BT310" s="14"/>
      <c r="BU310" s="14"/>
      <c r="BV310" s="14"/>
      <c r="BW310" s="65"/>
      <c r="BX310" s="63"/>
      <c r="BY310" s="352"/>
      <c r="BZ310" s="14"/>
      <c r="CA310" s="14"/>
      <c r="CB310" s="21"/>
      <c r="CC310" s="21"/>
      <c r="CD310" s="21"/>
      <c r="CE310" s="21"/>
      <c r="CF310" s="21"/>
      <c r="CG310" s="14"/>
      <c r="CH310" s="14"/>
      <c r="CI310" s="14"/>
      <c r="CJ310" s="14"/>
      <c r="CK310" s="14"/>
      <c r="CL310" s="14"/>
      <c r="CM310" s="14"/>
      <c r="CN310" s="14"/>
      <c r="CO310" s="129"/>
      <c r="CP310" s="14"/>
      <c r="CQ310" s="47"/>
      <c r="CR310" s="14"/>
      <c r="CS310" s="14"/>
      <c r="CT310" s="14"/>
      <c r="CU310" s="14"/>
      <c r="CV310" s="180"/>
      <c r="CW310" s="189"/>
      <c r="CX310" s="189"/>
      <c r="CY310" s="14"/>
      <c r="CZ310" s="14"/>
      <c r="DA310" s="14"/>
      <c r="DB310" s="14"/>
      <c r="DC310" s="14"/>
      <c r="DD310" s="14"/>
      <c r="DE310" s="14"/>
      <c r="DF310" s="14"/>
      <c r="DG310" s="129"/>
      <c r="DH310" s="14"/>
      <c r="DI310" s="47"/>
      <c r="DJ310" s="14"/>
      <c r="DK310" s="19"/>
      <c r="DL310" s="40"/>
      <c r="DM310" s="41"/>
      <c r="DN310" s="40"/>
      <c r="DO310" s="40"/>
      <c r="DP310" s="40"/>
      <c r="DQ310" s="41"/>
      <c r="DR310" s="72"/>
      <c r="DS310" s="14"/>
      <c r="DT310" s="14"/>
      <c r="DU310" s="14"/>
      <c r="DV310" s="14"/>
      <c r="DW310" s="14"/>
      <c r="DX310" s="14"/>
      <c r="DY310" s="14"/>
      <c r="DZ310" s="14"/>
      <c r="EA310" s="14"/>
      <c r="EB310" s="14"/>
      <c r="EC310" s="14"/>
      <c r="ED310" s="14"/>
      <c r="EE310" s="14"/>
      <c r="EF310" s="14"/>
      <c r="EG310" s="14"/>
      <c r="EH310" s="14"/>
      <c r="EI310" s="14"/>
      <c r="EJ310" s="14"/>
      <c r="EK310" s="14"/>
      <c r="EL310" s="14"/>
    </row>
    <row r="311" spans="1:142" x14ac:dyDescent="0.25">
      <c r="A311" s="14"/>
      <c r="B311" s="19"/>
      <c r="C311" s="40"/>
      <c r="D311" s="41"/>
      <c r="E311" s="40"/>
      <c r="F311" s="40"/>
      <c r="G311" s="40"/>
      <c r="H311" s="41"/>
      <c r="I311" s="72"/>
      <c r="J311" s="14"/>
      <c r="K311" s="14"/>
      <c r="L311" s="14"/>
      <c r="M311" s="14"/>
      <c r="N311" s="14"/>
      <c r="O311" s="14"/>
      <c r="P311" s="14"/>
      <c r="Q311" s="47"/>
      <c r="R311" s="14"/>
      <c r="S311" s="19"/>
      <c r="T311" s="14"/>
      <c r="U311" s="14"/>
      <c r="V311" s="14"/>
      <c r="W311" s="14"/>
      <c r="X311" s="14"/>
      <c r="Y311" s="14"/>
      <c r="Z311" s="14"/>
      <c r="AA311" s="14"/>
      <c r="AB311" s="14"/>
      <c r="AC311" s="14"/>
      <c r="AD311" s="65"/>
      <c r="AE311" s="63"/>
      <c r="AF311" s="47"/>
      <c r="AG311" s="14"/>
      <c r="AH311" s="19"/>
      <c r="AI311" s="14"/>
      <c r="AJ311" s="14"/>
      <c r="AK311" s="14"/>
      <c r="AL311" s="14"/>
      <c r="AM311" s="14"/>
      <c r="AN311" s="14"/>
      <c r="AO311" s="14"/>
      <c r="AP311" s="14"/>
      <c r="AQ311" s="14"/>
      <c r="AR311" s="14"/>
      <c r="AS311" s="65"/>
      <c r="AT311" s="63"/>
      <c r="AU311" s="47"/>
      <c r="AV311" s="14"/>
      <c r="AW311" s="19"/>
      <c r="AX311" s="14"/>
      <c r="AY311" s="14"/>
      <c r="AZ311" s="14"/>
      <c r="BA311" s="14"/>
      <c r="BB311" s="14"/>
      <c r="BC311" s="14"/>
      <c r="BD311" s="14"/>
      <c r="BE311" s="14"/>
      <c r="BF311" s="14"/>
      <c r="BG311" s="14"/>
      <c r="BH311" s="65"/>
      <c r="BI311" s="63"/>
      <c r="BJ311" s="352"/>
      <c r="BK311" s="14"/>
      <c r="BL311" s="19"/>
      <c r="BM311" s="14"/>
      <c r="BN311" s="14"/>
      <c r="BO311" s="14"/>
      <c r="BP311" s="14"/>
      <c r="BQ311" s="14"/>
      <c r="BR311" s="14"/>
      <c r="BS311" s="14"/>
      <c r="BT311" s="14"/>
      <c r="BU311" s="14"/>
      <c r="BV311" s="14"/>
      <c r="BW311" s="65"/>
      <c r="BX311" s="63"/>
      <c r="BY311" s="352"/>
      <c r="BZ311" s="14"/>
      <c r="CA311" s="14"/>
      <c r="CB311" s="21"/>
      <c r="CC311" s="21"/>
      <c r="CD311" s="21"/>
      <c r="CE311" s="21"/>
      <c r="CF311" s="21"/>
      <c r="CG311" s="14"/>
      <c r="CH311" s="14"/>
      <c r="CI311" s="14"/>
      <c r="CJ311" s="14"/>
      <c r="CK311" s="14"/>
      <c r="CL311" s="14"/>
      <c r="CM311" s="14"/>
      <c r="CN311" s="14"/>
      <c r="CO311" s="129"/>
      <c r="CP311" s="14"/>
      <c r="CQ311" s="47"/>
      <c r="CR311" s="14"/>
      <c r="CS311" s="14"/>
      <c r="CT311" s="14"/>
      <c r="CU311" s="14"/>
      <c r="CV311" s="180"/>
      <c r="CW311" s="189"/>
      <c r="CX311" s="189"/>
      <c r="CY311" s="14"/>
      <c r="CZ311" s="14"/>
      <c r="DA311" s="14"/>
      <c r="DB311" s="14"/>
      <c r="DC311" s="14"/>
      <c r="DD311" s="14"/>
      <c r="DE311" s="14"/>
      <c r="DF311" s="14"/>
      <c r="DG311" s="129"/>
      <c r="DH311" s="14"/>
      <c r="DI311" s="47"/>
      <c r="DJ311" s="14"/>
      <c r="DK311" s="19"/>
      <c r="DL311" s="40"/>
      <c r="DM311" s="41"/>
      <c r="DN311" s="40"/>
      <c r="DO311" s="40"/>
      <c r="DP311" s="40"/>
      <c r="DQ311" s="41"/>
      <c r="DR311" s="72"/>
      <c r="DS311" s="14"/>
      <c r="DT311" s="19"/>
      <c r="DU311" s="19"/>
      <c r="DV311" s="19"/>
      <c r="DW311" s="19"/>
      <c r="DX311" s="19"/>
      <c r="DY311" s="19"/>
      <c r="DZ311" s="19"/>
      <c r="EA311" s="19"/>
      <c r="EB311" s="19"/>
      <c r="EC311" s="19"/>
      <c r="ED311" s="14"/>
      <c r="EE311" s="14"/>
      <c r="EF311" s="14"/>
      <c r="EG311" s="14"/>
      <c r="EH311" s="14"/>
      <c r="EI311" s="14"/>
      <c r="EJ311" s="14"/>
      <c r="EK311" s="14"/>
      <c r="EL311" s="14"/>
    </row>
    <row r="312" spans="1:142" x14ac:dyDescent="0.25">
      <c r="A312" s="14"/>
      <c r="B312" s="524" t="s">
        <v>755</v>
      </c>
      <c r="C312" s="542"/>
      <c r="D312" s="542"/>
      <c r="E312" s="542"/>
      <c r="F312" s="542"/>
      <c r="G312" s="542"/>
      <c r="H312" s="542"/>
      <c r="I312" s="525"/>
      <c r="J312" s="14"/>
      <c r="K312" s="14"/>
      <c r="L312" s="14"/>
      <c r="M312" s="14"/>
      <c r="N312" s="14"/>
      <c r="O312" s="14"/>
      <c r="P312" s="14"/>
      <c r="Q312" s="47"/>
      <c r="R312" s="14"/>
      <c r="S312" s="524" t="s">
        <v>755</v>
      </c>
      <c r="T312" s="542"/>
      <c r="U312" s="542"/>
      <c r="V312" s="542"/>
      <c r="W312" s="542"/>
      <c r="X312" s="542"/>
      <c r="Y312" s="542"/>
      <c r="Z312" s="525"/>
      <c r="AA312" s="14"/>
      <c r="AB312" s="14"/>
      <c r="AC312" s="14"/>
      <c r="AD312" s="65"/>
      <c r="AE312" s="63"/>
      <c r="AF312" s="47"/>
      <c r="AG312" s="14"/>
      <c r="AH312" s="524" t="s">
        <v>755</v>
      </c>
      <c r="AI312" s="542"/>
      <c r="AJ312" s="542"/>
      <c r="AK312" s="542"/>
      <c r="AL312" s="542"/>
      <c r="AM312" s="542"/>
      <c r="AN312" s="542"/>
      <c r="AO312" s="525"/>
      <c r="AP312" s="14"/>
      <c r="AQ312" s="14"/>
      <c r="AR312" s="14"/>
      <c r="AS312" s="65"/>
      <c r="AT312" s="63"/>
      <c r="AU312" s="47"/>
      <c r="AV312" s="14"/>
      <c r="AW312" s="524" t="s">
        <v>755</v>
      </c>
      <c r="AX312" s="542"/>
      <c r="AY312" s="542"/>
      <c r="AZ312" s="542"/>
      <c r="BA312" s="542"/>
      <c r="BB312" s="542"/>
      <c r="BC312" s="542"/>
      <c r="BD312" s="525"/>
      <c r="BE312" s="14"/>
      <c r="BF312" s="14"/>
      <c r="BG312" s="14"/>
      <c r="BH312" s="65"/>
      <c r="BI312" s="63"/>
      <c r="BJ312" s="352"/>
      <c r="BK312" s="14"/>
      <c r="BL312" s="524" t="s">
        <v>755</v>
      </c>
      <c r="BM312" s="542"/>
      <c r="BN312" s="542"/>
      <c r="BO312" s="542"/>
      <c r="BP312" s="542"/>
      <c r="BQ312" s="542"/>
      <c r="BR312" s="542"/>
      <c r="BS312" s="525"/>
      <c r="BT312" s="14"/>
      <c r="BU312" s="14"/>
      <c r="BV312" s="14"/>
      <c r="BW312" s="65"/>
      <c r="BX312" s="63"/>
      <c r="BY312" s="352"/>
      <c r="BZ312" s="14"/>
      <c r="CA312" s="14"/>
      <c r="CB312" s="21"/>
      <c r="CC312" s="21"/>
      <c r="CD312" s="21"/>
      <c r="CE312" s="21"/>
      <c r="CF312" s="21"/>
      <c r="CG312" s="14"/>
      <c r="CH312" s="14"/>
      <c r="CI312" s="14"/>
      <c r="CJ312" s="14"/>
      <c r="CK312" s="14"/>
      <c r="CL312" s="14"/>
      <c r="CM312" s="14"/>
      <c r="CN312" s="14"/>
      <c r="CO312" s="129"/>
      <c r="CP312" s="14"/>
      <c r="CQ312" s="47"/>
      <c r="CR312" s="14"/>
      <c r="CS312" s="14"/>
      <c r="CT312" s="14"/>
      <c r="CU312" s="14"/>
      <c r="CV312" s="180"/>
      <c r="CW312" s="189"/>
      <c r="CX312" s="189"/>
      <c r="CY312" s="14"/>
      <c r="CZ312" s="14"/>
      <c r="DA312" s="14"/>
      <c r="DB312" s="14"/>
      <c r="DC312" s="14"/>
      <c r="DD312" s="14"/>
      <c r="DE312" s="14"/>
      <c r="DF312" s="14"/>
      <c r="DG312" s="129"/>
      <c r="DH312" s="14"/>
      <c r="DI312" s="47"/>
      <c r="DJ312" s="14"/>
      <c r="DK312" s="14"/>
      <c r="DL312" s="14"/>
      <c r="DM312" s="14"/>
      <c r="DN312" s="14"/>
      <c r="DO312" s="14"/>
      <c r="DP312" s="14"/>
      <c r="DQ312" s="14"/>
      <c r="DR312" s="14"/>
      <c r="DS312" s="14"/>
      <c r="DT312" s="19"/>
      <c r="DU312" s="19"/>
      <c r="DV312" s="19"/>
      <c r="DW312" s="19"/>
      <c r="DX312" s="19"/>
      <c r="DY312" s="19"/>
      <c r="DZ312" s="19"/>
      <c r="EA312" s="19"/>
      <c r="EB312" s="19"/>
      <c r="EC312" s="19"/>
      <c r="ED312" s="14"/>
      <c r="EE312" s="14"/>
      <c r="EF312" s="14"/>
      <c r="EG312" s="14"/>
      <c r="EH312" s="14"/>
      <c r="EI312" s="14"/>
      <c r="EJ312" s="14"/>
      <c r="EK312" s="14"/>
      <c r="EL312" s="14"/>
    </row>
    <row r="313" spans="1:142" x14ac:dyDescent="0.25">
      <c r="A313" s="14"/>
      <c r="B313" s="526"/>
      <c r="C313" s="543"/>
      <c r="D313" s="543"/>
      <c r="E313" s="543"/>
      <c r="F313" s="543"/>
      <c r="G313" s="543"/>
      <c r="H313" s="543"/>
      <c r="I313" s="527"/>
      <c r="J313" s="14"/>
      <c r="K313" s="14"/>
      <c r="L313" s="14"/>
      <c r="M313" s="14"/>
      <c r="N313" s="14"/>
      <c r="O313" s="14"/>
      <c r="P313" s="14"/>
      <c r="Q313" s="47"/>
      <c r="R313" s="14"/>
      <c r="S313" s="526"/>
      <c r="T313" s="543"/>
      <c r="U313" s="543"/>
      <c r="V313" s="543"/>
      <c r="W313" s="543"/>
      <c r="X313" s="543"/>
      <c r="Y313" s="543"/>
      <c r="Z313" s="527"/>
      <c r="AA313" s="14"/>
      <c r="AB313" s="14"/>
      <c r="AC313" s="14"/>
      <c r="AD313" s="65"/>
      <c r="AE313" s="63"/>
      <c r="AF313" s="47"/>
      <c r="AG313" s="14"/>
      <c r="AH313" s="526"/>
      <c r="AI313" s="543"/>
      <c r="AJ313" s="543"/>
      <c r="AK313" s="543"/>
      <c r="AL313" s="543"/>
      <c r="AM313" s="543"/>
      <c r="AN313" s="543"/>
      <c r="AO313" s="527"/>
      <c r="AP313" s="14"/>
      <c r="AQ313" s="14"/>
      <c r="AR313" s="14"/>
      <c r="AS313" s="65"/>
      <c r="AT313" s="63"/>
      <c r="AU313" s="47"/>
      <c r="AV313" s="14"/>
      <c r="AW313" s="526"/>
      <c r="AX313" s="543"/>
      <c r="AY313" s="543"/>
      <c r="AZ313" s="543"/>
      <c r="BA313" s="543"/>
      <c r="BB313" s="543"/>
      <c r="BC313" s="543"/>
      <c r="BD313" s="527"/>
      <c r="BE313" s="14"/>
      <c r="BF313" s="14"/>
      <c r="BG313" s="14"/>
      <c r="BH313" s="65"/>
      <c r="BI313" s="63"/>
      <c r="BJ313" s="352"/>
      <c r="BK313" s="14"/>
      <c r="BL313" s="526"/>
      <c r="BM313" s="543"/>
      <c r="BN313" s="543"/>
      <c r="BO313" s="543"/>
      <c r="BP313" s="543"/>
      <c r="BQ313" s="543"/>
      <c r="BR313" s="543"/>
      <c r="BS313" s="527"/>
      <c r="BT313" s="14"/>
      <c r="BU313" s="14"/>
      <c r="BV313" s="14"/>
      <c r="BW313" s="65"/>
      <c r="BX313" s="63"/>
      <c r="BY313" s="352"/>
      <c r="BZ313" s="14"/>
      <c r="CA313" s="14"/>
      <c r="CB313" s="21"/>
      <c r="CC313" s="21"/>
      <c r="CD313" s="21"/>
      <c r="CE313" s="21"/>
      <c r="CF313" s="21"/>
      <c r="CG313" s="14"/>
      <c r="CH313" s="14"/>
      <c r="CI313" s="14"/>
      <c r="CJ313" s="14"/>
      <c r="CK313" s="14"/>
      <c r="CL313" s="14"/>
      <c r="CM313" s="14"/>
      <c r="CN313" s="14"/>
      <c r="CO313" s="129"/>
      <c r="CP313" s="14"/>
      <c r="CQ313" s="47"/>
      <c r="CR313" s="14"/>
      <c r="CS313" s="14"/>
      <c r="CT313" s="14"/>
      <c r="CU313" s="14"/>
      <c r="CV313" s="180"/>
      <c r="CW313" s="189"/>
      <c r="CX313" s="189"/>
      <c r="CY313" s="14"/>
      <c r="CZ313" s="14"/>
      <c r="DA313" s="14"/>
      <c r="DB313" s="14"/>
      <c r="DC313" s="14"/>
      <c r="DD313" s="14"/>
      <c r="DE313" s="14"/>
      <c r="DF313" s="14"/>
      <c r="DG313" s="129"/>
      <c r="DH313" s="14"/>
      <c r="DI313" s="47"/>
      <c r="DJ313" s="14"/>
      <c r="DK313" s="14"/>
      <c r="DL313" s="14"/>
      <c r="DM313" s="14"/>
      <c r="DN313" s="14"/>
      <c r="DO313" s="14"/>
      <c r="DP313" s="14"/>
      <c r="DQ313" s="14"/>
      <c r="DR313" s="14"/>
      <c r="DS313" s="14"/>
      <c r="DT313" s="19"/>
      <c r="DU313" s="17"/>
      <c r="DV313" s="51"/>
      <c r="DW313" s="51"/>
      <c r="DX313" s="51"/>
      <c r="DY313" s="51"/>
      <c r="DZ313" s="51"/>
      <c r="EA313" s="51"/>
      <c r="EB313" s="51"/>
      <c r="EC313" s="19"/>
      <c r="ED313" s="14"/>
      <c r="EE313" s="14"/>
      <c r="EF313" s="14"/>
      <c r="EG313" s="14"/>
      <c r="EH313" s="14"/>
      <c r="EI313" s="14"/>
      <c r="EJ313" s="14"/>
      <c r="EK313" s="14"/>
      <c r="EL313" s="14"/>
    </row>
    <row r="314" spans="1:142" x14ac:dyDescent="0.25">
      <c r="A314" s="14"/>
      <c r="B314" s="526"/>
      <c r="C314" s="543"/>
      <c r="D314" s="543"/>
      <c r="E314" s="543"/>
      <c r="F314" s="543"/>
      <c r="G314" s="543"/>
      <c r="H314" s="543"/>
      <c r="I314" s="527"/>
      <c r="J314" s="14"/>
      <c r="K314" s="14"/>
      <c r="L314" s="14"/>
      <c r="M314" s="14"/>
      <c r="N314" s="14"/>
      <c r="O314" s="14"/>
      <c r="P314" s="14"/>
      <c r="Q314" s="47"/>
      <c r="R314" s="14"/>
      <c r="S314" s="526"/>
      <c r="T314" s="543"/>
      <c r="U314" s="543"/>
      <c r="V314" s="543"/>
      <c r="W314" s="543"/>
      <c r="X314" s="543"/>
      <c r="Y314" s="543"/>
      <c r="Z314" s="527"/>
      <c r="AA314" s="14"/>
      <c r="AB314" s="14"/>
      <c r="AC314" s="14"/>
      <c r="AD314" s="65"/>
      <c r="AE314" s="63"/>
      <c r="AF314" s="47"/>
      <c r="AG314" s="14"/>
      <c r="AH314" s="526"/>
      <c r="AI314" s="543"/>
      <c r="AJ314" s="543"/>
      <c r="AK314" s="543"/>
      <c r="AL314" s="543"/>
      <c r="AM314" s="543"/>
      <c r="AN314" s="543"/>
      <c r="AO314" s="527"/>
      <c r="AP314" s="14"/>
      <c r="AQ314" s="14"/>
      <c r="AR314" s="14"/>
      <c r="AS314" s="65"/>
      <c r="AT314" s="63"/>
      <c r="AU314" s="47"/>
      <c r="AV314" s="14"/>
      <c r="AW314" s="526"/>
      <c r="AX314" s="543"/>
      <c r="AY314" s="543"/>
      <c r="AZ314" s="543"/>
      <c r="BA314" s="543"/>
      <c r="BB314" s="543"/>
      <c r="BC314" s="543"/>
      <c r="BD314" s="527"/>
      <c r="BE314" s="14"/>
      <c r="BF314" s="14"/>
      <c r="BG314" s="14"/>
      <c r="BH314" s="65"/>
      <c r="BI314" s="63"/>
      <c r="BJ314" s="352"/>
      <c r="BK314" s="14"/>
      <c r="BL314" s="526"/>
      <c r="BM314" s="543"/>
      <c r="BN314" s="543"/>
      <c r="BO314" s="543"/>
      <c r="BP314" s="543"/>
      <c r="BQ314" s="543"/>
      <c r="BR314" s="543"/>
      <c r="BS314" s="527"/>
      <c r="BT314" s="14"/>
      <c r="BU314" s="14"/>
      <c r="BV314" s="14"/>
      <c r="BW314" s="65"/>
      <c r="BX314" s="63"/>
      <c r="BY314" s="352"/>
      <c r="BZ314" s="14"/>
      <c r="CA314" s="14"/>
      <c r="CB314" s="21"/>
      <c r="CC314" s="21"/>
      <c r="CD314" s="21"/>
      <c r="CE314" s="21"/>
      <c r="CF314" s="21"/>
      <c r="CG314" s="14"/>
      <c r="CH314" s="14"/>
      <c r="CI314" s="14"/>
      <c r="CJ314" s="14"/>
      <c r="CK314" s="14"/>
      <c r="CL314" s="14"/>
      <c r="CM314" s="14"/>
      <c r="CN314" s="14"/>
      <c r="CO314" s="129"/>
      <c r="CP314" s="14"/>
      <c r="CQ314" s="47"/>
      <c r="CR314" s="14"/>
      <c r="CS314" s="14"/>
      <c r="CT314" s="14"/>
      <c r="CU314" s="14"/>
      <c r="CV314" s="180"/>
      <c r="CW314" s="189"/>
      <c r="CX314" s="189"/>
      <c r="CY314" s="14"/>
      <c r="CZ314" s="14"/>
      <c r="DA314" s="14"/>
      <c r="DB314" s="14"/>
      <c r="DC314" s="14"/>
      <c r="DD314" s="14"/>
      <c r="DE314" s="14"/>
      <c r="DF314" s="14"/>
      <c r="DG314" s="129"/>
      <c r="DH314" s="14"/>
      <c r="DI314" s="47"/>
      <c r="DJ314" s="14"/>
      <c r="DK314" s="14"/>
      <c r="DL314" s="14"/>
      <c r="DM314" s="14"/>
      <c r="DN314" s="14"/>
      <c r="DO314" s="14"/>
      <c r="DP314" s="14"/>
      <c r="DQ314" s="14"/>
      <c r="DR314" s="14"/>
      <c r="DS314" s="14"/>
      <c r="DT314" s="19"/>
      <c r="DU314" s="107"/>
      <c r="DV314" s="105"/>
      <c r="DW314" s="105"/>
      <c r="DX314" s="105"/>
      <c r="DY314" s="105"/>
      <c r="DZ314" s="105"/>
      <c r="EA314" s="105"/>
      <c r="EB314" s="105"/>
      <c r="EC314" s="19"/>
      <c r="ED314" s="14"/>
      <c r="EE314" s="14"/>
      <c r="EF314" s="14"/>
      <c r="EG314" s="14"/>
      <c r="EH314" s="14"/>
      <c r="EI314" s="14"/>
      <c r="EJ314" s="14"/>
      <c r="EK314" s="14"/>
      <c r="EL314" s="14"/>
    </row>
    <row r="315" spans="1:142" x14ac:dyDescent="0.25">
      <c r="A315" s="14"/>
      <c r="B315" s="528"/>
      <c r="C315" s="544"/>
      <c r="D315" s="544"/>
      <c r="E315" s="544"/>
      <c r="F315" s="544"/>
      <c r="G315" s="544"/>
      <c r="H315" s="544"/>
      <c r="I315" s="529"/>
      <c r="J315" s="14"/>
      <c r="K315" s="14"/>
      <c r="L315" s="14"/>
      <c r="M315" s="14"/>
      <c r="N315" s="14"/>
      <c r="O315" s="14"/>
      <c r="P315" s="14"/>
      <c r="Q315" s="47"/>
      <c r="R315" s="14"/>
      <c r="S315" s="528"/>
      <c r="T315" s="544"/>
      <c r="U315" s="544"/>
      <c r="V315" s="544"/>
      <c r="W315" s="544"/>
      <c r="X315" s="544"/>
      <c r="Y315" s="544"/>
      <c r="Z315" s="529"/>
      <c r="AA315" s="14"/>
      <c r="AB315" s="14"/>
      <c r="AC315" s="14"/>
      <c r="AD315" s="65"/>
      <c r="AE315" s="63"/>
      <c r="AF315" s="47"/>
      <c r="AG315" s="14"/>
      <c r="AH315" s="528"/>
      <c r="AI315" s="544"/>
      <c r="AJ315" s="544"/>
      <c r="AK315" s="544"/>
      <c r="AL315" s="544"/>
      <c r="AM315" s="544"/>
      <c r="AN315" s="544"/>
      <c r="AO315" s="529"/>
      <c r="AP315" s="14"/>
      <c r="AQ315" s="14"/>
      <c r="AR315" s="14"/>
      <c r="AS315" s="65"/>
      <c r="AT315" s="63"/>
      <c r="AU315" s="47"/>
      <c r="AV315" s="14"/>
      <c r="AW315" s="528"/>
      <c r="AX315" s="544"/>
      <c r="AY315" s="544"/>
      <c r="AZ315" s="544"/>
      <c r="BA315" s="544"/>
      <c r="BB315" s="544"/>
      <c r="BC315" s="544"/>
      <c r="BD315" s="529"/>
      <c r="BE315" s="14"/>
      <c r="BF315" s="14"/>
      <c r="BG315" s="14"/>
      <c r="BH315" s="65"/>
      <c r="BI315" s="63"/>
      <c r="BJ315" s="352"/>
      <c r="BK315" s="14"/>
      <c r="BL315" s="528"/>
      <c r="BM315" s="544"/>
      <c r="BN315" s="544"/>
      <c r="BO315" s="544"/>
      <c r="BP315" s="544"/>
      <c r="BQ315" s="544"/>
      <c r="BR315" s="544"/>
      <c r="BS315" s="529"/>
      <c r="BT315" s="14"/>
      <c r="BU315" s="14"/>
      <c r="BV315" s="14"/>
      <c r="BW315" s="65"/>
      <c r="BX315" s="63"/>
      <c r="BY315" s="352"/>
      <c r="BZ315" s="14"/>
      <c r="CA315" s="14"/>
      <c r="CB315" s="21"/>
      <c r="CC315" s="21"/>
      <c r="CD315" s="21"/>
      <c r="CE315" s="21"/>
      <c r="CF315" s="21"/>
      <c r="CG315" s="14"/>
      <c r="CH315" s="14"/>
      <c r="CI315" s="14"/>
      <c r="CJ315" s="14"/>
      <c r="CK315" s="14"/>
      <c r="CL315" s="14"/>
      <c r="CM315" s="14"/>
      <c r="CN315" s="14"/>
      <c r="CO315" s="129"/>
      <c r="CP315" s="14"/>
      <c r="CQ315" s="47"/>
      <c r="CR315" s="14"/>
      <c r="CS315" s="14"/>
      <c r="CT315" s="14"/>
      <c r="CU315" s="14"/>
      <c r="CV315" s="180"/>
      <c r="CW315" s="189"/>
      <c r="CX315" s="189"/>
      <c r="CY315" s="14"/>
      <c r="CZ315" s="14"/>
      <c r="DA315" s="14"/>
      <c r="DB315" s="14"/>
      <c r="DC315" s="14"/>
      <c r="DD315" s="14"/>
      <c r="DE315" s="14"/>
      <c r="DF315" s="14"/>
      <c r="DG315" s="129"/>
      <c r="DH315" s="14"/>
      <c r="DI315" s="47"/>
      <c r="DJ315" s="14"/>
      <c r="DK315" s="14"/>
      <c r="DL315" s="14"/>
      <c r="DM315" s="14"/>
      <c r="DN315" s="14"/>
      <c r="DO315" s="14"/>
      <c r="DP315" s="14"/>
      <c r="DQ315" s="14"/>
      <c r="DR315" s="14"/>
      <c r="DS315" s="14"/>
      <c r="DT315" s="19"/>
      <c r="DU315" s="107"/>
      <c r="DV315" s="105"/>
      <c r="DW315" s="105"/>
      <c r="DX315" s="105"/>
      <c r="DY315" s="105"/>
      <c r="DZ315" s="105"/>
      <c r="EA315" s="105"/>
      <c r="EB315" s="105"/>
      <c r="EC315" s="19"/>
      <c r="ED315" s="14"/>
      <c r="EE315" s="14"/>
      <c r="EF315" s="14"/>
      <c r="EG315" s="14"/>
      <c r="EH315" s="14"/>
      <c r="EI315" s="14"/>
      <c r="EJ315" s="14"/>
      <c r="EK315" s="14"/>
      <c r="EL315" s="14"/>
    </row>
    <row r="316" spans="1:142" x14ac:dyDescent="0.25">
      <c r="A316" s="14"/>
      <c r="B316" s="19"/>
      <c r="C316" s="40"/>
      <c r="D316" s="41"/>
      <c r="E316" s="40"/>
      <c r="F316" s="40"/>
      <c r="G316" s="40"/>
      <c r="H316" s="41"/>
      <c r="I316" s="72"/>
      <c r="J316" s="14"/>
      <c r="K316" s="14"/>
      <c r="L316" s="14"/>
      <c r="M316" s="14"/>
      <c r="N316" s="14"/>
      <c r="O316" s="14"/>
      <c r="P316" s="318"/>
      <c r="Q316" s="47"/>
      <c r="R316" s="14"/>
      <c r="S316" s="19"/>
      <c r="T316" s="14"/>
      <c r="U316" s="14"/>
      <c r="V316" s="14"/>
      <c r="W316" s="14"/>
      <c r="X316" s="14"/>
      <c r="Y316" s="14"/>
      <c r="Z316" s="14"/>
      <c r="AA316" s="14"/>
      <c r="AB316" s="14"/>
      <c r="AC316" s="14"/>
      <c r="AD316" s="65"/>
      <c r="AE316" s="63"/>
      <c r="AF316" s="47"/>
      <c r="AG316" s="14"/>
      <c r="AH316" s="19"/>
      <c r="AI316" s="14"/>
      <c r="AJ316" s="14"/>
      <c r="AK316" s="14"/>
      <c r="AL316" s="14"/>
      <c r="AM316" s="14"/>
      <c r="AN316" s="14"/>
      <c r="AO316" s="14"/>
      <c r="AP316" s="14"/>
      <c r="AQ316" s="14"/>
      <c r="AR316" s="14"/>
      <c r="AS316" s="65"/>
      <c r="AT316" s="63"/>
      <c r="AU316" s="47"/>
      <c r="AV316" s="14"/>
      <c r="AW316" s="19"/>
      <c r="AX316" s="14"/>
      <c r="AY316" s="14"/>
      <c r="AZ316" s="14"/>
      <c r="BA316" s="14"/>
      <c r="BB316" s="14"/>
      <c r="BC316" s="14"/>
      <c r="BD316" s="14"/>
      <c r="BE316" s="14"/>
      <c r="BF316" s="14"/>
      <c r="BG316" s="14"/>
      <c r="BH316" s="65"/>
      <c r="BI316" s="63"/>
      <c r="BJ316" s="352"/>
      <c r="BK316" s="14"/>
      <c r="BL316" s="19"/>
      <c r="BM316" s="14"/>
      <c r="BN316" s="14"/>
      <c r="BO316" s="14"/>
      <c r="BP316" s="14"/>
      <c r="BQ316" s="14"/>
      <c r="BR316" s="14"/>
      <c r="BS316" s="14"/>
      <c r="BT316" s="14"/>
      <c r="BU316" s="14"/>
      <c r="BV316" s="14"/>
      <c r="BW316" s="65"/>
      <c r="BX316" s="63"/>
      <c r="BY316" s="352"/>
      <c r="BZ316" s="14"/>
      <c r="CA316" s="14"/>
      <c r="CB316" s="21"/>
      <c r="CC316" s="21"/>
      <c r="CD316" s="21"/>
      <c r="CE316" s="21"/>
      <c r="CF316" s="21"/>
      <c r="CG316" s="14"/>
      <c r="CH316" s="14"/>
      <c r="CI316" s="14"/>
      <c r="CJ316" s="14"/>
      <c r="CK316" s="14"/>
      <c r="CL316" s="14"/>
      <c r="CM316" s="14"/>
      <c r="CN316" s="14"/>
      <c r="CO316" s="129"/>
      <c r="CP316" s="14"/>
      <c r="CQ316" s="49"/>
      <c r="CR316" s="14"/>
      <c r="CS316" s="14"/>
      <c r="CT316" s="14"/>
      <c r="CU316" s="14"/>
      <c r="CV316" s="180"/>
      <c r="CW316" s="189"/>
      <c r="CX316" s="189"/>
      <c r="CY316" s="14"/>
      <c r="CZ316" s="14"/>
      <c r="DA316" s="14"/>
      <c r="DB316" s="14"/>
      <c r="DC316" s="14"/>
      <c r="DD316" s="14"/>
      <c r="DE316" s="14"/>
      <c r="DF316" s="14"/>
      <c r="DG316" s="129"/>
      <c r="DH316" s="14"/>
      <c r="DI316" s="49"/>
      <c r="DJ316" s="14"/>
      <c r="DK316" s="14"/>
      <c r="DL316" s="14"/>
      <c r="DM316" s="14"/>
      <c r="DN316" s="14"/>
      <c r="DO316" s="14"/>
      <c r="DP316" s="14"/>
      <c r="DQ316" s="14"/>
      <c r="DR316" s="14"/>
      <c r="DS316" s="14"/>
      <c r="DT316" s="19"/>
      <c r="DU316" s="107"/>
      <c r="DV316" s="105"/>
      <c r="DW316" s="105"/>
      <c r="DX316" s="105"/>
      <c r="DY316" s="105"/>
      <c r="DZ316" s="105"/>
      <c r="EA316" s="105"/>
      <c r="EB316" s="105"/>
      <c r="EC316" s="19"/>
      <c r="ED316" s="14"/>
      <c r="EE316" s="14"/>
      <c r="EF316" s="14"/>
      <c r="EG316" s="14"/>
      <c r="EH316" s="14"/>
      <c r="EI316" s="14"/>
      <c r="EJ316" s="14"/>
      <c r="EK316" s="14"/>
      <c r="EL316" s="14"/>
    </row>
    <row r="317" spans="1:142" x14ac:dyDescent="0.25">
      <c r="A317" s="78"/>
      <c r="B317" s="87" t="s">
        <v>764</v>
      </c>
      <c r="C317" s="78"/>
      <c r="D317" s="79"/>
      <c r="E317" s="78"/>
      <c r="F317" s="78"/>
      <c r="G317" s="78"/>
      <c r="H317" s="79"/>
      <c r="I317" s="79"/>
      <c r="J317" s="78"/>
      <c r="K317" s="78"/>
      <c r="L317" s="78"/>
      <c r="M317" s="78"/>
      <c r="N317" s="78"/>
      <c r="O317" s="78"/>
      <c r="P317" s="78"/>
      <c r="Q317" s="47"/>
      <c r="R317" s="19"/>
      <c r="S317" s="44"/>
      <c r="T317" s="44"/>
      <c r="U317" s="44"/>
      <c r="V317" s="44"/>
      <c r="W317" s="19"/>
      <c r="X317" s="14"/>
      <c r="Y317" s="14"/>
      <c r="Z317" s="14"/>
      <c r="AA317" s="14"/>
      <c r="AB317" s="14"/>
      <c r="AC317" s="14"/>
      <c r="AD317" s="42"/>
      <c r="AE317" s="19"/>
      <c r="AF317" s="47"/>
      <c r="AG317" s="19"/>
      <c r="AH317" s="19"/>
      <c r="AI317" s="14"/>
      <c r="AJ317" s="14"/>
      <c r="AK317" s="14"/>
      <c r="AL317" s="14"/>
      <c r="AM317" s="14"/>
      <c r="AN317" s="14"/>
      <c r="AO317" s="14"/>
      <c r="AP317" s="14"/>
      <c r="AQ317" s="14"/>
      <c r="AR317" s="14"/>
      <c r="AS317" s="42"/>
      <c r="AT317" s="19"/>
      <c r="AU317" s="16"/>
      <c r="AV317" s="14"/>
      <c r="AW317" s="19"/>
      <c r="AX317" s="14"/>
      <c r="AY317" s="14"/>
      <c r="AZ317" s="14"/>
      <c r="BA317" s="14"/>
      <c r="BB317" s="14"/>
      <c r="BC317" s="14"/>
      <c r="BD317" s="14"/>
      <c r="BE317" s="14"/>
      <c r="BF317" s="14"/>
      <c r="BG317" s="14"/>
      <c r="BH317" s="65"/>
      <c r="BI317" s="63"/>
      <c r="BJ317" s="352"/>
      <c r="BK317" s="19"/>
      <c r="BL317" s="19"/>
      <c r="BM317" s="14"/>
      <c r="BN317" s="14"/>
      <c r="BO317" s="14"/>
      <c r="BP317" s="14"/>
      <c r="BQ317" s="14"/>
      <c r="BR317" s="14"/>
      <c r="BS317" s="14"/>
      <c r="BT317" s="14"/>
      <c r="BU317" s="14"/>
      <c r="BV317" s="14"/>
      <c r="BW317" s="65"/>
      <c r="BX317" s="63"/>
      <c r="BY317" s="352"/>
      <c r="BZ317" s="14"/>
      <c r="CA317" s="14"/>
      <c r="CB317" s="21"/>
      <c r="CC317" s="21"/>
      <c r="CD317" s="21"/>
      <c r="CE317" s="21"/>
      <c r="CF317" s="21"/>
      <c r="CG317" s="14"/>
      <c r="CH317" s="14"/>
      <c r="CI317" s="14"/>
      <c r="CJ317" s="14"/>
      <c r="CK317" s="14"/>
      <c r="CL317" s="14"/>
      <c r="CM317" s="14"/>
      <c r="CN317" s="14"/>
      <c r="CO317" s="129"/>
      <c r="CP317" s="14"/>
      <c r="CQ317" s="16"/>
      <c r="CR317" s="14"/>
      <c r="CS317" s="14"/>
      <c r="CT317" s="14"/>
      <c r="CU317" s="14"/>
      <c r="CV317" s="180"/>
      <c r="CW317" s="189"/>
      <c r="CX317" s="189"/>
      <c r="CY317" s="14"/>
      <c r="CZ317" s="14"/>
      <c r="DA317" s="14"/>
      <c r="DB317" s="14"/>
      <c r="DC317" s="14"/>
      <c r="DD317" s="14"/>
      <c r="DE317" s="14"/>
      <c r="DF317" s="14"/>
      <c r="DG317" s="129"/>
      <c r="DH317" s="14"/>
      <c r="DI317" s="16"/>
      <c r="DJ317" s="14"/>
      <c r="DK317" s="14"/>
      <c r="DL317" s="14"/>
      <c r="DM317" s="14"/>
      <c r="DN317" s="14"/>
      <c r="DO317" s="14"/>
      <c r="DP317" s="14"/>
      <c r="DQ317" s="14"/>
      <c r="DR317" s="14"/>
      <c r="DS317" s="14"/>
      <c r="DT317" s="19"/>
      <c r="DU317" s="107"/>
      <c r="DV317" s="105"/>
      <c r="DW317" s="105"/>
      <c r="DX317" s="105"/>
      <c r="DY317" s="105"/>
      <c r="DZ317" s="105"/>
      <c r="EA317" s="105"/>
      <c r="EB317" s="105"/>
      <c r="EC317" s="19"/>
      <c r="ED317" s="14"/>
      <c r="EE317" s="14"/>
      <c r="EF317" s="14"/>
      <c r="EG317" s="14"/>
      <c r="EH317" s="14"/>
      <c r="EI317" s="14"/>
      <c r="EJ317" s="14"/>
      <c r="EK317" s="14"/>
      <c r="EL317" s="14"/>
    </row>
    <row r="318" spans="1:142" x14ac:dyDescent="0.25">
      <c r="A318" s="14"/>
      <c r="B318" s="19" t="s">
        <v>772</v>
      </c>
      <c r="C318" s="40"/>
      <c r="D318" s="41"/>
      <c r="E318" s="40"/>
      <c r="F318" s="14"/>
      <c r="G318" s="14"/>
      <c r="H318" s="21"/>
      <c r="I318" s="21"/>
      <c r="J318" s="14"/>
      <c r="K318" s="14"/>
      <c r="L318" s="14"/>
      <c r="M318" s="14"/>
      <c r="N318" s="14"/>
      <c r="O318" s="14"/>
      <c r="P318" s="14"/>
      <c r="Q318" s="47"/>
      <c r="R318" s="19"/>
      <c r="S318" s="14"/>
      <c r="T318" s="14"/>
      <c r="U318" s="14"/>
      <c r="V318" s="14"/>
      <c r="W318" s="14"/>
      <c r="X318" s="14"/>
      <c r="Y318" s="14"/>
      <c r="Z318" s="14"/>
      <c r="AA318" s="14"/>
      <c r="AB318" s="14"/>
      <c r="AC318" s="14"/>
      <c r="AD318" s="42"/>
      <c r="AE318" s="19"/>
      <c r="AF318" s="47"/>
      <c r="AG318" s="19"/>
      <c r="AH318" s="14"/>
      <c r="AI318" s="14"/>
      <c r="AJ318" s="14"/>
      <c r="AK318" s="14"/>
      <c r="AL318" s="14"/>
      <c r="AM318" s="14"/>
      <c r="AN318" s="14"/>
      <c r="AO318" s="14"/>
      <c r="AP318" s="14"/>
      <c r="AQ318" s="14"/>
      <c r="AR318" s="14"/>
      <c r="AS318" s="42"/>
      <c r="AT318" s="19"/>
      <c r="AU318" s="16"/>
      <c r="AV318" s="14"/>
      <c r="AW318" s="14"/>
      <c r="AX318" s="14"/>
      <c r="AY318" s="14"/>
      <c r="AZ318" s="14"/>
      <c r="BA318" s="14"/>
      <c r="BB318" s="14"/>
      <c r="BC318" s="14"/>
      <c r="BD318" s="14"/>
      <c r="BE318" s="14"/>
      <c r="BF318" s="14"/>
      <c r="BG318" s="14"/>
      <c r="BH318" s="65"/>
      <c r="BI318" s="63"/>
      <c r="BJ318" s="352"/>
      <c r="BK318" s="19"/>
      <c r="BL318" s="14"/>
      <c r="BM318" s="14"/>
      <c r="BN318" s="14"/>
      <c r="BO318" s="14"/>
      <c r="BP318" s="14"/>
      <c r="BQ318" s="14"/>
      <c r="BR318" s="14"/>
      <c r="BS318" s="14"/>
      <c r="BT318" s="14"/>
      <c r="BU318" s="14"/>
      <c r="BV318" s="14"/>
      <c r="BW318" s="65"/>
      <c r="BX318" s="63"/>
      <c r="BY318" s="352"/>
      <c r="BZ318" s="14"/>
      <c r="CA318" s="14"/>
      <c r="CB318" s="21"/>
      <c r="CC318" s="21"/>
      <c r="CD318" s="21"/>
      <c r="CE318" s="21"/>
      <c r="CF318" s="21"/>
      <c r="CG318" s="14"/>
      <c r="CH318" s="14"/>
      <c r="CI318" s="14"/>
      <c r="CJ318" s="14"/>
      <c r="CK318" s="14"/>
      <c r="CL318" s="14"/>
      <c r="CM318" s="14"/>
      <c r="CN318" s="14"/>
      <c r="CO318" s="129"/>
      <c r="CP318" s="14"/>
      <c r="CQ318" s="16"/>
      <c r="CR318" s="14"/>
      <c r="CS318" s="14"/>
      <c r="CT318" s="14"/>
      <c r="CU318" s="14"/>
      <c r="CV318" s="180"/>
      <c r="CW318" s="189"/>
      <c r="CX318" s="189"/>
      <c r="CY318" s="14"/>
      <c r="CZ318" s="14"/>
      <c r="DA318" s="14"/>
      <c r="DB318" s="14"/>
      <c r="DC318" s="14"/>
      <c r="DD318" s="14"/>
      <c r="DE318" s="14"/>
      <c r="DF318" s="14"/>
      <c r="DG318" s="129"/>
      <c r="DH318" s="14"/>
      <c r="DI318" s="16"/>
      <c r="DJ318" s="14"/>
      <c r="DK318" s="14"/>
      <c r="DL318" s="14"/>
      <c r="DM318" s="14"/>
      <c r="DN318" s="14"/>
      <c r="DO318" s="14"/>
      <c r="DP318" s="14"/>
      <c r="DQ318" s="14"/>
      <c r="DR318" s="14"/>
      <c r="DS318" s="14"/>
      <c r="DT318" s="19"/>
      <c r="DU318" s="107"/>
      <c r="DV318" s="105"/>
      <c r="DW318" s="105"/>
      <c r="DX318" s="105"/>
      <c r="DY318" s="105"/>
      <c r="DZ318" s="105"/>
      <c r="EA318" s="105"/>
      <c r="EB318" s="105"/>
      <c r="EC318" s="19"/>
      <c r="ED318" s="14"/>
      <c r="EE318" s="14"/>
      <c r="EF318" s="14"/>
      <c r="EG318" s="14"/>
      <c r="EH318" s="14"/>
      <c r="EI318" s="14"/>
      <c r="EJ318" s="14"/>
      <c r="EK318" s="14"/>
      <c r="EL318" s="14"/>
    </row>
    <row r="319" spans="1:142" x14ac:dyDescent="0.25">
      <c r="A319" s="14"/>
      <c r="B319" s="19"/>
      <c r="C319" s="40"/>
      <c r="D319" s="41"/>
      <c r="E319" s="40"/>
      <c r="F319" s="14"/>
      <c r="G319" s="14"/>
      <c r="H319" s="21"/>
      <c r="I319" s="21"/>
      <c r="J319" s="14"/>
      <c r="K319" s="14"/>
      <c r="L319" s="14"/>
      <c r="M319" s="14"/>
      <c r="N319" s="14"/>
      <c r="O319" s="14"/>
      <c r="P319" s="14"/>
      <c r="Q319" s="47"/>
      <c r="R319" s="19"/>
      <c r="S319" s="14"/>
      <c r="T319" s="14"/>
      <c r="U319" s="14"/>
      <c r="V319" s="14"/>
      <c r="W319" s="14"/>
      <c r="X319" s="14"/>
      <c r="Y319" s="14"/>
      <c r="Z319" s="14"/>
      <c r="AA319" s="14"/>
      <c r="AB319" s="14"/>
      <c r="AC319" s="14"/>
      <c r="AD319" s="42"/>
      <c r="AE319" s="19"/>
      <c r="AF319" s="47"/>
      <c r="AG319" s="19"/>
      <c r="AH319" s="14"/>
      <c r="AI319" s="14"/>
      <c r="AJ319" s="14"/>
      <c r="AK319" s="14"/>
      <c r="AL319" s="14"/>
      <c r="AM319" s="14"/>
      <c r="AN319" s="14"/>
      <c r="AO319" s="14"/>
      <c r="AP319" s="14"/>
      <c r="AQ319" s="14"/>
      <c r="AR319" s="14"/>
      <c r="AS319" s="42"/>
      <c r="AT319" s="19"/>
      <c r="AU319" s="16"/>
      <c r="AV319" s="14"/>
      <c r="AW319" s="14"/>
      <c r="AX319" s="14"/>
      <c r="AY319" s="14"/>
      <c r="AZ319" s="14"/>
      <c r="BA319" s="14"/>
      <c r="BB319" s="14"/>
      <c r="BC319" s="14"/>
      <c r="BD319" s="14"/>
      <c r="BE319" s="14"/>
      <c r="BF319" s="14"/>
      <c r="BG319" s="14"/>
      <c r="BH319" s="65"/>
      <c r="BI319" s="63"/>
      <c r="BJ319" s="352"/>
      <c r="BK319" s="19"/>
      <c r="BL319" s="14"/>
      <c r="BM319" s="14"/>
      <c r="BN319" s="14"/>
      <c r="BO319" s="14"/>
      <c r="BP319" s="14"/>
      <c r="BQ319" s="14"/>
      <c r="BR319" s="14"/>
      <c r="BS319" s="14"/>
      <c r="BT319" s="14"/>
      <c r="BU319" s="14"/>
      <c r="BV319" s="14"/>
      <c r="BW319" s="65"/>
      <c r="BX319" s="63"/>
      <c r="BY319" s="352"/>
      <c r="BZ319" s="14"/>
      <c r="CA319" s="14"/>
      <c r="CB319" s="21"/>
      <c r="CC319" s="21"/>
      <c r="CD319" s="21"/>
      <c r="CE319" s="21"/>
      <c r="CF319" s="21"/>
      <c r="CG319" s="14"/>
      <c r="CH319" s="14"/>
      <c r="CI319" s="14"/>
      <c r="CJ319" s="14"/>
      <c r="CK319" s="14"/>
      <c r="CL319" s="14"/>
      <c r="CM319" s="14"/>
      <c r="CN319" s="14"/>
      <c r="CO319" s="129"/>
      <c r="CP319" s="14"/>
      <c r="CQ319" s="16"/>
      <c r="CR319" s="14"/>
      <c r="CS319" s="14"/>
      <c r="CT319" s="14"/>
      <c r="CU319" s="14"/>
      <c r="CV319" s="180"/>
      <c r="CW319" s="189"/>
      <c r="CX319" s="189"/>
      <c r="CY319" s="14"/>
      <c r="CZ319" s="14"/>
      <c r="DA319" s="14"/>
      <c r="DB319" s="14"/>
      <c r="DC319" s="14"/>
      <c r="DD319" s="14"/>
      <c r="DE319" s="14"/>
      <c r="DF319" s="14"/>
      <c r="DG319" s="129"/>
      <c r="DH319" s="14"/>
      <c r="DI319" s="16"/>
      <c r="DJ319" s="14"/>
      <c r="DK319" s="14"/>
      <c r="DL319" s="14"/>
      <c r="DM319" s="14"/>
      <c r="DN319" s="14"/>
      <c r="DO319" s="14"/>
      <c r="DP319" s="14"/>
      <c r="DQ319" s="14"/>
      <c r="DR319" s="14"/>
      <c r="DS319" s="14"/>
      <c r="DT319" s="19"/>
      <c r="DU319" s="199"/>
      <c r="DV319" s="200"/>
      <c r="DW319" s="200"/>
      <c r="DX319" s="200"/>
      <c r="DY319" s="200"/>
      <c r="DZ319" s="200"/>
      <c r="EA319" s="200"/>
      <c r="EB319" s="200"/>
      <c r="EC319" s="19"/>
      <c r="ED319" s="14"/>
      <c r="EE319" s="14"/>
      <c r="EF319" s="14"/>
      <c r="EG319" s="14"/>
      <c r="EH319" s="14"/>
      <c r="EI319" s="14"/>
      <c r="EJ319" s="14"/>
      <c r="EK319" s="14"/>
      <c r="EL319" s="14"/>
    </row>
    <row r="320" spans="1:142" x14ac:dyDescent="0.25">
      <c r="A320" s="14"/>
      <c r="B320" s="379" t="s">
        <v>765</v>
      </c>
      <c r="C320" s="354"/>
      <c r="D320" s="380"/>
      <c r="E320" s="354"/>
      <c r="F320" s="382">
        <f>COUNTIFS(Response_Q181_1,"Somewhat Confident",Response_Q173_5,"I don’t know",Response_Q172_1,"I don’t know",Response_Q176_3,"I don’t know",Response_30c_CaseA,"I don’t know",Response_30c_CaseB,"I don’t know",Response_30c_CaseC,"I don’t know",Response_Q177_2,"I don’t know",Response_Q177_4,"I don’t know",Response_Q177_6,"I don’t know",Response_Q177_8,"I don’t know",Response_Q177_10,"I don’t know",Response_Q177_12,"I don’t know",Response_Q177_14,"I don’t know",Response_Q178_2,"I don’t know",Response_Q178_4,"I don’t know",Response_Q178_6,"I don’t know",Response_Q178_8,"I don’t know",Response_Q178_10,"I don’t know",Response_Q178_12,"I don’t know")</f>
        <v>0</v>
      </c>
      <c r="G320" s="14"/>
      <c r="H320" s="21"/>
      <c r="I320" s="21"/>
      <c r="J320" s="14"/>
      <c r="K320" s="14"/>
      <c r="L320" s="14"/>
      <c r="M320" s="14"/>
      <c r="N320" s="14"/>
      <c r="O320" s="14"/>
      <c r="P320" s="14"/>
      <c r="Q320" s="47"/>
      <c r="R320" s="19"/>
      <c r="S320" s="14"/>
      <c r="T320" s="14"/>
      <c r="U320" s="14"/>
      <c r="V320" s="14"/>
      <c r="W320" s="14"/>
      <c r="X320" s="14"/>
      <c r="Y320" s="14"/>
      <c r="Z320" s="14"/>
      <c r="AA320" s="14"/>
      <c r="AB320" s="14"/>
      <c r="AC320" s="14"/>
      <c r="AD320" s="42"/>
      <c r="AE320" s="19"/>
      <c r="AF320" s="47"/>
      <c r="AG320" s="19"/>
      <c r="AH320" s="14"/>
      <c r="AI320" s="14"/>
      <c r="AJ320" s="14"/>
      <c r="AK320" s="14"/>
      <c r="AL320" s="14"/>
      <c r="AM320" s="14"/>
      <c r="AN320" s="14"/>
      <c r="AO320" s="14"/>
      <c r="AP320" s="14"/>
      <c r="AQ320" s="14"/>
      <c r="AR320" s="14"/>
      <c r="AS320" s="42"/>
      <c r="AT320" s="19"/>
      <c r="AU320" s="16"/>
      <c r="AV320" s="14"/>
      <c r="AW320" s="14"/>
      <c r="AX320" s="14"/>
      <c r="AY320" s="14"/>
      <c r="AZ320" s="14"/>
      <c r="BA320" s="14"/>
      <c r="BB320" s="14"/>
      <c r="BC320" s="14"/>
      <c r="BD320" s="14"/>
      <c r="BE320" s="14"/>
      <c r="BF320" s="14"/>
      <c r="BG320" s="14"/>
      <c r="BH320" s="65"/>
      <c r="BI320" s="63"/>
      <c r="BJ320" s="352"/>
      <c r="BK320" s="19"/>
      <c r="BL320" s="14"/>
      <c r="BM320" s="14"/>
      <c r="BN320" s="14"/>
      <c r="BO320" s="14"/>
      <c r="BP320" s="14"/>
      <c r="BQ320" s="14"/>
      <c r="BR320" s="14"/>
      <c r="BS320" s="14"/>
      <c r="BT320" s="14"/>
      <c r="BU320" s="14"/>
      <c r="BV320" s="14"/>
      <c r="BW320" s="65"/>
      <c r="BX320" s="63"/>
      <c r="BY320" s="352"/>
      <c r="BZ320" s="14"/>
      <c r="CA320" s="14"/>
      <c r="CB320" s="21"/>
      <c r="CC320" s="21"/>
      <c r="CD320" s="21"/>
      <c r="CE320" s="21"/>
      <c r="CF320" s="21"/>
      <c r="CG320" s="14"/>
      <c r="CH320" s="14"/>
      <c r="CI320" s="14"/>
      <c r="CJ320" s="14"/>
      <c r="CK320" s="14"/>
      <c r="CL320" s="14"/>
      <c r="CM320" s="14"/>
      <c r="CN320" s="14"/>
      <c r="CO320" s="129"/>
      <c r="CP320" s="14"/>
      <c r="CQ320" s="16"/>
      <c r="CR320" s="14"/>
      <c r="CS320" s="14"/>
      <c r="CT320" s="14"/>
      <c r="CU320" s="14"/>
      <c r="CV320" s="180"/>
      <c r="CW320" s="189"/>
      <c r="CX320" s="189"/>
      <c r="CY320" s="14"/>
      <c r="CZ320" s="14"/>
      <c r="DA320" s="14"/>
      <c r="DB320" s="14"/>
      <c r="DC320" s="14"/>
      <c r="DD320" s="14"/>
      <c r="DE320" s="14"/>
      <c r="DF320" s="14"/>
      <c r="DG320" s="129"/>
      <c r="DH320" s="14"/>
      <c r="DI320" s="16"/>
      <c r="DJ320" s="14"/>
      <c r="DK320" s="14"/>
      <c r="DL320" s="14"/>
      <c r="DM320" s="14"/>
      <c r="DN320" s="14"/>
      <c r="DO320" s="14"/>
      <c r="DP320" s="14"/>
      <c r="DQ320" s="14"/>
      <c r="DR320" s="14"/>
      <c r="DS320" s="14"/>
      <c r="DT320" s="19"/>
      <c r="DU320" s="19"/>
      <c r="DV320" s="19"/>
      <c r="DW320" s="19"/>
      <c r="DX320" s="19"/>
      <c r="DY320" s="19"/>
      <c r="DZ320" s="19"/>
      <c r="EA320" s="19"/>
      <c r="EB320" s="19"/>
      <c r="EC320" s="19"/>
      <c r="ED320" s="14"/>
      <c r="EE320" s="14"/>
      <c r="EF320" s="14"/>
      <c r="EG320" s="14"/>
      <c r="EH320" s="14"/>
      <c r="EI320" s="14"/>
      <c r="EJ320" s="14"/>
      <c r="EK320" s="14"/>
      <c r="EL320" s="14"/>
    </row>
    <row r="321" spans="1:142" x14ac:dyDescent="0.25">
      <c r="A321" s="14"/>
      <c r="B321" s="203" t="s">
        <v>766</v>
      </c>
      <c r="C321" s="19"/>
      <c r="D321" s="27"/>
      <c r="E321" s="19"/>
      <c r="F321" s="383">
        <f>COUNTIFS(Response_Q181_1,"Confident",Response_Q173_5,"I don’t know",Response_Q172_1,"I don’t know",Response_Q176_3,"I don’t know",Response_30c_CaseA,"I don’t know",Response_30c_CaseB,"I don’t know",Response_30c_CaseC,"I don’t know",Response_Q177_2,"I don’t know",Response_Q177_4,"I don’t know",Response_Q177_6,"I don’t know",Response_Q177_8,"I don’t know",Response_Q177_10,"I don’t know",Response_Q177_12,"I don’t know",Response_Q177_14,"I don’t know",Response_Q178_2,"I don’t know",Response_Q178_4,"I don’t know",Response_Q178_6,"I don’t know",Response_Q178_8,"I don’t know",Response_Q178_10,"I don’t know",Response_Q178_12,"I don’t know")</f>
        <v>0</v>
      </c>
      <c r="G321" s="14"/>
      <c r="H321" s="21"/>
      <c r="I321" s="21"/>
      <c r="J321" s="14"/>
      <c r="K321" s="14"/>
      <c r="L321" s="14"/>
      <c r="M321" s="14"/>
      <c r="N321" s="14"/>
      <c r="O321" s="14"/>
      <c r="P321" s="14"/>
      <c r="Q321" s="47"/>
      <c r="R321" s="19"/>
      <c r="S321" s="14"/>
      <c r="T321" s="14"/>
      <c r="U321" s="14"/>
      <c r="V321" s="14"/>
      <c r="W321" s="14"/>
      <c r="X321" s="14"/>
      <c r="Y321" s="14"/>
      <c r="Z321" s="14"/>
      <c r="AA321" s="14"/>
      <c r="AB321" s="14"/>
      <c r="AC321" s="14"/>
      <c r="AD321" s="42"/>
      <c r="AE321" s="19"/>
      <c r="AF321" s="47"/>
      <c r="AG321" s="19"/>
      <c r="AH321" s="14"/>
      <c r="AI321" s="14"/>
      <c r="AJ321" s="14"/>
      <c r="AK321" s="14"/>
      <c r="AL321" s="14"/>
      <c r="AM321" s="14"/>
      <c r="AN321" s="14"/>
      <c r="AO321" s="14"/>
      <c r="AP321" s="14"/>
      <c r="AQ321" s="14"/>
      <c r="AR321" s="14"/>
      <c r="AS321" s="42"/>
      <c r="AT321" s="19"/>
      <c r="AU321" s="16"/>
      <c r="AV321" s="14"/>
      <c r="AW321" s="14"/>
      <c r="AX321" s="14"/>
      <c r="AY321" s="14"/>
      <c r="AZ321" s="14"/>
      <c r="BA321" s="14"/>
      <c r="BB321" s="14"/>
      <c r="BC321" s="14"/>
      <c r="BD321" s="14"/>
      <c r="BE321" s="14"/>
      <c r="BF321" s="14"/>
      <c r="BG321" s="14"/>
      <c r="BH321" s="65"/>
      <c r="BI321" s="63"/>
      <c r="BJ321" s="352"/>
      <c r="BK321" s="19"/>
      <c r="BL321" s="14"/>
      <c r="BM321" s="14"/>
      <c r="BN321" s="14"/>
      <c r="BO321" s="14"/>
      <c r="BP321" s="14"/>
      <c r="BQ321" s="14"/>
      <c r="BR321" s="14"/>
      <c r="BS321" s="14"/>
      <c r="BT321" s="14"/>
      <c r="BU321" s="14"/>
      <c r="BV321" s="14"/>
      <c r="BW321" s="65"/>
      <c r="BX321" s="63"/>
      <c r="BY321" s="352"/>
      <c r="BZ321" s="14"/>
      <c r="CA321" s="14"/>
      <c r="CB321" s="21"/>
      <c r="CC321" s="21"/>
      <c r="CD321" s="21"/>
      <c r="CE321" s="21"/>
      <c r="CF321" s="21"/>
      <c r="CG321" s="14"/>
      <c r="CH321" s="14"/>
      <c r="CI321" s="14"/>
      <c r="CJ321" s="14"/>
      <c r="CK321" s="14"/>
      <c r="CL321" s="14"/>
      <c r="CM321" s="14"/>
      <c r="CN321" s="14"/>
      <c r="CO321" s="129"/>
      <c r="CP321" s="14"/>
      <c r="CQ321" s="16"/>
      <c r="CR321" s="14"/>
      <c r="CS321" s="14"/>
      <c r="CT321" s="14"/>
      <c r="CU321" s="14"/>
      <c r="CV321" s="180"/>
      <c r="CW321" s="189"/>
      <c r="CX321" s="189"/>
      <c r="CY321" s="14"/>
      <c r="CZ321" s="14"/>
      <c r="DA321" s="14"/>
      <c r="DB321" s="14"/>
      <c r="DC321" s="14"/>
      <c r="DD321" s="14"/>
      <c r="DE321" s="14"/>
      <c r="DF321" s="14"/>
      <c r="DG321" s="129"/>
      <c r="DH321" s="14"/>
      <c r="DI321" s="16"/>
      <c r="DJ321" s="14"/>
      <c r="DK321" s="14"/>
      <c r="DL321" s="14"/>
      <c r="DM321" s="14"/>
      <c r="DN321" s="14"/>
      <c r="DO321" s="14"/>
      <c r="DP321" s="14"/>
      <c r="DQ321" s="14"/>
      <c r="DR321" s="14"/>
      <c r="DS321" s="14"/>
      <c r="DT321" s="19"/>
      <c r="DU321" s="19"/>
      <c r="DV321" s="19"/>
      <c r="DW321" s="19"/>
      <c r="DX321" s="19"/>
      <c r="DY321" s="19"/>
      <c r="DZ321" s="19"/>
      <c r="EA321" s="19"/>
      <c r="EB321" s="19"/>
      <c r="EC321" s="19"/>
      <c r="ED321" s="14"/>
      <c r="EE321" s="14"/>
      <c r="EF321" s="14"/>
      <c r="EG321" s="14"/>
      <c r="EH321" s="14"/>
      <c r="EI321" s="14"/>
      <c r="EJ321" s="14"/>
      <c r="EK321" s="14"/>
      <c r="EL321" s="14"/>
    </row>
    <row r="322" spans="1:142" x14ac:dyDescent="0.25">
      <c r="A322" s="14"/>
      <c r="B322" s="319" t="s">
        <v>767</v>
      </c>
      <c r="C322" s="321"/>
      <c r="D322" s="381"/>
      <c r="E322" s="321"/>
      <c r="F322" s="384">
        <f>COUNTIFS(Response_Q181_1,"Very Confident",Response_Q173_5,"I don’t know",Response_Q172_1,"I don’t know",Response_Q176_3,"I don’t know",Response_30c_CaseA,"I don’t know",Response_30c_CaseB,"I don’t know",Response_30c_CaseC,"I don’t know",Response_Q177_2,"I don’t know",Response_Q177_4,"I don’t know",Response_Q177_6,"I don’t know",Response_Q177_8,"I don’t know",Response_Q177_10,"I don’t know",Response_Q177_12,"I don’t know",Response_Q177_14,"I don’t know",Response_Q178_2,"I don’t know",Response_Q178_4,"I don’t know",Response_Q178_6,"I don’t know",Response_Q178_8,"I don’t know",Response_Q178_10,"I don’t know",Response_Q178_12,"I don’t know")</f>
        <v>0</v>
      </c>
      <c r="G322" s="14"/>
      <c r="H322" s="21"/>
      <c r="I322" s="21"/>
      <c r="J322" s="14"/>
      <c r="K322" s="14"/>
      <c r="L322" s="14"/>
      <c r="M322" s="14"/>
      <c r="N322" s="14"/>
      <c r="O322" s="14"/>
      <c r="P322" s="14"/>
      <c r="Q322" s="47"/>
      <c r="R322" s="19"/>
      <c r="S322" s="14"/>
      <c r="T322" s="14"/>
      <c r="U322" s="14"/>
      <c r="V322" s="14"/>
      <c r="W322" s="14"/>
      <c r="X322" s="14"/>
      <c r="Y322" s="14"/>
      <c r="Z322" s="14"/>
      <c r="AA322" s="14"/>
      <c r="AB322" s="14"/>
      <c r="AC322" s="14"/>
      <c r="AD322" s="42"/>
      <c r="AE322" s="19"/>
      <c r="AF322" s="47"/>
      <c r="AG322" s="19"/>
      <c r="AH322" s="14"/>
      <c r="AI322" s="14"/>
      <c r="AJ322" s="14"/>
      <c r="AK322" s="14"/>
      <c r="AL322" s="14"/>
      <c r="AM322" s="14"/>
      <c r="AN322" s="14"/>
      <c r="AO322" s="14"/>
      <c r="AP322" s="14"/>
      <c r="AQ322" s="14"/>
      <c r="AR322" s="14"/>
      <c r="AS322" s="42"/>
      <c r="AT322" s="19"/>
      <c r="AU322" s="16"/>
      <c r="AV322" s="14"/>
      <c r="AW322" s="14"/>
      <c r="AX322" s="14"/>
      <c r="AY322" s="14"/>
      <c r="AZ322" s="14"/>
      <c r="BA322" s="14"/>
      <c r="BB322" s="14"/>
      <c r="BC322" s="14"/>
      <c r="BD322" s="14"/>
      <c r="BE322" s="14"/>
      <c r="BF322" s="14"/>
      <c r="BG322" s="14"/>
      <c r="BH322" s="65"/>
      <c r="BI322" s="63"/>
      <c r="BJ322" s="352"/>
      <c r="BK322" s="19"/>
      <c r="BL322" s="14"/>
      <c r="BM322" s="14"/>
      <c r="BN322" s="14"/>
      <c r="BO322" s="14"/>
      <c r="BP322" s="14"/>
      <c r="BQ322" s="14"/>
      <c r="BR322" s="14"/>
      <c r="BS322" s="14"/>
      <c r="BT322" s="14"/>
      <c r="BU322" s="14"/>
      <c r="BV322" s="14"/>
      <c r="BW322" s="65"/>
      <c r="BX322" s="63"/>
      <c r="BY322" s="352"/>
      <c r="BZ322" s="14"/>
      <c r="CA322" s="14"/>
      <c r="CB322" s="21"/>
      <c r="CC322" s="21"/>
      <c r="CD322" s="21"/>
      <c r="CE322" s="21"/>
      <c r="CF322" s="21"/>
      <c r="CG322" s="14"/>
      <c r="CH322" s="14"/>
      <c r="CI322" s="14"/>
      <c r="CJ322" s="14"/>
      <c r="CK322" s="14"/>
      <c r="CL322" s="14"/>
      <c r="CM322" s="14"/>
      <c r="CN322" s="14"/>
      <c r="CO322" s="129"/>
      <c r="CP322" s="14"/>
      <c r="CQ322" s="16"/>
      <c r="CR322" s="14"/>
      <c r="CS322" s="14"/>
      <c r="CT322" s="14"/>
      <c r="CU322" s="14"/>
      <c r="CV322" s="180"/>
      <c r="CW322" s="189"/>
      <c r="CX322" s="189"/>
      <c r="CY322" s="14"/>
      <c r="CZ322" s="14"/>
      <c r="DA322" s="14"/>
      <c r="DB322" s="14"/>
      <c r="DC322" s="14"/>
      <c r="DD322" s="14"/>
      <c r="DE322" s="14"/>
      <c r="DF322" s="14"/>
      <c r="DG322" s="129"/>
      <c r="DH322" s="14"/>
      <c r="DI322" s="16"/>
      <c r="DJ322" s="14"/>
      <c r="DK322" s="14"/>
      <c r="DL322" s="14"/>
      <c r="DM322" s="14"/>
      <c r="DN322" s="14"/>
      <c r="DO322" s="14"/>
      <c r="DP322" s="14"/>
      <c r="DQ322" s="14"/>
      <c r="DR322" s="14"/>
      <c r="DS322" s="14"/>
      <c r="DT322" s="19"/>
      <c r="DU322" s="6"/>
      <c r="DV322" s="6"/>
      <c r="DW322" s="6"/>
      <c r="DX322" s="6"/>
      <c r="DY322" s="6"/>
      <c r="DZ322" s="6"/>
      <c r="EA322" s="6"/>
      <c r="EB322" s="6"/>
      <c r="EC322" s="19"/>
      <c r="ED322" s="14"/>
      <c r="EE322" s="14"/>
      <c r="EF322" s="14"/>
      <c r="EG322" s="14"/>
      <c r="EH322" s="14"/>
      <c r="EI322" s="14"/>
      <c r="EJ322" s="14"/>
      <c r="EK322" s="14"/>
      <c r="EL322" s="14"/>
    </row>
    <row r="323" spans="1:142" x14ac:dyDescent="0.25">
      <c r="A323" s="14"/>
      <c r="B323" s="14"/>
      <c r="C323" s="14"/>
      <c r="D323" s="21"/>
      <c r="E323" s="14"/>
      <c r="F323" s="14"/>
      <c r="G323" s="14"/>
      <c r="H323" s="21"/>
      <c r="I323" s="21"/>
      <c r="J323" s="14"/>
      <c r="K323" s="14"/>
      <c r="L323" s="14"/>
      <c r="M323" s="14"/>
      <c r="N323" s="14"/>
      <c r="O323" s="14"/>
      <c r="P323" s="14"/>
      <c r="Q323" s="47"/>
      <c r="R323" s="19"/>
      <c r="S323" s="14"/>
      <c r="T323" s="14"/>
      <c r="U323" s="14"/>
      <c r="V323" s="14"/>
      <c r="W323" s="14"/>
      <c r="X323" s="14"/>
      <c r="Y323" s="14"/>
      <c r="Z323" s="14"/>
      <c r="AA323" s="14"/>
      <c r="AB323" s="14"/>
      <c r="AC323" s="14"/>
      <c r="AD323" s="42"/>
      <c r="AE323" s="19"/>
      <c r="AF323" s="47"/>
      <c r="AG323" s="19"/>
      <c r="AH323" s="14"/>
      <c r="AI323" s="14"/>
      <c r="AJ323" s="14"/>
      <c r="AK323" s="14"/>
      <c r="AL323" s="14"/>
      <c r="AM323" s="14"/>
      <c r="AN323" s="14"/>
      <c r="AO323" s="14"/>
      <c r="AP323" s="14"/>
      <c r="AQ323" s="14"/>
      <c r="AR323" s="14"/>
      <c r="AS323" s="42"/>
      <c r="AT323" s="19"/>
      <c r="AU323" s="16"/>
      <c r="AV323" s="14"/>
      <c r="AW323" s="14"/>
      <c r="AX323" s="14"/>
      <c r="AY323" s="14"/>
      <c r="AZ323" s="14"/>
      <c r="BA323" s="14"/>
      <c r="BB323" s="14"/>
      <c r="BC323" s="14"/>
      <c r="BD323" s="14"/>
      <c r="BE323" s="14"/>
      <c r="BF323" s="14"/>
      <c r="BG323" s="14"/>
      <c r="BH323" s="65"/>
      <c r="BI323" s="63"/>
      <c r="BJ323" s="352"/>
      <c r="BK323" s="19"/>
      <c r="BL323" s="14"/>
      <c r="BM323" s="14"/>
      <c r="BN323" s="14"/>
      <c r="BO323" s="14"/>
      <c r="BP323" s="14"/>
      <c r="BQ323" s="14"/>
      <c r="BR323" s="14"/>
      <c r="BS323" s="14"/>
      <c r="BT323" s="14"/>
      <c r="BU323" s="14"/>
      <c r="BV323" s="14"/>
      <c r="BW323" s="65"/>
      <c r="BX323" s="63"/>
      <c r="BY323" s="352"/>
      <c r="BZ323" s="14"/>
      <c r="CA323" s="14"/>
      <c r="CB323" s="21"/>
      <c r="CC323" s="21"/>
      <c r="CD323" s="21"/>
      <c r="CE323" s="21"/>
      <c r="CF323" s="21"/>
      <c r="CG323" s="14"/>
      <c r="CH323" s="14"/>
      <c r="CI323" s="14"/>
      <c r="CJ323" s="14"/>
      <c r="CK323" s="14"/>
      <c r="CL323" s="14"/>
      <c r="CM323" s="14"/>
      <c r="CN323" s="14"/>
      <c r="CO323" s="129"/>
      <c r="CP323" s="14"/>
      <c r="CQ323" s="16"/>
      <c r="CR323" s="14"/>
      <c r="CS323" s="14"/>
      <c r="CT323" s="14"/>
      <c r="CU323" s="14"/>
      <c r="CV323" s="180"/>
      <c r="CW323" s="189"/>
      <c r="CX323" s="189"/>
      <c r="CY323" s="14"/>
      <c r="CZ323" s="14"/>
      <c r="DA323" s="14"/>
      <c r="DB323" s="14"/>
      <c r="DC323" s="14"/>
      <c r="DD323" s="14"/>
      <c r="DE323" s="14"/>
      <c r="DF323" s="14"/>
      <c r="DG323" s="129"/>
      <c r="DH323" s="14"/>
      <c r="DI323" s="16"/>
      <c r="DJ323" s="14"/>
      <c r="DK323" s="14"/>
      <c r="DL323" s="14"/>
      <c r="DM323" s="14"/>
      <c r="DN323" s="14"/>
      <c r="DO323" s="14"/>
      <c r="DP323" s="14"/>
      <c r="DQ323" s="14"/>
      <c r="DR323" s="14"/>
      <c r="DS323" s="14"/>
      <c r="DT323" s="19"/>
      <c r="DU323" s="6"/>
      <c r="DV323" s="6"/>
      <c r="DW323" s="6"/>
      <c r="DX323" s="6"/>
      <c r="DY323" s="6"/>
      <c r="DZ323" s="6"/>
      <c r="EA323" s="6"/>
      <c r="EB323" s="6"/>
      <c r="EC323" s="19"/>
      <c r="ED323" s="14"/>
      <c r="EE323" s="14"/>
      <c r="EF323" s="14"/>
      <c r="EG323" s="14"/>
      <c r="EH323" s="14"/>
      <c r="EI323" s="14"/>
      <c r="EJ323" s="14"/>
      <c r="EK323" s="14"/>
      <c r="EL323" s="14"/>
    </row>
    <row r="324" spans="1:142" x14ac:dyDescent="0.25">
      <c r="L324" s="22"/>
      <c r="M324" s="22"/>
      <c r="N324" s="22"/>
      <c r="O324" s="22"/>
      <c r="P324" s="22"/>
      <c r="Q324" s="388"/>
      <c r="R324" s="70"/>
      <c r="AC324" s="22"/>
      <c r="AD324" s="393"/>
      <c r="AE324" s="70"/>
      <c r="AF324" s="388"/>
      <c r="AR324" s="22"/>
      <c r="AS324" s="393"/>
      <c r="AT324" s="70"/>
      <c r="AU324" s="388"/>
      <c r="BG324" s="22"/>
      <c r="BH324" s="393"/>
      <c r="BI324" s="70"/>
      <c r="BJ324" s="394"/>
      <c r="BV324" s="22"/>
      <c r="BW324" s="393"/>
      <c r="BX324" s="70"/>
      <c r="BY324" s="394"/>
      <c r="CV324" s="389"/>
      <c r="CW324" s="390"/>
      <c r="CX324" s="390"/>
      <c r="DT324" s="70"/>
      <c r="DU324" s="391"/>
      <c r="DV324" s="392"/>
      <c r="DW324" s="392"/>
      <c r="DX324" s="392"/>
      <c r="DY324" s="392"/>
      <c r="DZ324" s="392"/>
      <c r="EA324" s="392"/>
      <c r="EB324" s="392"/>
      <c r="EC324" s="70"/>
    </row>
    <row r="325" spans="1:142" x14ac:dyDescent="0.25">
      <c r="AD325" s="395"/>
      <c r="AE325" s="396"/>
      <c r="AF325" s="397"/>
      <c r="BH325" s="395"/>
      <c r="BJ325" s="397"/>
      <c r="BW325" s="395"/>
      <c r="BX325" s="396"/>
      <c r="BY325" s="397"/>
      <c r="DT325" s="70"/>
      <c r="DU325" s="391"/>
      <c r="DV325" s="392"/>
      <c r="DW325" s="392"/>
      <c r="DX325" s="392"/>
      <c r="DY325" s="392"/>
      <c r="DZ325" s="392"/>
      <c r="EA325" s="392"/>
      <c r="EB325" s="392"/>
      <c r="EC325" s="70"/>
    </row>
    <row r="326" spans="1:142" x14ac:dyDescent="0.25">
      <c r="DT326" s="70"/>
      <c r="DU326" s="391"/>
      <c r="DV326" s="392"/>
      <c r="DW326" s="392"/>
      <c r="DX326" s="392"/>
      <c r="DY326" s="392"/>
      <c r="DZ326" s="392"/>
      <c r="EA326" s="392"/>
      <c r="EB326" s="392"/>
      <c r="EC326" s="70"/>
    </row>
    <row r="327" spans="1:142" x14ac:dyDescent="0.25">
      <c r="DT327" s="70"/>
      <c r="DU327" s="391"/>
      <c r="DV327" s="392"/>
      <c r="DW327" s="392"/>
      <c r="DX327" s="392"/>
      <c r="DY327" s="392"/>
      <c r="DZ327" s="392"/>
      <c r="EA327" s="392"/>
      <c r="EB327" s="392"/>
      <c r="EC327" s="70"/>
    </row>
    <row r="328" spans="1:142" x14ac:dyDescent="0.25">
      <c r="DT328" s="70"/>
      <c r="DU328" s="70"/>
      <c r="DV328" s="70"/>
      <c r="DW328" s="70"/>
      <c r="DX328" s="70"/>
      <c r="DY328" s="70"/>
      <c r="DZ328" s="70"/>
      <c r="EA328" s="70"/>
      <c r="EB328" s="70"/>
      <c r="EC328" s="70"/>
    </row>
    <row r="329" spans="1:142" x14ac:dyDescent="0.25">
      <c r="DT329" s="70"/>
      <c r="DU329" s="70"/>
      <c r="DV329" s="70"/>
      <c r="DW329" s="70"/>
      <c r="DX329" s="70"/>
      <c r="DY329" s="70"/>
      <c r="DZ329" s="70"/>
      <c r="EA329" s="70"/>
      <c r="EB329" s="70"/>
      <c r="EC329" s="70"/>
    </row>
    <row r="330" spans="1:142" x14ac:dyDescent="0.25">
      <c r="DT330" s="70"/>
      <c r="DU330" s="70"/>
      <c r="DV330" s="70"/>
      <c r="DW330" s="70"/>
      <c r="DX330" s="70"/>
      <c r="DY330" s="70"/>
      <c r="DZ330" s="70"/>
      <c r="EA330" s="70"/>
      <c r="EB330" s="70"/>
      <c r="EC330" s="70"/>
    </row>
    <row r="331" spans="1:142" x14ac:dyDescent="0.25">
      <c r="DT331" s="70"/>
      <c r="DU331" s="70"/>
      <c r="DV331" s="70"/>
      <c r="DW331" s="70"/>
      <c r="DX331" s="70"/>
      <c r="DY331" s="70"/>
      <c r="DZ331" s="70"/>
      <c r="EA331" s="70"/>
      <c r="EB331" s="70"/>
      <c r="EC331" s="70"/>
    </row>
  </sheetData>
  <mergeCells count="85">
    <mergeCell ref="B312:I315"/>
    <mergeCell ref="S312:Z315"/>
    <mergeCell ref="AH312:AO315"/>
    <mergeCell ref="AW312:BD315"/>
    <mergeCell ref="BL312:BS315"/>
    <mergeCell ref="S33:U35"/>
    <mergeCell ref="AH33:AJ35"/>
    <mergeCell ref="AW33:AY35"/>
    <mergeCell ref="BL33:BN35"/>
    <mergeCell ref="CC46:CO46"/>
    <mergeCell ref="CC43:CO43"/>
    <mergeCell ref="CC44:CO44"/>
    <mergeCell ref="CC45:CO45"/>
    <mergeCell ref="CC40:CO40"/>
    <mergeCell ref="G44:J47"/>
    <mergeCell ref="X44:AA47"/>
    <mergeCell ref="AM44:AP47"/>
    <mergeCell ref="BA44:BD47"/>
    <mergeCell ref="BQ44:BT47"/>
    <mergeCell ref="U47:V47"/>
    <mergeCell ref="AJ47:AK47"/>
    <mergeCell ref="AY47:AZ47"/>
    <mergeCell ref="BN47:BO47"/>
    <mergeCell ref="G21:I25"/>
    <mergeCell ref="Y21:AA25"/>
    <mergeCell ref="AM21:AO25"/>
    <mergeCell ref="BB21:BD25"/>
    <mergeCell ref="BQ21:BS25"/>
    <mergeCell ref="CC49:CO49"/>
    <mergeCell ref="CU49:DG49"/>
    <mergeCell ref="CC50:CO50"/>
    <mergeCell ref="CU50:DG50"/>
    <mergeCell ref="DS10:DT13"/>
    <mergeCell ref="DQ21:DS25"/>
    <mergeCell ref="DK10:DM10"/>
    <mergeCell ref="DK11:DQ17"/>
    <mergeCell ref="DP44:DS47"/>
    <mergeCell ref="CU46:DG46"/>
    <mergeCell ref="CC47:CO47"/>
    <mergeCell ref="CU47:DG47"/>
    <mergeCell ref="CU43:DG43"/>
    <mergeCell ref="CU44:DG44"/>
    <mergeCell ref="CU45:DG45"/>
    <mergeCell ref="CC41:CO41"/>
    <mergeCell ref="CU41:DG41"/>
    <mergeCell ref="CC42:CO42"/>
    <mergeCell ref="CU42:DG42"/>
    <mergeCell ref="CC48:CO48"/>
    <mergeCell ref="CU48:DG48"/>
    <mergeCell ref="CC38:CO38"/>
    <mergeCell ref="CU38:DG38"/>
    <mergeCell ref="CC39:CO39"/>
    <mergeCell ref="CU39:DG39"/>
    <mergeCell ref="CU40:DG40"/>
    <mergeCell ref="CC35:CO35"/>
    <mergeCell ref="CU35:DG35"/>
    <mergeCell ref="CC36:CO36"/>
    <mergeCell ref="CU36:DG36"/>
    <mergeCell ref="CC37:CO37"/>
    <mergeCell ref="CU37:DG37"/>
    <mergeCell ref="CC32:CO32"/>
    <mergeCell ref="CU32:DG32"/>
    <mergeCell ref="CC33:CO33"/>
    <mergeCell ref="CU33:DG33"/>
    <mergeCell ref="CC34:CO34"/>
    <mergeCell ref="CU34:DG34"/>
    <mergeCell ref="AP10:AQ13"/>
    <mergeCell ref="BE10:BF13"/>
    <mergeCell ref="BT10:BU13"/>
    <mergeCell ref="CC31:CO31"/>
    <mergeCell ref="CU31:DG31"/>
    <mergeCell ref="BL10:BN10"/>
    <mergeCell ref="AW11:BC17"/>
    <mergeCell ref="BL11:BR17"/>
    <mergeCell ref="AW10:AY10"/>
    <mergeCell ref="A4:C4"/>
    <mergeCell ref="E4:G4"/>
    <mergeCell ref="A5:F5"/>
    <mergeCell ref="S10:U10"/>
    <mergeCell ref="AH10:AJ10"/>
    <mergeCell ref="J10:K13"/>
    <mergeCell ref="AA10:AB13"/>
    <mergeCell ref="B11:H17"/>
    <mergeCell ref="S11:Y17"/>
    <mergeCell ref="AH11:AN17"/>
  </mergeCells>
  <conditionalFormatting sqref="CP193:CP199">
    <cfRule type="colorScale" priority="161">
      <colorScale>
        <cfvo type="min"/>
        <cfvo type="percentile" val="50"/>
        <cfvo type="max"/>
        <color rgb="FFF8696B"/>
        <color rgb="FFFFEB84"/>
        <color rgb="FF63BE7B"/>
      </colorScale>
    </cfRule>
  </conditionalFormatting>
  <conditionalFormatting sqref="CP166:CP172">
    <cfRule type="colorScale" priority="160">
      <colorScale>
        <cfvo type="min"/>
        <cfvo type="percentile" val="50"/>
        <cfvo type="max"/>
        <color rgb="FFF8696B"/>
        <color rgb="FFFFEB84"/>
        <color rgb="FF63BE7B"/>
      </colorScale>
    </cfRule>
  </conditionalFormatting>
  <conditionalFormatting sqref="CP139:CP145">
    <cfRule type="colorScale" priority="159">
      <colorScale>
        <cfvo type="min"/>
        <cfvo type="percentile" val="50"/>
        <cfvo type="max"/>
        <color rgb="FFF8696B"/>
        <color rgb="FFFFEB84"/>
        <color rgb="FF63BE7B"/>
      </colorScale>
    </cfRule>
  </conditionalFormatting>
  <conditionalFormatting sqref="CP112:CP118">
    <cfRule type="colorScale" priority="158">
      <colorScale>
        <cfvo type="min"/>
        <cfvo type="percentile" val="50"/>
        <cfvo type="max"/>
        <color rgb="FFF8696B"/>
        <color rgb="FFFFEB84"/>
        <color rgb="FF63BE7B"/>
      </colorScale>
    </cfRule>
  </conditionalFormatting>
  <conditionalFormatting sqref="CP85:CP91">
    <cfRule type="colorScale" priority="157">
      <colorScale>
        <cfvo type="min"/>
        <cfvo type="percentile" val="50"/>
        <cfvo type="max"/>
        <color rgb="FFF8696B"/>
        <color rgb="FFFFEB84"/>
        <color rgb="FF63BE7B"/>
      </colorScale>
    </cfRule>
  </conditionalFormatting>
  <conditionalFormatting sqref="CI220:CP226">
    <cfRule type="colorScale" priority="156">
      <colorScale>
        <cfvo type="min"/>
        <cfvo type="percentile" val="50"/>
        <cfvo type="max"/>
        <color rgb="FFF8696B"/>
        <color rgb="FFFFEB84"/>
        <color rgb="FF63BE7B"/>
      </colorScale>
    </cfRule>
  </conditionalFormatting>
  <conditionalFormatting sqref="CY220:CZ224 CZ225:CZ227">
    <cfRule type="colorScale" priority="155">
      <colorScale>
        <cfvo type="min"/>
        <cfvo type="percentile" val="50"/>
        <cfvo type="max"/>
        <color rgb="FFF8696B"/>
        <color rgb="FFFFEB84"/>
        <color rgb="FF63BE7B"/>
      </colorScale>
    </cfRule>
  </conditionalFormatting>
  <conditionalFormatting sqref="DG11:DG18">
    <cfRule type="colorScale" priority="154">
      <colorScale>
        <cfvo type="min"/>
        <cfvo type="max"/>
        <color rgb="FFFCFCFF"/>
        <color theme="4" tint="-0.249977111117893"/>
      </colorScale>
    </cfRule>
  </conditionalFormatting>
  <conditionalFormatting sqref="CP30">
    <cfRule type="colorScale" priority="151">
      <colorScale>
        <cfvo type="min"/>
        <cfvo type="percentile" val="50"/>
        <cfvo type="max"/>
        <color rgb="FFF8696B"/>
        <color rgb="FFFFEB84"/>
        <color rgb="FF63BE7B"/>
      </colorScale>
    </cfRule>
  </conditionalFormatting>
  <conditionalFormatting sqref="CP30">
    <cfRule type="colorScale" priority="150">
      <colorScale>
        <cfvo type="min"/>
        <cfvo type="max"/>
        <color rgb="FFFCFCFF"/>
        <color rgb="FF63BE7B"/>
      </colorScale>
    </cfRule>
  </conditionalFormatting>
  <conditionalFormatting sqref="CY17:CY20">
    <cfRule type="colorScale" priority="149">
      <colorScale>
        <cfvo type="min"/>
        <cfvo type="max"/>
        <color rgb="FFFCFCFF"/>
        <color rgb="FF63BE7B"/>
      </colorScale>
    </cfRule>
  </conditionalFormatting>
  <conditionalFormatting sqref="DJ193:DJ199">
    <cfRule type="colorScale" priority="148">
      <colorScale>
        <cfvo type="min"/>
        <cfvo type="percentile" val="50"/>
        <cfvo type="max"/>
        <color rgb="FFF8696B"/>
        <color rgb="FFFFEB84"/>
        <color rgb="FF63BE7B"/>
      </colorScale>
    </cfRule>
  </conditionalFormatting>
  <conditionalFormatting sqref="DJ166:DJ172">
    <cfRule type="colorScale" priority="147">
      <colorScale>
        <cfvo type="min"/>
        <cfvo type="percentile" val="50"/>
        <cfvo type="max"/>
        <color rgb="FFF8696B"/>
        <color rgb="FFFFEB84"/>
        <color rgb="FF63BE7B"/>
      </colorScale>
    </cfRule>
  </conditionalFormatting>
  <conditionalFormatting sqref="DJ139:DJ145">
    <cfRule type="colorScale" priority="146">
      <colorScale>
        <cfvo type="min"/>
        <cfvo type="percentile" val="50"/>
        <cfvo type="max"/>
        <color rgb="FFF8696B"/>
        <color rgb="FFFFEB84"/>
        <color rgb="FF63BE7B"/>
      </colorScale>
    </cfRule>
  </conditionalFormatting>
  <conditionalFormatting sqref="DJ112:DJ118">
    <cfRule type="colorScale" priority="145">
      <colorScale>
        <cfvo type="min"/>
        <cfvo type="percentile" val="50"/>
        <cfvo type="max"/>
        <color rgb="FFF8696B"/>
        <color rgb="FFFFEB84"/>
        <color rgb="FF63BE7B"/>
      </colorScale>
    </cfRule>
  </conditionalFormatting>
  <conditionalFormatting sqref="DJ85:DJ91">
    <cfRule type="colorScale" priority="144">
      <colorScale>
        <cfvo type="min"/>
        <cfvo type="percentile" val="50"/>
        <cfvo type="max"/>
        <color rgb="FFF8696B"/>
        <color rgb="FFFFEB84"/>
        <color rgb="FF63BE7B"/>
      </colorScale>
    </cfRule>
  </conditionalFormatting>
  <conditionalFormatting sqref="DJ58:DJ64">
    <cfRule type="colorScale" priority="143">
      <colorScale>
        <cfvo type="min"/>
        <cfvo type="percentile" val="50"/>
        <cfvo type="max"/>
        <color rgb="FFF8696B"/>
        <color rgb="FFFFEB84"/>
        <color rgb="FF63BE7B"/>
      </colorScale>
    </cfRule>
  </conditionalFormatting>
  <conditionalFormatting sqref="DJ17:DJ23">
    <cfRule type="colorScale" priority="142">
      <colorScale>
        <cfvo type="min"/>
        <cfvo type="percentile" val="50"/>
        <cfvo type="max"/>
        <color rgb="FFF8696B"/>
        <color rgb="FFFFEB84"/>
        <color rgb="FF63BE7B"/>
      </colorScale>
    </cfRule>
  </conditionalFormatting>
  <conditionalFormatting sqref="DJ220:DJ226">
    <cfRule type="colorScale" priority="141">
      <colorScale>
        <cfvo type="min"/>
        <cfvo type="percentile" val="50"/>
        <cfvo type="max"/>
        <color rgb="FFF8696B"/>
        <color rgb="FFFFEB84"/>
        <color rgb="FF63BE7B"/>
      </colorScale>
    </cfRule>
  </conditionalFormatting>
  <conditionalFormatting sqref="DJ17:DJ24">
    <cfRule type="colorScale" priority="140">
      <colorScale>
        <cfvo type="min"/>
        <cfvo type="max"/>
        <color rgb="FFFCFCFF"/>
        <color rgb="FF63BE7B"/>
      </colorScale>
    </cfRule>
  </conditionalFormatting>
  <conditionalFormatting sqref="CY70:CY72">
    <cfRule type="colorScale" priority="138">
      <colorScale>
        <cfvo type="min"/>
        <cfvo type="max"/>
        <color rgb="FFFCFCFF"/>
        <color rgb="FF63BE7B"/>
      </colorScale>
    </cfRule>
  </conditionalFormatting>
  <conditionalFormatting sqref="CY97:CY99">
    <cfRule type="colorScale" priority="136">
      <colorScale>
        <cfvo type="min"/>
        <cfvo type="max"/>
        <color rgb="FFFCFCFF"/>
        <color rgb="FF63BE7B"/>
      </colorScale>
    </cfRule>
  </conditionalFormatting>
  <conditionalFormatting sqref="CY124:CY126">
    <cfRule type="colorScale" priority="134">
      <colorScale>
        <cfvo type="min"/>
        <cfvo type="max"/>
        <color rgb="FFFCFCFF"/>
        <color rgb="FF63BE7B"/>
      </colorScale>
    </cfRule>
  </conditionalFormatting>
  <conditionalFormatting sqref="CY151:CY153">
    <cfRule type="colorScale" priority="132">
      <colorScale>
        <cfvo type="min"/>
        <cfvo type="max"/>
        <color rgb="FFFCFCFF"/>
        <color rgb="FF63BE7B"/>
      </colorScale>
    </cfRule>
  </conditionalFormatting>
  <conditionalFormatting sqref="CY178:CY180">
    <cfRule type="colorScale" priority="130">
      <colorScale>
        <cfvo type="min"/>
        <cfvo type="max"/>
        <color rgb="FFFCFCFF"/>
        <color rgb="FF63BE7B"/>
      </colorScale>
    </cfRule>
  </conditionalFormatting>
  <conditionalFormatting sqref="CY205:CY207">
    <cfRule type="colorScale" priority="128">
      <colorScale>
        <cfvo type="min"/>
        <cfvo type="max"/>
        <color rgb="FFFCFCFF"/>
        <color rgb="FF63BE7B"/>
      </colorScale>
    </cfRule>
  </conditionalFormatting>
  <conditionalFormatting sqref="CO11:CO17">
    <cfRule type="colorScale" priority="124">
      <colorScale>
        <cfvo type="min"/>
        <cfvo type="max"/>
        <color rgb="FFFCFCFF"/>
        <color theme="4" tint="-0.249977111117893"/>
      </colorScale>
    </cfRule>
  </conditionalFormatting>
  <conditionalFormatting sqref="CG20">
    <cfRule type="colorScale" priority="121">
      <colorScale>
        <cfvo type="min"/>
        <cfvo type="max"/>
        <color rgb="FFFCFCFF"/>
        <color rgb="FF63BE7B"/>
      </colorScale>
    </cfRule>
  </conditionalFormatting>
  <conditionalFormatting sqref="CG151">
    <cfRule type="colorScale" priority="118">
      <colorScale>
        <cfvo type="min"/>
        <cfvo type="max"/>
        <color rgb="FFFCFCFF"/>
        <color rgb="FF63BE7B"/>
      </colorScale>
    </cfRule>
  </conditionalFormatting>
  <conditionalFormatting sqref="CG152">
    <cfRule type="colorScale" priority="117">
      <colorScale>
        <cfvo type="min"/>
        <cfvo type="max"/>
        <color rgb="FFFCFCFF"/>
        <color rgb="FF63BE7B"/>
      </colorScale>
    </cfRule>
  </conditionalFormatting>
  <conditionalFormatting sqref="CF145:CF151">
    <cfRule type="colorScale" priority="116">
      <colorScale>
        <cfvo type="min"/>
        <cfvo type="percentile" val="50"/>
        <cfvo type="max"/>
        <color rgb="FFF8696B"/>
        <color rgb="FFFFEB84"/>
        <color rgb="FF63BE7B"/>
      </colorScale>
    </cfRule>
  </conditionalFormatting>
  <conditionalFormatting sqref="CG178">
    <cfRule type="colorScale" priority="114">
      <colorScale>
        <cfvo type="min"/>
        <cfvo type="max"/>
        <color rgb="FFFCFCFF"/>
        <color rgb="FF63BE7B"/>
      </colorScale>
    </cfRule>
  </conditionalFormatting>
  <conditionalFormatting sqref="CG179">
    <cfRule type="colorScale" priority="113">
      <colorScale>
        <cfvo type="min"/>
        <cfvo type="max"/>
        <color rgb="FFFCFCFF"/>
        <color rgb="FF63BE7B"/>
      </colorScale>
    </cfRule>
  </conditionalFormatting>
  <conditionalFormatting sqref="CF172:CF178">
    <cfRule type="colorScale" priority="112">
      <colorScale>
        <cfvo type="min"/>
        <cfvo type="percentile" val="50"/>
        <cfvo type="max"/>
        <color rgb="FFF8696B"/>
        <color rgb="FFFFEB84"/>
        <color rgb="FF63BE7B"/>
      </colorScale>
    </cfRule>
  </conditionalFormatting>
  <conditionalFormatting sqref="CG205">
    <cfRule type="colorScale" priority="110">
      <colorScale>
        <cfvo type="min"/>
        <cfvo type="max"/>
        <color rgb="FFFCFCFF"/>
        <color rgb="FF63BE7B"/>
      </colorScale>
    </cfRule>
  </conditionalFormatting>
  <conditionalFormatting sqref="CG206">
    <cfRule type="colorScale" priority="109">
      <colorScale>
        <cfvo type="min"/>
        <cfvo type="max"/>
        <color rgb="FFFCFCFF"/>
        <color rgb="FF63BE7B"/>
      </colorScale>
    </cfRule>
  </conditionalFormatting>
  <conditionalFormatting sqref="CF199:CF205">
    <cfRule type="colorScale" priority="108">
      <colorScale>
        <cfvo type="min"/>
        <cfvo type="percentile" val="50"/>
        <cfvo type="max"/>
        <color rgb="FFF8696B"/>
        <color rgb="FFFFEB84"/>
        <color rgb="FF63BE7B"/>
      </colorScale>
    </cfRule>
  </conditionalFormatting>
  <conditionalFormatting sqref="CF226:CF232">
    <cfRule type="colorScale" priority="107">
      <colorScale>
        <cfvo type="min"/>
        <cfvo type="percentile" val="50"/>
        <cfvo type="max"/>
        <color rgb="FFF8696B"/>
        <color rgb="FFFFEB84"/>
        <color rgb="FF63BE7B"/>
      </colorScale>
    </cfRule>
  </conditionalFormatting>
  <conditionalFormatting sqref="CG124">
    <cfRule type="colorScale" priority="105">
      <colorScale>
        <cfvo type="min"/>
        <cfvo type="max"/>
        <color rgb="FFFCFCFF"/>
        <color rgb="FF63BE7B"/>
      </colorScale>
    </cfRule>
  </conditionalFormatting>
  <conditionalFormatting sqref="CG125">
    <cfRule type="colorScale" priority="104">
      <colorScale>
        <cfvo type="min"/>
        <cfvo type="max"/>
        <color rgb="FFFCFCFF"/>
        <color rgb="FF63BE7B"/>
      </colorScale>
    </cfRule>
  </conditionalFormatting>
  <conditionalFormatting sqref="CF118:CF124">
    <cfRule type="colorScale" priority="103">
      <colorScale>
        <cfvo type="min"/>
        <cfvo type="percentile" val="50"/>
        <cfvo type="max"/>
        <color rgb="FFF8696B"/>
        <color rgb="FFFFEB84"/>
        <color rgb="FF63BE7B"/>
      </colorScale>
    </cfRule>
  </conditionalFormatting>
  <conditionalFormatting sqref="CG97">
    <cfRule type="colorScale" priority="101">
      <colorScale>
        <cfvo type="min"/>
        <cfvo type="max"/>
        <color rgb="FFFCFCFF"/>
        <color rgb="FF63BE7B"/>
      </colorScale>
    </cfRule>
  </conditionalFormatting>
  <conditionalFormatting sqref="CG98">
    <cfRule type="colorScale" priority="100">
      <colorScale>
        <cfvo type="min"/>
        <cfvo type="max"/>
        <color rgb="FFFCFCFF"/>
        <color rgb="FF63BE7B"/>
      </colorScale>
    </cfRule>
  </conditionalFormatting>
  <conditionalFormatting sqref="CF91:CF97">
    <cfRule type="colorScale" priority="99">
      <colorScale>
        <cfvo type="min"/>
        <cfvo type="percentile" val="50"/>
        <cfvo type="max"/>
        <color rgb="FFF8696B"/>
        <color rgb="FFFFEB84"/>
        <color rgb="FF63BE7B"/>
      </colorScale>
    </cfRule>
  </conditionalFormatting>
  <conditionalFormatting sqref="CO64:CO70">
    <cfRule type="colorScale" priority="98">
      <colorScale>
        <cfvo type="min"/>
        <cfvo type="max"/>
        <color rgb="FFFCFCFF"/>
        <color theme="4" tint="-0.249977111117893"/>
      </colorScale>
    </cfRule>
  </conditionalFormatting>
  <conditionalFormatting sqref="CG70">
    <cfRule type="colorScale" priority="97">
      <colorScale>
        <cfvo type="min"/>
        <cfvo type="max"/>
        <color rgb="FFFCFCFF"/>
        <color rgb="FF63BE7B"/>
      </colorScale>
    </cfRule>
  </conditionalFormatting>
  <conditionalFormatting sqref="CG71">
    <cfRule type="colorScale" priority="96">
      <colorScale>
        <cfvo type="min"/>
        <cfvo type="max"/>
        <color rgb="FFFCFCFF"/>
        <color rgb="FF63BE7B"/>
      </colorScale>
    </cfRule>
  </conditionalFormatting>
  <conditionalFormatting sqref="CF64:CF70">
    <cfRule type="colorScale" priority="95">
      <colorScale>
        <cfvo type="min"/>
        <cfvo type="percentile" val="50"/>
        <cfvo type="max"/>
        <color rgb="FFF8696B"/>
        <color rgb="FFFFEB84"/>
        <color rgb="FF63BE7B"/>
      </colorScale>
    </cfRule>
  </conditionalFormatting>
  <conditionalFormatting sqref="DH193:DH199">
    <cfRule type="colorScale" priority="165">
      <colorScale>
        <cfvo type="min"/>
        <cfvo type="percentile" val="50"/>
        <cfvo type="max"/>
        <color rgb="FFF8696B"/>
        <color rgb="FFFFEB84"/>
        <color rgb="FF63BE7B"/>
      </colorScale>
    </cfRule>
  </conditionalFormatting>
  <conditionalFormatting sqref="DH166:DH172">
    <cfRule type="colorScale" priority="166">
      <colorScale>
        <cfvo type="min"/>
        <cfvo type="percentile" val="50"/>
        <cfvo type="max"/>
        <color rgb="FFF8696B"/>
        <color rgb="FFFFEB84"/>
        <color rgb="FF63BE7B"/>
      </colorScale>
    </cfRule>
  </conditionalFormatting>
  <conditionalFormatting sqref="DH139:DH145">
    <cfRule type="colorScale" priority="167">
      <colorScale>
        <cfvo type="min"/>
        <cfvo type="percentile" val="50"/>
        <cfvo type="max"/>
        <color rgb="FFF8696B"/>
        <color rgb="FFFFEB84"/>
        <color rgb="FF63BE7B"/>
      </colorScale>
    </cfRule>
  </conditionalFormatting>
  <conditionalFormatting sqref="DH112:DH118">
    <cfRule type="colorScale" priority="168">
      <colorScale>
        <cfvo type="min"/>
        <cfvo type="percentile" val="50"/>
        <cfvo type="max"/>
        <color rgb="FFF8696B"/>
        <color rgb="FFFFEB84"/>
        <color rgb="FF63BE7B"/>
      </colorScale>
    </cfRule>
  </conditionalFormatting>
  <conditionalFormatting sqref="DH85:DH91">
    <cfRule type="colorScale" priority="169">
      <colorScale>
        <cfvo type="min"/>
        <cfvo type="percentile" val="50"/>
        <cfvo type="max"/>
        <color rgb="FFF8696B"/>
        <color rgb="FFFFEB84"/>
        <color rgb="FF63BE7B"/>
      </colorScale>
    </cfRule>
  </conditionalFormatting>
  <conditionalFormatting sqref="DH58:DH64">
    <cfRule type="colorScale" priority="170">
      <colorScale>
        <cfvo type="min"/>
        <cfvo type="percentile" val="50"/>
        <cfvo type="max"/>
        <color rgb="FFF8696B"/>
        <color rgb="FFFFEB84"/>
        <color rgb="FF63BE7B"/>
      </colorScale>
    </cfRule>
  </conditionalFormatting>
  <conditionalFormatting sqref="DH17:DH23">
    <cfRule type="colorScale" priority="171">
      <colorScale>
        <cfvo type="min"/>
        <cfvo type="percentile" val="50"/>
        <cfvo type="max"/>
        <color rgb="FFF8696B"/>
        <color rgb="FFFFEB84"/>
        <color rgb="FF63BE7B"/>
      </colorScale>
    </cfRule>
  </conditionalFormatting>
  <conditionalFormatting sqref="DA220:DH226">
    <cfRule type="colorScale" priority="172">
      <colorScale>
        <cfvo type="min"/>
        <cfvo type="percentile" val="50"/>
        <cfvo type="max"/>
        <color rgb="FFF8696B"/>
        <color rgb="FFFFEB84"/>
        <color rgb="FF63BE7B"/>
      </colorScale>
    </cfRule>
  </conditionalFormatting>
  <conditionalFormatting sqref="DH17:DH24">
    <cfRule type="colorScale" priority="173">
      <colorScale>
        <cfvo type="min"/>
        <cfvo type="max"/>
        <color rgb="FFFCFCFF"/>
        <color rgb="FF63BE7B"/>
      </colorScale>
    </cfRule>
  </conditionalFormatting>
  <conditionalFormatting sqref="CZ21:CZ23">
    <cfRule type="colorScale" priority="58">
      <colorScale>
        <cfvo type="min"/>
        <cfvo type="percentile" val="50"/>
        <cfvo type="max"/>
        <color rgb="FFF8696B"/>
        <color rgb="FFFFEB84"/>
        <color rgb="FF63BE7B"/>
      </colorScale>
    </cfRule>
  </conditionalFormatting>
  <conditionalFormatting sqref="CZ21:CZ23">
    <cfRule type="colorScale" priority="57">
      <colorScale>
        <cfvo type="min"/>
        <cfvo type="max"/>
        <color rgb="FFFCFCFF"/>
        <color rgb="FF63BE7B"/>
      </colorScale>
    </cfRule>
  </conditionalFormatting>
  <conditionalFormatting sqref="CZ21:CZ23">
    <cfRule type="colorScale" priority="59">
      <colorScale>
        <cfvo type="min"/>
        <cfvo type="percentile" val="50"/>
        <cfvo type="max"/>
        <color rgb="FFF8696B"/>
        <color rgb="FFFFEB84"/>
        <color rgb="FF63BE7B"/>
      </colorScale>
    </cfRule>
  </conditionalFormatting>
  <conditionalFormatting sqref="CZ21:CZ23">
    <cfRule type="colorScale" priority="61">
      <colorScale>
        <cfvo type="min"/>
        <cfvo type="max"/>
        <color rgb="FFFCFCFF"/>
        <color rgb="FF63BE7B"/>
      </colorScale>
    </cfRule>
  </conditionalFormatting>
  <conditionalFormatting sqref="CY21:CY23">
    <cfRule type="colorScale" priority="56">
      <colorScale>
        <cfvo type="min"/>
        <cfvo type="max"/>
        <color rgb="FFFCFCFF"/>
        <color rgb="FF63BE7B"/>
      </colorScale>
    </cfRule>
  </conditionalFormatting>
  <conditionalFormatting sqref="DB21">
    <cfRule type="colorScale" priority="55">
      <colorScale>
        <cfvo type="min"/>
        <cfvo type="max"/>
        <color rgb="FFFCFCFF"/>
        <color rgb="FF63BE7B"/>
      </colorScale>
    </cfRule>
  </conditionalFormatting>
  <conditionalFormatting sqref="DC21">
    <cfRule type="colorScale" priority="52">
      <colorScale>
        <cfvo type="min"/>
        <cfvo type="percentile" val="50"/>
        <cfvo type="max"/>
        <color rgb="FFF8696B"/>
        <color rgb="FFFFEB84"/>
        <color rgb="FF63BE7B"/>
      </colorScale>
    </cfRule>
  </conditionalFormatting>
  <conditionalFormatting sqref="DC21">
    <cfRule type="colorScale" priority="51">
      <colorScale>
        <cfvo type="min"/>
        <cfvo type="max"/>
        <color rgb="FFFCFCFF"/>
        <color rgb="FF63BE7B"/>
      </colorScale>
    </cfRule>
  </conditionalFormatting>
  <conditionalFormatting sqref="DC21">
    <cfRule type="colorScale" priority="53">
      <colorScale>
        <cfvo type="min"/>
        <cfvo type="percentile" val="50"/>
        <cfvo type="max"/>
        <color rgb="FFF8696B"/>
        <color rgb="FFFFEB84"/>
        <color rgb="FF63BE7B"/>
      </colorScale>
    </cfRule>
  </conditionalFormatting>
  <conditionalFormatting sqref="DC21">
    <cfRule type="colorScale" priority="54">
      <colorScale>
        <cfvo type="min"/>
        <cfvo type="max"/>
        <color rgb="FFFCFCFF"/>
        <color rgb="FF63BE7B"/>
      </colorScale>
    </cfRule>
  </conditionalFormatting>
  <conditionalFormatting sqref="CH21:CH23">
    <cfRule type="colorScale" priority="25">
      <colorScale>
        <cfvo type="min"/>
        <cfvo type="percentile" val="50"/>
        <cfvo type="max"/>
        <color rgb="FFF8696B"/>
        <color rgb="FFFFEB84"/>
        <color rgb="FF63BE7B"/>
      </colorScale>
    </cfRule>
  </conditionalFormatting>
  <conditionalFormatting sqref="CH21:CH23">
    <cfRule type="colorScale" priority="24">
      <colorScale>
        <cfvo type="min"/>
        <cfvo type="max"/>
        <color rgb="FFFCFCFF"/>
        <color rgb="FF63BE7B"/>
      </colorScale>
    </cfRule>
  </conditionalFormatting>
  <conditionalFormatting sqref="CH21:CH23">
    <cfRule type="colorScale" priority="26">
      <colorScale>
        <cfvo type="min"/>
        <cfvo type="percentile" val="50"/>
        <cfvo type="max"/>
        <color rgb="FFF8696B"/>
        <color rgb="FFFFEB84"/>
        <color rgb="FF63BE7B"/>
      </colorScale>
    </cfRule>
  </conditionalFormatting>
  <conditionalFormatting sqref="CH21:CH23">
    <cfRule type="colorScale" priority="28">
      <colorScale>
        <cfvo type="min"/>
        <cfvo type="max"/>
        <color rgb="FFFCFCFF"/>
        <color rgb="FF63BE7B"/>
      </colorScale>
    </cfRule>
  </conditionalFormatting>
  <conditionalFormatting sqref="CG21:CG23">
    <cfRule type="colorScale" priority="23">
      <colorScale>
        <cfvo type="min"/>
        <cfvo type="max"/>
        <color rgb="FFFCFCFF"/>
        <color rgb="FF63BE7B"/>
      </colorScale>
    </cfRule>
  </conditionalFormatting>
  <conditionalFormatting sqref="CJ21">
    <cfRule type="colorScale" priority="22">
      <colorScale>
        <cfvo type="min"/>
        <cfvo type="max"/>
        <color rgb="FFFCFCFF"/>
        <color rgb="FF63BE7B"/>
      </colorScale>
    </cfRule>
  </conditionalFormatting>
  <conditionalFormatting sqref="CK21">
    <cfRule type="colorScale" priority="19">
      <colorScale>
        <cfvo type="min"/>
        <cfvo type="percentile" val="50"/>
        <cfvo type="max"/>
        <color rgb="FFF8696B"/>
        <color rgb="FFFFEB84"/>
        <color rgb="FF63BE7B"/>
      </colorScale>
    </cfRule>
  </conditionalFormatting>
  <conditionalFormatting sqref="CK21">
    <cfRule type="colorScale" priority="18">
      <colorScale>
        <cfvo type="min"/>
        <cfvo type="max"/>
        <color rgb="FFFCFCFF"/>
        <color rgb="FF63BE7B"/>
      </colorScale>
    </cfRule>
  </conditionalFormatting>
  <conditionalFormatting sqref="CK21">
    <cfRule type="colorScale" priority="20">
      <colorScale>
        <cfvo type="min"/>
        <cfvo type="percentile" val="50"/>
        <cfvo type="max"/>
        <color rgb="FFF8696B"/>
        <color rgb="FFFFEB84"/>
        <color rgb="FF63BE7B"/>
      </colorScale>
    </cfRule>
  </conditionalFormatting>
  <conditionalFormatting sqref="CK21">
    <cfRule type="colorScale" priority="21">
      <colorScale>
        <cfvo type="min"/>
        <cfvo type="max"/>
        <color rgb="FFFCFCFF"/>
        <color rgb="FF63BE7B"/>
      </colorScale>
    </cfRule>
  </conditionalFormatting>
  <conditionalFormatting sqref="CZ24">
    <cfRule type="colorScale" priority="15">
      <colorScale>
        <cfvo type="min"/>
        <cfvo type="percentile" val="50"/>
        <cfvo type="max"/>
        <color rgb="FFF8696B"/>
        <color rgb="FFFFEB84"/>
        <color rgb="FF63BE7B"/>
      </colorScale>
    </cfRule>
  </conditionalFormatting>
  <conditionalFormatting sqref="CZ24">
    <cfRule type="colorScale" priority="16">
      <colorScale>
        <cfvo type="min"/>
        <cfvo type="percentile" val="50"/>
        <cfvo type="max"/>
        <color rgb="FFF8696B"/>
        <color rgb="FFFFEB84"/>
        <color rgb="FF63BE7B"/>
      </colorScale>
    </cfRule>
  </conditionalFormatting>
  <conditionalFormatting sqref="CZ24">
    <cfRule type="colorScale" priority="17">
      <colorScale>
        <cfvo type="min"/>
        <cfvo type="max"/>
        <color rgb="FFFCFCFF"/>
        <color rgb="FF63BE7B"/>
      </colorScale>
    </cfRule>
  </conditionalFormatting>
  <conditionalFormatting sqref="CY24">
    <cfRule type="colorScale" priority="14">
      <colorScale>
        <cfvo type="min"/>
        <cfvo type="max"/>
        <color rgb="FFFCFCFF"/>
        <color rgb="FF63BE7B"/>
      </colorScale>
    </cfRule>
  </conditionalFormatting>
  <conditionalFormatting sqref="CH24">
    <cfRule type="colorScale" priority="11">
      <colorScale>
        <cfvo type="min"/>
        <cfvo type="percentile" val="50"/>
        <cfvo type="max"/>
        <color rgb="FFF8696B"/>
        <color rgb="FFFFEB84"/>
        <color rgb="FF63BE7B"/>
      </colorScale>
    </cfRule>
  </conditionalFormatting>
  <conditionalFormatting sqref="CH24">
    <cfRule type="colorScale" priority="12">
      <colorScale>
        <cfvo type="min"/>
        <cfvo type="percentile" val="50"/>
        <cfvo type="max"/>
        <color rgb="FFF8696B"/>
        <color rgb="FFFFEB84"/>
        <color rgb="FF63BE7B"/>
      </colorScale>
    </cfRule>
  </conditionalFormatting>
  <conditionalFormatting sqref="CH24">
    <cfRule type="colorScale" priority="13">
      <colorScale>
        <cfvo type="min"/>
        <cfvo type="max"/>
        <color rgb="FFFCFCFF"/>
        <color rgb="FF63BE7B"/>
      </colorScale>
    </cfRule>
  </conditionalFormatting>
  <conditionalFormatting sqref="CG24">
    <cfRule type="colorScale" priority="10">
      <colorScale>
        <cfvo type="min"/>
        <cfvo type="max"/>
        <color rgb="FFFCFCFF"/>
        <color rgb="FF63BE7B"/>
      </colorScale>
    </cfRule>
  </conditionalFormatting>
  <conditionalFormatting sqref="CG17:CG19">
    <cfRule type="colorScale" priority="9">
      <colorScale>
        <cfvo type="min"/>
        <cfvo type="max"/>
        <color rgb="FFFCFCFF"/>
        <color rgb="FF63BE7B"/>
      </colorScale>
    </cfRule>
  </conditionalFormatting>
  <conditionalFormatting sqref="DG199:DG206 DG172:DG179 DG145:DG152 DG118:DG125 DG91:DG98 DG64:DG71 CO199:CO205 CO172:CO178 CO145:CO151 CO118:CO124 CO91:CO97">
    <cfRule type="colorScale" priority="1">
      <colorScale>
        <cfvo type="min"/>
        <cfvo type="max"/>
        <color rgb="FFFCFCFF"/>
        <color theme="4" tint="-0.249977111117893"/>
      </colorScale>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tint="0.39997558519241921"/>
  </sheetPr>
  <dimension ref="A1:EL331"/>
  <sheetViews>
    <sheetView zoomScale="60" zoomScaleNormal="60" workbookViewId="0">
      <selection activeCell="E331" sqref="E331"/>
    </sheetView>
  </sheetViews>
  <sheetFormatPr defaultColWidth="9" defaultRowHeight="13.8" x14ac:dyDescent="0.25"/>
  <cols>
    <col min="1" max="1" width="11.09765625" style="22" customWidth="1"/>
    <col min="2" max="2" width="26.09765625" style="22" customWidth="1"/>
    <col min="3" max="3" width="31.59765625" style="22" customWidth="1"/>
    <col min="4" max="4" width="25.09765625" style="385" customWidth="1"/>
    <col min="5" max="5" width="26.59765625" style="22" bestFit="1" customWidth="1"/>
    <col min="6" max="6" width="22" style="22" customWidth="1"/>
    <col min="7" max="7" width="20.8984375" style="22" customWidth="1"/>
    <col min="8" max="8" width="8" style="385" bestFit="1" customWidth="1"/>
    <col min="9" max="9" width="8" style="385" customWidth="1"/>
    <col min="10" max="10" width="25.5" style="22" customWidth="1"/>
    <col min="11" max="11" width="15.3984375" style="22" customWidth="1"/>
    <col min="12" max="16" width="7.69921875" style="386" customWidth="1"/>
    <col min="17" max="18" width="3.09765625" style="386" customWidth="1"/>
    <col min="19" max="19" width="26.09765625" style="22" customWidth="1"/>
    <col min="20" max="20" width="23.09765625" style="22" customWidth="1"/>
    <col min="21" max="21" width="19.8984375" style="22" customWidth="1"/>
    <col min="22" max="22" width="21.09765625" style="22" customWidth="1"/>
    <col min="23" max="23" width="22.8984375" style="22" customWidth="1"/>
    <col min="24" max="24" width="18.3984375" style="22" customWidth="1"/>
    <col min="25" max="25" width="10.8984375" style="22" customWidth="1"/>
    <col min="26" max="28" width="20.59765625" style="22" customWidth="1"/>
    <col min="29" max="29" width="20.59765625" style="386" customWidth="1"/>
    <col min="30" max="30" width="35.09765625" style="386" hidden="1" customWidth="1"/>
    <col min="31" max="31" width="2.3984375" style="386" hidden="1" customWidth="1"/>
    <col min="32" max="32" width="4.8984375" style="386" customWidth="1"/>
    <col min="33" max="33" width="3.09765625" style="70" customWidth="1"/>
    <col min="34" max="34" width="26.09765625" style="22" customWidth="1"/>
    <col min="35" max="35" width="23.09765625" style="22" customWidth="1"/>
    <col min="36" max="36" width="19.8984375" style="22" customWidth="1"/>
    <col min="37" max="37" width="21.09765625" style="22" customWidth="1"/>
    <col min="38" max="38" width="35.69921875" style="22" customWidth="1"/>
    <col min="39" max="39" width="18.3984375" style="22" customWidth="1"/>
    <col min="40" max="40" width="10.8984375" style="22" customWidth="1"/>
    <col min="41" max="42" width="15" style="22" customWidth="1"/>
    <col min="43" max="43" width="20" style="22" customWidth="1"/>
    <col min="44" max="44" width="21" style="386" customWidth="1"/>
    <col min="45" max="45" width="28.3984375" style="386" hidden="1" customWidth="1"/>
    <col min="46" max="46" width="2.19921875" style="386" hidden="1" customWidth="1"/>
    <col min="47" max="47" width="3.59765625" style="386" customWidth="1"/>
    <col min="48" max="48" width="4.59765625" style="22" customWidth="1"/>
    <col min="49" max="49" width="26.09765625" style="22" customWidth="1"/>
    <col min="50" max="50" width="23.09765625" style="22" customWidth="1"/>
    <col min="51" max="51" width="19.8984375" style="22" customWidth="1"/>
    <col min="52" max="52" width="21.09765625" style="22" customWidth="1"/>
    <col min="53" max="53" width="22.59765625" style="22" customWidth="1"/>
    <col min="54" max="54" width="18.3984375" style="22" customWidth="1"/>
    <col min="55" max="55" width="10.8984375" style="22" customWidth="1"/>
    <col min="56" max="57" width="15" style="22" customWidth="1"/>
    <col min="58" max="58" width="20" style="22" customWidth="1"/>
    <col min="59" max="59" width="21" style="386" customWidth="1"/>
    <col min="60" max="62" width="2.09765625" style="386" customWidth="1"/>
    <col min="63" max="63" width="3.09765625" style="70" customWidth="1"/>
    <col min="64" max="64" width="26.09765625" style="22" customWidth="1"/>
    <col min="65" max="65" width="23" style="22" customWidth="1"/>
    <col min="66" max="66" width="19.8984375" style="22" customWidth="1"/>
    <col min="67" max="67" width="21.09765625" style="22" customWidth="1"/>
    <col min="68" max="68" width="23.19921875" style="22" customWidth="1"/>
    <col min="69" max="69" width="18.3984375" style="22" customWidth="1"/>
    <col min="70" max="70" width="10.8984375" style="22" customWidth="1"/>
    <col min="71" max="71" width="17.09765625" style="22" customWidth="1"/>
    <col min="72" max="72" width="16.8984375" style="22" customWidth="1"/>
    <col min="73" max="73" width="22.09765625" style="22" customWidth="1"/>
    <col min="74" max="74" width="27.5" style="386" customWidth="1"/>
    <col min="75" max="77" width="2.09765625" style="386" customWidth="1"/>
    <col min="78" max="78" width="5.59765625" style="22" customWidth="1"/>
    <col min="79" max="79" width="34.8984375" style="22" customWidth="1"/>
    <col min="80" max="80" width="17.19921875" style="385" customWidth="1"/>
    <col min="81" max="81" width="11.5" style="385" customWidth="1"/>
    <col min="82" max="82" width="12.09765625" style="385" customWidth="1"/>
    <col min="83" max="83" width="16.8984375" style="385" customWidth="1"/>
    <col min="84" max="84" width="16.09765625" style="385" customWidth="1"/>
    <col min="85" max="85" width="5.8984375" style="22" customWidth="1"/>
    <col min="86" max="86" width="37.09765625" style="22" customWidth="1"/>
    <col min="87" max="87" width="35.8984375" style="22" customWidth="1"/>
    <col min="88" max="88" width="11.09765625" style="22" customWidth="1"/>
    <col min="89" max="89" width="13.19921875" style="22" customWidth="1"/>
    <col min="90" max="90" width="12.59765625" style="22" customWidth="1"/>
    <col min="91" max="92" width="11.09765625" style="22" customWidth="1"/>
    <col min="93" max="93" width="35.69921875" style="387" customWidth="1"/>
    <col min="94" max="94" width="6.59765625" style="22" customWidth="1"/>
    <col min="95" max="95" width="2.8984375" style="388" customWidth="1"/>
    <col min="96" max="96" width="6" style="22" customWidth="1"/>
    <col min="97" max="97" width="34.8984375" style="22" customWidth="1"/>
    <col min="98" max="98" width="16.09765625" style="22" customWidth="1"/>
    <col min="99" max="99" width="10.09765625" style="22" customWidth="1"/>
    <col min="100" max="100" width="10.09765625" style="385" customWidth="1"/>
    <col min="101" max="101" width="18.3984375" style="22" customWidth="1"/>
    <col min="102" max="103" width="11.09765625" style="22" customWidth="1"/>
    <col min="104" max="104" width="38.09765625" style="22" customWidth="1"/>
    <col min="105" max="105" width="35.69921875" style="22" customWidth="1"/>
    <col min="106" max="106" width="11.09765625" style="22" customWidth="1"/>
    <col min="107" max="107" width="12.59765625" style="22" customWidth="1"/>
    <col min="108" max="108" width="14" style="22" customWidth="1"/>
    <col min="109" max="110" width="11.09765625" style="22" customWidth="1"/>
    <col min="111" max="111" width="35.8984375" style="387" customWidth="1"/>
    <col min="112" max="112" width="9.8984375" style="22" customWidth="1"/>
    <col min="113" max="113" width="3" style="388" customWidth="1"/>
    <col min="114" max="114" width="3" style="22" customWidth="1"/>
    <col min="115" max="115" width="27" style="22" customWidth="1"/>
    <col min="116" max="116" width="42.8984375" style="22" customWidth="1"/>
    <col min="117" max="117" width="12.3984375" style="22" customWidth="1"/>
    <col min="118" max="118" width="30.59765625" style="22" customWidth="1"/>
    <col min="119" max="119" width="26" style="22" customWidth="1"/>
    <col min="120" max="120" width="22.5" style="22" customWidth="1"/>
    <col min="121" max="121" width="31.19921875" style="22" customWidth="1"/>
    <col min="122" max="122" width="14.19921875" style="22" customWidth="1"/>
    <col min="123" max="123" width="28.8984375" style="22" customWidth="1"/>
    <col min="124" max="124" width="8.59765625" style="22" customWidth="1"/>
    <col min="125" max="125" width="30.69921875" style="22" customWidth="1"/>
    <col min="126" max="126" width="19.69921875" style="22" customWidth="1"/>
    <col min="127" max="127" width="14.69921875" style="22" customWidth="1"/>
    <col min="128" max="128" width="29.5" style="22" customWidth="1"/>
    <col min="129" max="129" width="14.5" style="22" bestFit="1" customWidth="1"/>
    <col min="130" max="142" width="9" style="22"/>
    <col min="143" max="16384" width="9" style="70"/>
  </cols>
  <sheetData>
    <row r="1" spans="1:142" x14ac:dyDescent="0.25">
      <c r="A1" s="14"/>
      <c r="B1" s="14"/>
      <c r="C1" s="14"/>
      <c r="D1" s="21"/>
      <c r="E1" s="14"/>
      <c r="F1" s="14"/>
      <c r="G1" s="14"/>
      <c r="H1" s="21"/>
      <c r="I1" s="21"/>
      <c r="J1" s="14"/>
      <c r="K1" s="14"/>
      <c r="L1" s="14"/>
      <c r="M1" s="14"/>
      <c r="N1" s="14"/>
      <c r="O1" s="14"/>
      <c r="P1" s="14"/>
      <c r="Q1" s="45"/>
      <c r="R1" s="19"/>
      <c r="S1" s="14"/>
      <c r="T1" s="14"/>
      <c r="U1" s="14"/>
      <c r="V1" s="14"/>
      <c r="W1" s="14"/>
      <c r="X1" s="14"/>
      <c r="Y1" s="14"/>
      <c r="Z1" s="14"/>
      <c r="AA1" s="14"/>
      <c r="AB1" s="14"/>
      <c r="AC1" s="14"/>
      <c r="AD1" s="64"/>
      <c r="AE1" s="67"/>
      <c r="AF1" s="45"/>
      <c r="AG1" s="19"/>
      <c r="AH1" s="14"/>
      <c r="AI1" s="14"/>
      <c r="AJ1" s="14"/>
      <c r="AK1" s="14"/>
      <c r="AL1" s="14"/>
      <c r="AM1" s="14"/>
      <c r="AN1" s="14"/>
      <c r="AO1" s="14"/>
      <c r="AP1" s="14"/>
      <c r="AQ1" s="14"/>
      <c r="AR1" s="14"/>
      <c r="AS1" s="64"/>
      <c r="AT1" s="67"/>
      <c r="AU1" s="45"/>
      <c r="AV1" s="14"/>
      <c r="AW1" s="14"/>
      <c r="AX1" s="14"/>
      <c r="AY1" s="14"/>
      <c r="AZ1" s="14"/>
      <c r="BA1" s="14"/>
      <c r="BB1" s="14"/>
      <c r="BC1" s="14"/>
      <c r="BD1" s="14"/>
      <c r="BE1" s="14"/>
      <c r="BF1" s="14"/>
      <c r="BG1" s="14"/>
      <c r="BH1" s="64"/>
      <c r="BI1" s="67"/>
      <c r="BJ1" s="370"/>
      <c r="BK1" s="19"/>
      <c r="BL1" s="14"/>
      <c r="BM1" s="14"/>
      <c r="BN1" s="14"/>
      <c r="BO1" s="14"/>
      <c r="BP1" s="14"/>
      <c r="BQ1" s="14"/>
      <c r="BR1" s="14"/>
      <c r="BS1" s="14"/>
      <c r="BT1" s="14"/>
      <c r="BU1" s="14"/>
      <c r="BV1" s="14"/>
      <c r="BW1" s="65"/>
      <c r="BX1" s="63"/>
      <c r="BY1" s="352"/>
      <c r="BZ1" s="14"/>
      <c r="CA1" s="14"/>
      <c r="CB1" s="21"/>
      <c r="CC1" s="21"/>
      <c r="CD1" s="21"/>
      <c r="CE1" s="21"/>
      <c r="CF1" s="21"/>
      <c r="CG1" s="14"/>
      <c r="CH1" s="14"/>
      <c r="CI1" s="14"/>
      <c r="CJ1" s="14"/>
      <c r="CK1" s="14"/>
      <c r="CL1" s="14"/>
      <c r="CM1" s="14"/>
      <c r="CN1" s="14"/>
      <c r="CO1" s="129"/>
      <c r="CP1" s="14"/>
      <c r="CQ1" s="45"/>
      <c r="CR1" s="14"/>
      <c r="CS1" s="14"/>
      <c r="CT1" s="14"/>
      <c r="CU1" s="14"/>
      <c r="CV1" s="21"/>
      <c r="CW1" s="14"/>
      <c r="CX1" s="14"/>
      <c r="CY1" s="14"/>
      <c r="CZ1" s="14"/>
      <c r="DA1" s="14"/>
      <c r="DB1" s="14"/>
      <c r="DC1" s="14"/>
      <c r="DD1" s="14"/>
      <c r="DE1" s="14"/>
      <c r="DF1" s="14"/>
      <c r="DG1" s="129"/>
      <c r="DH1" s="14"/>
      <c r="DI1" s="45"/>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row>
    <row r="2" spans="1:142" s="130" customFormat="1" x14ac:dyDescent="0.25">
      <c r="A2" s="87" t="s">
        <v>0</v>
      </c>
      <c r="B2" s="146" t="s">
        <v>381</v>
      </c>
      <c r="C2" s="146" t="str">
        <f ca="1">INDIRECT("Title_"&amp;B2)</f>
        <v>Additional wood (in comparison to the counterfactual) from the conversion of unmanaged forest into production in Boreal Canada</v>
      </c>
      <c r="D2" s="146"/>
      <c r="E2" s="146"/>
      <c r="F2" s="146"/>
      <c r="G2" s="146"/>
      <c r="H2" s="146"/>
      <c r="I2" s="146"/>
      <c r="J2" s="146"/>
      <c r="K2" s="146"/>
      <c r="L2" s="90"/>
      <c r="M2" s="90"/>
      <c r="N2" s="90"/>
      <c r="O2" s="90"/>
      <c r="P2" s="90"/>
      <c r="Q2" s="93"/>
      <c r="R2" s="94"/>
      <c r="S2" s="146"/>
      <c r="T2" s="90"/>
      <c r="U2" s="90"/>
      <c r="V2" s="90"/>
      <c r="W2" s="90"/>
      <c r="X2" s="90"/>
      <c r="Y2" s="90"/>
      <c r="Z2" s="90"/>
      <c r="AA2" s="90"/>
      <c r="AB2" s="90"/>
      <c r="AC2" s="90"/>
      <c r="AD2" s="91"/>
      <c r="AE2" s="92"/>
      <c r="AF2" s="93"/>
      <c r="AG2" s="94"/>
      <c r="AH2" s="90"/>
      <c r="AI2" s="90"/>
      <c r="AJ2" s="90"/>
      <c r="AK2" s="90"/>
      <c r="AL2" s="90"/>
      <c r="AM2" s="90"/>
      <c r="AN2" s="90"/>
      <c r="AO2" s="90"/>
      <c r="AP2" s="90"/>
      <c r="AQ2" s="90"/>
      <c r="AR2" s="90"/>
      <c r="AS2" s="91"/>
      <c r="AT2" s="92"/>
      <c r="AU2" s="93"/>
      <c r="AV2" s="90"/>
      <c r="AW2" s="90"/>
      <c r="AX2" s="90"/>
      <c r="AY2" s="90"/>
      <c r="AZ2" s="90"/>
      <c r="BA2" s="90"/>
      <c r="BB2" s="90"/>
      <c r="BC2" s="90"/>
      <c r="BD2" s="90"/>
      <c r="BE2" s="90"/>
      <c r="BF2" s="90"/>
      <c r="BG2" s="90"/>
      <c r="BH2" s="91"/>
      <c r="BI2" s="92"/>
      <c r="BJ2" s="351"/>
      <c r="BK2" s="94"/>
      <c r="BL2" s="90"/>
      <c r="BM2" s="90"/>
      <c r="BN2" s="90"/>
      <c r="BO2" s="90"/>
      <c r="BP2" s="90"/>
      <c r="BQ2" s="90"/>
      <c r="BR2" s="90"/>
      <c r="BS2" s="90"/>
      <c r="BT2" s="90"/>
      <c r="BU2" s="90"/>
      <c r="BV2" s="90"/>
      <c r="BW2" s="91"/>
      <c r="BX2" s="92"/>
      <c r="BY2" s="351"/>
      <c r="BZ2" s="90"/>
      <c r="CA2" s="90"/>
      <c r="CB2" s="89"/>
      <c r="CC2" s="89"/>
      <c r="CD2" s="89"/>
      <c r="CE2" s="89"/>
      <c r="CF2" s="89"/>
      <c r="CG2" s="90"/>
      <c r="CH2" s="90"/>
      <c r="CI2" s="90"/>
      <c r="CJ2" s="90"/>
      <c r="CK2" s="90"/>
      <c r="CL2" s="90"/>
      <c r="CM2" s="90"/>
      <c r="CN2" s="90"/>
      <c r="CO2" s="90"/>
      <c r="CP2" s="90"/>
      <c r="CQ2" s="93"/>
      <c r="CR2" s="90"/>
      <c r="CS2" s="90"/>
      <c r="CT2" s="90"/>
      <c r="CU2" s="90"/>
      <c r="CV2" s="89"/>
      <c r="CW2" s="90"/>
      <c r="CX2" s="90"/>
      <c r="CY2" s="90"/>
      <c r="CZ2" s="90"/>
      <c r="DA2" s="90"/>
      <c r="DB2" s="90"/>
      <c r="DC2" s="90"/>
      <c r="DD2" s="90"/>
      <c r="DE2" s="90"/>
      <c r="DF2" s="90"/>
      <c r="DG2" s="90"/>
      <c r="DH2" s="90"/>
      <c r="DI2" s="93"/>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row>
    <row r="3" spans="1:142" x14ac:dyDescent="0.25">
      <c r="A3" s="14"/>
      <c r="B3" s="14"/>
      <c r="C3" s="14"/>
      <c r="D3" s="21"/>
      <c r="E3" s="14"/>
      <c r="F3" s="14"/>
      <c r="G3" s="14"/>
      <c r="H3" s="21"/>
      <c r="I3" s="21"/>
      <c r="J3" s="14"/>
      <c r="K3" s="14"/>
      <c r="L3" s="14"/>
      <c r="M3" s="14"/>
      <c r="N3" s="14"/>
      <c r="O3" s="14"/>
      <c r="P3" s="14"/>
      <c r="Q3" s="47"/>
      <c r="R3" s="19"/>
      <c r="S3" s="8"/>
      <c r="T3" s="14"/>
      <c r="U3" s="14"/>
      <c r="V3" s="14"/>
      <c r="W3" s="14"/>
      <c r="X3" s="14"/>
      <c r="Y3" s="14"/>
      <c r="Z3" s="14"/>
      <c r="AA3" s="14"/>
      <c r="AB3" s="14"/>
      <c r="AC3" s="14"/>
      <c r="AD3" s="65"/>
      <c r="AE3" s="63"/>
      <c r="AF3" s="47"/>
      <c r="AG3" s="19"/>
      <c r="AH3" s="14"/>
      <c r="AI3" s="14"/>
      <c r="AJ3" s="14"/>
      <c r="AK3" s="14"/>
      <c r="AL3" s="14"/>
      <c r="AM3" s="14"/>
      <c r="AN3" s="14"/>
      <c r="AO3" s="14"/>
      <c r="AP3" s="14"/>
      <c r="AQ3" s="14"/>
      <c r="AR3" s="14"/>
      <c r="AS3" s="65"/>
      <c r="AT3" s="63"/>
      <c r="AU3" s="47"/>
      <c r="AV3" s="14"/>
      <c r="AW3" s="14"/>
      <c r="AX3" s="14"/>
      <c r="AY3" s="14"/>
      <c r="AZ3" s="14"/>
      <c r="BA3" s="14"/>
      <c r="BB3" s="14"/>
      <c r="BC3" s="14"/>
      <c r="BD3" s="14"/>
      <c r="BE3" s="14"/>
      <c r="BF3" s="14"/>
      <c r="BG3" s="14"/>
      <c r="BH3" s="65"/>
      <c r="BI3" s="63"/>
      <c r="BJ3" s="352"/>
      <c r="BK3" s="19"/>
      <c r="BL3" s="14"/>
      <c r="BM3" s="14"/>
      <c r="BN3" s="14"/>
      <c r="BO3" s="14"/>
      <c r="BP3" s="14"/>
      <c r="BQ3" s="14"/>
      <c r="BR3" s="14"/>
      <c r="BS3" s="14"/>
      <c r="BT3" s="14"/>
      <c r="BU3" s="14"/>
      <c r="BV3" s="14"/>
      <c r="BW3" s="65"/>
      <c r="BX3" s="63"/>
      <c r="BY3" s="352"/>
      <c r="BZ3" s="14"/>
      <c r="CA3" s="14"/>
      <c r="CB3" s="21"/>
      <c r="CC3" s="21"/>
      <c r="CD3" s="21"/>
      <c r="CE3" s="21"/>
      <c r="CF3" s="21"/>
      <c r="CG3" s="14"/>
      <c r="CH3" s="14"/>
      <c r="CI3" s="14"/>
      <c r="CJ3" s="14"/>
      <c r="CK3" s="14"/>
      <c r="CL3" s="14"/>
      <c r="CM3" s="14"/>
      <c r="CN3" s="14"/>
      <c r="CO3" s="129"/>
      <c r="CP3" s="14"/>
      <c r="CQ3" s="47"/>
      <c r="CR3" s="14"/>
      <c r="CS3" s="14"/>
      <c r="CT3" s="14"/>
      <c r="CU3" s="14"/>
      <c r="CV3" s="21"/>
      <c r="CW3" s="14"/>
      <c r="CX3" s="14"/>
      <c r="CY3" s="14"/>
      <c r="CZ3" s="14"/>
      <c r="DA3" s="14"/>
      <c r="DB3" s="14"/>
      <c r="DC3" s="14"/>
      <c r="DD3" s="14"/>
      <c r="DE3" s="14"/>
      <c r="DF3" s="14"/>
      <c r="DG3" s="129"/>
      <c r="DH3" s="14"/>
      <c r="DI3" s="47"/>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row>
    <row r="4" spans="1:142" s="134" customFormat="1" x14ac:dyDescent="0.25">
      <c r="A4" s="520" t="s">
        <v>349</v>
      </c>
      <c r="B4" s="520"/>
      <c r="C4" s="520"/>
      <c r="D4" s="154">
        <f>((COUNTIFS(Response_Q181_1,"Confident")-F321)*2+(COUNTIFS(Response_Q181_1,"Very Confident")-F322)*3+(COUNTIFS(Response_Q181_1,"Somewhat confident")-F320)*1)/(COUNTIFS(Response_Q181_1,"&lt;&gt;0")-SUM(P2:P4))</f>
        <v>0.81666666666666665</v>
      </c>
      <c r="E4" s="521" t="s">
        <v>559</v>
      </c>
      <c r="F4" s="521"/>
      <c r="G4" s="521"/>
      <c r="H4" s="77"/>
      <c r="I4" s="77"/>
      <c r="J4" s="8"/>
      <c r="K4" s="8"/>
      <c r="L4" s="8"/>
      <c r="M4" s="8"/>
      <c r="N4" s="8"/>
      <c r="O4" s="8"/>
      <c r="P4" s="8"/>
      <c r="Q4" s="48"/>
      <c r="R4" s="44"/>
      <c r="S4" s="8"/>
      <c r="T4" s="8"/>
      <c r="U4" s="8"/>
      <c r="V4" s="8"/>
      <c r="W4" s="8"/>
      <c r="X4" s="8"/>
      <c r="Y4" s="8"/>
      <c r="Z4" s="8"/>
      <c r="AA4" s="8"/>
      <c r="AB4" s="8"/>
      <c r="AC4" s="8"/>
      <c r="AD4" s="102"/>
      <c r="AE4" s="101"/>
      <c r="AF4" s="48"/>
      <c r="AG4" s="44"/>
      <c r="AH4" s="8"/>
      <c r="AI4" s="8"/>
      <c r="AJ4" s="8"/>
      <c r="AK4" s="8"/>
      <c r="AL4" s="8"/>
      <c r="AM4" s="8"/>
      <c r="AN4" s="8"/>
      <c r="AO4" s="8"/>
      <c r="AP4" s="8"/>
      <c r="AQ4" s="8"/>
      <c r="AR4" s="8"/>
      <c r="AS4" s="102"/>
      <c r="AT4" s="101"/>
      <c r="AU4" s="48"/>
      <c r="AV4" s="8"/>
      <c r="AW4" s="8"/>
      <c r="AX4" s="8"/>
      <c r="AY4" s="8"/>
      <c r="AZ4" s="8"/>
      <c r="BA4" s="8"/>
      <c r="BB4" s="8"/>
      <c r="BC4" s="8"/>
      <c r="BD4" s="8"/>
      <c r="BE4" s="8"/>
      <c r="BF4" s="8"/>
      <c r="BG4" s="8"/>
      <c r="BH4" s="102"/>
      <c r="BI4" s="101"/>
      <c r="BJ4" s="371"/>
      <c r="BK4" s="44"/>
      <c r="BL4" s="8"/>
      <c r="BM4" s="8"/>
      <c r="BN4" s="8"/>
      <c r="BO4" s="8"/>
      <c r="BP4" s="8"/>
      <c r="BQ4" s="8"/>
      <c r="BR4" s="8"/>
      <c r="BS4" s="8"/>
      <c r="BT4" s="8"/>
      <c r="BU4" s="8"/>
      <c r="BV4" s="8"/>
      <c r="BW4" s="102"/>
      <c r="BX4" s="101"/>
      <c r="BY4" s="371"/>
      <c r="BZ4" s="8"/>
      <c r="CA4" s="8"/>
      <c r="CB4" s="77"/>
      <c r="CC4" s="77"/>
      <c r="CD4" s="77"/>
      <c r="CE4" s="77"/>
      <c r="CF4" s="77"/>
      <c r="CG4" s="8"/>
      <c r="CH4" s="8"/>
      <c r="CI4" s="8"/>
      <c r="CJ4" s="8"/>
      <c r="CK4" s="8"/>
      <c r="CL4" s="8"/>
      <c r="CM4" s="8"/>
      <c r="CN4" s="8"/>
      <c r="CO4" s="315"/>
      <c r="CP4" s="8"/>
      <c r="CQ4" s="48"/>
      <c r="CR4" s="8"/>
      <c r="CS4" s="8"/>
      <c r="CT4" s="8"/>
      <c r="CU4" s="8"/>
      <c r="CV4" s="77"/>
      <c r="CW4" s="8"/>
      <c r="CX4" s="8"/>
      <c r="CY4" s="8"/>
      <c r="CZ4" s="8"/>
      <c r="DA4" s="8"/>
      <c r="DB4" s="8"/>
      <c r="DC4" s="8"/>
      <c r="DD4" s="8"/>
      <c r="DE4" s="8"/>
      <c r="DF4" s="8"/>
      <c r="DG4" s="315"/>
      <c r="DH4" s="8"/>
      <c r="DI4" s="4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row>
    <row r="5" spans="1:142" s="134" customFormat="1" x14ac:dyDescent="0.25">
      <c r="A5" s="520" t="s">
        <v>447</v>
      </c>
      <c r="B5" s="520"/>
      <c r="C5" s="520"/>
      <c r="D5" s="520"/>
      <c r="E5" s="520"/>
      <c r="F5" s="520"/>
      <c r="G5" s="8"/>
      <c r="H5" s="77"/>
      <c r="I5" s="77"/>
      <c r="J5" s="8"/>
      <c r="K5" s="8"/>
      <c r="L5" s="8"/>
      <c r="M5" s="8"/>
      <c r="N5" s="8"/>
      <c r="O5" s="8"/>
      <c r="P5" s="8"/>
      <c r="Q5" s="48"/>
      <c r="R5" s="44"/>
      <c r="S5" s="8"/>
      <c r="T5" s="8"/>
      <c r="U5" s="8"/>
      <c r="V5" s="8"/>
      <c r="W5" s="8"/>
      <c r="X5" s="8"/>
      <c r="Y5" s="8"/>
      <c r="Z5" s="8"/>
      <c r="AA5" s="8"/>
      <c r="AB5" s="8"/>
      <c r="AC5" s="8"/>
      <c r="AD5" s="102"/>
      <c r="AE5" s="101"/>
      <c r="AF5" s="48"/>
      <c r="AG5" s="44"/>
      <c r="AH5" s="8"/>
      <c r="AI5" s="8"/>
      <c r="AJ5" s="8"/>
      <c r="AK5" s="8"/>
      <c r="AL5" s="8"/>
      <c r="AM5" s="8"/>
      <c r="AN5" s="8"/>
      <c r="AO5" s="8"/>
      <c r="AP5" s="8"/>
      <c r="AQ5" s="8"/>
      <c r="AR5" s="8"/>
      <c r="AS5" s="102"/>
      <c r="AT5" s="101"/>
      <c r="AU5" s="48"/>
      <c r="AV5" s="8"/>
      <c r="AW5" s="8"/>
      <c r="AX5" s="8"/>
      <c r="AY5" s="8"/>
      <c r="AZ5" s="8"/>
      <c r="BA5" s="8"/>
      <c r="BB5" s="8"/>
      <c r="BC5" s="8"/>
      <c r="BD5" s="8"/>
      <c r="BE5" s="8"/>
      <c r="BF5" s="8"/>
      <c r="BG5" s="8"/>
      <c r="BH5" s="102"/>
      <c r="BI5" s="101"/>
      <c r="BJ5" s="371"/>
      <c r="BK5" s="44"/>
      <c r="BL5" s="8"/>
      <c r="BM5" s="8"/>
      <c r="BN5" s="8"/>
      <c r="BO5" s="8"/>
      <c r="BP5" s="8"/>
      <c r="BQ5" s="8"/>
      <c r="BR5" s="8"/>
      <c r="BS5" s="8"/>
      <c r="BT5" s="8"/>
      <c r="BU5" s="8"/>
      <c r="BV5" s="8"/>
      <c r="BW5" s="102"/>
      <c r="BX5" s="101"/>
      <c r="BY5" s="371"/>
      <c r="BZ5" s="8"/>
      <c r="CA5" s="8"/>
      <c r="CB5" s="77"/>
      <c r="CC5" s="77"/>
      <c r="CD5" s="77"/>
      <c r="CE5" s="77"/>
      <c r="CF5" s="77"/>
      <c r="CG5" s="8"/>
      <c r="CH5" s="8"/>
      <c r="CI5" s="8"/>
      <c r="CJ5" s="8"/>
      <c r="CK5" s="8"/>
      <c r="CL5" s="8"/>
      <c r="CM5" s="8"/>
      <c r="CN5" s="8"/>
      <c r="CO5" s="315"/>
      <c r="CP5" s="8"/>
      <c r="CQ5" s="48"/>
      <c r="CR5" s="8"/>
      <c r="CS5" s="8"/>
      <c r="CT5" s="8"/>
      <c r="CU5" s="8"/>
      <c r="CV5" s="77"/>
      <c r="CW5" s="8"/>
      <c r="CX5" s="8"/>
      <c r="CY5" s="8"/>
      <c r="CZ5" s="8"/>
      <c r="DA5" s="8"/>
      <c r="DB5" s="8"/>
      <c r="DC5" s="8"/>
      <c r="DD5" s="8"/>
      <c r="DE5" s="8"/>
      <c r="DF5" s="8"/>
      <c r="DG5" s="315"/>
      <c r="DH5" s="8"/>
      <c r="DI5" s="4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row>
    <row r="6" spans="1:142" x14ac:dyDescent="0.25">
      <c r="A6" s="14"/>
      <c r="B6" s="14"/>
      <c r="C6" s="14"/>
      <c r="D6" s="13"/>
      <c r="E6" s="14"/>
      <c r="F6" s="14"/>
      <c r="G6" s="14"/>
      <c r="H6" s="21"/>
      <c r="I6" s="15"/>
      <c r="J6" s="14"/>
      <c r="K6" s="14"/>
      <c r="L6" s="14"/>
      <c r="M6" s="14"/>
      <c r="N6" s="14"/>
      <c r="O6" s="14"/>
      <c r="P6" s="14"/>
      <c r="Q6" s="47"/>
      <c r="R6" s="19"/>
      <c r="S6" s="14"/>
      <c r="T6" s="14"/>
      <c r="U6" s="14"/>
      <c r="V6" s="14"/>
      <c r="W6" s="14"/>
      <c r="X6" s="14"/>
      <c r="Y6" s="14"/>
      <c r="Z6" s="14"/>
      <c r="AA6" s="14"/>
      <c r="AB6" s="14"/>
      <c r="AC6" s="14"/>
      <c r="AD6" s="65"/>
      <c r="AE6" s="63"/>
      <c r="AF6" s="47"/>
      <c r="AG6" s="19"/>
      <c r="AH6" s="14"/>
      <c r="AI6" s="14"/>
      <c r="AJ6" s="14"/>
      <c r="AK6" s="14"/>
      <c r="AL6" s="14"/>
      <c r="AM6" s="14"/>
      <c r="AN6" s="14"/>
      <c r="AO6" s="14"/>
      <c r="AP6" s="14"/>
      <c r="AQ6" s="14"/>
      <c r="AR6" s="14"/>
      <c r="AS6" s="65"/>
      <c r="AT6" s="63"/>
      <c r="AU6" s="47"/>
      <c r="AV6" s="14"/>
      <c r="AW6" s="14"/>
      <c r="AX6" s="14"/>
      <c r="AY6" s="14"/>
      <c r="AZ6" s="14"/>
      <c r="BA6" s="14"/>
      <c r="BB6" s="14"/>
      <c r="BC6" s="14"/>
      <c r="BD6" s="14"/>
      <c r="BE6" s="14"/>
      <c r="BF6" s="14"/>
      <c r="BG6" s="14"/>
      <c r="BH6" s="65"/>
      <c r="BI6" s="63"/>
      <c r="BJ6" s="352"/>
      <c r="BK6" s="19"/>
      <c r="BL6" s="14"/>
      <c r="BM6" s="14"/>
      <c r="BN6" s="14"/>
      <c r="BO6" s="14"/>
      <c r="BP6" s="14"/>
      <c r="BQ6" s="14"/>
      <c r="BR6" s="14"/>
      <c r="BS6" s="14"/>
      <c r="BT6" s="14"/>
      <c r="BU6" s="14"/>
      <c r="BV6" s="14"/>
      <c r="BW6" s="65"/>
      <c r="BX6" s="63"/>
      <c r="BY6" s="352"/>
      <c r="BZ6" s="14"/>
      <c r="CB6" s="21"/>
      <c r="CC6" s="21"/>
      <c r="CD6" s="21"/>
      <c r="CE6" s="21"/>
      <c r="CF6" s="21"/>
      <c r="CG6" s="14"/>
      <c r="CH6" s="14"/>
      <c r="CI6" s="14"/>
      <c r="CJ6" s="14"/>
      <c r="CK6" s="14"/>
      <c r="CL6" s="14"/>
      <c r="CM6" s="14"/>
      <c r="CN6" s="14"/>
      <c r="CO6" s="129"/>
      <c r="CP6" s="14"/>
      <c r="CQ6" s="47"/>
      <c r="CR6" s="14"/>
      <c r="CS6" s="14"/>
      <c r="CT6" s="14"/>
      <c r="CU6" s="14"/>
      <c r="CV6" s="21"/>
      <c r="CW6" s="14"/>
      <c r="CX6" s="14"/>
      <c r="CY6" s="14"/>
      <c r="CZ6" s="14"/>
      <c r="DA6" s="14"/>
      <c r="DB6" s="14"/>
      <c r="DC6" s="14"/>
      <c r="DD6" s="14"/>
      <c r="DE6" s="14"/>
      <c r="DF6" s="14"/>
      <c r="DG6" s="129"/>
      <c r="DH6" s="14"/>
      <c r="DI6" s="47"/>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row>
    <row r="7" spans="1:142" s="130" customFormat="1" x14ac:dyDescent="0.25">
      <c r="A7" s="87"/>
      <c r="B7" s="87" t="s">
        <v>752</v>
      </c>
      <c r="C7" s="87"/>
      <c r="D7" s="88"/>
      <c r="E7" s="87"/>
      <c r="F7" s="87"/>
      <c r="G7" s="87"/>
      <c r="H7" s="88"/>
      <c r="I7" s="88"/>
      <c r="J7" s="87"/>
      <c r="K7" s="87"/>
      <c r="L7" s="87"/>
      <c r="M7" s="87"/>
      <c r="N7" s="87"/>
      <c r="O7" s="87"/>
      <c r="P7" s="87"/>
      <c r="Q7" s="93"/>
      <c r="R7" s="196"/>
      <c r="S7" s="87" t="s">
        <v>752</v>
      </c>
      <c r="T7" s="87"/>
      <c r="U7" s="87"/>
      <c r="V7" s="87"/>
      <c r="W7" s="87"/>
      <c r="X7" s="87"/>
      <c r="Y7" s="87"/>
      <c r="Z7" s="87"/>
      <c r="AA7" s="87"/>
      <c r="AB7" s="87"/>
      <c r="AC7" s="87"/>
      <c r="AD7" s="91"/>
      <c r="AE7" s="92"/>
      <c r="AF7" s="93"/>
      <c r="AG7" s="196"/>
      <c r="AH7" s="87" t="s">
        <v>752</v>
      </c>
      <c r="AI7" s="87"/>
      <c r="AJ7" s="87"/>
      <c r="AK7" s="87"/>
      <c r="AL7" s="87"/>
      <c r="AM7" s="87"/>
      <c r="AN7" s="87"/>
      <c r="AO7" s="87"/>
      <c r="AP7" s="87"/>
      <c r="AQ7" s="87"/>
      <c r="AR7" s="87"/>
      <c r="AS7" s="91"/>
      <c r="AT7" s="92"/>
      <c r="AU7" s="93"/>
      <c r="AV7" s="87"/>
      <c r="AW7" s="87" t="s">
        <v>752</v>
      </c>
      <c r="AX7" s="87"/>
      <c r="AY7" s="87"/>
      <c r="AZ7" s="87"/>
      <c r="BA7" s="87"/>
      <c r="BB7" s="87"/>
      <c r="BC7" s="87"/>
      <c r="BD7" s="87"/>
      <c r="BE7" s="87"/>
      <c r="BF7" s="87"/>
      <c r="BG7" s="87"/>
      <c r="BH7" s="91"/>
      <c r="BI7" s="92"/>
      <c r="BJ7" s="351"/>
      <c r="BK7" s="196"/>
      <c r="BL7" s="87" t="s">
        <v>752</v>
      </c>
      <c r="BM7" s="87"/>
      <c r="BN7" s="87"/>
      <c r="BO7" s="87"/>
      <c r="BP7" s="87"/>
      <c r="BQ7" s="87"/>
      <c r="BR7" s="87"/>
      <c r="BS7" s="87"/>
      <c r="BT7" s="87"/>
      <c r="BU7" s="87"/>
      <c r="BV7" s="87"/>
      <c r="BW7" s="91"/>
      <c r="BX7" s="92"/>
      <c r="BY7" s="351"/>
      <c r="BZ7" s="87"/>
      <c r="CA7" s="87"/>
      <c r="CB7" s="88"/>
      <c r="CC7" s="88"/>
      <c r="CD7" s="88"/>
      <c r="CE7" s="88"/>
      <c r="CF7" s="88"/>
      <c r="CG7" s="87"/>
      <c r="CH7" s="87"/>
      <c r="CI7" s="87"/>
      <c r="CJ7" s="87"/>
      <c r="CK7" s="87"/>
      <c r="CL7" s="87"/>
      <c r="CM7" s="87"/>
      <c r="CN7" s="87"/>
      <c r="CO7" s="87"/>
      <c r="CP7" s="87"/>
      <c r="CQ7" s="93"/>
      <c r="CR7" s="87"/>
      <c r="CS7" s="87"/>
      <c r="CT7" s="87"/>
      <c r="CU7" s="87"/>
      <c r="CV7" s="88"/>
      <c r="CW7" s="87"/>
      <c r="CX7" s="87"/>
      <c r="CY7" s="87"/>
      <c r="CZ7" s="87"/>
      <c r="DA7" s="87"/>
      <c r="DB7" s="87"/>
      <c r="DC7" s="87"/>
      <c r="DD7" s="87"/>
      <c r="DE7" s="87"/>
      <c r="DF7" s="87"/>
      <c r="DG7" s="87"/>
      <c r="DH7" s="87"/>
      <c r="DI7" s="93"/>
      <c r="DJ7" s="87"/>
      <c r="DK7" s="87" t="s">
        <v>28</v>
      </c>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row>
    <row r="8" spans="1:142" s="132" customFormat="1" x14ac:dyDescent="0.25">
      <c r="A8" s="23"/>
      <c r="B8" s="148" t="s">
        <v>301</v>
      </c>
      <c r="C8" s="148"/>
      <c r="D8" s="149"/>
      <c r="E8" s="148"/>
      <c r="F8" s="23"/>
      <c r="G8" s="23"/>
      <c r="H8" s="18"/>
      <c r="I8" s="18"/>
      <c r="J8" s="23"/>
      <c r="K8" s="23"/>
      <c r="L8" s="23"/>
      <c r="M8" s="23"/>
      <c r="N8" s="23"/>
      <c r="O8" s="23"/>
      <c r="P8" s="23"/>
      <c r="Q8" s="73"/>
      <c r="R8" s="56"/>
      <c r="S8" s="148" t="s">
        <v>294</v>
      </c>
      <c r="T8" s="148"/>
      <c r="U8" s="149"/>
      <c r="V8" s="148"/>
      <c r="W8" s="148"/>
      <c r="X8" s="148"/>
      <c r="Y8" s="148"/>
      <c r="Z8" s="148"/>
      <c r="AA8" s="148"/>
      <c r="AB8" s="23"/>
      <c r="AC8" s="23"/>
      <c r="AD8" s="142"/>
      <c r="AE8" s="144"/>
      <c r="AF8" s="73"/>
      <c r="AG8" s="56"/>
      <c r="AH8" s="148" t="s">
        <v>328</v>
      </c>
      <c r="AI8" s="148"/>
      <c r="AJ8" s="149"/>
      <c r="AK8" s="148"/>
      <c r="AL8" s="148"/>
      <c r="AM8" s="23"/>
      <c r="AN8" s="23"/>
      <c r="AO8" s="23"/>
      <c r="AP8" s="23"/>
      <c r="AQ8" s="23"/>
      <c r="AR8" s="23"/>
      <c r="AS8" s="142"/>
      <c r="AT8" s="144"/>
      <c r="AU8" s="73"/>
      <c r="AV8" s="23"/>
      <c r="AW8" s="148" t="s">
        <v>347</v>
      </c>
      <c r="AX8" s="148"/>
      <c r="AY8" s="149"/>
      <c r="AZ8" s="148"/>
      <c r="BA8" s="148"/>
      <c r="BB8" s="23"/>
      <c r="BC8" s="23"/>
      <c r="BD8" s="23"/>
      <c r="BE8" s="23"/>
      <c r="BF8" s="23"/>
      <c r="BG8" s="23"/>
      <c r="BH8" s="142"/>
      <c r="BI8" s="144"/>
      <c r="BJ8" s="372"/>
      <c r="BK8" s="56"/>
      <c r="BL8" s="148" t="s">
        <v>348</v>
      </c>
      <c r="BM8" s="148"/>
      <c r="BN8" s="149"/>
      <c r="BO8" s="148"/>
      <c r="BP8" s="148"/>
      <c r="BQ8" s="23"/>
      <c r="BR8" s="23"/>
      <c r="BS8" s="23"/>
      <c r="BT8" s="23"/>
      <c r="BU8" s="23"/>
      <c r="BV8" s="23"/>
      <c r="BW8" s="142"/>
      <c r="BX8" s="144"/>
      <c r="BY8" s="372"/>
      <c r="BZ8" s="56"/>
      <c r="CA8" s="148" t="s">
        <v>303</v>
      </c>
      <c r="CB8" s="148"/>
      <c r="CC8" s="149"/>
      <c r="CD8" s="148"/>
      <c r="CE8" s="148"/>
      <c r="CF8" s="148"/>
      <c r="CG8" s="23"/>
      <c r="CH8" s="23"/>
      <c r="CI8" s="23"/>
      <c r="CJ8" s="23"/>
      <c r="CK8" s="23"/>
      <c r="CL8" s="23"/>
      <c r="CM8" s="23"/>
      <c r="CN8" s="23"/>
      <c r="CO8" s="90"/>
      <c r="CP8" s="23"/>
      <c r="CQ8" s="73"/>
      <c r="CR8" s="23"/>
      <c r="CS8" s="148" t="s">
        <v>370</v>
      </c>
      <c r="CT8" s="148"/>
      <c r="CU8" s="149"/>
      <c r="CV8" s="149"/>
      <c r="CW8" s="151"/>
      <c r="CX8" s="151"/>
      <c r="CY8" s="23"/>
      <c r="CZ8" s="23"/>
      <c r="DA8" s="23"/>
      <c r="DB8" s="23"/>
      <c r="DC8" s="23"/>
      <c r="DD8" s="23"/>
      <c r="DE8" s="23"/>
      <c r="DF8" s="23"/>
      <c r="DG8" s="90"/>
      <c r="DH8" s="23"/>
      <c r="DI8" s="73"/>
      <c r="DJ8" s="23"/>
      <c r="DK8" s="148" t="s">
        <v>305</v>
      </c>
      <c r="DL8" s="148"/>
      <c r="DM8" s="149"/>
      <c r="DN8" s="148"/>
      <c r="DO8" s="23"/>
      <c r="DP8" s="23"/>
      <c r="DQ8" s="23"/>
      <c r="DR8" s="23"/>
      <c r="DS8" s="23"/>
      <c r="DT8" s="23"/>
      <c r="DU8" s="23"/>
      <c r="DV8" s="23"/>
      <c r="DW8" s="23"/>
      <c r="DX8" s="23"/>
      <c r="DY8" s="23"/>
      <c r="DZ8" s="23"/>
      <c r="EA8" s="23"/>
      <c r="EB8" s="23"/>
      <c r="EC8" s="23"/>
      <c r="ED8" s="23"/>
      <c r="EE8" s="23"/>
      <c r="EF8" s="23"/>
      <c r="EG8" s="23"/>
      <c r="EH8" s="23"/>
      <c r="EI8" s="23"/>
      <c r="EJ8" s="23"/>
      <c r="EK8" s="23"/>
      <c r="EL8" s="23"/>
    </row>
    <row r="9" spans="1:142" ht="14.4" thickBot="1" x14ac:dyDescent="0.3">
      <c r="A9" s="14"/>
      <c r="B9" s="23"/>
      <c r="C9" s="23"/>
      <c r="D9" s="18"/>
      <c r="E9" s="23"/>
      <c r="F9" s="23"/>
      <c r="G9" s="23"/>
      <c r="H9" s="18"/>
      <c r="I9" s="21"/>
      <c r="J9" s="14"/>
      <c r="K9" s="14"/>
      <c r="L9" s="14"/>
      <c r="M9" s="14"/>
      <c r="N9" s="14"/>
      <c r="O9" s="14"/>
      <c r="P9" s="14"/>
      <c r="Q9" s="47"/>
      <c r="R9" s="19"/>
      <c r="S9" s="14"/>
      <c r="T9" s="14"/>
      <c r="U9" s="14"/>
      <c r="V9" s="14"/>
      <c r="W9" s="14"/>
      <c r="X9" s="14"/>
      <c r="Y9" s="14"/>
      <c r="Z9" s="14"/>
      <c r="AA9" s="14"/>
      <c r="AB9" s="14"/>
      <c r="AC9" s="14"/>
      <c r="AD9" s="65"/>
      <c r="AE9" s="19"/>
      <c r="AF9" s="47"/>
      <c r="AG9" s="19"/>
      <c r="AH9" s="14"/>
      <c r="AI9" s="14"/>
      <c r="AJ9" s="14"/>
      <c r="AK9" s="14"/>
      <c r="AL9" s="14"/>
      <c r="AM9" s="14"/>
      <c r="AN9" s="14"/>
      <c r="AO9" s="14"/>
      <c r="AP9" s="14"/>
      <c r="AQ9" s="14"/>
      <c r="AR9" s="14"/>
      <c r="AS9" s="65" t="s">
        <v>324</v>
      </c>
      <c r="AT9" s="19"/>
      <c r="AU9" s="47"/>
      <c r="AV9" s="14"/>
      <c r="AW9" s="14"/>
      <c r="AX9" s="14"/>
      <c r="AY9" s="14"/>
      <c r="AZ9" s="14"/>
      <c r="BA9" s="14"/>
      <c r="BB9" s="14"/>
      <c r="BC9" s="14"/>
      <c r="BD9" s="14"/>
      <c r="BE9" s="14"/>
      <c r="BF9" s="14"/>
      <c r="BG9" s="14"/>
      <c r="BH9" s="65"/>
      <c r="BI9" s="63"/>
      <c r="BJ9" s="352"/>
      <c r="BK9" s="19"/>
      <c r="BL9" s="14"/>
      <c r="BM9" s="14"/>
      <c r="BN9" s="14"/>
      <c r="BO9" s="14"/>
      <c r="BP9" s="14"/>
      <c r="BQ9" s="14"/>
      <c r="BR9" s="14"/>
      <c r="BS9" s="14"/>
      <c r="BT9" s="14"/>
      <c r="BU9" s="14"/>
      <c r="BV9" s="14"/>
      <c r="BW9" s="65"/>
      <c r="BX9" s="63"/>
      <c r="BY9" s="352"/>
      <c r="BZ9" s="14"/>
      <c r="CA9" s="14"/>
      <c r="CB9" s="21"/>
      <c r="CC9" s="21"/>
      <c r="CD9" s="21"/>
      <c r="CE9" s="21"/>
      <c r="CF9" s="21"/>
      <c r="CG9" s="14"/>
      <c r="CH9" s="14"/>
      <c r="CI9" s="14"/>
      <c r="CJ9" s="14"/>
      <c r="CK9" s="14"/>
      <c r="CL9" s="14"/>
      <c r="CM9" s="14"/>
      <c r="CN9" s="14"/>
      <c r="CO9" s="129"/>
      <c r="CP9" s="14"/>
      <c r="CQ9" s="47"/>
      <c r="CR9" s="14"/>
      <c r="CS9" s="14"/>
      <c r="CT9" s="14"/>
      <c r="CU9" s="14"/>
      <c r="CV9" s="21"/>
      <c r="CW9" s="14"/>
      <c r="CX9" s="14"/>
      <c r="CY9" s="14"/>
      <c r="CZ9" s="14"/>
      <c r="DA9" s="14"/>
      <c r="DB9" s="14"/>
      <c r="DC9" s="14"/>
      <c r="DD9" s="14"/>
      <c r="DE9" s="14"/>
      <c r="DF9" s="14"/>
      <c r="DG9" s="129"/>
      <c r="DH9" s="14"/>
      <c r="DI9" s="47"/>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row>
    <row r="10" spans="1:142" s="19" customFormat="1" ht="33.75" customHeight="1" x14ac:dyDescent="0.25">
      <c r="A10" s="14"/>
      <c r="B10" s="258" t="s">
        <v>676</v>
      </c>
      <c r="C10" s="24"/>
      <c r="D10" s="25"/>
      <c r="E10" s="158" t="s">
        <v>34</v>
      </c>
      <c r="F10" s="24"/>
      <c r="G10" s="24"/>
      <c r="H10" s="74"/>
      <c r="I10" s="21"/>
      <c r="J10" s="524" t="s">
        <v>753</v>
      </c>
      <c r="K10" s="525"/>
      <c r="L10" s="14"/>
      <c r="M10" s="14"/>
      <c r="N10" s="14"/>
      <c r="O10" s="14"/>
      <c r="P10" s="14"/>
      <c r="Q10" s="47"/>
      <c r="S10" s="522" t="s">
        <v>676</v>
      </c>
      <c r="T10" s="523"/>
      <c r="U10" s="523"/>
      <c r="V10" s="24" t="s">
        <v>475</v>
      </c>
      <c r="W10" s="24"/>
      <c r="X10" s="24"/>
      <c r="Y10" s="26"/>
      <c r="Z10" s="14"/>
      <c r="AA10" s="524" t="s">
        <v>753</v>
      </c>
      <c r="AB10" s="525"/>
      <c r="AC10" s="14"/>
      <c r="AD10" s="65"/>
      <c r="AF10" s="47"/>
      <c r="AH10" s="522" t="s">
        <v>676</v>
      </c>
      <c r="AI10" s="523"/>
      <c r="AJ10" s="523"/>
      <c r="AK10" s="24" t="s">
        <v>5</v>
      </c>
      <c r="AL10" s="24"/>
      <c r="AM10" s="24"/>
      <c r="AN10" s="26"/>
      <c r="AO10" s="14"/>
      <c r="AP10" s="524" t="s">
        <v>753</v>
      </c>
      <c r="AQ10" s="525"/>
      <c r="AR10" s="14"/>
      <c r="AS10" s="65" t="s">
        <v>325</v>
      </c>
      <c r="AU10" s="47"/>
      <c r="AV10" s="14"/>
      <c r="AW10" s="522" t="s">
        <v>676</v>
      </c>
      <c r="AX10" s="523"/>
      <c r="AY10" s="523"/>
      <c r="AZ10" s="24" t="s">
        <v>5</v>
      </c>
      <c r="BA10" s="24"/>
      <c r="BB10" s="24"/>
      <c r="BC10" s="26"/>
      <c r="BD10" s="14"/>
      <c r="BE10" s="524" t="s">
        <v>753</v>
      </c>
      <c r="BF10" s="525"/>
      <c r="BG10" s="14"/>
      <c r="BH10" s="65"/>
      <c r="BI10" s="63"/>
      <c r="BJ10" s="352"/>
      <c r="BL10" s="522" t="s">
        <v>676</v>
      </c>
      <c r="BM10" s="523"/>
      <c r="BN10" s="523"/>
      <c r="BO10" s="24" t="s">
        <v>464</v>
      </c>
      <c r="BP10" s="24"/>
      <c r="BQ10" s="24"/>
      <c r="BR10" s="26"/>
      <c r="BS10" s="14"/>
      <c r="BT10" s="524" t="s">
        <v>753</v>
      </c>
      <c r="BU10" s="525"/>
      <c r="BV10" s="14"/>
      <c r="BW10" s="65"/>
      <c r="BX10" s="63"/>
      <c r="BY10" s="352"/>
      <c r="BZ10" s="14"/>
      <c r="CA10" s="109" t="s">
        <v>14</v>
      </c>
      <c r="CB10" s="110"/>
      <c r="CC10" s="110" t="s">
        <v>149</v>
      </c>
      <c r="CD10" s="109" t="s">
        <v>150</v>
      </c>
      <c r="CE10" s="110" t="s">
        <v>151</v>
      </c>
      <c r="CF10" s="109" t="s">
        <v>152</v>
      </c>
      <c r="CG10" s="14"/>
      <c r="CH10" s="110" t="s">
        <v>560</v>
      </c>
      <c r="CI10" s="110" t="s">
        <v>385</v>
      </c>
      <c r="CJ10" s="201"/>
      <c r="CK10" s="201"/>
      <c r="CL10" s="201"/>
      <c r="CM10" s="201"/>
      <c r="CN10" s="201"/>
      <c r="CO10" s="325"/>
      <c r="CP10" s="14"/>
      <c r="CQ10" s="47"/>
      <c r="CR10" s="14"/>
      <c r="CS10" s="109" t="s">
        <v>14</v>
      </c>
      <c r="CT10" s="110"/>
      <c r="CU10" s="110" t="s">
        <v>149</v>
      </c>
      <c r="CV10" s="110" t="s">
        <v>150</v>
      </c>
      <c r="CW10" s="110" t="s">
        <v>151</v>
      </c>
      <c r="CX10" s="109" t="s">
        <v>152</v>
      </c>
      <c r="CY10" s="14"/>
      <c r="CZ10" s="110" t="s">
        <v>560</v>
      </c>
      <c r="DA10" s="110" t="s">
        <v>385</v>
      </c>
      <c r="DB10" s="201"/>
      <c r="DC10" s="201"/>
      <c r="DD10" s="201"/>
      <c r="DE10" s="201"/>
      <c r="DF10" s="201"/>
      <c r="DG10" s="325"/>
      <c r="DH10" s="14"/>
      <c r="DI10" s="47"/>
      <c r="DJ10" s="14"/>
      <c r="DK10" s="522" t="s">
        <v>676</v>
      </c>
      <c r="DL10" s="523"/>
      <c r="DM10" s="523"/>
      <c r="DN10" s="24" t="s">
        <v>476</v>
      </c>
      <c r="DO10" s="24"/>
      <c r="DP10" s="24"/>
      <c r="DQ10" s="26"/>
      <c r="DR10" s="14"/>
      <c r="DS10" s="524" t="s">
        <v>753</v>
      </c>
      <c r="DT10" s="525"/>
      <c r="DU10" s="14"/>
      <c r="DV10" s="14"/>
      <c r="DW10" s="14"/>
      <c r="DX10" s="14"/>
      <c r="DY10" s="14"/>
      <c r="DZ10" s="14"/>
      <c r="EA10" s="14"/>
      <c r="EB10" s="14"/>
      <c r="EC10" s="14"/>
      <c r="ED10" s="14"/>
      <c r="EE10" s="14"/>
      <c r="EF10" s="14"/>
      <c r="EG10" s="14"/>
      <c r="EH10" s="14"/>
      <c r="EI10" s="14"/>
      <c r="EJ10" s="14"/>
      <c r="EK10" s="14"/>
      <c r="EL10" s="14"/>
    </row>
    <row r="11" spans="1:142" s="260" customFormat="1" ht="15" customHeight="1" x14ac:dyDescent="0.25">
      <c r="A11" s="129"/>
      <c r="B11" s="536" t="s">
        <v>672</v>
      </c>
      <c r="C11" s="537"/>
      <c r="D11" s="537"/>
      <c r="E11" s="537"/>
      <c r="F11" s="537"/>
      <c r="G11" s="537"/>
      <c r="H11" s="538"/>
      <c r="I11" s="285"/>
      <c r="J11" s="526"/>
      <c r="K11" s="527"/>
      <c r="L11" s="129"/>
      <c r="M11" s="129"/>
      <c r="N11" s="129"/>
      <c r="O11" s="129"/>
      <c r="P11" s="129"/>
      <c r="Q11" s="82"/>
      <c r="S11" s="536" t="s">
        <v>675</v>
      </c>
      <c r="T11" s="537"/>
      <c r="U11" s="537"/>
      <c r="V11" s="537"/>
      <c r="W11" s="537"/>
      <c r="X11" s="537"/>
      <c r="Y11" s="538"/>
      <c r="Z11" s="129"/>
      <c r="AA11" s="526"/>
      <c r="AB11" s="527"/>
      <c r="AC11" s="129"/>
      <c r="AD11" s="80"/>
      <c r="AE11" s="131"/>
      <c r="AF11" s="82"/>
      <c r="AH11" s="530" t="s">
        <v>674</v>
      </c>
      <c r="AI11" s="531"/>
      <c r="AJ11" s="531"/>
      <c r="AK11" s="531"/>
      <c r="AL11" s="531"/>
      <c r="AM11" s="531"/>
      <c r="AN11" s="532"/>
      <c r="AO11" s="129"/>
      <c r="AP11" s="526"/>
      <c r="AQ11" s="527"/>
      <c r="AR11" s="129"/>
      <c r="AS11" s="80" t="s">
        <v>326</v>
      </c>
      <c r="AT11" s="131"/>
      <c r="AU11" s="82"/>
      <c r="AV11" s="129"/>
      <c r="AW11" s="530" t="s">
        <v>674</v>
      </c>
      <c r="AX11" s="531"/>
      <c r="AY11" s="531"/>
      <c r="AZ11" s="531"/>
      <c r="BA11" s="531"/>
      <c r="BB11" s="531"/>
      <c r="BC11" s="532"/>
      <c r="BD11" s="129"/>
      <c r="BE11" s="526"/>
      <c r="BF11" s="527"/>
      <c r="BG11" s="129"/>
      <c r="BH11" s="80"/>
      <c r="BI11" s="81"/>
      <c r="BJ11" s="373"/>
      <c r="BL11" s="536" t="s">
        <v>673</v>
      </c>
      <c r="BM11" s="537"/>
      <c r="BN11" s="537"/>
      <c r="BO11" s="537"/>
      <c r="BP11" s="537"/>
      <c r="BQ11" s="537"/>
      <c r="BR11" s="538"/>
      <c r="BS11" s="129"/>
      <c r="BT11" s="526"/>
      <c r="BU11" s="527"/>
      <c r="BV11" s="129"/>
      <c r="BW11" s="80"/>
      <c r="BX11" s="81"/>
      <c r="BY11" s="373"/>
      <c r="BZ11" s="129"/>
      <c r="CA11" s="140" t="s">
        <v>701</v>
      </c>
      <c r="CB11" s="139"/>
      <c r="CC11" s="141">
        <f>IF(ISBLANK($CA11),"",IFERROR(CC64/$CB$58,0)+IFERROR(CC91/$CG$82,0)+IFERROR(CC118/$CB$112,0)+IFERROR(CC145/$CB$139,0)+IFERROR(CC172/$CB$166,0)+IFERROR(CC199/$CB$193,0))</f>
        <v>4.1666666666666661</v>
      </c>
      <c r="CD11" s="141">
        <f t="shared" ref="CD11:CE11" si="0">IF(ISBLANK($CA11),"",IFERROR(CD64/$CB$58,0)+IFERROR(CD91/$CG$82,0)+IFERROR(CD118/$CB$112,0)+IFERROR(CD145/$CB$139,0)+IFERROR(CD172/$CB$166,0)+IFERROR(CD199/$CB$193,0))</f>
        <v>0.83333333333333326</v>
      </c>
      <c r="CE11" s="141">
        <f t="shared" si="0"/>
        <v>0.33333333333333331</v>
      </c>
      <c r="CF11" s="141">
        <f>IF(ISBLANK(CA11),"",ROUND(SUMPRODUCT(CC11:CE11,Rank_score)/MAX(SUM($CC$11:$CC$18),SUM($CD$11:$CD$18),SUM($CE$11:$CE$18)),4)+(0.000001*ROWS(CF$10:$CF10)))</f>
        <v>3.1071010000000001</v>
      </c>
      <c r="CG11" s="129"/>
      <c r="CH11" s="206">
        <f t="shared" ref="CH11:CH17" si="1">IF(ISBLANK($CA11),"",SUM(CO64,CO91,CO118,CO145,CO172,CO199)/COUNTIF($CB$22:$CB$27,"&gt;0"))</f>
        <v>1.3333333333333333</v>
      </c>
      <c r="CI11" s="314" t="str">
        <f t="shared" ref="CI11:CI18" si="2">IF(ISBLANK(CA11),"",IF(SUM(CC11:CE11)=0,not_ranked,IF(CH11=0,not_estimated,VLOOKUP(ROUNDDOWN(CH11,ScoresDPs),ScoresToLikelihoods,3,1))))</f>
        <v>Unlikely</v>
      </c>
      <c r="CJ11" s="139"/>
      <c r="CK11" s="139"/>
      <c r="CL11" s="139"/>
      <c r="CM11" s="139"/>
      <c r="CN11" s="139"/>
      <c r="CO11" s="141"/>
      <c r="CP11" s="129"/>
      <c r="CQ11" s="82"/>
      <c r="CR11" s="129"/>
      <c r="CS11" s="140" t="s">
        <v>373</v>
      </c>
      <c r="CT11" s="139"/>
      <c r="CU11" s="141">
        <f>IF(ISBLANK($CS11),"",IFERROR(CU64/$CT$58,0)+IFERROR(CU91/$CT$85,0)+IFERROR(CU118/$CT$112,0)+IFERROR(CU145/$CT$139,0)+IFERROR(CU172/$CT$166,0)+IFERROR(CU199/$CT$193,0))</f>
        <v>3</v>
      </c>
      <c r="CV11" s="141">
        <f t="shared" ref="CV11:CW11" si="3">IF(ISBLANK($CS11),"",IFERROR(CV64/$CT$58,0)+IFERROR(CV91/$CT$85,0)+IFERROR(CV118/$CT$112,0)+IFERROR(CV145/$CT$139,0)+IFERROR(CV172/$CT$166,0)+IFERROR(CV199/$CT$193,0))</f>
        <v>0</v>
      </c>
      <c r="CW11" s="141">
        <f t="shared" si="3"/>
        <v>1</v>
      </c>
      <c r="CX11" s="141">
        <f>IF(ISBLANK($CS11),"",ROUND(SUMPRODUCT(CU11:CW11,Rank_score)/MAX(SUM($CU$11:$CU$18),SUM($CV$11:$CV$18),SUM($CW$11:$CW$18)),4)+(0.000001*ROWS($CX$10:CX10)))</f>
        <v>2.5000010000000001</v>
      </c>
      <c r="CY11" s="129"/>
      <c r="CZ11" s="206">
        <f t="shared" ref="CZ11:CZ18" si="4">IF(ISBLANK(CS11),"",SUM(DG64,DG91,DG118,DG145,DG172,DG199)/COUNTIF($CT$22:$CT$27,"&gt;0"))</f>
        <v>2.5</v>
      </c>
      <c r="DA11" s="314" t="str">
        <f t="shared" ref="DA11:DA18" si="5">IF(ISBLANK(CS11),"",IF(SUM(CU11:CW11)=0,not_ranked,IF(CZ11=0,not_estimated,VLOOKUP(ROUNDDOWN(CZ11,ScoresDPs),ScoresToLikelihoods,3,1))))</f>
        <v>Moderately unlikely</v>
      </c>
      <c r="DB11" s="139"/>
      <c r="DC11" s="139"/>
      <c r="DD11" s="139"/>
      <c r="DE11" s="139"/>
      <c r="DF11" s="139"/>
      <c r="DG11" s="141"/>
      <c r="DH11" s="129"/>
      <c r="DI11" s="82"/>
      <c r="DJ11" s="129"/>
      <c r="DK11" s="530" t="s">
        <v>466</v>
      </c>
      <c r="DL11" s="531"/>
      <c r="DM11" s="531"/>
      <c r="DN11" s="531"/>
      <c r="DO11" s="531"/>
      <c r="DP11" s="531"/>
      <c r="DQ11" s="532"/>
      <c r="DR11" s="129"/>
      <c r="DS11" s="526"/>
      <c r="DT11" s="527"/>
      <c r="DU11" s="129"/>
      <c r="DV11" s="129"/>
      <c r="DW11" s="129"/>
      <c r="DX11" s="129"/>
      <c r="DY11" s="129"/>
      <c r="DZ11" s="129"/>
      <c r="EA11" s="129"/>
      <c r="EB11" s="129"/>
      <c r="EC11" s="129"/>
      <c r="ED11" s="129"/>
      <c r="EE11" s="129"/>
      <c r="EF11" s="129"/>
      <c r="EG11" s="129"/>
      <c r="EH11" s="129"/>
      <c r="EI11" s="129"/>
      <c r="EJ11" s="129"/>
      <c r="EK11" s="129"/>
      <c r="EL11" s="129"/>
    </row>
    <row r="12" spans="1:142" s="260" customFormat="1" ht="15" customHeight="1" x14ac:dyDescent="0.25">
      <c r="A12" s="129"/>
      <c r="B12" s="536"/>
      <c r="C12" s="537"/>
      <c r="D12" s="537"/>
      <c r="E12" s="537"/>
      <c r="F12" s="537"/>
      <c r="G12" s="537"/>
      <c r="H12" s="538"/>
      <c r="I12" s="285"/>
      <c r="J12" s="526"/>
      <c r="K12" s="527"/>
      <c r="L12" s="129"/>
      <c r="M12" s="129"/>
      <c r="N12" s="129"/>
      <c r="O12" s="129"/>
      <c r="P12" s="129"/>
      <c r="Q12" s="82"/>
      <c r="S12" s="536"/>
      <c r="T12" s="537"/>
      <c r="U12" s="537"/>
      <c r="V12" s="537"/>
      <c r="W12" s="537"/>
      <c r="X12" s="537"/>
      <c r="Y12" s="538"/>
      <c r="Z12" s="129"/>
      <c r="AA12" s="526"/>
      <c r="AB12" s="527"/>
      <c r="AC12" s="129"/>
      <c r="AD12" s="80"/>
      <c r="AE12" s="131"/>
      <c r="AF12" s="82"/>
      <c r="AH12" s="530"/>
      <c r="AI12" s="531"/>
      <c r="AJ12" s="531"/>
      <c r="AK12" s="531"/>
      <c r="AL12" s="531"/>
      <c r="AM12" s="531"/>
      <c r="AN12" s="532"/>
      <c r="AO12" s="129"/>
      <c r="AP12" s="526"/>
      <c r="AQ12" s="527"/>
      <c r="AR12" s="129"/>
      <c r="AS12" s="80" t="s">
        <v>327</v>
      </c>
      <c r="AT12" s="131"/>
      <c r="AU12" s="82"/>
      <c r="AV12" s="129"/>
      <c r="AW12" s="530"/>
      <c r="AX12" s="531"/>
      <c r="AY12" s="531"/>
      <c r="AZ12" s="531"/>
      <c r="BA12" s="531"/>
      <c r="BB12" s="531"/>
      <c r="BC12" s="532"/>
      <c r="BD12" s="129"/>
      <c r="BE12" s="526"/>
      <c r="BF12" s="527"/>
      <c r="BG12" s="129"/>
      <c r="BH12" s="80"/>
      <c r="BI12" s="81"/>
      <c r="BJ12" s="373"/>
      <c r="BL12" s="536"/>
      <c r="BM12" s="537"/>
      <c r="BN12" s="537"/>
      <c r="BO12" s="537"/>
      <c r="BP12" s="537"/>
      <c r="BQ12" s="537"/>
      <c r="BR12" s="538"/>
      <c r="BS12" s="129"/>
      <c r="BT12" s="526"/>
      <c r="BU12" s="527"/>
      <c r="BV12" s="129"/>
      <c r="BW12" s="80"/>
      <c r="BX12" s="81"/>
      <c r="BY12" s="373"/>
      <c r="BZ12" s="129"/>
      <c r="CA12" s="140" t="s">
        <v>344</v>
      </c>
      <c r="CB12" s="139"/>
      <c r="CC12" s="141">
        <f t="shared" ref="CC12:CE12" si="6">IF(ISBLANK($CA12),"",IFERROR(CC65/$CB$58,0)+IFERROR(CC92/$CG$82,0)+IFERROR(CC119/$CB$112,0)+IFERROR(CC146/$CB$139,0)+IFERROR(CC173/$CB$166,0)+IFERROR(CC200/$CB$193,0))</f>
        <v>0.5</v>
      </c>
      <c r="CD12" s="141">
        <f t="shared" si="6"/>
        <v>1</v>
      </c>
      <c r="CE12" s="141">
        <f t="shared" si="6"/>
        <v>0.33333333333333331</v>
      </c>
      <c r="CF12" s="141">
        <f>IF(ISBLANK(CA12),"",ROUND(SUMPRODUCT(CC12:CE12,Rank_score)/MAX(SUM($CC$11:$CC$18),SUM($CD$11:$CD$18),SUM($CE$11:$CE$18)),4)+(0.000001*ROWS(CF$10:$CF11)))</f>
        <v>0.82140199999999997</v>
      </c>
      <c r="CG12" s="129"/>
      <c r="CH12" s="206">
        <f t="shared" si="1"/>
        <v>1.5</v>
      </c>
      <c r="CI12" s="314" t="str">
        <f t="shared" si="2"/>
        <v>Unlikely</v>
      </c>
      <c r="CJ12" s="139"/>
      <c r="CK12" s="139"/>
      <c r="CL12" s="139"/>
      <c r="CM12" s="139"/>
      <c r="CN12" s="139"/>
      <c r="CO12" s="141"/>
      <c r="CP12" s="129"/>
      <c r="CQ12" s="82"/>
      <c r="CR12" s="129"/>
      <c r="CS12" s="140" t="s">
        <v>338</v>
      </c>
      <c r="CT12" s="139"/>
      <c r="CU12" s="141">
        <f t="shared" ref="CU12:CW12" si="7">IF(ISBLANK($CS12),"",IFERROR(CU65/$CT$58,0)+IFERROR(CU92/$CT$85,0)+IFERROR(CU119/$CT$112,0)+IFERROR(CU146/$CT$139,0)+IFERROR(CU173/$CT$166,0)+IFERROR(CU200/$CT$193,0))</f>
        <v>1</v>
      </c>
      <c r="CV12" s="141">
        <f t="shared" si="7"/>
        <v>0.66666666666666663</v>
      </c>
      <c r="CW12" s="141">
        <f t="shared" si="7"/>
        <v>1</v>
      </c>
      <c r="CX12" s="141">
        <f>IF(ISBLANK($CS12),"",ROUND(SUMPRODUCT(CU12:CW12,Rank_score)/MAX(SUM($CU$11:$CU$18),SUM($CV$11:$CV$18),SUM($CW$11:$CW$18)),4)+(0.000001*ROWS($CX$10:CX11)))</f>
        <v>1.333302</v>
      </c>
      <c r="CY12" s="129"/>
      <c r="CZ12" s="206">
        <f t="shared" si="4"/>
        <v>0.25</v>
      </c>
      <c r="DA12" s="314" t="str">
        <f t="shared" si="5"/>
        <v>Very unlikely</v>
      </c>
      <c r="DB12" s="139"/>
      <c r="DC12" s="139"/>
      <c r="DD12" s="139"/>
      <c r="DE12" s="139"/>
      <c r="DF12" s="139"/>
      <c r="DG12" s="141"/>
      <c r="DH12" s="129"/>
      <c r="DI12" s="82"/>
      <c r="DJ12" s="129"/>
      <c r="DK12" s="530"/>
      <c r="DL12" s="531"/>
      <c r="DM12" s="531"/>
      <c r="DN12" s="531"/>
      <c r="DO12" s="531"/>
      <c r="DP12" s="531"/>
      <c r="DQ12" s="532"/>
      <c r="DR12" s="129"/>
      <c r="DS12" s="526"/>
      <c r="DT12" s="527"/>
      <c r="DU12" s="129"/>
      <c r="DV12" s="129"/>
      <c r="DW12" s="129"/>
      <c r="DX12" s="129"/>
      <c r="DY12" s="129"/>
      <c r="DZ12" s="129"/>
      <c r="EA12" s="129"/>
      <c r="EB12" s="129"/>
      <c r="EC12" s="129"/>
      <c r="ED12" s="129"/>
      <c r="EE12" s="129"/>
      <c r="EF12" s="129"/>
      <c r="EG12" s="129"/>
      <c r="EH12" s="129"/>
      <c r="EI12" s="129"/>
      <c r="EJ12" s="129"/>
      <c r="EK12" s="129"/>
      <c r="EL12" s="129"/>
    </row>
    <row r="13" spans="1:142" s="260" customFormat="1" ht="15" customHeight="1" x14ac:dyDescent="0.25">
      <c r="A13" s="129"/>
      <c r="B13" s="536"/>
      <c r="C13" s="537"/>
      <c r="D13" s="537"/>
      <c r="E13" s="537"/>
      <c r="F13" s="537"/>
      <c r="G13" s="537"/>
      <c r="H13" s="538"/>
      <c r="I13" s="285"/>
      <c r="J13" s="528"/>
      <c r="K13" s="529"/>
      <c r="L13" s="129"/>
      <c r="M13" s="129"/>
      <c r="N13" s="129"/>
      <c r="O13" s="129"/>
      <c r="P13" s="129"/>
      <c r="Q13" s="82"/>
      <c r="S13" s="536"/>
      <c r="T13" s="537"/>
      <c r="U13" s="537"/>
      <c r="V13" s="537"/>
      <c r="W13" s="537"/>
      <c r="X13" s="537"/>
      <c r="Y13" s="538"/>
      <c r="Z13" s="129"/>
      <c r="AA13" s="528"/>
      <c r="AB13" s="529"/>
      <c r="AC13" s="129"/>
      <c r="AD13" s="80"/>
      <c r="AE13" s="81"/>
      <c r="AF13" s="82"/>
      <c r="AH13" s="530"/>
      <c r="AI13" s="531"/>
      <c r="AJ13" s="531"/>
      <c r="AK13" s="531"/>
      <c r="AL13" s="531"/>
      <c r="AM13" s="531"/>
      <c r="AN13" s="532"/>
      <c r="AO13" s="129"/>
      <c r="AP13" s="528"/>
      <c r="AQ13" s="529"/>
      <c r="AR13" s="129"/>
      <c r="AS13" s="80"/>
      <c r="AT13" s="81"/>
      <c r="AU13" s="82"/>
      <c r="AV13" s="129"/>
      <c r="AW13" s="530"/>
      <c r="AX13" s="531"/>
      <c r="AY13" s="531"/>
      <c r="AZ13" s="531"/>
      <c r="BA13" s="531"/>
      <c r="BB13" s="531"/>
      <c r="BC13" s="532"/>
      <c r="BD13" s="129"/>
      <c r="BE13" s="528"/>
      <c r="BF13" s="529"/>
      <c r="BG13" s="129"/>
      <c r="BH13" s="80"/>
      <c r="BI13" s="81"/>
      <c r="BJ13" s="373"/>
      <c r="BL13" s="536"/>
      <c r="BM13" s="537"/>
      <c r="BN13" s="537"/>
      <c r="BO13" s="537"/>
      <c r="BP13" s="537"/>
      <c r="BQ13" s="537"/>
      <c r="BR13" s="538"/>
      <c r="BS13" s="129"/>
      <c r="BT13" s="528"/>
      <c r="BU13" s="529"/>
      <c r="BV13" s="129"/>
      <c r="BW13" s="80"/>
      <c r="BX13" s="81"/>
      <c r="BY13" s="373"/>
      <c r="BZ13" s="129"/>
      <c r="CA13" s="140" t="s">
        <v>146</v>
      </c>
      <c r="CB13" s="139"/>
      <c r="CC13" s="141">
        <f t="shared" ref="CC13:CE13" si="8">IF(ISBLANK($CA13),"",IFERROR(CC66/$CB$58,0)+IFERROR(CC93/$CG$82,0)+IFERROR(CC120/$CB$112,0)+IFERROR(CC147/$CB$139,0)+IFERROR(CC174/$CB$166,0)+IFERROR(CC201/$CB$193,0))</f>
        <v>0</v>
      </c>
      <c r="CD13" s="141">
        <f t="shared" si="8"/>
        <v>0.33333333333333331</v>
      </c>
      <c r="CE13" s="141">
        <f t="shared" si="8"/>
        <v>0.83333333333333326</v>
      </c>
      <c r="CF13" s="141">
        <f>IF(ISBLANK(CA13),"",ROUND(SUMPRODUCT(CC13:CE13,Rank_score)/MAX(SUM($CC$11:$CC$18),SUM($CD$11:$CD$18),SUM($CE$11:$CE$18)),4)+(0.000001*ROWS(CF$10:$CF12)))</f>
        <v>0.32140299999999999</v>
      </c>
      <c r="CG13" s="129"/>
      <c r="CH13" s="206">
        <f t="shared" si="1"/>
        <v>1</v>
      </c>
      <c r="CI13" s="314" t="str">
        <f t="shared" si="2"/>
        <v>Unlikely</v>
      </c>
      <c r="CJ13" s="139"/>
      <c r="CK13" s="139"/>
      <c r="CL13" s="139"/>
      <c r="CM13" s="139"/>
      <c r="CN13" s="139"/>
      <c r="CO13" s="141"/>
      <c r="CP13" s="129"/>
      <c r="CQ13" s="82"/>
      <c r="CR13" s="129"/>
      <c r="CS13" s="140" t="s">
        <v>339</v>
      </c>
      <c r="CT13" s="139"/>
      <c r="CU13" s="141">
        <f t="shared" ref="CU13:CW13" si="9">IF(ISBLANK($CS13),"",IFERROR(CU66/$CT$58,0)+IFERROR(CU93/$CT$85,0)+IFERROR(CU120/$CT$112,0)+IFERROR(CU147/$CT$139,0)+IFERROR(CU174/$CT$166,0)+IFERROR(CU201/$CT$193,0))</f>
        <v>0</v>
      </c>
      <c r="CV13" s="141">
        <f t="shared" si="9"/>
        <v>0</v>
      </c>
      <c r="CW13" s="141">
        <f t="shared" si="9"/>
        <v>0.33333333333333331</v>
      </c>
      <c r="CX13" s="141">
        <f>IF(ISBLANK($CS13),"",ROUND(SUMPRODUCT(CU13:CW13,Rank_score)/MAX(SUM($CU$11:$CU$18),SUM($CV$11:$CV$18),SUM($CW$11:$CW$18)),4)+(0.000001*ROWS($CX$10:CX12)))</f>
        <v>8.3303000000000002E-2</v>
      </c>
      <c r="CY13" s="129"/>
      <c r="CZ13" s="206">
        <f t="shared" si="4"/>
        <v>1.25</v>
      </c>
      <c r="DA13" s="314" t="str">
        <f t="shared" si="5"/>
        <v>Unlikely</v>
      </c>
      <c r="DB13" s="139"/>
      <c r="DC13" s="139"/>
      <c r="DD13" s="139"/>
      <c r="DE13" s="139"/>
      <c r="DF13" s="139"/>
      <c r="DG13" s="141"/>
      <c r="DH13" s="129"/>
      <c r="DI13" s="82"/>
      <c r="DJ13" s="129"/>
      <c r="DK13" s="530"/>
      <c r="DL13" s="531"/>
      <c r="DM13" s="531"/>
      <c r="DN13" s="531"/>
      <c r="DO13" s="531"/>
      <c r="DP13" s="531"/>
      <c r="DQ13" s="532"/>
      <c r="DR13" s="287"/>
      <c r="DS13" s="528"/>
      <c r="DT13" s="529"/>
      <c r="DU13" s="129"/>
      <c r="DV13" s="129"/>
      <c r="DW13" s="129"/>
      <c r="DX13" s="129"/>
      <c r="DY13" s="129"/>
      <c r="DZ13" s="129"/>
      <c r="EA13" s="129"/>
      <c r="EB13" s="129"/>
      <c r="EC13" s="129"/>
      <c r="ED13" s="129"/>
      <c r="EE13" s="129"/>
      <c r="EF13" s="129"/>
      <c r="EG13" s="129"/>
      <c r="EH13" s="129"/>
      <c r="EI13" s="129"/>
      <c r="EJ13" s="129"/>
      <c r="EK13" s="129"/>
      <c r="EL13" s="129"/>
    </row>
    <row r="14" spans="1:142" s="260" customFormat="1" ht="15" customHeight="1" x14ac:dyDescent="0.25">
      <c r="A14" s="129"/>
      <c r="B14" s="536"/>
      <c r="C14" s="537"/>
      <c r="D14" s="537"/>
      <c r="E14" s="537"/>
      <c r="F14" s="537"/>
      <c r="G14" s="537"/>
      <c r="H14" s="538"/>
      <c r="I14" s="285"/>
      <c r="J14" s="129"/>
      <c r="K14" s="129"/>
      <c r="L14" s="129"/>
      <c r="M14" s="129"/>
      <c r="N14" s="129"/>
      <c r="O14" s="129"/>
      <c r="P14" s="129"/>
      <c r="Q14" s="82"/>
      <c r="S14" s="536"/>
      <c r="T14" s="537"/>
      <c r="U14" s="537"/>
      <c r="V14" s="537"/>
      <c r="W14" s="537"/>
      <c r="X14" s="537"/>
      <c r="Y14" s="538"/>
      <c r="Z14" s="129"/>
      <c r="AA14" s="129"/>
      <c r="AB14" s="129"/>
      <c r="AC14" s="129"/>
      <c r="AD14" s="80"/>
      <c r="AE14" s="81"/>
      <c r="AF14" s="82"/>
      <c r="AH14" s="530"/>
      <c r="AI14" s="531"/>
      <c r="AJ14" s="531"/>
      <c r="AK14" s="531"/>
      <c r="AL14" s="531"/>
      <c r="AM14" s="531"/>
      <c r="AN14" s="532"/>
      <c r="AO14" s="129"/>
      <c r="AP14" s="129"/>
      <c r="AQ14" s="129"/>
      <c r="AR14" s="129"/>
      <c r="AS14" s="80"/>
      <c r="AT14" s="81"/>
      <c r="AU14" s="82"/>
      <c r="AV14" s="129"/>
      <c r="AW14" s="530"/>
      <c r="AX14" s="531"/>
      <c r="AY14" s="531"/>
      <c r="AZ14" s="531"/>
      <c r="BA14" s="531"/>
      <c r="BB14" s="531"/>
      <c r="BC14" s="532"/>
      <c r="BD14" s="129"/>
      <c r="BE14" s="129"/>
      <c r="BF14" s="129"/>
      <c r="BG14" s="129"/>
      <c r="BH14" s="80"/>
      <c r="BI14" s="81"/>
      <c r="BJ14" s="373"/>
      <c r="BL14" s="536"/>
      <c r="BM14" s="537"/>
      <c r="BN14" s="537"/>
      <c r="BO14" s="537"/>
      <c r="BP14" s="537"/>
      <c r="BQ14" s="537"/>
      <c r="BR14" s="538"/>
      <c r="BS14" s="129"/>
      <c r="BT14" s="129"/>
      <c r="BU14" s="129"/>
      <c r="BV14" s="129"/>
      <c r="BW14" s="80"/>
      <c r="BX14" s="81"/>
      <c r="BY14" s="373"/>
      <c r="BZ14" s="129"/>
      <c r="CA14" s="140" t="s">
        <v>147</v>
      </c>
      <c r="CB14" s="139"/>
      <c r="CC14" s="141">
        <f t="shared" ref="CC14:CE14" si="10">IF(ISBLANK($CA14),"",IFERROR(CC67/$CB$58,0)+IFERROR(CC94/$CG$82,0)+IFERROR(CC121/$CB$112,0)+IFERROR(CC148/$CB$139,0)+IFERROR(CC175/$CB$166,0)+IFERROR(CC202/$CB$193,0))</f>
        <v>0</v>
      </c>
      <c r="CD14" s="141">
        <f t="shared" si="10"/>
        <v>1.3333333333333333</v>
      </c>
      <c r="CE14" s="141">
        <f t="shared" si="10"/>
        <v>0.33333333333333331</v>
      </c>
      <c r="CF14" s="141">
        <f>IF(ISBLANK(CA14),"",ROUND(SUMPRODUCT(CC14:CE14,Rank_score)/MAX(SUM($CC$11:$CC$18),SUM($CD$11:$CD$18),SUM($CE$11:$CE$18)),4)+(0.000001*ROWS(CF$10:$CF13)))</f>
        <v>0.64290400000000003</v>
      </c>
      <c r="CG14" s="129"/>
      <c r="CH14" s="206">
        <f t="shared" si="1"/>
        <v>0.33333333333333331</v>
      </c>
      <c r="CI14" s="314" t="str">
        <f t="shared" si="2"/>
        <v>Very unlikely</v>
      </c>
      <c r="CJ14" s="139"/>
      <c r="CK14" s="139"/>
      <c r="CL14" s="139"/>
      <c r="CM14" s="139"/>
      <c r="CN14" s="139"/>
      <c r="CO14" s="141"/>
      <c r="CP14" s="129"/>
      <c r="CQ14" s="82"/>
      <c r="CR14" s="129"/>
      <c r="CS14" s="140" t="s">
        <v>345</v>
      </c>
      <c r="CT14" s="139"/>
      <c r="CU14" s="141">
        <f t="shared" ref="CU14:CW14" si="11">IF(ISBLANK($CS14),"",IFERROR(CU67/$CT$58,0)+IFERROR(CU94/$CT$85,0)+IFERROR(CU121/$CT$112,0)+IFERROR(CU148/$CT$139,0)+IFERROR(CU175/$CT$166,0)+IFERROR(CU202/$CT$193,0))</f>
        <v>0</v>
      </c>
      <c r="CV14" s="141">
        <f t="shared" si="11"/>
        <v>2.333333333333333</v>
      </c>
      <c r="CW14" s="141">
        <f t="shared" si="11"/>
        <v>0</v>
      </c>
      <c r="CX14" s="141">
        <f>IF(ISBLANK($CS14),"",ROUND(SUMPRODUCT(CU14:CW14,Rank_score)/MAX(SUM($CU$11:$CU$18),SUM($CV$11:$CV$18),SUM($CW$11:$CW$18)),4)+(0.000001*ROWS($CX$10:CX13)))</f>
        <v>1.166704</v>
      </c>
      <c r="CY14" s="129"/>
      <c r="CZ14" s="206">
        <f t="shared" si="4"/>
        <v>2.25</v>
      </c>
      <c r="DA14" s="314" t="str">
        <f t="shared" si="5"/>
        <v>Moderately unlikely</v>
      </c>
      <c r="DB14" s="139"/>
      <c r="DC14" s="139"/>
      <c r="DD14" s="139"/>
      <c r="DE14" s="139"/>
      <c r="DF14" s="139"/>
      <c r="DG14" s="141"/>
      <c r="DH14" s="129"/>
      <c r="DI14" s="82"/>
      <c r="DJ14" s="129"/>
      <c r="DK14" s="530"/>
      <c r="DL14" s="531"/>
      <c r="DM14" s="531"/>
      <c r="DN14" s="531"/>
      <c r="DO14" s="531"/>
      <c r="DP14" s="531"/>
      <c r="DQ14" s="532"/>
      <c r="DR14" s="287"/>
      <c r="DS14" s="129"/>
      <c r="DT14" s="129"/>
      <c r="DU14" s="129"/>
      <c r="DV14" s="129"/>
      <c r="DW14" s="129"/>
      <c r="DX14" s="129"/>
      <c r="DY14" s="129"/>
      <c r="DZ14" s="129"/>
      <c r="EA14" s="129"/>
      <c r="EB14" s="129"/>
      <c r="EC14" s="129"/>
      <c r="ED14" s="129"/>
      <c r="EE14" s="129"/>
      <c r="EF14" s="129"/>
      <c r="EG14" s="129"/>
      <c r="EH14" s="129"/>
      <c r="EI14" s="129"/>
      <c r="EJ14" s="129"/>
      <c r="EK14" s="129"/>
      <c r="EL14" s="129"/>
    </row>
    <row r="15" spans="1:142" s="260" customFormat="1" ht="15" customHeight="1" x14ac:dyDescent="0.25">
      <c r="A15" s="129"/>
      <c r="B15" s="536"/>
      <c r="C15" s="537"/>
      <c r="D15" s="537"/>
      <c r="E15" s="537"/>
      <c r="F15" s="537"/>
      <c r="G15" s="537"/>
      <c r="H15" s="538"/>
      <c r="I15" s="285"/>
      <c r="J15" s="129"/>
      <c r="K15" s="129"/>
      <c r="L15" s="129"/>
      <c r="M15" s="129"/>
      <c r="N15" s="129"/>
      <c r="O15" s="129"/>
      <c r="P15" s="129"/>
      <c r="Q15" s="82"/>
      <c r="S15" s="536"/>
      <c r="T15" s="537"/>
      <c r="U15" s="537"/>
      <c r="V15" s="537"/>
      <c r="W15" s="537"/>
      <c r="X15" s="537"/>
      <c r="Y15" s="538"/>
      <c r="Z15" s="129"/>
      <c r="AA15" s="129"/>
      <c r="AB15" s="129"/>
      <c r="AC15" s="129"/>
      <c r="AD15" s="80"/>
      <c r="AE15" s="81"/>
      <c r="AF15" s="82"/>
      <c r="AH15" s="530"/>
      <c r="AI15" s="531"/>
      <c r="AJ15" s="531"/>
      <c r="AK15" s="531"/>
      <c r="AL15" s="531"/>
      <c r="AM15" s="531"/>
      <c r="AN15" s="532"/>
      <c r="AO15" s="129"/>
      <c r="AP15" s="129"/>
      <c r="AQ15" s="129"/>
      <c r="AR15" s="129"/>
      <c r="AS15" s="80"/>
      <c r="AT15" s="81"/>
      <c r="AU15" s="82"/>
      <c r="AV15" s="129"/>
      <c r="AW15" s="530"/>
      <c r="AX15" s="531"/>
      <c r="AY15" s="531"/>
      <c r="AZ15" s="531"/>
      <c r="BA15" s="531"/>
      <c r="BB15" s="531"/>
      <c r="BC15" s="532"/>
      <c r="BD15" s="129"/>
      <c r="BE15" s="129"/>
      <c r="BF15" s="129"/>
      <c r="BG15" s="129"/>
      <c r="BH15" s="80"/>
      <c r="BI15" s="81"/>
      <c r="BJ15" s="373"/>
      <c r="BL15" s="536"/>
      <c r="BM15" s="537"/>
      <c r="BN15" s="537"/>
      <c r="BO15" s="537"/>
      <c r="BP15" s="537"/>
      <c r="BQ15" s="537"/>
      <c r="BR15" s="538"/>
      <c r="BS15" s="129"/>
      <c r="BT15" s="129"/>
      <c r="BU15" s="129"/>
      <c r="BV15" s="129"/>
      <c r="BW15" s="80"/>
      <c r="BX15" s="81"/>
      <c r="BY15" s="373"/>
      <c r="BZ15" s="129"/>
      <c r="CA15" s="140" t="s">
        <v>341</v>
      </c>
      <c r="CB15" s="139"/>
      <c r="CC15" s="141">
        <f t="shared" ref="CC15:CE15" si="12">IF(ISBLANK($CA15),"",IFERROR(CC68/$CB$58,0)+IFERROR(CC95/$CG$82,0)+IFERROR(CC122/$CB$112,0)+IFERROR(CC149/$CB$139,0)+IFERROR(CC176/$CB$166,0)+IFERROR(CC203/$CB$193,0))</f>
        <v>0</v>
      </c>
      <c r="CD15" s="141">
        <f t="shared" si="12"/>
        <v>0</v>
      </c>
      <c r="CE15" s="141">
        <f t="shared" si="12"/>
        <v>1</v>
      </c>
      <c r="CF15" s="141">
        <f>IF(ISBLANK(CA15),"",ROUND(SUMPRODUCT(CC15:CE15,Rank_score)/MAX(SUM($CC$11:$CC$18),SUM($CD$11:$CD$18),SUM($CE$11:$CE$18)),4)+(0.000001*ROWS(CF$10:$CF14)))</f>
        <v>0.214305</v>
      </c>
      <c r="CG15" s="129"/>
      <c r="CH15" s="206">
        <f t="shared" si="1"/>
        <v>0</v>
      </c>
      <c r="CI15" s="314" t="str">
        <f t="shared" si="2"/>
        <v>Ranked, but likelihood not estimated</v>
      </c>
      <c r="CJ15" s="139"/>
      <c r="CK15" s="139"/>
      <c r="CL15" s="139"/>
      <c r="CM15" s="139"/>
      <c r="CN15" s="139"/>
      <c r="CO15" s="141"/>
      <c r="CP15" s="129"/>
      <c r="CQ15" s="82"/>
      <c r="CR15" s="129"/>
      <c r="CS15" s="140" t="s">
        <v>561</v>
      </c>
      <c r="CT15" s="139"/>
      <c r="CU15" s="141">
        <f t="shared" ref="CU15:CW15" si="13">IF(ISBLANK($CS15),"",IFERROR(CU68/$CT$58,0)+IFERROR(CU95/$CT$85,0)+IFERROR(CU122/$CT$112,0)+IFERROR(CU149/$CT$139,0)+IFERROR(CU176/$CT$166,0)+IFERROR(CU203/$CT$193,0))</f>
        <v>0</v>
      </c>
      <c r="CV15" s="141">
        <f t="shared" si="13"/>
        <v>1</v>
      </c>
      <c r="CW15" s="141">
        <f t="shared" si="13"/>
        <v>0</v>
      </c>
      <c r="CX15" s="141">
        <f>IF(ISBLANK($CS15),"",ROUND(SUMPRODUCT(CU15:CW15,Rank_score)/MAX(SUM($CU$11:$CU$18),SUM($CV$11:$CV$18),SUM($CW$11:$CW$18)),4)+(0.000001*ROWS($CX$10:CX14)))</f>
        <v>0.50000500000000003</v>
      </c>
      <c r="CY15" s="129"/>
      <c r="CZ15" s="206">
        <f t="shared" si="4"/>
        <v>0</v>
      </c>
      <c r="DA15" s="314" t="str">
        <f t="shared" si="5"/>
        <v>Ranked, but likelihood not estimated</v>
      </c>
      <c r="DB15" s="139"/>
      <c r="DC15" s="139"/>
      <c r="DD15" s="139"/>
      <c r="DE15" s="139"/>
      <c r="DF15" s="139"/>
      <c r="DG15" s="141"/>
      <c r="DH15" s="129"/>
      <c r="DI15" s="82"/>
      <c r="DJ15" s="129"/>
      <c r="DK15" s="530"/>
      <c r="DL15" s="531"/>
      <c r="DM15" s="531"/>
      <c r="DN15" s="531"/>
      <c r="DO15" s="531"/>
      <c r="DP15" s="531"/>
      <c r="DQ15" s="532"/>
      <c r="DR15" s="287"/>
      <c r="DS15" s="129"/>
      <c r="DT15" s="129"/>
      <c r="DU15" s="129"/>
      <c r="DV15" s="129"/>
      <c r="DW15" s="129"/>
      <c r="DX15" s="129"/>
      <c r="DY15" s="129"/>
      <c r="DZ15" s="129"/>
      <c r="EA15" s="129"/>
      <c r="EB15" s="129"/>
      <c r="EC15" s="129"/>
      <c r="ED15" s="129"/>
      <c r="EE15" s="129"/>
      <c r="EF15" s="129"/>
      <c r="EG15" s="129"/>
      <c r="EH15" s="129"/>
      <c r="EI15" s="129"/>
      <c r="EJ15" s="129"/>
      <c r="EK15" s="129"/>
      <c r="EL15" s="129"/>
    </row>
    <row r="16" spans="1:142" s="260" customFormat="1" ht="13.5" customHeight="1" x14ac:dyDescent="0.25">
      <c r="A16" s="129"/>
      <c r="B16" s="536"/>
      <c r="C16" s="537"/>
      <c r="D16" s="537"/>
      <c r="E16" s="537"/>
      <c r="F16" s="537"/>
      <c r="G16" s="537"/>
      <c r="H16" s="538"/>
      <c r="I16" s="285"/>
      <c r="J16" s="129"/>
      <c r="K16" s="129"/>
      <c r="L16" s="129"/>
      <c r="M16" s="129"/>
      <c r="N16" s="129"/>
      <c r="O16" s="129"/>
      <c r="P16" s="129"/>
      <c r="Q16" s="82"/>
      <c r="S16" s="536"/>
      <c r="T16" s="537"/>
      <c r="U16" s="537"/>
      <c r="V16" s="537"/>
      <c r="W16" s="537"/>
      <c r="X16" s="537"/>
      <c r="Y16" s="538"/>
      <c r="Z16" s="129"/>
      <c r="AA16" s="129"/>
      <c r="AB16" s="129"/>
      <c r="AC16" s="129"/>
      <c r="AD16" s="80"/>
      <c r="AE16" s="81"/>
      <c r="AF16" s="82"/>
      <c r="AH16" s="530"/>
      <c r="AI16" s="531"/>
      <c r="AJ16" s="531"/>
      <c r="AK16" s="531"/>
      <c r="AL16" s="531"/>
      <c r="AM16" s="531"/>
      <c r="AN16" s="532"/>
      <c r="AO16" s="129"/>
      <c r="AP16" s="129"/>
      <c r="AQ16" s="129"/>
      <c r="AR16" s="129"/>
      <c r="AS16" s="80"/>
      <c r="AT16" s="81"/>
      <c r="AU16" s="82"/>
      <c r="AV16" s="129"/>
      <c r="AW16" s="530"/>
      <c r="AX16" s="531"/>
      <c r="AY16" s="531"/>
      <c r="AZ16" s="531"/>
      <c r="BA16" s="531"/>
      <c r="BB16" s="531"/>
      <c r="BC16" s="532"/>
      <c r="BD16" s="129"/>
      <c r="BE16" s="129"/>
      <c r="BF16" s="129"/>
      <c r="BG16" s="129"/>
      <c r="BH16" s="80"/>
      <c r="BI16" s="81"/>
      <c r="BJ16" s="373"/>
      <c r="BL16" s="536"/>
      <c r="BM16" s="537"/>
      <c r="BN16" s="537"/>
      <c r="BO16" s="537"/>
      <c r="BP16" s="537"/>
      <c r="BQ16" s="537"/>
      <c r="BR16" s="538"/>
      <c r="BS16" s="129"/>
      <c r="BT16" s="129"/>
      <c r="BU16" s="129"/>
      <c r="BV16" s="129"/>
      <c r="BW16" s="80"/>
      <c r="BX16" s="81"/>
      <c r="BY16" s="373"/>
      <c r="BZ16" s="129"/>
      <c r="CA16" s="140" t="s">
        <v>148</v>
      </c>
      <c r="CB16" s="139"/>
      <c r="CC16" s="141">
        <f t="shared" ref="CC16:CE17" si="14">IF(ISBLANK($CA16),"",IFERROR(CC69/$CB$58,0)+IFERROR(CC96/$CG$82,0)+IFERROR(CC123/$CB$112,0)+IFERROR(CC150/$CB$139,0)+IFERROR(CC177/$CB$166,0)+IFERROR(CC204/$CB$193,0))</f>
        <v>0</v>
      </c>
      <c r="CD16" s="141">
        <f t="shared" si="14"/>
        <v>0</v>
      </c>
      <c r="CE16" s="141">
        <f t="shared" si="14"/>
        <v>0.33333333333333331</v>
      </c>
      <c r="CF16" s="141">
        <f>IF(ISBLANK(CA16),"",ROUND(SUMPRODUCT(CC16:CE16,Rank_score)/MAX(SUM($CC$11:$CC$18),SUM($CD$11:$CD$18),SUM($CE$11:$CE$18)),4)+(0.000001*ROWS(CF$10:$CF15)))</f>
        <v>7.1406000000000011E-2</v>
      </c>
      <c r="CG16" s="287"/>
      <c r="CH16" s="206">
        <f t="shared" si="1"/>
        <v>0.33333333333333331</v>
      </c>
      <c r="CI16" s="314" t="str">
        <f t="shared" si="2"/>
        <v>Very unlikely</v>
      </c>
      <c r="CJ16" s="139"/>
      <c r="CK16" s="139"/>
      <c r="CL16" s="139"/>
      <c r="CM16" s="139"/>
      <c r="CN16" s="139"/>
      <c r="CO16" s="141"/>
      <c r="CP16" s="287"/>
      <c r="CQ16" s="82"/>
      <c r="CR16" s="129"/>
      <c r="CS16" s="140" t="s">
        <v>49</v>
      </c>
      <c r="CT16" s="139"/>
      <c r="CU16" s="141">
        <f t="shared" ref="CU16:CW16" si="15">IF(ISBLANK($CS16),"",IFERROR(CU69/$CT$58,0)+IFERROR(CU96/$CT$85,0)+IFERROR(CU123/$CT$112,0)+IFERROR(CU150/$CT$139,0)+IFERROR(CU177/$CT$166,0)+IFERROR(CU204/$CT$193,0))</f>
        <v>0</v>
      </c>
      <c r="CV16" s="141">
        <f t="shared" si="15"/>
        <v>0</v>
      </c>
      <c r="CW16" s="141">
        <f t="shared" si="15"/>
        <v>0</v>
      </c>
      <c r="CX16" s="141">
        <f>IF(ISBLANK($CS16),"",ROUND(SUMPRODUCT(CU16:CW16,Rank_score)/MAX(SUM($CU$11:$CU$18),SUM($CV$11:$CV$18),SUM($CW$11:$CW$18)),4)+(0.000001*ROWS($CX$10:CX15)))</f>
        <v>6.0000000000000002E-6</v>
      </c>
      <c r="CY16" s="287"/>
      <c r="CZ16" s="206">
        <f t="shared" si="4"/>
        <v>0</v>
      </c>
      <c r="DA16" s="314" t="str">
        <f t="shared" si="5"/>
        <v>Factor not ranked</v>
      </c>
      <c r="DB16" s="139"/>
      <c r="DC16" s="139"/>
      <c r="DD16" s="139"/>
      <c r="DE16" s="139"/>
      <c r="DF16" s="139"/>
      <c r="DG16" s="141"/>
      <c r="DH16" s="287"/>
      <c r="DI16" s="82"/>
      <c r="DJ16" s="287"/>
      <c r="DK16" s="530"/>
      <c r="DL16" s="531"/>
      <c r="DM16" s="531"/>
      <c r="DN16" s="531"/>
      <c r="DO16" s="531"/>
      <c r="DP16" s="531"/>
      <c r="DQ16" s="532"/>
      <c r="DR16" s="287"/>
      <c r="DS16" s="129"/>
      <c r="DT16" s="129"/>
      <c r="DU16" s="129"/>
      <c r="DV16" s="129"/>
      <c r="DW16" s="129"/>
      <c r="DX16" s="129"/>
      <c r="DY16" s="129"/>
      <c r="DZ16" s="129"/>
      <c r="EA16" s="129"/>
      <c r="EB16" s="129"/>
      <c r="EC16" s="129"/>
      <c r="ED16" s="129"/>
      <c r="EE16" s="129"/>
      <c r="EF16" s="129"/>
      <c r="EG16" s="129"/>
      <c r="EH16" s="129"/>
      <c r="EI16" s="129"/>
      <c r="EJ16" s="129"/>
      <c r="EK16" s="129"/>
      <c r="EL16" s="129"/>
    </row>
    <row r="17" spans="1:142" s="260" customFormat="1" ht="15" customHeight="1" thickBot="1" x14ac:dyDescent="0.3">
      <c r="A17" s="129"/>
      <c r="B17" s="539"/>
      <c r="C17" s="540"/>
      <c r="D17" s="540"/>
      <c r="E17" s="540"/>
      <c r="F17" s="540"/>
      <c r="G17" s="540"/>
      <c r="H17" s="541"/>
      <c r="I17" s="285"/>
      <c r="J17" s="129"/>
      <c r="K17" s="129"/>
      <c r="L17" s="129"/>
      <c r="M17" s="129"/>
      <c r="N17" s="129"/>
      <c r="O17" s="129"/>
      <c r="P17" s="129"/>
      <c r="Q17" s="82"/>
      <c r="S17" s="539"/>
      <c r="T17" s="540"/>
      <c r="U17" s="540"/>
      <c r="V17" s="540"/>
      <c r="W17" s="540"/>
      <c r="X17" s="540"/>
      <c r="Y17" s="541"/>
      <c r="Z17" s="129"/>
      <c r="AA17" s="129"/>
      <c r="AB17" s="129"/>
      <c r="AC17" s="129"/>
      <c r="AD17" s="80"/>
      <c r="AE17" s="81"/>
      <c r="AF17" s="82"/>
      <c r="AH17" s="533"/>
      <c r="AI17" s="534"/>
      <c r="AJ17" s="534"/>
      <c r="AK17" s="534"/>
      <c r="AL17" s="534"/>
      <c r="AM17" s="534"/>
      <c r="AN17" s="535"/>
      <c r="AO17" s="129"/>
      <c r="AP17" s="129"/>
      <c r="AQ17" s="129"/>
      <c r="AR17" s="129"/>
      <c r="AS17" s="80"/>
      <c r="AT17" s="81"/>
      <c r="AU17" s="82"/>
      <c r="AV17" s="129"/>
      <c r="AW17" s="533"/>
      <c r="AX17" s="534"/>
      <c r="AY17" s="534"/>
      <c r="AZ17" s="534"/>
      <c r="BA17" s="534"/>
      <c r="BB17" s="534"/>
      <c r="BC17" s="535"/>
      <c r="BD17" s="129"/>
      <c r="BE17" s="129"/>
      <c r="BF17" s="129"/>
      <c r="BG17" s="129"/>
      <c r="BH17" s="80"/>
      <c r="BI17" s="81"/>
      <c r="BJ17" s="373"/>
      <c r="BL17" s="539"/>
      <c r="BM17" s="540"/>
      <c r="BN17" s="540"/>
      <c r="BO17" s="540"/>
      <c r="BP17" s="540"/>
      <c r="BQ17" s="540"/>
      <c r="BR17" s="541"/>
      <c r="BS17" s="129"/>
      <c r="BT17" s="129"/>
      <c r="BU17" s="129"/>
      <c r="BV17" s="129"/>
      <c r="BW17" s="80"/>
      <c r="BX17" s="81"/>
      <c r="BY17" s="373"/>
      <c r="BZ17" s="129"/>
      <c r="CA17" s="140" t="s">
        <v>49</v>
      </c>
      <c r="CB17" s="139"/>
      <c r="CC17" s="141">
        <f t="shared" si="14"/>
        <v>0</v>
      </c>
      <c r="CD17" s="141">
        <f t="shared" si="14"/>
        <v>0</v>
      </c>
      <c r="CE17" s="141">
        <f t="shared" si="14"/>
        <v>0</v>
      </c>
      <c r="CF17" s="141">
        <f>IF(ISBLANK(CA17),"",ROUND(SUMPRODUCT(CC17:CE17,Rank_score)/MAX(SUM($CC$11:$CC$18),SUM($CD$11:$CD$18),SUM($CE$11:$CE$18)),4)+(0.000001*ROWS(CF$10:$CF16)))</f>
        <v>6.9999999999999999E-6</v>
      </c>
      <c r="CG17" s="38"/>
      <c r="CH17" s="206">
        <f t="shared" si="1"/>
        <v>0</v>
      </c>
      <c r="CI17" s="314" t="str">
        <f t="shared" si="2"/>
        <v>Factor not ranked</v>
      </c>
      <c r="CJ17" s="139"/>
      <c r="CK17" s="139"/>
      <c r="CL17" s="139"/>
      <c r="CM17" s="139"/>
      <c r="CN17" s="139"/>
      <c r="CO17" s="141"/>
      <c r="CP17" s="38"/>
      <c r="CQ17" s="82"/>
      <c r="CR17" s="129"/>
      <c r="CS17" s="140"/>
      <c r="CT17" s="139"/>
      <c r="CU17" s="141" t="str">
        <f t="shared" ref="CU17:CW17" si="16">IF(ISBLANK($CS17),"",IFERROR(CU70/$CT$58,0)+IFERROR(CU97/$CT$85,0)+IFERROR(CU124/$CT$112,0)+IFERROR(CU151/$CT$139,0)+IFERROR(CU178/$CT$166,0)+IFERROR(CU205/$CT$193,0))</f>
        <v/>
      </c>
      <c r="CV17" s="141" t="str">
        <f t="shared" si="16"/>
        <v/>
      </c>
      <c r="CW17" s="141" t="str">
        <f t="shared" si="16"/>
        <v/>
      </c>
      <c r="CX17" s="141" t="str">
        <f>IF(ISBLANK($CS17),"",ROUND(SUMPRODUCT(CU17:CW17,Rank_score)/MAX(SUM($CU$11:$CU$18),SUM($CV$11:$CV$18),SUM($CW$11:$CW$18)),4)+(0.000001*ROWS($CX$10:CX16)))</f>
        <v/>
      </c>
      <c r="CY17" s="38"/>
      <c r="CZ17" s="206" t="str">
        <f t="shared" si="4"/>
        <v/>
      </c>
      <c r="DA17" s="314" t="str">
        <f t="shared" si="5"/>
        <v/>
      </c>
      <c r="DB17" s="139"/>
      <c r="DC17" s="139"/>
      <c r="DD17" s="139"/>
      <c r="DE17" s="139"/>
      <c r="DF17" s="139"/>
      <c r="DG17" s="141"/>
      <c r="DH17" s="38"/>
      <c r="DI17" s="82"/>
      <c r="DJ17" s="38"/>
      <c r="DK17" s="533"/>
      <c r="DL17" s="534"/>
      <c r="DM17" s="534"/>
      <c r="DN17" s="534"/>
      <c r="DO17" s="534"/>
      <c r="DP17" s="534"/>
      <c r="DQ17" s="535"/>
      <c r="DR17" s="287"/>
      <c r="DS17" s="129"/>
      <c r="DT17" s="129"/>
      <c r="DU17" s="129"/>
      <c r="DV17" s="129"/>
      <c r="DW17" s="129"/>
      <c r="DX17" s="129"/>
      <c r="DY17" s="129"/>
      <c r="DZ17" s="129"/>
      <c r="EA17" s="129"/>
      <c r="EB17" s="129"/>
      <c r="EC17" s="129"/>
      <c r="ED17" s="129"/>
      <c r="EE17" s="129"/>
      <c r="EF17" s="129"/>
      <c r="EG17" s="129"/>
      <c r="EH17" s="129"/>
      <c r="EI17" s="129"/>
      <c r="EJ17" s="129"/>
      <c r="EK17" s="129"/>
      <c r="EL17" s="129"/>
    </row>
    <row r="18" spans="1:142" ht="14.4" x14ac:dyDescent="0.3">
      <c r="A18" s="14"/>
      <c r="B18" s="23"/>
      <c r="C18" s="14"/>
      <c r="D18" s="18"/>
      <c r="E18" s="14"/>
      <c r="F18" s="14"/>
      <c r="G18" s="14"/>
      <c r="H18" s="75"/>
      <c r="I18" s="21"/>
      <c r="J18" s="14"/>
      <c r="K18" s="14"/>
      <c r="L18" s="14"/>
      <c r="M18" s="14"/>
      <c r="N18" s="14"/>
      <c r="O18" s="14"/>
      <c r="P18" s="14"/>
      <c r="Q18" s="47"/>
      <c r="R18" s="19"/>
      <c r="S18" s="14"/>
      <c r="T18" s="14"/>
      <c r="U18" s="14"/>
      <c r="V18" s="14"/>
      <c r="W18" s="14"/>
      <c r="X18" s="14"/>
      <c r="Y18" s="14"/>
      <c r="Z18" s="14"/>
      <c r="AA18" s="14"/>
      <c r="AB18" s="14"/>
      <c r="AC18" s="14"/>
      <c r="AD18" s="65"/>
      <c r="AE18" s="63"/>
      <c r="AF18" s="47"/>
      <c r="AG18" s="19"/>
      <c r="AH18" s="14"/>
      <c r="AI18" s="14"/>
      <c r="AJ18" s="14"/>
      <c r="AK18" s="14"/>
      <c r="AL18" s="14"/>
      <c r="AM18" s="14"/>
      <c r="AN18" s="14"/>
      <c r="AO18" s="14"/>
      <c r="AP18" s="14"/>
      <c r="AQ18" s="14"/>
      <c r="AR18" s="14"/>
      <c r="AS18" s="65"/>
      <c r="AT18" s="63"/>
      <c r="AU18" s="47"/>
      <c r="AV18" s="14"/>
      <c r="AW18" s="14"/>
      <c r="AX18" s="14"/>
      <c r="AY18" s="14"/>
      <c r="AZ18" s="14"/>
      <c r="BA18" s="14"/>
      <c r="BB18" s="14"/>
      <c r="BC18" s="14"/>
      <c r="BD18" s="14"/>
      <c r="BE18" s="14"/>
      <c r="BF18" s="14"/>
      <c r="BG18" s="14"/>
      <c r="BH18" s="65"/>
      <c r="BI18" s="63"/>
      <c r="BJ18" s="352"/>
      <c r="BK18" s="19"/>
      <c r="BL18" s="14"/>
      <c r="BM18" s="14"/>
      <c r="BN18" s="14"/>
      <c r="BO18" s="14"/>
      <c r="BP18" s="14"/>
      <c r="BQ18" s="14"/>
      <c r="BR18" s="14"/>
      <c r="BS18" s="14"/>
      <c r="BT18" s="14"/>
      <c r="BU18" s="14"/>
      <c r="BV18" s="14"/>
      <c r="BW18" s="65"/>
      <c r="BX18" s="63"/>
      <c r="BY18" s="352"/>
      <c r="BZ18" s="14"/>
      <c r="CA18" s="107"/>
      <c r="CB18" s="27"/>
      <c r="CC18" s="141"/>
      <c r="CD18" s="141"/>
      <c r="CE18" s="141"/>
      <c r="CF18" s="141" t="str">
        <f>IF(ISBLANK(CA18),"",ROUND(SUMPRODUCT(CC18:CE18,Rank_score)/MAX(SUM($CC$11:$CC$18),SUM($CD$11:$CD$18),SUM($CE$11:$CE$18)),4)+(0.000001*ROWS(CF$10:$CF17)))</f>
        <v/>
      </c>
      <c r="CG18" s="29"/>
      <c r="CH18" s="206"/>
      <c r="CI18" s="314" t="str">
        <f t="shared" si="2"/>
        <v/>
      </c>
      <c r="CJ18" s="115"/>
      <c r="CK18" s="115"/>
      <c r="CL18" s="115"/>
      <c r="CM18" s="115"/>
      <c r="CN18" s="115"/>
      <c r="CO18" s="326"/>
      <c r="CP18" s="29"/>
      <c r="CQ18" s="47"/>
      <c r="CR18" s="14"/>
      <c r="CS18" s="107"/>
      <c r="CT18" s="27"/>
      <c r="CU18" s="141" t="str">
        <f t="shared" ref="CU18:CW18" si="17">IF(ISBLANK($CS18),"",IFERROR(CU71/$CT$58,0)+IFERROR(CU98/$CT$85,0)+IFERROR(CU125/$CT$112,0)+IFERROR(CU152/$CT$139,0)+IFERROR(CU179/$CT$166,0)+IFERROR(CU206/$CT$193,0))</f>
        <v/>
      </c>
      <c r="CV18" s="141" t="str">
        <f t="shared" si="17"/>
        <v/>
      </c>
      <c r="CW18" s="141" t="str">
        <f t="shared" si="17"/>
        <v/>
      </c>
      <c r="CX18" s="141" t="str">
        <f>IF(ISBLANK($CS18),"",ROUND(SUMPRODUCT(CU18:CW18,Rank_score)/MAX(SUM($CU$11:$CU$18),SUM($CV$11:$CV$18),SUM($CW$11:$CW$18)),4)+(0.000001*ROWS($CX$10:CX17)))</f>
        <v/>
      </c>
      <c r="CY18" s="29"/>
      <c r="CZ18" s="206" t="str">
        <f t="shared" si="4"/>
        <v/>
      </c>
      <c r="DA18" s="314" t="str">
        <f t="shared" si="5"/>
        <v/>
      </c>
      <c r="DB18" s="27"/>
      <c r="DC18" s="27"/>
      <c r="DD18" s="27"/>
      <c r="DE18" s="27"/>
      <c r="DF18" s="27"/>
      <c r="DG18" s="141"/>
      <c r="DH18" s="29"/>
      <c r="DI18" s="47"/>
      <c r="DJ18" s="29"/>
      <c r="DK18" s="14"/>
      <c r="DL18" s="14"/>
      <c r="DM18" s="14"/>
      <c r="DN18" s="14"/>
      <c r="DO18" s="14"/>
      <c r="DP18" s="14"/>
      <c r="DQ18" s="14"/>
      <c r="DR18" s="57"/>
      <c r="DS18" s="14"/>
      <c r="DT18" s="14"/>
      <c r="DU18" s="14"/>
      <c r="DV18" s="14"/>
      <c r="DW18" s="14"/>
      <c r="DX18" s="14"/>
      <c r="DY18" s="14"/>
      <c r="DZ18" s="14"/>
      <c r="EA18" s="14"/>
      <c r="EB18" s="14"/>
      <c r="EC18" s="14"/>
      <c r="ED18" s="14"/>
      <c r="EE18" s="14"/>
      <c r="EF18" s="14"/>
      <c r="EG18" s="14"/>
      <c r="EH18" s="14"/>
      <c r="EI18" s="14"/>
      <c r="EJ18" s="14"/>
      <c r="EK18" s="14"/>
      <c r="EL18" s="14"/>
    </row>
    <row r="19" spans="1:142" x14ac:dyDescent="0.25">
      <c r="A19" s="14"/>
      <c r="B19" s="23"/>
      <c r="C19" s="14"/>
      <c r="D19" s="18"/>
      <c r="E19" s="14"/>
      <c r="F19" s="14"/>
      <c r="G19" s="14"/>
      <c r="H19" s="21"/>
      <c r="I19" s="21"/>
      <c r="J19" s="14"/>
      <c r="K19" s="14"/>
      <c r="L19" s="14"/>
      <c r="M19" s="14"/>
      <c r="N19" s="14"/>
      <c r="O19" s="14"/>
      <c r="P19" s="14"/>
      <c r="Q19" s="47"/>
      <c r="R19" s="19"/>
      <c r="S19" s="14"/>
      <c r="T19" s="14"/>
      <c r="U19" s="14"/>
      <c r="V19" s="14"/>
      <c r="W19" s="14"/>
      <c r="X19" s="19"/>
      <c r="Y19" s="19"/>
      <c r="Z19" s="14"/>
      <c r="AA19" s="14"/>
      <c r="AB19" s="14"/>
      <c r="AC19" s="14"/>
      <c r="AD19" s="65"/>
      <c r="AE19" s="63"/>
      <c r="AF19" s="47"/>
      <c r="AG19" s="19"/>
      <c r="AH19" s="14"/>
      <c r="AI19" s="14"/>
      <c r="AJ19" s="14"/>
      <c r="AK19" s="14"/>
      <c r="AL19" s="14"/>
      <c r="AM19" s="19"/>
      <c r="AN19" s="14"/>
      <c r="AO19" s="14"/>
      <c r="AP19" s="14"/>
      <c r="AQ19" s="14"/>
      <c r="AR19" s="14"/>
      <c r="AS19" s="65"/>
      <c r="AT19" s="63"/>
      <c r="AU19" s="47"/>
      <c r="AV19" s="14"/>
      <c r="AW19" s="14"/>
      <c r="AX19" s="14"/>
      <c r="AY19" s="14"/>
      <c r="AZ19" s="14"/>
      <c r="BA19" s="14"/>
      <c r="BB19" s="19"/>
      <c r="BC19" s="19"/>
      <c r="BD19" s="14"/>
      <c r="BE19" s="14"/>
      <c r="BF19" s="14"/>
      <c r="BG19" s="14"/>
      <c r="BH19" s="65"/>
      <c r="BI19" s="63"/>
      <c r="BJ19" s="352"/>
      <c r="BK19" s="19"/>
      <c r="BL19" s="14"/>
      <c r="BM19" s="14"/>
      <c r="BN19" s="14"/>
      <c r="BO19" s="14"/>
      <c r="BP19" s="14"/>
      <c r="BQ19" s="19"/>
      <c r="BR19" s="19"/>
      <c r="BS19" s="14"/>
      <c r="BT19" s="14"/>
      <c r="BU19" s="14"/>
      <c r="BV19" s="14"/>
      <c r="BW19" s="65"/>
      <c r="BX19" s="63"/>
      <c r="BY19" s="352"/>
      <c r="BZ19" s="14"/>
      <c r="CA19" s="86"/>
      <c r="CB19" s="111"/>
      <c r="CC19" s="86"/>
      <c r="CD19" s="86"/>
      <c r="CE19" s="86"/>
      <c r="CF19" s="108"/>
      <c r="CG19" s="29"/>
      <c r="CH19" s="110"/>
      <c r="CI19" s="110"/>
      <c r="CJ19" s="115"/>
      <c r="CK19" s="115"/>
      <c r="CL19" s="115"/>
      <c r="CM19" s="115"/>
      <c r="CN19" s="115"/>
      <c r="CO19" s="129"/>
      <c r="CP19" s="29"/>
      <c r="CQ19" s="47"/>
      <c r="CR19" s="14"/>
      <c r="CS19" s="86"/>
      <c r="CT19" s="111"/>
      <c r="CU19" s="86"/>
      <c r="CV19" s="111"/>
      <c r="CW19" s="86"/>
      <c r="CX19" s="108"/>
      <c r="CY19" s="29"/>
      <c r="CZ19" s="110"/>
      <c r="DA19" s="110"/>
      <c r="DB19" s="115"/>
      <c r="DC19" s="115"/>
      <c r="DD19" s="115"/>
      <c r="DE19" s="115"/>
      <c r="DF19" s="115"/>
      <c r="DG19" s="326"/>
      <c r="DH19" s="29"/>
      <c r="DI19" s="47"/>
      <c r="DJ19" s="29"/>
      <c r="DK19" s="14"/>
      <c r="DL19" s="14"/>
      <c r="DM19" s="14"/>
      <c r="DN19" s="14"/>
      <c r="DO19" s="14"/>
      <c r="DP19" s="14"/>
      <c r="DQ19" s="14"/>
      <c r="DR19" s="57"/>
      <c r="DS19" s="14"/>
      <c r="DT19" s="14"/>
      <c r="DU19" s="14"/>
      <c r="DV19" s="14"/>
      <c r="DW19" s="14"/>
      <c r="DX19" s="14"/>
      <c r="DY19" s="14"/>
      <c r="DZ19" s="14"/>
      <c r="EA19" s="14"/>
      <c r="EB19" s="14"/>
      <c r="EC19" s="14"/>
      <c r="ED19" s="14"/>
      <c r="EE19" s="14"/>
      <c r="EF19" s="14"/>
      <c r="EG19" s="14"/>
      <c r="EH19" s="14"/>
      <c r="EI19" s="14"/>
      <c r="EJ19" s="14"/>
      <c r="EK19" s="14"/>
      <c r="EL19" s="14"/>
    </row>
    <row r="20" spans="1:142" x14ac:dyDescent="0.25">
      <c r="A20" s="14"/>
      <c r="B20" s="23"/>
      <c r="C20" s="14"/>
      <c r="D20" s="18"/>
      <c r="E20" s="14"/>
      <c r="F20" s="14"/>
      <c r="G20" s="14"/>
      <c r="H20" s="21"/>
      <c r="I20" s="21"/>
      <c r="J20" s="14"/>
      <c r="K20" s="14"/>
      <c r="L20" s="14"/>
      <c r="M20" s="14"/>
      <c r="N20" s="14"/>
      <c r="O20" s="14"/>
      <c r="P20" s="14"/>
      <c r="Q20" s="47"/>
      <c r="R20" s="19"/>
      <c r="S20" s="14"/>
      <c r="T20" s="14"/>
      <c r="U20" s="14"/>
      <c r="V20" s="14"/>
      <c r="W20" s="14"/>
      <c r="X20" s="19"/>
      <c r="Y20" s="19"/>
      <c r="Z20" s="14"/>
      <c r="AA20" s="14"/>
      <c r="AB20" s="14"/>
      <c r="AC20" s="14"/>
      <c r="AD20" s="65"/>
      <c r="AE20" s="63"/>
      <c r="AF20" s="47"/>
      <c r="AG20" s="19"/>
      <c r="AH20" s="14"/>
      <c r="AI20" s="14"/>
      <c r="AJ20" s="14"/>
      <c r="AK20" s="14"/>
      <c r="AL20" s="14"/>
      <c r="AM20" s="19"/>
      <c r="AN20" s="19"/>
      <c r="AO20" s="14"/>
      <c r="AP20" s="14"/>
      <c r="AQ20" s="14"/>
      <c r="AR20" s="14"/>
      <c r="AS20" s="65"/>
      <c r="AT20" s="63"/>
      <c r="AU20" s="47"/>
      <c r="AV20" s="14"/>
      <c r="AW20" s="14"/>
      <c r="AX20" s="14"/>
      <c r="AY20" s="14"/>
      <c r="AZ20" s="14"/>
      <c r="BA20" s="14"/>
      <c r="BB20" s="19"/>
      <c r="BC20" s="19"/>
      <c r="BD20" s="14"/>
      <c r="BE20" s="14"/>
      <c r="BF20" s="14"/>
      <c r="BG20" s="14"/>
      <c r="BH20" s="65"/>
      <c r="BI20" s="63"/>
      <c r="BJ20" s="352"/>
      <c r="BK20" s="19"/>
      <c r="BL20" s="14"/>
      <c r="BM20" s="14"/>
      <c r="BN20" s="14"/>
      <c r="BO20" s="14"/>
      <c r="BP20" s="14"/>
      <c r="BQ20" s="19"/>
      <c r="BR20" s="19"/>
      <c r="BS20" s="14"/>
      <c r="BT20" s="14"/>
      <c r="BU20" s="14"/>
      <c r="BV20" s="14"/>
      <c r="BW20" s="65"/>
      <c r="BX20" s="63"/>
      <c r="BY20" s="352"/>
      <c r="BZ20" s="14"/>
      <c r="CA20" s="14"/>
      <c r="CB20" s="21"/>
      <c r="CC20" s="14"/>
      <c r="CD20" s="14"/>
      <c r="CE20" s="14"/>
      <c r="CF20" s="14"/>
      <c r="CG20" s="29"/>
      <c r="CH20" s="14"/>
      <c r="CI20" s="13"/>
      <c r="CJ20" s="14"/>
      <c r="CK20" s="14"/>
      <c r="CL20" s="14"/>
      <c r="CM20" s="14"/>
      <c r="CN20" s="14"/>
      <c r="CO20" s="327"/>
      <c r="CP20" s="29"/>
      <c r="CQ20" s="47"/>
      <c r="CR20" s="14"/>
      <c r="CS20" s="14"/>
      <c r="CT20" s="21"/>
      <c r="CU20" s="14"/>
      <c r="CV20" s="21"/>
      <c r="CW20" s="14"/>
      <c r="CX20" s="14"/>
      <c r="CY20" s="29"/>
      <c r="CZ20" s="14"/>
      <c r="DA20" s="13"/>
      <c r="DB20" s="14"/>
      <c r="DC20" s="14"/>
      <c r="DD20" s="14"/>
      <c r="DE20" s="14"/>
      <c r="DF20" s="14"/>
      <c r="DG20" s="129"/>
      <c r="DH20" s="29"/>
      <c r="DI20" s="47"/>
      <c r="DJ20" s="29"/>
      <c r="DK20" s="14"/>
      <c r="DL20" s="14"/>
      <c r="DM20" s="14"/>
      <c r="DN20" s="14"/>
      <c r="DO20" s="14"/>
      <c r="DP20" s="14"/>
      <c r="DQ20" s="14"/>
      <c r="DR20" s="17"/>
      <c r="DS20" s="14"/>
      <c r="DT20" s="14"/>
      <c r="DU20" s="14"/>
      <c r="DV20" s="14"/>
      <c r="DW20" s="14"/>
      <c r="DX20" s="14"/>
      <c r="DY20" s="14"/>
      <c r="DZ20" s="14"/>
      <c r="EA20" s="14"/>
      <c r="EB20" s="14"/>
      <c r="EC20" s="14"/>
      <c r="ED20" s="14"/>
      <c r="EE20" s="14"/>
      <c r="EF20" s="14"/>
      <c r="EG20" s="14"/>
      <c r="EH20" s="14"/>
      <c r="EI20" s="14"/>
      <c r="EJ20" s="14"/>
      <c r="EK20" s="14"/>
      <c r="EL20" s="14"/>
    </row>
    <row r="21" spans="1:142" ht="27.6" x14ac:dyDescent="0.25">
      <c r="A21" s="14"/>
      <c r="B21" s="112" t="s">
        <v>23</v>
      </c>
      <c r="C21" s="113" t="s">
        <v>24</v>
      </c>
      <c r="D21" s="113" t="s">
        <v>145</v>
      </c>
      <c r="E21" s="113" t="s">
        <v>300</v>
      </c>
      <c r="F21" s="14"/>
      <c r="G21" s="524" t="s">
        <v>754</v>
      </c>
      <c r="H21" s="542"/>
      <c r="I21" s="525"/>
      <c r="J21" s="14"/>
      <c r="K21" s="14"/>
      <c r="L21" s="14"/>
      <c r="M21" s="14"/>
      <c r="N21" s="14"/>
      <c r="O21" s="14"/>
      <c r="P21" s="14"/>
      <c r="Q21" s="47"/>
      <c r="R21" s="19"/>
      <c r="S21" s="112" t="s">
        <v>23</v>
      </c>
      <c r="T21" s="113" t="s">
        <v>24</v>
      </c>
      <c r="U21" s="113" t="s">
        <v>145</v>
      </c>
      <c r="V21" s="113" t="s">
        <v>300</v>
      </c>
      <c r="W21" s="14"/>
      <c r="X21" s="19"/>
      <c r="Y21" s="524" t="s">
        <v>754</v>
      </c>
      <c r="Z21" s="542"/>
      <c r="AA21" s="525"/>
      <c r="AB21" s="14"/>
      <c r="AC21" s="14"/>
      <c r="AD21" s="65"/>
      <c r="AE21" s="63"/>
      <c r="AF21" s="47"/>
      <c r="AG21" s="19"/>
      <c r="AH21" s="112" t="s">
        <v>23</v>
      </c>
      <c r="AI21" s="113" t="s">
        <v>24</v>
      </c>
      <c r="AJ21" s="113" t="s">
        <v>145</v>
      </c>
      <c r="AK21" s="113" t="s">
        <v>300</v>
      </c>
      <c r="AL21" s="14"/>
      <c r="AM21" s="524" t="s">
        <v>754</v>
      </c>
      <c r="AN21" s="542"/>
      <c r="AO21" s="525"/>
      <c r="AP21" s="14"/>
      <c r="AQ21" s="14"/>
      <c r="AR21" s="14"/>
      <c r="AS21" s="65"/>
      <c r="AT21" s="63"/>
      <c r="AU21" s="47"/>
      <c r="AV21" s="14"/>
      <c r="AW21" s="112" t="s">
        <v>23</v>
      </c>
      <c r="AX21" s="113" t="s">
        <v>24</v>
      </c>
      <c r="AY21" s="113" t="s">
        <v>145</v>
      </c>
      <c r="AZ21" s="113" t="s">
        <v>300</v>
      </c>
      <c r="BA21" s="14"/>
      <c r="BB21" s="524" t="s">
        <v>754</v>
      </c>
      <c r="BC21" s="542"/>
      <c r="BD21" s="525"/>
      <c r="BE21" s="14"/>
      <c r="BF21" s="14"/>
      <c r="BG21" s="14"/>
      <c r="BH21" s="65"/>
      <c r="BI21" s="63"/>
      <c r="BJ21" s="352"/>
      <c r="BK21" s="19"/>
      <c r="BL21" s="112" t="s">
        <v>23</v>
      </c>
      <c r="BM21" s="113" t="s">
        <v>24</v>
      </c>
      <c r="BN21" s="113" t="s">
        <v>145</v>
      </c>
      <c r="BO21" s="113" t="s">
        <v>300</v>
      </c>
      <c r="BP21" s="14"/>
      <c r="BQ21" s="524" t="s">
        <v>754</v>
      </c>
      <c r="BR21" s="542"/>
      <c r="BS21" s="525"/>
      <c r="BT21" s="14"/>
      <c r="BU21" s="14"/>
      <c r="BV21" s="14"/>
      <c r="BW21" s="65"/>
      <c r="BX21" s="63"/>
      <c r="BY21" s="352"/>
      <c r="BZ21" s="14"/>
      <c r="CA21" s="112" t="s">
        <v>23</v>
      </c>
      <c r="CB21" s="113" t="s">
        <v>145</v>
      </c>
      <c r="CC21" s="14"/>
      <c r="CD21" s="205" t="s">
        <v>465</v>
      </c>
      <c r="CE21" s="316"/>
      <c r="CF21" s="316"/>
      <c r="CG21" s="316"/>
      <c r="CH21" s="202"/>
      <c r="CI21" s="205" t="s">
        <v>698</v>
      </c>
      <c r="CJ21" s="316"/>
      <c r="CK21" s="202"/>
      <c r="CL21" s="14"/>
      <c r="CM21" s="14"/>
      <c r="CN21" s="14"/>
      <c r="CO21" s="129"/>
      <c r="CP21" s="29"/>
      <c r="CQ21" s="47"/>
      <c r="CR21" s="14"/>
      <c r="CS21" s="112" t="s">
        <v>23</v>
      </c>
      <c r="CT21" s="113" t="s">
        <v>145</v>
      </c>
      <c r="CU21" s="14"/>
      <c r="CV21" s="333" t="s">
        <v>465</v>
      </c>
      <c r="CW21" s="316"/>
      <c r="CX21" s="316"/>
      <c r="CY21" s="316"/>
      <c r="CZ21" s="202"/>
      <c r="DA21" s="205" t="s">
        <v>698</v>
      </c>
      <c r="DB21" s="316"/>
      <c r="DC21" s="202"/>
      <c r="DD21" s="14"/>
      <c r="DE21" s="14"/>
      <c r="DF21" s="14"/>
      <c r="DG21" s="129"/>
      <c r="DH21" s="29"/>
      <c r="DI21" s="47"/>
      <c r="DJ21" s="29"/>
      <c r="DK21" s="112" t="s">
        <v>23</v>
      </c>
      <c r="DL21" s="113" t="s">
        <v>24</v>
      </c>
      <c r="DM21" s="113" t="s">
        <v>145</v>
      </c>
      <c r="DN21" s="113" t="s">
        <v>300</v>
      </c>
      <c r="DO21" s="14"/>
      <c r="DP21" s="14"/>
      <c r="DQ21" s="524" t="s">
        <v>754</v>
      </c>
      <c r="DR21" s="542"/>
      <c r="DS21" s="525"/>
      <c r="DT21" s="14"/>
      <c r="DU21" s="14"/>
      <c r="DV21" s="14"/>
      <c r="DW21" s="14"/>
      <c r="DX21" s="14"/>
      <c r="DY21" s="14"/>
      <c r="DZ21" s="14"/>
      <c r="EA21" s="14"/>
      <c r="EB21" s="14"/>
      <c r="EC21" s="14"/>
      <c r="ED21" s="14"/>
      <c r="EE21" s="14"/>
      <c r="EF21" s="14"/>
      <c r="EG21" s="14"/>
      <c r="EH21" s="14"/>
      <c r="EI21" s="14"/>
      <c r="EJ21" s="14"/>
      <c r="EK21" s="14"/>
      <c r="EL21" s="14"/>
    </row>
    <row r="22" spans="1:142" x14ac:dyDescent="0.25">
      <c r="A22" s="14"/>
      <c r="B22" s="57" t="s">
        <v>2</v>
      </c>
      <c r="C22" s="122" t="str">
        <f ca="1">IF(COUNTIF(C58:C60,"")=2,C58,                                                                                                                                                                                                IF(COUNTIF(C58:C60,"")=1,                                                                                                                                                                                                                                     IFERROR(IF(ABS(MATCH(C58,Responses_list1_frequency,0)-MATCH(C59,Responses_list1_frequency,0))=1,C58&amp;" / "&amp;C59,"No consensus"),"No consensus"),   IF(COUNTIF(C58:C60,"")=0,                                                                                                                                                                                                                                                       IFERROR(IF(AND(ABS(MATCH(C58,Responses_list1_frequency,0)-MATCH(C59,Responses_list1_frequency,0))=1,ABS(MATCH(C59,Responses_list1_frequency,0)-MATCH(C60,Responses_list1_frequency,0))=1),C58&amp;" / "&amp;C59&amp;" / "&amp;C60,"No consensus"),"No consensus"),C58)     ))</f>
        <v>No consensus</v>
      </c>
      <c r="D22" s="58">
        <f>D58</f>
        <v>4</v>
      </c>
      <c r="E22" s="121">
        <f>E58</f>
        <v>2</v>
      </c>
      <c r="F22" s="14"/>
      <c r="G22" s="526"/>
      <c r="H22" s="543"/>
      <c r="I22" s="527"/>
      <c r="J22" s="33"/>
      <c r="K22" s="14"/>
      <c r="L22" s="14"/>
      <c r="M22" s="14"/>
      <c r="N22" s="14"/>
      <c r="O22" s="14"/>
      <c r="P22" s="14"/>
      <c r="Q22" s="47"/>
      <c r="R22" s="19"/>
      <c r="S22" s="34" t="s">
        <v>2</v>
      </c>
      <c r="T22" s="122" t="str">
        <f ca="1">IF(COUNTIF(T58:T60,"")=2,T58,                                                                                                                                                                                                IF(COUNTIF(T58:T60,"")=1,                                                                                                                                                                                                                                     IFERROR(IF(ABS(MATCH(T58,Responses_list1_frequency,0)-MATCH(T59,Responses_list1_frequency,0))=1,T58&amp;" / "&amp;T59,"No consensus"),"No consensus"),   IF(COUNTIF(T58:T60,"")=0,                                                                                                                                                                                                                                                       IFERROR(IF(AND(ABS(MATCH(T58,Responses_list1_frequency,0)-MATCH(T59,Responses_list1_frequency,0))=1,ABS(MATCH(T59,Responses_list1_frequency,0)-MATCH(T60,Responses_list1_frequency,0))=1),T58&amp;" / "&amp;T59&amp;" / "&amp;T60,"No consensus"),"No consensus"),T58)     ))</f>
        <v>I don’t know</v>
      </c>
      <c r="U22" s="33">
        <f>U58</f>
        <v>5</v>
      </c>
      <c r="V22" s="37">
        <f>V58</f>
        <v>3</v>
      </c>
      <c r="W22" s="14"/>
      <c r="X22" s="19"/>
      <c r="Y22" s="526"/>
      <c r="Z22" s="543"/>
      <c r="AA22" s="527"/>
      <c r="AB22" s="14"/>
      <c r="AC22" s="14"/>
      <c r="AD22" s="65"/>
      <c r="AE22" s="63"/>
      <c r="AF22" s="47"/>
      <c r="AG22" s="19"/>
      <c r="AH22" s="57" t="s">
        <v>2</v>
      </c>
      <c r="AI22" s="122" t="str">
        <f ca="1">IF(COUNTIF(AI58:AI60,"")=2,AI58,                                                                                                                                                                                                IF(COUNTIF(AI58:AI60,"")=1,                                                                                                                                                                                                                                     IFERROR(IF(ABS(MATCH(AI58,Responses_list1_frequency,0)-MATCH(AI59,Responses_list1_frequency,0))=1,AI58&amp;" / "&amp;AI59,"No consensus"),"No consensus"),   IF(COUNTIF(AI58:AI60,"")=0,                                                                                                                                                                                                                                                       IFERROR(IF(AND(ABS(MATCH(AI58,Responses_list1_frequency,0)-MATCH(AI59,Responses_list1_frequency,0))=1,ABS(MATCH(AI59,Responses_list1_frequency,0)-MATCH(AI60,Responses_list1_frequency,0))=1),AI58&amp;" / "&amp;AI59&amp;" / "&amp;AI60,"No consensus"),"No consensus"),AI58)     ))</f>
        <v>Very unlikely</v>
      </c>
      <c r="AJ22" s="58">
        <f>AJ58</f>
        <v>2</v>
      </c>
      <c r="AK22" s="58">
        <f>AK58</f>
        <v>0</v>
      </c>
      <c r="AL22" s="14"/>
      <c r="AM22" s="526"/>
      <c r="AN22" s="543"/>
      <c r="AO22" s="527"/>
      <c r="AP22" s="14"/>
      <c r="AQ22" s="14"/>
      <c r="AR22" s="14"/>
      <c r="AS22" s="65"/>
      <c r="AT22" s="63"/>
      <c r="AU22" s="47"/>
      <c r="AV22" s="14"/>
      <c r="AW22" s="57" t="s">
        <v>2</v>
      </c>
      <c r="AX22" s="122" t="str">
        <f ca="1">IF(COUNTIF(AX58:AX60,"")=2,AX58,                                                                                                                                                                                                IF(COUNTIF(AX58:AX60,"")=1,                                                                                                                                                                                                                                     IFERROR(IF(ABS(MATCH(AX58,Responses_list1_frequency,0)-MATCH(AX59,Responses_list1_frequency,0))=1,AX58&amp;" / "&amp;AX59,"No consensus"),"No consensus"),   IF(COUNTIF(AX58:AX60,"")=0,                                                                                                                                                                                                                                                       IFERROR(IF(AND(ABS(MATCH(AX58,Responses_list1_frequency,0)-MATCH(AX59,Responses_list1_frequency,0))=1,ABS(MATCH(AX59,Responses_list1_frequency,0)-MATCH(AX60,Responses_list1_frequency,0))=1),AX58&amp;" / "&amp;AX59&amp;" / "&amp;AX60,"No consensus"),"No consensus"),AX58)     ))</f>
        <v>Very unlikely</v>
      </c>
      <c r="AY22" s="58">
        <f>AY58</f>
        <v>2</v>
      </c>
      <c r="AZ22" s="121">
        <f>AZ58</f>
        <v>0</v>
      </c>
      <c r="BA22" s="14"/>
      <c r="BB22" s="526"/>
      <c r="BC22" s="543"/>
      <c r="BD22" s="527"/>
      <c r="BE22" s="14"/>
      <c r="BF22" s="14"/>
      <c r="BG22" s="14"/>
      <c r="BH22" s="65"/>
      <c r="BI22" s="63"/>
      <c r="BJ22" s="352"/>
      <c r="BK22" s="19"/>
      <c r="BL22" s="57" t="s">
        <v>2</v>
      </c>
      <c r="BM22" s="122" t="str">
        <f ca="1">IF(COUNTIF(BM58:BM60,"")=2,BM58,                                                                                                                                                                                                IF(COUNTIF(BM58:BM60,"")=1,                                                                                                                                                                                                                                     IFERROR(IF(ABS(MATCH(BM58,Responses_list1_frequency,0)-MATCH(BM59,Responses_list1_frequency,0))=1,BM58&amp;" / "&amp;BM59,"No consensus"),"No consensus"),   IF(COUNTIF(BM58:BM60,"")=0,                                                                                                                                                                                                                                                       IFERROR(IF(AND(ABS(MATCH(BM58,Responses_list1_frequency,0)-MATCH(BM59,Responses_list1_frequency,0))=1,ABS(MATCH(BM59,Responses_list1_frequency,0)-MATCH(BM60,Responses_list1_frequency,0))=1),BM58&amp;" / "&amp;BM59&amp;" / "&amp;BM60,"No consensus"),"No consensus"),BM58)     ))</f>
        <v>Very unlikely</v>
      </c>
      <c r="BN22" s="58">
        <f>BN58</f>
        <v>2</v>
      </c>
      <c r="BO22" s="121">
        <f>BO58</f>
        <v>0</v>
      </c>
      <c r="BP22" s="14"/>
      <c r="BQ22" s="526"/>
      <c r="BR22" s="543"/>
      <c r="BS22" s="527"/>
      <c r="BT22" s="14"/>
      <c r="BU22" s="14"/>
      <c r="BV22" s="14"/>
      <c r="BW22" s="65"/>
      <c r="BX22" s="63"/>
      <c r="BY22" s="352"/>
      <c r="BZ22" s="14"/>
      <c r="CA22" s="34" t="s">
        <v>2</v>
      </c>
      <c r="CB22" s="37">
        <f>CB58</f>
        <v>3</v>
      </c>
      <c r="CC22" s="14"/>
      <c r="CD22" s="203" t="str">
        <f>INDEX($CA$11:$CA$18,MATCH(LARGE($CF$11:$CF$18,1),$CF$11:$CF$18,0),1)</f>
        <v>Increased demand for pellet fibre provides sufficient financial return</v>
      </c>
      <c r="CE22" s="260"/>
      <c r="CF22" s="19"/>
      <c r="CG22" s="29"/>
      <c r="CH22" s="317"/>
      <c r="CI22" s="203" t="str">
        <f>VLOOKUP(CD22,$CA$11:$CI$18,9,0)</f>
        <v>Unlikely</v>
      </c>
      <c r="CJ22" s="19"/>
      <c r="CK22" s="318"/>
      <c r="CL22" s="14"/>
      <c r="CM22" s="14"/>
      <c r="CN22" s="14"/>
      <c r="CO22" s="129"/>
      <c r="CP22" s="29"/>
      <c r="CQ22" s="47"/>
      <c r="CR22" s="14"/>
      <c r="CS22" s="34" t="s">
        <v>2</v>
      </c>
      <c r="CT22" s="37">
        <f>CT58</f>
        <v>3</v>
      </c>
      <c r="CU22" s="14"/>
      <c r="CV22" s="331" t="str">
        <f>INDEX($CS$11:$CS$18,MATCH(LARGE($CX$11:$CX$18,1),$CX$11:$CX$18,0),1)</f>
        <v>Insufficient financial return</v>
      </c>
      <c r="CW22" s="260"/>
      <c r="CX22" s="19"/>
      <c r="CY22" s="29"/>
      <c r="CZ22" s="317"/>
      <c r="DA22" s="203" t="str">
        <f>VLOOKUP(CV22,$CS$11:$DA$18,9,0)</f>
        <v>Moderately unlikely</v>
      </c>
      <c r="DB22" s="19"/>
      <c r="DC22" s="318"/>
      <c r="DD22" s="14"/>
      <c r="DE22" s="14"/>
      <c r="DF22" s="14"/>
      <c r="DG22" s="129"/>
      <c r="DH22" s="29"/>
      <c r="DI22" s="47"/>
      <c r="DJ22" s="29"/>
      <c r="DK22" s="34" t="s">
        <v>2</v>
      </c>
      <c r="DL22" s="122" t="str">
        <f ca="1">IF(COUNTIF(DL58:DL60,"")=2,DL58,                                                                                                                                                                                                IF(COUNTIF(DL58:DL60,"")=1,                                                                                                                                                                                                                                     IFERROR(IF(ABS(MATCH(DL58,Responses_list1_frequency,0)-MATCH(DL59,Responses_list1_frequency,0))=1,DL58&amp;" / "&amp;DL59,"No consensus"),"No consensus"),   IF(COUNTIF(DL58:DL60,"")=0,                                                                                                                                                                                                                                                       IFERROR(IF(AND(ABS(MATCH(DL58,Responses_list1_frequency,0)-MATCH(DL59,Responses_list1_frequency,0))=1,ABS(MATCH(DL59,Responses_list1_frequency,0)-MATCH(DL60,Responses_list1_frequency,0))=1),DL58&amp;" / "&amp;DL59&amp;" / "&amp;DL60,"No consensus"),"No consensus"),DL58)     ))</f>
        <v>No clear choice of the most common response</v>
      </c>
      <c r="DM22" s="33">
        <f>DM58</f>
        <v>4</v>
      </c>
      <c r="DN22" s="37">
        <f>DN58</f>
        <v>0</v>
      </c>
      <c r="DO22" s="14"/>
      <c r="DP22" s="14"/>
      <c r="DQ22" s="526"/>
      <c r="DR22" s="543"/>
      <c r="DS22" s="527"/>
      <c r="DT22" s="14"/>
      <c r="DU22" s="14"/>
      <c r="DV22" s="14"/>
      <c r="DW22" s="14"/>
      <c r="DX22" s="14"/>
      <c r="DY22" s="14"/>
      <c r="DZ22" s="14"/>
      <c r="EA22" s="14"/>
      <c r="EB22" s="14"/>
      <c r="EC22" s="14"/>
      <c r="ED22" s="14"/>
      <c r="EE22" s="14"/>
      <c r="EF22" s="14"/>
      <c r="EG22" s="14"/>
      <c r="EH22" s="14"/>
      <c r="EI22" s="14"/>
      <c r="EJ22" s="14"/>
      <c r="EK22" s="14"/>
      <c r="EL22" s="14"/>
    </row>
    <row r="23" spans="1:142" x14ac:dyDescent="0.25">
      <c r="A23" s="14"/>
      <c r="B23" s="57" t="s">
        <v>31</v>
      </c>
      <c r="C23" s="122" t="str">
        <f ca="1">IF(COUNTIF(C85:C87,"")=2,C85,                                                                                                                                                                                                IF(COUNTIF(C85:C87,"")=1,                                                                                                                                                                                                                                     IFERROR(IF(ABS(MATCH(C85,Responses_list1_frequency,0)-MATCH(C86,Responses_list1_frequency,0))=1,C85&amp;" / "&amp;C86,"No consensus"),"No consensus"),   IF(COUNTIF(C85:C87,"")=0,                                                                                                                                                                                                                                                       IFERROR(IF(AND(ABS(MATCH(C85,Responses_list1_frequency,0)-MATCH(C86,Responses_list1_frequency,0))=1,ABS(MATCH(C86,Responses_list1_frequency,0)-MATCH(C87,Responses_list1_frequency,0))=1),C85&amp;" / "&amp;C86&amp;" / "&amp;C87,"No consensus"),"No consensus"),C85)     ))</f>
        <v>na</v>
      </c>
      <c r="D23" s="58">
        <f>D85</f>
        <v>0</v>
      </c>
      <c r="E23" s="121">
        <f>E85</f>
        <v>0</v>
      </c>
      <c r="F23" s="14"/>
      <c r="G23" s="526"/>
      <c r="H23" s="543"/>
      <c r="I23" s="527"/>
      <c r="J23" s="33"/>
      <c r="K23" s="14"/>
      <c r="L23" s="14"/>
      <c r="M23" s="14"/>
      <c r="N23" s="14"/>
      <c r="O23" s="14"/>
      <c r="P23" s="14"/>
      <c r="Q23" s="47"/>
      <c r="R23" s="19"/>
      <c r="S23" s="34" t="s">
        <v>31</v>
      </c>
      <c r="T23" s="122" t="str">
        <f ca="1">IF(COUNTIF(T85:T87,"")=2,T85,                                                                                                                                                                                                IF(COUNTIF(T85:T87,"")=1,                                                                                                                                                                                                                                     IFERROR(IF(ABS(MATCH(T85,Responses_list1_frequency,0)-MATCH(T86,Responses_list1_frequency,0))=1,T85&amp;" / "&amp;T86,"No consensus"),"No consensus"),   IF(COUNTIF(T85:T87,"")=0,                                                                                                                                                                                                                                                       IFERROR(IF(AND(ABS(MATCH(T85,Responses_list1_frequency,0)-MATCH(T86,Responses_list1_frequency,0))=1,ABS(MATCH(T86,Responses_list1_frequency,0)-MATCH(T87,Responses_list1_frequency,0))=1),T85&amp;" / "&amp;T86&amp;" / "&amp;T87,"No consensus"),"No consensus"),T85)     ))</f>
        <v>na</v>
      </c>
      <c r="U23" s="33">
        <f>U85</f>
        <v>0</v>
      </c>
      <c r="V23" s="37">
        <f>V85</f>
        <v>0</v>
      </c>
      <c r="W23" s="14"/>
      <c r="X23" s="19"/>
      <c r="Y23" s="526"/>
      <c r="Z23" s="543"/>
      <c r="AA23" s="527"/>
      <c r="AB23" s="14"/>
      <c r="AC23" s="14"/>
      <c r="AD23" s="65"/>
      <c r="AE23" s="63"/>
      <c r="AF23" s="47"/>
      <c r="AG23" s="19"/>
      <c r="AH23" s="57" t="s">
        <v>31</v>
      </c>
      <c r="AI23" s="122" t="str">
        <f ca="1">IF(COUNTIF(AI85:AI87,"")=2,AI85,                                                                                                                                                                                                IF(COUNTIF(AI85:AI87,"")=1,                                                                                                                                                                                                                                     IFERROR(IF(ABS(MATCH(AI85,Responses_list1_frequency,0)-MATCH(AI86,Responses_list1_frequency,0))=1,AI85&amp;" / "&amp;AI86,"No consensus"),"No consensus"),   IF(COUNTIF(AI85:AI87,"")=0,                                                                                                                                                                                                                                                       IFERROR(IF(AND(ABS(MATCH(AI85,Responses_list1_frequency,0)-MATCH(AI86,Responses_list1_frequency,0))=1,ABS(MATCH(AI86,Responses_list1_frequency,0)-MATCH(AI87,Responses_list1_frequency,0))=1),AI85&amp;" / "&amp;AI86&amp;" / "&amp;AI87,"No consensus"),"No consensus"),AI85)     ))</f>
        <v>Very unlikely</v>
      </c>
      <c r="AJ23" s="58">
        <f>AJ85</f>
        <v>1</v>
      </c>
      <c r="AK23" s="58">
        <f>AK85</f>
        <v>0</v>
      </c>
      <c r="AL23" s="14"/>
      <c r="AM23" s="526"/>
      <c r="AN23" s="543"/>
      <c r="AO23" s="527"/>
      <c r="AP23" s="14"/>
      <c r="AQ23" s="14"/>
      <c r="AR23" s="14"/>
      <c r="AS23" s="65"/>
      <c r="AT23" s="63"/>
      <c r="AU23" s="47"/>
      <c r="AV23" s="14"/>
      <c r="AW23" s="57" t="s">
        <v>31</v>
      </c>
      <c r="AX23" s="122" t="str">
        <f ca="1">IF(COUNTIF(AX85:AX87,"")=2,AX85,                                                                                                                                                                                                IF(COUNTIF(AX85:AX87,"")=1,                                                                                                                                                                                                                                     IFERROR(IF(ABS(MATCH(AX85,Responses_list1_frequency,0)-MATCH(AX86,Responses_list1_frequency,0))=1,AX85&amp;" / "&amp;AX86,"No consensus"),"No consensus"),   IF(COUNTIF(AX85:AX87,"")=0,                                                                                                                                                                                                                                                       IFERROR(IF(AND(ABS(MATCH(AX85,Responses_list1_frequency,0)-MATCH(AX86,Responses_list1_frequency,0))=1,ABS(MATCH(AX86,Responses_list1_frequency,0)-MATCH(AX87,Responses_list1_frequency,0))=1),AX85&amp;" / "&amp;AX86&amp;" / "&amp;AX87,"No consensus"),"No consensus"),AX85)     ))</f>
        <v>Very unlikely</v>
      </c>
      <c r="AY23" s="58">
        <f>AY85</f>
        <v>1</v>
      </c>
      <c r="AZ23" s="121">
        <f>AZ85</f>
        <v>0</v>
      </c>
      <c r="BA23" s="14"/>
      <c r="BB23" s="526"/>
      <c r="BC23" s="543"/>
      <c r="BD23" s="527"/>
      <c r="BE23" s="14"/>
      <c r="BF23" s="14"/>
      <c r="BG23" s="14"/>
      <c r="BH23" s="65"/>
      <c r="BI23" s="63"/>
      <c r="BJ23" s="352"/>
      <c r="BK23" s="19"/>
      <c r="BL23" s="57" t="s">
        <v>31</v>
      </c>
      <c r="BM23" s="122" t="str">
        <f ca="1">IF(COUNTIF(BM85:BM87,"")=2,BM85,                                                                                                                                                                                                IF(COUNTIF(BM85:BM87,"")=1,                                                                                                                                                                                                                                     IFERROR(IF(ABS(MATCH(BM85,Responses_list1_frequency,0)-MATCH(BM86,Responses_list1_frequency,0))=1,BM85&amp;" / "&amp;BM86,"No consensus"),"No consensus"),   IF(COUNTIF(BM85:BM87,"")=0,                                                                                                                                                                                                                                                       IFERROR(IF(AND(ABS(MATCH(BM85,Responses_list1_frequency,0)-MATCH(BM86,Responses_list1_frequency,0))=1,ABS(MATCH(BM86,Responses_list1_frequency,0)-MATCH(BM87,Responses_list1_frequency,0))=1),BM85&amp;" / "&amp;BM86&amp;" / "&amp;BM87,"No consensus"),"No consensus"),BM85)     ))</f>
        <v>Very unlikely</v>
      </c>
      <c r="BN23" s="58">
        <f>BN85</f>
        <v>1</v>
      </c>
      <c r="BO23" s="121">
        <f>BO85</f>
        <v>0</v>
      </c>
      <c r="BP23" s="14"/>
      <c r="BQ23" s="526"/>
      <c r="BR23" s="543"/>
      <c r="BS23" s="527"/>
      <c r="BT23" s="14"/>
      <c r="BU23" s="14"/>
      <c r="BV23" s="14"/>
      <c r="BW23" s="65"/>
      <c r="BX23" s="63"/>
      <c r="BY23" s="352"/>
      <c r="BZ23" s="14"/>
      <c r="CA23" s="34" t="s">
        <v>31</v>
      </c>
      <c r="CB23" s="37">
        <f>CB85</f>
        <v>1</v>
      </c>
      <c r="CC23" s="14"/>
      <c r="CD23" s="203" t="str">
        <f>INDEX($CA$11:$CA$18,MATCH(LARGE($CF$11:$CF$18,2),$CF$11:$CF$18,0),1)</f>
        <v>Increased demand for saw timber enables management of unmanaged forest</v>
      </c>
      <c r="CE23" s="260"/>
      <c r="CF23" s="19"/>
      <c r="CG23" s="29"/>
      <c r="CH23" s="317"/>
      <c r="CI23" s="203" t="str">
        <f>VLOOKUP(CD23,$CA$11:$CI$18,9,0)</f>
        <v>Unlikely</v>
      </c>
      <c r="CJ23" s="19"/>
      <c r="CK23" s="318"/>
      <c r="CL23" s="14"/>
      <c r="CM23" s="14"/>
      <c r="CN23" s="14"/>
      <c r="CO23" s="129"/>
      <c r="CP23" s="29"/>
      <c r="CQ23" s="47"/>
      <c r="CR23" s="14"/>
      <c r="CS23" s="34" t="s">
        <v>31</v>
      </c>
      <c r="CT23" s="37">
        <f>CT85</f>
        <v>0</v>
      </c>
      <c r="CU23" s="14"/>
      <c r="CV23" s="331" t="str">
        <f>INDEX($CS$11:$CS$18,MATCH(LARGE($CX$11:$CX$18,2),$CX$11:$CX$18,0),1)</f>
        <v>Changes in legislation or policy</v>
      </c>
      <c r="CW23" s="260"/>
      <c r="CX23" s="19"/>
      <c r="CY23" s="29"/>
      <c r="CZ23" s="317"/>
      <c r="DA23" s="203" t="str">
        <f>VLOOKUP(CV23,$CS$11:$DA$18,9,0)</f>
        <v>Very unlikely</v>
      </c>
      <c r="DB23" s="19"/>
      <c r="DC23" s="318"/>
      <c r="DD23" s="14"/>
      <c r="DE23" s="14"/>
      <c r="DF23" s="14"/>
      <c r="DG23" s="129"/>
      <c r="DH23" s="29"/>
      <c r="DI23" s="47"/>
      <c r="DJ23" s="29"/>
      <c r="DK23" s="34" t="s">
        <v>31</v>
      </c>
      <c r="DL23" s="122" t="str">
        <f ca="1">IF(COUNTIF(DL85:DL87,"")=2,DL85,                                                                                                                                                                                                IF(COUNTIF(DL85:DL87,"")=1,                                                                                                                                                                                                                                     IFERROR(IF(ABS(MATCH(DL85,Responses_list1_frequency,0)-MATCH(DL86,Responses_list1_frequency,0))=1,DL85&amp;" / "&amp;DL86,"No consensus"),"No consensus"),   IF(COUNTIF(DL85:DL87,"")=0,                                                                                                                                                                                                                                                       IFERROR(IF(AND(ABS(MATCH(DL85,Responses_list1_frequency,0)-MATCH(DL86,Responses_list1_frequency,0))=1,ABS(MATCH(DL86,Responses_list1_frequency,0)-MATCH(DL87,Responses_list1_frequency,0))=1),DL85&amp;" / "&amp;DL86&amp;" / "&amp;DL87,"No consensus"),"No consensus"),DL85)     ))</f>
        <v>na</v>
      </c>
      <c r="DM23" s="33">
        <f>DM85</f>
        <v>0</v>
      </c>
      <c r="DN23" s="37">
        <f>DN85</f>
        <v>0</v>
      </c>
      <c r="DO23" s="14"/>
      <c r="DP23" s="14"/>
      <c r="DQ23" s="526"/>
      <c r="DR23" s="543"/>
      <c r="DS23" s="527"/>
      <c r="DT23" s="14"/>
      <c r="DU23" s="14"/>
      <c r="DV23" s="14"/>
      <c r="DW23" s="14"/>
      <c r="DX23" s="14"/>
      <c r="DY23" s="14"/>
      <c r="DZ23" s="14"/>
      <c r="EA23" s="14"/>
      <c r="EB23" s="14"/>
      <c r="EC23" s="14"/>
      <c r="ED23" s="14"/>
      <c r="EE23" s="14"/>
      <c r="EF23" s="14"/>
      <c r="EG23" s="14"/>
      <c r="EH23" s="14"/>
      <c r="EI23" s="14"/>
      <c r="EJ23" s="14"/>
      <c r="EK23" s="14"/>
      <c r="EL23" s="14"/>
    </row>
    <row r="24" spans="1:142" x14ac:dyDescent="0.25">
      <c r="A24" s="14"/>
      <c r="B24" s="57" t="s">
        <v>22</v>
      </c>
      <c r="C24" s="122" t="str">
        <f ca="1">IF(COUNTIF(C112:C114,"")=2,C112,                                                                                                                                                                                                IF(COUNTIF(C112:C114,"")=1,                                                                                                                                                                                                                                     IFERROR(IF(ABS(MATCH(C112,Responses_list1_frequency,0)-MATCH(C113,Responses_list1_frequency,0))=1,C112&amp;" / "&amp;C113,"No consensus"),"No consensus"),   IF(COUNTIF(C112:C114,"")=0,                                                                                                                                                                                                                                                       IFERROR(IF(AND(ABS(MATCH(C112,Responses_list1_frequency,0)-MATCH(C113,Responses_list1_frequency,0))=1,ABS(MATCH(C113,Responses_list1_frequency,0)-MATCH(C114,Responses_list1_frequency,0))=1),C112&amp;" / "&amp;C113&amp;" / "&amp;C114,"No consensus"),"No consensus"),C112)     ))</f>
        <v>Definitely not</v>
      </c>
      <c r="D24" s="58">
        <f>D112</f>
        <v>2</v>
      </c>
      <c r="E24" s="121">
        <f>E112</f>
        <v>0</v>
      </c>
      <c r="F24" s="14"/>
      <c r="G24" s="526"/>
      <c r="H24" s="543"/>
      <c r="I24" s="527"/>
      <c r="J24" s="33"/>
      <c r="K24" s="14"/>
      <c r="L24" s="14"/>
      <c r="M24" s="14"/>
      <c r="N24" s="14"/>
      <c r="O24" s="14"/>
      <c r="P24" s="14"/>
      <c r="Q24" s="47"/>
      <c r="R24" s="19"/>
      <c r="S24" s="34" t="s">
        <v>22</v>
      </c>
      <c r="T24" s="122" t="str">
        <f ca="1">IF(COUNTIF(T112:T114,"")=2,T112,                                                                                                                                                                                                IF(COUNTIF(T112:T114,"")=1,                                                                                                                                                                                                                                     IFERROR(IF(ABS(MATCH(T112,Responses_list1_frequency,0)-MATCH(T113,Responses_list1_frequency,0))=1,T112&amp;" / "&amp;T113,"No consensus"),"No consensus"),   IF(COUNTIF(T112:T114,"")=0,                                                                                                                                                                                                                                                       IFERROR(IF(AND(ABS(MATCH(T112,Responses_list1_frequency,0)-MATCH(T113,Responses_list1_frequency,0))=1,ABS(MATCH(T113,Responses_list1_frequency,0)-MATCH(T114,Responses_list1_frequency,0))=1),T112&amp;" / "&amp;T113&amp;" / "&amp;T114,"No consensus"),"No consensus"),T112)     ))</f>
        <v>No consensus</v>
      </c>
      <c r="U24" s="33">
        <f>U112</f>
        <v>2</v>
      </c>
      <c r="V24" s="37">
        <f>V112</f>
        <v>0</v>
      </c>
      <c r="W24" s="14"/>
      <c r="X24" s="19"/>
      <c r="Y24" s="526"/>
      <c r="Z24" s="543"/>
      <c r="AA24" s="527"/>
      <c r="AB24" s="14"/>
      <c r="AC24" s="14"/>
      <c r="AD24" s="65"/>
      <c r="AE24" s="63"/>
      <c r="AF24" s="47"/>
      <c r="AG24" s="19"/>
      <c r="AH24" s="57" t="s">
        <v>22</v>
      </c>
      <c r="AI24" s="122" t="str">
        <f ca="1">IF(COUNTIF(AI112:AI114,"")=2,AI112,                                                                                                                                                                                                IF(COUNTIF(AI112:AI114,"")=1,                                                                                                                                                                                                                                     IFERROR(IF(ABS(MATCH(AI112,Responses_list1_frequency,0)-MATCH(AI113,Responses_list1_frequency,0))=1,AI112&amp;" / "&amp;AI113,"No consensus"),"No consensus"),   IF(COUNTIF(AI112:AI114,"")=0,                                                                                                                                                                                                                                                       IFERROR(IF(AND(ABS(MATCH(AI112,Responses_list1_frequency,0)-MATCH(AI113,Responses_list1_frequency,0))=1,ABS(MATCH(AI113,Responses_list1_frequency,0)-MATCH(AI114,Responses_list1_frequency,0))=1),AI112&amp;" / "&amp;AI113&amp;" / "&amp;AI114,"No consensus"),"No consensus"),AI112)     ))</f>
        <v>Unlikely</v>
      </c>
      <c r="AJ24" s="58">
        <f>AJ112</f>
        <v>1</v>
      </c>
      <c r="AK24" s="58">
        <f>AK112</f>
        <v>0</v>
      </c>
      <c r="AL24" s="14"/>
      <c r="AM24" s="526"/>
      <c r="AN24" s="543"/>
      <c r="AO24" s="527"/>
      <c r="AP24" s="14"/>
      <c r="AQ24" s="14"/>
      <c r="AR24" s="14"/>
      <c r="AS24" s="65"/>
      <c r="AT24" s="63"/>
      <c r="AU24" s="47"/>
      <c r="AV24" s="14"/>
      <c r="AW24" s="57" t="s">
        <v>22</v>
      </c>
      <c r="AX24" s="122" t="str">
        <f ca="1">IF(COUNTIF(AX112:AX114,"")=2,AX112,                                                                                                                                                                                                IF(COUNTIF(AX112:AX114,"")=1,                                                                                                                                                                                                                                     IFERROR(IF(ABS(MATCH(AX112,Responses_list1_frequency,0)-MATCH(AX113,Responses_list1_frequency,0))=1,AX112&amp;" / "&amp;AX113,"No consensus"),"No consensus"),   IF(COUNTIF(AX112:AX114,"")=0,                                                                                                                                                                                                                                                       IFERROR(IF(AND(ABS(MATCH(AX112,Responses_list1_frequency,0)-MATCH(AX113,Responses_list1_frequency,0))=1,ABS(MATCH(AX113,Responses_list1_frequency,0)-MATCH(AX114,Responses_list1_frequency,0))=1),AX112&amp;" / "&amp;AX113&amp;" / "&amp;AX114,"No consensus"),"No consensus"),AX112)     ))</f>
        <v>Unlikely</v>
      </c>
      <c r="AY24" s="58">
        <f>AY112</f>
        <v>1</v>
      </c>
      <c r="AZ24" s="121">
        <f>AZ112</f>
        <v>0</v>
      </c>
      <c r="BA24" s="14"/>
      <c r="BB24" s="526"/>
      <c r="BC24" s="543"/>
      <c r="BD24" s="527"/>
      <c r="BE24" s="14"/>
      <c r="BF24" s="14"/>
      <c r="BG24" s="14"/>
      <c r="BH24" s="65"/>
      <c r="BI24" s="63"/>
      <c r="BJ24" s="352"/>
      <c r="BK24" s="19"/>
      <c r="BL24" s="57" t="s">
        <v>22</v>
      </c>
      <c r="BM24" s="122" t="str">
        <f ca="1">IF(COUNTIF(BM112:BM114,"")=2,BM112,                                                                                                                                                                                                IF(COUNTIF(BM112:BM114,"")=1,                                                                                                                                                                                                                                     IFERROR(IF(ABS(MATCH(BM112,Responses_list1_frequency,0)-MATCH(BM113,Responses_list1_frequency,0))=1,BM112&amp;" / "&amp;BM113,"No consensus"),"No consensus"),   IF(COUNTIF(BM112:BM114,"")=0,                                                                                                                                                                                                                                                       IFERROR(IF(AND(ABS(MATCH(BM112,Responses_list1_frequency,0)-MATCH(BM113,Responses_list1_frequency,0))=1,ABS(MATCH(BM113,Responses_list1_frequency,0)-MATCH(BM114,Responses_list1_frequency,0))=1),BM112&amp;" / "&amp;BM113&amp;" / "&amp;BM114,"No consensus"),"No consensus"),BM112)     ))</f>
        <v>No consensus</v>
      </c>
      <c r="BN24" s="58">
        <f>BN112</f>
        <v>2</v>
      </c>
      <c r="BO24" s="121">
        <f>BO112</f>
        <v>0</v>
      </c>
      <c r="BP24" s="14"/>
      <c r="BQ24" s="526"/>
      <c r="BR24" s="543"/>
      <c r="BS24" s="527"/>
      <c r="BT24" s="14"/>
      <c r="BU24" s="14"/>
      <c r="BV24" s="14"/>
      <c r="BW24" s="65"/>
      <c r="BX24" s="63"/>
      <c r="BY24" s="352"/>
      <c r="BZ24" s="14"/>
      <c r="CA24" s="34" t="s">
        <v>22</v>
      </c>
      <c r="CB24" s="37">
        <f>CB112</f>
        <v>2</v>
      </c>
      <c r="CC24" s="14"/>
      <c r="CD24" s="319" t="str">
        <f>CONCATENATE(INDEX(CA11:CA18,MATCH(LARGE(CF11:CF18,3),CF11:CF18,0),1),IF(ROUND(LARGE(CF11:CF18,3),4)=ROUND(LARGE(CF11:CF18,4),4),CONCATENATE(" / ",INDEX(CA11:CA18,MATCH(LARGE(CF11:CF18,4),CF11:CF18,0),1)),""),IF(ROUND(LARGE(CF11:CF18,3),4)=ROUND(LARGE(CF11:CF18,5),4),CONCATENATE(" / ",INDEX(CA11:CA18,MATCH(LARGE(CF11:CF18,5),CF11:CF18,0),1)),""))</f>
        <v>Changes in forestry incentives</v>
      </c>
      <c r="CE24" s="320"/>
      <c r="CF24" s="321"/>
      <c r="CG24" s="322"/>
      <c r="CH24" s="323"/>
      <c r="CI24" s="319" t="str">
        <f>CONCATENATE(INDEX(CI11:CI18,MATCH(LARGE(CF11:CF18,3),CF11:CF18,0),1),IF(ROUND(LARGE(CF11:CF18,3),4)=ROUND(LARGE(CF11:CF18,4),4),CONCATENATE(" / ",INDEX(CI11:CI18,MATCH(LARGE(CF11:CF18,4),CF11:CF18,0),1)),""),IF(ROUND(LARGE(CF11:CF18,3),4)=ROUND(LARGE(CF11:CF18,5),4),CONCATENATE(" / ",INDEX(CI11:CI18,MATCH(LARGE(CF11:CF18,5),CF11:CF18,0),1)),""))</f>
        <v>Very unlikely</v>
      </c>
      <c r="CJ24" s="321"/>
      <c r="CK24" s="204"/>
      <c r="CL24" s="14"/>
      <c r="CM24" s="14"/>
      <c r="CN24" s="14"/>
      <c r="CO24" s="129"/>
      <c r="CP24" s="14"/>
      <c r="CQ24" s="47"/>
      <c r="CR24" s="14"/>
      <c r="CS24" s="34" t="s">
        <v>22</v>
      </c>
      <c r="CT24" s="37">
        <f>CT112</f>
        <v>1</v>
      </c>
      <c r="CU24" s="14"/>
      <c r="CV24" s="332" t="str">
        <f>CONCATENATE(INDEX(CS11:CS18,MATCH(LARGE(CX11:CX18,3),CX11:CX18,0),1),IF(ROUND(LARGE(CX11:CX18,3),4)=ROUND(LARGE(CX11:CX18,4),4),CONCATENATE(" / ",INDEX(CS11:CS18,MATCH(LARGE(CX11:$CX18,4),CX11:CX18,0),1)),""),IF(ROUND(LARGE(CX11:CX18,3),4)=ROUND(LARGE(CX11:CX18,5),4),CONCATENATE(" / ",INDEX(CS11:CS18,MATCH(LARGE(CX11:CX18,5),CX11:CX18,0),1)),""))</f>
        <v>Low roundwood demand - longer haulage</v>
      </c>
      <c r="CW24" s="320"/>
      <c r="CX24" s="321"/>
      <c r="CY24" s="322"/>
      <c r="CZ24" s="323"/>
      <c r="DA24" s="319" t="str">
        <f>CONCATENATE(INDEX($DA$11:$DA$18,MATCH(LARGE($CX$11:$CX$18,3),$CX$11:$CX$18,0),1),IF(ROUND(LARGE(CX11:CX18,3),4)=ROUND(LARGE(CX11:CX18,4),4),CONCATENATE(" / ",INDEX($DA$11:$DA$18,MATCH(LARGE($CX$11:$CX$18,4),$CX$11:$CX$18,0),1)),""),IF(ROUND(LARGE(CX11:CX18,3),4)=ROUND(LARGE(CX11:CX18,5),4),CONCATENATE(" / ",INDEX($DA$11:$DA$18,MATCH(LARGE($CX$11:$CX$18,5),$CX$11:$CX$18,0),1)),""))</f>
        <v>Moderately unlikely</v>
      </c>
      <c r="DB24" s="321"/>
      <c r="DC24" s="204"/>
      <c r="DD24" s="14"/>
      <c r="DE24" s="14"/>
      <c r="DF24" s="14"/>
      <c r="DG24" s="129"/>
      <c r="DH24" s="14"/>
      <c r="DI24" s="47"/>
      <c r="DJ24" s="14"/>
      <c r="DK24" s="34" t="s">
        <v>22</v>
      </c>
      <c r="DL24" s="122" t="str">
        <f ca="1">IF(COUNTIF(DL112:DL114,"")=2,DL112,                                                                                                                                                                                                IF(COUNTIF(DL112:DL114,"")=1,                                                                                                                                                                                                                                     IFERROR(IF(ABS(MATCH(DL112,Responses_list1_frequency,0)-MATCH(DL113,Responses_list1_frequency,0))=1,DL112&amp;" / "&amp;DL113,"No consensus"),"No consensus"),   IF(COUNTIF(DL112:DL114,"")=0,                                                                                                                                                                                                                                                       IFERROR(IF(AND(ABS(MATCH(DL112,Responses_list1_frequency,0)-MATCH(DL113,Responses_list1_frequency,0))=1,ABS(MATCH(DL113,Responses_list1_frequency,0)-MATCH(DL114,Responses_list1_frequency,0))=1),DL112&amp;" / "&amp;DL113&amp;" / "&amp;DL114,"No consensus"),"No consensus"),DL112)     ))</f>
        <v>No consensus</v>
      </c>
      <c r="DM24" s="33">
        <f>DM112</f>
        <v>2</v>
      </c>
      <c r="DN24" s="37">
        <f>DN112</f>
        <v>0</v>
      </c>
      <c r="DO24" s="14"/>
      <c r="DP24" s="14"/>
      <c r="DQ24" s="526"/>
      <c r="DR24" s="543"/>
      <c r="DS24" s="527"/>
      <c r="DT24" s="14"/>
      <c r="DU24" s="14"/>
      <c r="DV24" s="14"/>
      <c r="DW24" s="14"/>
      <c r="DX24" s="14"/>
      <c r="DY24" s="14"/>
      <c r="DZ24" s="14"/>
      <c r="EA24" s="14"/>
      <c r="EB24" s="14"/>
      <c r="EC24" s="14"/>
      <c r="ED24" s="14"/>
      <c r="EE24" s="14"/>
      <c r="EF24" s="14"/>
      <c r="EG24" s="14"/>
      <c r="EH24" s="14"/>
      <c r="EI24" s="14"/>
      <c r="EJ24" s="14"/>
      <c r="EK24" s="14"/>
      <c r="EL24" s="14"/>
    </row>
    <row r="25" spans="1:142" x14ac:dyDescent="0.25">
      <c r="A25" s="14"/>
      <c r="B25" s="57" t="s">
        <v>32</v>
      </c>
      <c r="C25" s="122" t="str">
        <f ca="1">IF(COUNTIF(C139:C141,"")=2,C139,                                                                                                                                                                                                IF(COUNTIF(C139:C141,"")=1,                                                                                                                                                                                                                                     IFERROR(IF(ABS(MATCH(C139,Responses_list1_frequency,0)-MATCH(C140,Responses_list1_frequency,0))=1,C139&amp;" / "&amp;C140,"No consensus"),"No consensus"),   IF(COUNTIF(C139:C141,"")=0,                                                                                                                                                                                                                                                       IFERROR(IF(AND(ABS(MATCH(C139,Responses_list1_frequency,0)-MATCH(C140,Responses_list1_frequency,0))=1,ABS(MATCH(C140,Responses_list1_frequency,0)-MATCH(C141,Responses_list1_frequency,0))=1),C139&amp;" / "&amp;C140&amp;" / "&amp;C141,"No consensus"),"No consensus"),C139)     ))</f>
        <v>I don’t know</v>
      </c>
      <c r="D25" s="58">
        <f>D139</f>
        <v>1</v>
      </c>
      <c r="E25" s="121">
        <f>E139</f>
        <v>1</v>
      </c>
      <c r="F25" s="14"/>
      <c r="G25" s="528"/>
      <c r="H25" s="544"/>
      <c r="I25" s="529"/>
      <c r="J25" s="33"/>
      <c r="K25" s="14"/>
      <c r="L25" s="14"/>
      <c r="M25" s="14"/>
      <c r="N25" s="14"/>
      <c r="O25" s="14"/>
      <c r="P25" s="14"/>
      <c r="Q25" s="47"/>
      <c r="R25" s="19"/>
      <c r="S25" s="34" t="s">
        <v>32</v>
      </c>
      <c r="T25" s="122" t="str">
        <f ca="1">IF(COUNTIF(T139:T141,"")=2,T139,                                                                                                                                                                                                IF(COUNTIF(T139:T141,"")=1,                                                                                                                                                                                                                                     IFERROR(IF(ABS(MATCH(T139,Responses_list1_frequency,0)-MATCH(T140,Responses_list1_frequency,0))=1,T139&amp;" / "&amp;T140,"No consensus"),"No consensus"),   IF(COUNTIF(T139:T141,"")=0,                                                                                                                                                                                                                                                       IFERROR(IF(AND(ABS(MATCH(T139,Responses_list1_frequency,0)-MATCH(T140,Responses_list1_frequency,0))=1,ABS(MATCH(T140,Responses_list1_frequency,0)-MATCH(T141,Responses_list1_frequency,0))=1),T139&amp;" / "&amp;T140&amp;" / "&amp;T141,"No consensus"),"No consensus"),T139)     ))</f>
        <v>Unlikely</v>
      </c>
      <c r="U25" s="33">
        <f>U139</f>
        <v>1</v>
      </c>
      <c r="V25" s="37">
        <f>V139</f>
        <v>0</v>
      </c>
      <c r="W25" s="14"/>
      <c r="X25" s="19"/>
      <c r="Y25" s="528"/>
      <c r="Z25" s="544"/>
      <c r="AA25" s="529"/>
      <c r="AB25" s="14"/>
      <c r="AC25" s="14"/>
      <c r="AD25" s="65"/>
      <c r="AE25" s="63"/>
      <c r="AF25" s="47"/>
      <c r="AG25" s="19"/>
      <c r="AH25" s="57" t="s">
        <v>32</v>
      </c>
      <c r="AI25" s="122" t="str">
        <f ca="1">IF(COUNTIF(AI139:AI141,"")=2,AI139,                                                                                                                                                                                                IF(COUNTIF(AI139:AI141,"")=1,                                                                                                                                                                                                                                     IFERROR(IF(ABS(MATCH(AI139,Responses_list1_frequency,0)-MATCH(AI140,Responses_list1_frequency,0))=1,AI139&amp;" / "&amp;AI140,"No consensus"),"No consensus"),   IF(COUNTIF(AI139:AI141,"")=0,                                                                                                                                                                                                                                                       IFERROR(IF(AND(ABS(MATCH(AI139,Responses_list1_frequency,0)-MATCH(AI140,Responses_list1_frequency,0))=1,ABS(MATCH(AI140,Responses_list1_frequency,0)-MATCH(AI141,Responses_list1_frequency,0))=1),AI139&amp;" / "&amp;AI140&amp;" / "&amp;AI141,"No consensus"),"No consensus"),AI139)     ))</f>
        <v>Very unlikely</v>
      </c>
      <c r="AJ25" s="58">
        <f>AJ139</f>
        <v>1</v>
      </c>
      <c r="AK25" s="58">
        <f>AK139</f>
        <v>0</v>
      </c>
      <c r="AL25" s="14"/>
      <c r="AM25" s="528"/>
      <c r="AN25" s="544"/>
      <c r="AO25" s="529"/>
      <c r="AP25" s="14"/>
      <c r="AQ25" s="14"/>
      <c r="AR25" s="14"/>
      <c r="AS25" s="65"/>
      <c r="AT25" s="63"/>
      <c r="AU25" s="47"/>
      <c r="AV25" s="14"/>
      <c r="AW25" s="57" t="s">
        <v>32</v>
      </c>
      <c r="AX25" s="122" t="str">
        <f ca="1">IF(COUNTIF(AX139:AX141,"")=2,AX139,                                                                                                                                                                                                IF(COUNTIF(AX139:AX141,"")=1,                                                                                                                                                                                                                                     IFERROR(IF(ABS(MATCH(AX139,Responses_list1_frequency,0)-MATCH(AX140,Responses_list1_frequency,0))=1,AX139&amp;" / "&amp;AX140,"No consensus"),"No consensus"),   IF(COUNTIF(AX139:AX141,"")=0,                                                                                                                                                                                                                                                       IFERROR(IF(AND(ABS(MATCH(AX139,Responses_list1_frequency,0)-MATCH(AX140,Responses_list1_frequency,0))=1,ABS(MATCH(AX140,Responses_list1_frequency,0)-MATCH(AX141,Responses_list1_frequency,0))=1),AX139&amp;" / "&amp;AX140&amp;" / "&amp;AX141,"No consensus"),"No consensus"),AX139)     ))</f>
        <v>Very unlikely</v>
      </c>
      <c r="AY25" s="58">
        <f>AY139</f>
        <v>1</v>
      </c>
      <c r="AZ25" s="121">
        <f>AZ139</f>
        <v>0</v>
      </c>
      <c r="BA25" s="14"/>
      <c r="BB25" s="528"/>
      <c r="BC25" s="544"/>
      <c r="BD25" s="529"/>
      <c r="BE25" s="14"/>
      <c r="BF25" s="14"/>
      <c r="BG25" s="14"/>
      <c r="BH25" s="65"/>
      <c r="BI25" s="63"/>
      <c r="BJ25" s="352"/>
      <c r="BK25" s="19"/>
      <c r="BL25" s="57" t="s">
        <v>32</v>
      </c>
      <c r="BM25" s="122" t="str">
        <f ca="1">IF(COUNTIF(BM139:BM141,"")=2,BM139,                                                                                                                                                                                                IF(COUNTIF(BM139:BM141,"")=1,                                                                                                                                                                                                                                     IFERROR(IF(ABS(MATCH(BM139,Responses_list1_frequency,0)-MATCH(BM140,Responses_list1_frequency,0))=1,BM139&amp;" / "&amp;BM140,"No consensus"),"No consensus"),   IF(COUNTIF(BM139:BM141,"")=0,                                                                                                                                                                                                                                                       IFERROR(IF(AND(ABS(MATCH(BM139,Responses_list1_frequency,0)-MATCH(BM140,Responses_list1_frequency,0))=1,ABS(MATCH(BM140,Responses_list1_frequency,0)-MATCH(BM141,Responses_list1_frequency,0))=1),BM139&amp;" / "&amp;BM140&amp;" / "&amp;BM141,"No consensus"),"No consensus"),BM139)     ))</f>
        <v>Unlikely</v>
      </c>
      <c r="BN25" s="58">
        <f>BN139</f>
        <v>1</v>
      </c>
      <c r="BO25" s="121">
        <f>BO139</f>
        <v>0</v>
      </c>
      <c r="BP25" s="14"/>
      <c r="BQ25" s="528"/>
      <c r="BR25" s="544"/>
      <c r="BS25" s="529"/>
      <c r="BT25" s="14"/>
      <c r="BU25" s="14"/>
      <c r="BV25" s="14"/>
      <c r="BW25" s="65"/>
      <c r="BX25" s="63"/>
      <c r="BY25" s="352"/>
      <c r="BZ25" s="14"/>
      <c r="CA25" s="34" t="s">
        <v>32</v>
      </c>
      <c r="CB25" s="37">
        <f>CB139</f>
        <v>1</v>
      </c>
      <c r="CC25" s="14"/>
      <c r="CD25" s="19"/>
      <c r="CE25" s="19"/>
      <c r="CF25" s="19"/>
      <c r="CG25" s="39"/>
      <c r="CH25" s="19"/>
      <c r="CI25" s="19"/>
      <c r="CJ25" s="19"/>
      <c r="CK25" s="19"/>
      <c r="CL25" s="14"/>
      <c r="CM25" s="14"/>
      <c r="CN25" s="14"/>
      <c r="CO25" s="129"/>
      <c r="CP25" s="14"/>
      <c r="CQ25" s="47"/>
      <c r="CR25" s="14"/>
      <c r="CS25" s="34" t="s">
        <v>32</v>
      </c>
      <c r="CT25" s="37">
        <f>CT139</f>
        <v>1</v>
      </c>
      <c r="CU25" s="14"/>
      <c r="CV25" s="27"/>
      <c r="CW25" s="19"/>
      <c r="CX25" s="19"/>
      <c r="CY25" s="39"/>
      <c r="CZ25" s="19"/>
      <c r="DA25" s="19"/>
      <c r="DB25" s="19"/>
      <c r="DC25" s="19"/>
      <c r="DD25" s="14"/>
      <c r="DE25" s="14"/>
      <c r="DF25" s="14"/>
      <c r="DG25" s="129"/>
      <c r="DH25" s="14"/>
      <c r="DI25" s="47"/>
      <c r="DJ25" s="14"/>
      <c r="DK25" s="34" t="s">
        <v>32</v>
      </c>
      <c r="DL25" s="122" t="str">
        <f ca="1">IF(COUNTIF(DL139:DL141,"")=2,DL139,                                                                                                                                                                                                IF(COUNTIF(DL139:DL141,"")=1,                                                                                                                                                                                                                                     IFERROR(IF(ABS(MATCH(DL139,Responses_list1_frequency,0)-MATCH(DL140,Responses_list1_frequency,0))=1,DL139&amp;" / "&amp;DL140,"No consensus"),"No consensus"),   IF(COUNTIF(DL139:DL141,"")=0,                                                                                                                                                                                                                                                       IFERROR(IF(AND(ABS(MATCH(DL139,Responses_list1_frequency,0)-MATCH(DL140,Responses_list1_frequency,0))=1,ABS(MATCH(DL140,Responses_list1_frequency,0)-MATCH(DL141,Responses_list1_frequency,0))=1),DL139&amp;" / "&amp;DL140&amp;" / "&amp;DL141,"No consensus"),"No consensus"),DL139)     ))</f>
        <v>Yes, always</v>
      </c>
      <c r="DM25" s="33">
        <f>DM139</f>
        <v>1</v>
      </c>
      <c r="DN25" s="37">
        <f>DN139</f>
        <v>0</v>
      </c>
      <c r="DO25" s="14"/>
      <c r="DP25" s="14"/>
      <c r="DQ25" s="528"/>
      <c r="DR25" s="544"/>
      <c r="DS25" s="529"/>
      <c r="DT25" s="14"/>
      <c r="DU25" s="14"/>
      <c r="DV25" s="14"/>
      <c r="DW25" s="14"/>
      <c r="DX25" s="14"/>
      <c r="DY25" s="14"/>
      <c r="DZ25" s="14"/>
      <c r="EA25" s="14"/>
      <c r="EB25" s="14"/>
      <c r="EC25" s="14"/>
      <c r="ED25" s="14"/>
      <c r="EE25" s="14"/>
      <c r="EF25" s="14"/>
      <c r="EG25" s="14"/>
      <c r="EH25" s="14"/>
      <c r="EI25" s="14"/>
      <c r="EJ25" s="14"/>
      <c r="EK25" s="14"/>
      <c r="EL25" s="14"/>
    </row>
    <row r="26" spans="1:142" x14ac:dyDescent="0.25">
      <c r="A26" s="14"/>
      <c r="B26" s="57" t="s">
        <v>153</v>
      </c>
      <c r="C26" s="122" t="str">
        <f ca="1">IF(COUNTIF(C166:C168,"")=2,C166,                                                                                                                                                                                                IF(COUNTIF(C166:C168,"")=1,                                                                                                                                                                                                                                     IFERROR(IF(ABS(MATCH(C166,Responses_list1_frequency,0)-MATCH(C167,Responses_list1_frequency,0))=1,C166&amp;" / "&amp;C167,"No consensus"),"No consensus"),   IF(COUNTIF(C166:C168,"")=0,                                                                                                                                                                                                                                                       IFERROR(IF(AND(ABS(MATCH(C166,Responses_list1_frequency,0)-MATCH(C167,Responses_list1_frequency,0))=1,ABS(MATCH(C167,Responses_list1_frequency,0)-MATCH(C168,Responses_list1_frequency,0))=1),C166&amp;" / "&amp;C167&amp;" / "&amp;C168,"No consensus"),"No consensus"),C166)     ))</f>
        <v>Definitely not / Sometimes</v>
      </c>
      <c r="D26" s="58">
        <f>D166</f>
        <v>2</v>
      </c>
      <c r="E26" s="121">
        <f>E166</f>
        <v>0</v>
      </c>
      <c r="F26" s="14"/>
      <c r="G26" s="136"/>
      <c r="H26" s="138"/>
      <c r="I26" s="36"/>
      <c r="J26" s="33"/>
      <c r="K26" s="14"/>
      <c r="L26" s="14"/>
      <c r="M26" s="14"/>
      <c r="N26" s="14"/>
      <c r="O26" s="14"/>
      <c r="P26" s="14"/>
      <c r="Q26" s="47"/>
      <c r="R26" s="19"/>
      <c r="S26" s="34" t="s">
        <v>153</v>
      </c>
      <c r="T26" s="122" t="str">
        <f ca="1">IF(COUNTIF(T166:T168,"")=2,T166,                                                                                                                                                                                                IF(COUNTIF(T166:T168,"")=1,                                                                                                                                                                                                                                     IFERROR(IF(ABS(MATCH(T166,Responses_list1_frequency,0)-MATCH(T167,Responses_list1_frequency,0))=1,T166&amp;" / "&amp;T167,"No consensus"),"No consensus"),   IF(COUNTIF(T166:T168,"")=0,                                                                                                                                                                                                                                                       IFERROR(IF(AND(ABS(MATCH(T166,Responses_list1_frequency,0)-MATCH(T167,Responses_list1_frequency,0))=1,ABS(MATCH(T167,Responses_list1_frequency,0)-MATCH(T168,Responses_list1_frequency,0))=1),T166&amp;" / "&amp;T167&amp;" / "&amp;T168,"No consensus"),"No consensus"),T166)     ))</f>
        <v>No consensus</v>
      </c>
      <c r="U26" s="33">
        <f>U166</f>
        <v>2</v>
      </c>
      <c r="V26" s="37">
        <f>V166</f>
        <v>0</v>
      </c>
      <c r="W26" s="14"/>
      <c r="X26" s="19"/>
      <c r="Y26" s="19"/>
      <c r="Z26" s="14"/>
      <c r="AA26" s="14"/>
      <c r="AB26" s="14"/>
      <c r="AC26" s="14"/>
      <c r="AD26" s="65"/>
      <c r="AE26" s="63"/>
      <c r="AF26" s="47"/>
      <c r="AG26" s="19"/>
      <c r="AH26" s="57" t="s">
        <v>153</v>
      </c>
      <c r="AI26" s="122" t="str">
        <f ca="1">IF(COUNTIF(AI166:AI168,"")=2,AI166,                                                                                                                                                                                                IF(COUNTIF(AI166:AI168,"")=1,                                                                                                                                                                                                                                     IFERROR(IF(ABS(MATCH(AI166,Responses_list1_frequency,0)-MATCH(AI167,Responses_list1_frequency,0))=1,AI166&amp;" / "&amp;AI167,"No consensus"),"No consensus"),   IF(COUNTIF(AI166:AI168,"")=0,                                                                                                                                                                                                                                                       IFERROR(IF(AND(ABS(MATCH(AI166,Responses_list1_frequency,0)-MATCH(AI167,Responses_list1_frequency,0))=1,ABS(MATCH(AI167,Responses_list1_frequency,0)-MATCH(AI168,Responses_list1_frequency,0))=1),AI166&amp;" / "&amp;AI167&amp;" / "&amp;AI168,"No consensus"),"No consensus"),AI166)     ))</f>
        <v>Very unlikely</v>
      </c>
      <c r="AJ26" s="58">
        <f>AJ166</f>
        <v>1</v>
      </c>
      <c r="AK26" s="58">
        <f>AK166</f>
        <v>0</v>
      </c>
      <c r="AL26" s="14"/>
      <c r="AM26" s="19"/>
      <c r="AN26" s="14"/>
      <c r="AO26" s="14"/>
      <c r="AP26" s="14"/>
      <c r="AQ26" s="14"/>
      <c r="AR26" s="14"/>
      <c r="AS26" s="65"/>
      <c r="AT26" s="63"/>
      <c r="AU26" s="47"/>
      <c r="AV26" s="14"/>
      <c r="AW26" s="57" t="s">
        <v>153</v>
      </c>
      <c r="AX26" s="122" t="str">
        <f ca="1">IF(COUNTIF(AX166:AX168,"")=2,AX166,                                                                                                                                                                                                IF(COUNTIF(AX166:AX168,"")=1,                                                                                                                                                                                                                                     IFERROR(IF(ABS(MATCH(AX166,Responses_list1_frequency,0)-MATCH(AX167,Responses_list1_frequency,0))=1,AX166&amp;" / "&amp;AX167,"No consensus"),"No consensus"),   IF(COUNTIF(AX166:AX168,"")=0,                                                                                                                                                                                                                                                       IFERROR(IF(AND(ABS(MATCH(AX166,Responses_list1_frequency,0)-MATCH(AX167,Responses_list1_frequency,0))=1,ABS(MATCH(AX167,Responses_list1_frequency,0)-MATCH(AX168,Responses_list1_frequency,0))=1),AX166&amp;" / "&amp;AX167&amp;" / "&amp;AX168,"No consensus"),"No consensus"),AX166)     ))</f>
        <v>Very unlikely</v>
      </c>
      <c r="AY26" s="58">
        <f>AY166</f>
        <v>1</v>
      </c>
      <c r="AZ26" s="121">
        <f>AZ166</f>
        <v>0</v>
      </c>
      <c r="BA26" s="14"/>
      <c r="BB26" s="19"/>
      <c r="BC26" s="19"/>
      <c r="BD26" s="14"/>
      <c r="BE26" s="14"/>
      <c r="BF26" s="14"/>
      <c r="BG26" s="14"/>
      <c r="BH26" s="65"/>
      <c r="BI26" s="63"/>
      <c r="BJ26" s="352"/>
      <c r="BK26" s="19"/>
      <c r="BL26" s="57" t="s">
        <v>153</v>
      </c>
      <c r="BM26" s="122" t="str">
        <f ca="1">IF(COUNTIF(BM166:BM168,"")=2,BM166,                                                                                                                                                                                                IF(COUNTIF(BM166:BM168,"")=1,                                                                                                                                                                                                                                     IFERROR(IF(ABS(MATCH(BM166,Responses_list1_frequency,0)-MATCH(BM167,Responses_list1_frequency,0))=1,BM166&amp;" / "&amp;BM167,"No consensus"),"No consensus"),   IF(COUNTIF(BM166:BM168,"")=0,                                                                                                                                                                                                                                                       IFERROR(IF(AND(ABS(MATCH(BM166,Responses_list1_frequency,0)-MATCH(BM167,Responses_list1_frequency,0))=1,ABS(MATCH(BM167,Responses_list1_frequency,0)-MATCH(BM168,Responses_list1_frequency,0))=1),BM166&amp;" / "&amp;BM167&amp;" / "&amp;BM168,"No consensus"),"No consensus"),BM166)     ))</f>
        <v>Likely</v>
      </c>
      <c r="BN26" s="58">
        <f>BN166</f>
        <v>1</v>
      </c>
      <c r="BO26" s="121">
        <f>BO166</f>
        <v>0</v>
      </c>
      <c r="BP26" s="14"/>
      <c r="BQ26" s="19"/>
      <c r="BR26" s="19"/>
      <c r="BS26" s="14"/>
      <c r="BT26" s="14"/>
      <c r="BU26" s="14"/>
      <c r="BV26" s="14"/>
      <c r="BW26" s="65"/>
      <c r="BX26" s="63"/>
      <c r="BY26" s="352"/>
      <c r="BZ26" s="14"/>
      <c r="CA26" s="34" t="s">
        <v>153</v>
      </c>
      <c r="CB26" s="37">
        <f>CB166</f>
        <v>3</v>
      </c>
      <c r="CC26" s="19"/>
      <c r="CD26" s="19"/>
      <c r="CE26" s="19"/>
      <c r="CF26" s="19"/>
      <c r="CG26" s="14"/>
      <c r="CH26" s="68"/>
      <c r="CI26" s="14"/>
      <c r="CJ26" s="14"/>
      <c r="CK26" s="14"/>
      <c r="CL26" s="14"/>
      <c r="CM26" s="14"/>
      <c r="CN26" s="14"/>
      <c r="CO26" s="129"/>
      <c r="CP26" s="14"/>
      <c r="CQ26" s="47"/>
      <c r="CR26" s="14"/>
      <c r="CS26" s="34" t="s">
        <v>153</v>
      </c>
      <c r="CT26" s="37">
        <f>CT166</f>
        <v>1</v>
      </c>
      <c r="CU26" s="19"/>
      <c r="CV26" s="27"/>
      <c r="CW26" s="19"/>
      <c r="CX26" s="19"/>
      <c r="CY26" s="14"/>
      <c r="CZ26" s="68"/>
      <c r="DA26" s="14"/>
      <c r="DB26" s="14"/>
      <c r="DC26" s="14"/>
      <c r="DD26" s="14"/>
      <c r="DE26" s="14"/>
      <c r="DF26" s="14"/>
      <c r="DG26" s="129"/>
      <c r="DH26" s="14"/>
      <c r="DI26" s="47"/>
      <c r="DJ26" s="14"/>
      <c r="DK26" s="34" t="s">
        <v>153</v>
      </c>
      <c r="DL26" s="122" t="str">
        <f ca="1">IF(COUNTIF(DL166:DL168,"")=2,DL166,                                                                                                                                                                                                IF(COUNTIF(DL166:DL168,"")=1,                                                                                                                                                                                                                                     IFERROR(IF(ABS(MATCH(DL166,Responses_list1_frequency,0)-MATCH(DL167,Responses_list1_frequency,0))=1,DL166&amp;" / "&amp;DL167,"No consensus"),"No consensus"),   IF(COUNTIF(DL166:DL168,"")=0,                                                                                                                                                                                                                                                       IFERROR(IF(AND(ABS(MATCH(DL166,Responses_list1_frequency,0)-MATCH(DL167,Responses_list1_frequency,0))=1,ABS(MATCH(DL167,Responses_list1_frequency,0)-MATCH(DL168,Responses_list1_frequency,0))=1),DL166&amp;" / "&amp;DL167&amp;" / "&amp;DL168,"No consensus"),"No consensus"),DL166)     ))</f>
        <v>Most of the time / Yes, always</v>
      </c>
      <c r="DM26" s="33">
        <f>DM166</f>
        <v>2</v>
      </c>
      <c r="DN26" s="37">
        <f>DN166</f>
        <v>0</v>
      </c>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row>
    <row r="27" spans="1:142" x14ac:dyDescent="0.25">
      <c r="A27" s="14"/>
      <c r="B27" s="57" t="s">
        <v>154</v>
      </c>
      <c r="C27" s="122" t="str">
        <f ca="1">IF(COUNTIF(C193:C195,"")=2,C193,                                                                                                                                                                                                IF(COUNTIF(C193:C195,"")=1,                                                                                                                                                                                                                                     IFERROR(IF(ABS(MATCH(C193,Responses_list1_frequency,0)-MATCH(C194,Responses_list1_frequency,0))=1,C193&amp;" / "&amp;C194,"No consensus"),"No consensus"),   IF(COUNTIF(C193:C195,"")=0,                                                                                                                                                                                                                                                       IFERROR(IF(AND(ABS(MATCH(C193,Responses_list1_frequency,0)-MATCH(C194,Responses_list1_frequency,0))=1,ABS(MATCH(C194,Responses_list1_frequency,0)-MATCH(C195,Responses_list1_frequency,0))=1),C193&amp;" / "&amp;C194&amp;" / "&amp;C195,"No consensus"),"No consensus"),C193)     ))</f>
        <v>na</v>
      </c>
      <c r="D27" s="58">
        <f>D193</f>
        <v>0</v>
      </c>
      <c r="E27" s="121">
        <f>E193</f>
        <v>0</v>
      </c>
      <c r="F27" s="14"/>
      <c r="G27" s="136"/>
      <c r="H27" s="138"/>
      <c r="I27" s="36"/>
      <c r="J27" s="33"/>
      <c r="K27" s="14"/>
      <c r="L27" s="14"/>
      <c r="M27" s="14"/>
      <c r="N27" s="14"/>
      <c r="O27" s="14"/>
      <c r="P27" s="14"/>
      <c r="Q27" s="47"/>
      <c r="R27" s="19"/>
      <c r="S27" s="57" t="s">
        <v>154</v>
      </c>
      <c r="T27" s="122" t="str">
        <f ca="1">IF(COUNTIF(T193:T195,"")=2,T193,                                                                                                                                                                                                IF(COUNTIF(T193:T195,"")=1,                                                                                                                                                                                                                                     IFERROR(IF(ABS(MATCH(T193,Responses_list1_frequency,0)-MATCH(T194,Responses_list1_frequency,0))=1,T193&amp;" / "&amp;T194,"No consensus"),"No consensus"),   IF(COUNTIF(T193:T195,"")=0,                                                                                                                                                                                                                                                       IFERROR(IF(AND(ABS(MATCH(T193,Responses_list1_frequency,0)-MATCH(T194,Responses_list1_frequency,0))=1,ABS(MATCH(T194,Responses_list1_frequency,0)-MATCH(T195,Responses_list1_frequency,0))=1),T193&amp;" / "&amp;T194&amp;" / "&amp;T195,"No consensus"),"No consensus"),T193)     ))</f>
        <v>na</v>
      </c>
      <c r="U27" s="58">
        <f>U193</f>
        <v>0</v>
      </c>
      <c r="V27" s="58">
        <f>V193</f>
        <v>0</v>
      </c>
      <c r="W27" s="14"/>
      <c r="X27" s="19"/>
      <c r="Y27" s="19"/>
      <c r="Z27" s="14"/>
      <c r="AA27" s="14"/>
      <c r="AB27" s="14"/>
      <c r="AC27" s="14"/>
      <c r="AD27" s="65"/>
      <c r="AE27" s="63"/>
      <c r="AF27" s="47"/>
      <c r="AG27" s="19"/>
      <c r="AH27" s="57" t="s">
        <v>154</v>
      </c>
      <c r="AI27" s="122" t="str">
        <f ca="1">IF(COUNTIF(AI193:AI195,"")=2,AI193,                                                                                                                                                                                                IF(COUNTIF(AI193:AI195,"")=1,                                                                                                                                                                                                                                     IFERROR(IF(ABS(MATCH(AI193,Responses_list1_frequency,0)-MATCH(AI194,Responses_list1_frequency,0))=1,AI193&amp;" / "&amp;AI194,"No consensus"),"No consensus"),   IF(COUNTIF(AI193:AI195,"")=0,                                                                                                                                                                                                                                                       IFERROR(IF(AND(ABS(MATCH(AI193,Responses_list1_frequency,0)-MATCH(AI194,Responses_list1_frequency,0))=1,ABS(MATCH(AI194,Responses_list1_frequency,0)-MATCH(AI195,Responses_list1_frequency,0))=1),AI193&amp;" / "&amp;AI194&amp;" / "&amp;AI195,"No consensus"),"No consensus"),AI193)     ))</f>
        <v>na</v>
      </c>
      <c r="AJ27" s="58">
        <f>AJ193</f>
        <v>0</v>
      </c>
      <c r="AK27" s="58">
        <f>AK193</f>
        <v>0</v>
      </c>
      <c r="AL27" s="14"/>
      <c r="AM27" s="19"/>
      <c r="AN27" s="19"/>
      <c r="AO27" s="14"/>
      <c r="AP27" s="14"/>
      <c r="AQ27" s="14"/>
      <c r="AR27" s="14"/>
      <c r="AS27" s="65"/>
      <c r="AT27" s="63"/>
      <c r="AU27" s="47"/>
      <c r="AV27" s="14"/>
      <c r="AW27" s="57" t="s">
        <v>154</v>
      </c>
      <c r="AX27" s="122" t="str">
        <f ca="1">IF(COUNTIF(AX193:AX195,"")=2,AX193,                                                                                                                                                                                                IF(COUNTIF(AX193:AX195,"")=1,                                                                                                                                                                                                                                     IFERROR(IF(ABS(MATCH(AX193,Responses_list1_frequency,0)-MATCH(AX194,Responses_list1_frequency,0))=1,AX193&amp;" / "&amp;AX194,"No consensus"),"No consensus"),   IF(COUNTIF(AX193:AX195,"")=0,                                                                                                                                                                                                                                                       IFERROR(IF(AND(ABS(MATCH(AX193,Responses_list1_frequency,0)-MATCH(AX194,Responses_list1_frequency,0))=1,ABS(MATCH(AX194,Responses_list1_frequency,0)-MATCH(AX195,Responses_list1_frequency,0))=1),AX193&amp;" / "&amp;AX194&amp;" / "&amp;AX195,"No consensus"),"No consensus"),AX193)     ))</f>
        <v>na</v>
      </c>
      <c r="AY27" s="58">
        <f>AY193</f>
        <v>0</v>
      </c>
      <c r="AZ27" s="121">
        <f>AZ193</f>
        <v>0</v>
      </c>
      <c r="BA27" s="14"/>
      <c r="BB27" s="19"/>
      <c r="BC27" s="19"/>
      <c r="BD27" s="14"/>
      <c r="BE27" s="14"/>
      <c r="BF27" s="14"/>
      <c r="BG27" s="14"/>
      <c r="BH27" s="65"/>
      <c r="BI27" s="63"/>
      <c r="BJ27" s="352"/>
      <c r="BK27" s="19"/>
      <c r="BL27" s="57" t="s">
        <v>154</v>
      </c>
      <c r="BM27" s="122" t="str">
        <f ca="1">IF(COUNTIF(BM193:BM195,"")=2,BM193,                                                                                                                                                                                                IF(COUNTIF(BM193:BM195,"")=1,                                                                                                                                                                                                                                     IFERROR(IF(ABS(MATCH(BM193,Responses_list1_frequency,0)-MATCH(BM194,Responses_list1_frequency,0))=1,BM193&amp;" / "&amp;BM194,"No consensus"),"No consensus"),   IF(COUNTIF(BM193:BM195,"")=0,                                                                                                                                                                                                                                                       IFERROR(IF(AND(ABS(MATCH(BM193,Responses_list1_frequency,0)-MATCH(BM194,Responses_list1_frequency,0))=1,ABS(MATCH(BM194,Responses_list1_frequency,0)-MATCH(BM195,Responses_list1_frequency,0))=1),BM193&amp;" / "&amp;BM194&amp;" / "&amp;BM195,"No consensus"),"No consensus"),BM193)     ))</f>
        <v>na</v>
      </c>
      <c r="BN27" s="58">
        <f>BN193</f>
        <v>0</v>
      </c>
      <c r="BO27" s="121">
        <f>BO193</f>
        <v>0</v>
      </c>
      <c r="BP27" s="14"/>
      <c r="BQ27" s="19"/>
      <c r="BR27" s="19"/>
      <c r="BS27" s="14"/>
      <c r="BT27" s="14"/>
      <c r="BU27" s="14"/>
      <c r="BV27" s="14"/>
      <c r="BW27" s="65"/>
      <c r="BX27" s="63"/>
      <c r="BY27" s="352"/>
      <c r="BZ27" s="14"/>
      <c r="CA27" s="57" t="s">
        <v>154</v>
      </c>
      <c r="CB27" s="37">
        <f>CB193</f>
        <v>4</v>
      </c>
      <c r="CC27" s="19"/>
      <c r="CD27" s="19"/>
      <c r="CE27" s="19"/>
      <c r="CF27" s="19"/>
      <c r="CG27" s="14"/>
      <c r="CH27" s="14"/>
      <c r="CI27" s="14"/>
      <c r="CJ27" s="14"/>
      <c r="CK27" s="14"/>
      <c r="CL27" s="14"/>
      <c r="CM27" s="14"/>
      <c r="CN27" s="14"/>
      <c r="CO27" s="129"/>
      <c r="CP27" s="14"/>
      <c r="CQ27" s="47"/>
      <c r="CR27" s="14"/>
      <c r="CS27" s="57" t="s">
        <v>154</v>
      </c>
      <c r="CT27" s="37">
        <f>CT193</f>
        <v>0</v>
      </c>
      <c r="CU27" s="19"/>
      <c r="CV27" s="27"/>
      <c r="CW27" s="19"/>
      <c r="CX27" s="19"/>
      <c r="CY27" s="14"/>
      <c r="CZ27" s="14"/>
      <c r="DA27" s="14"/>
      <c r="DB27" s="14"/>
      <c r="DC27" s="14"/>
      <c r="DD27" s="14"/>
      <c r="DE27" s="14"/>
      <c r="DF27" s="14"/>
      <c r="DG27" s="129"/>
      <c r="DH27" s="14"/>
      <c r="DI27" s="47"/>
      <c r="DJ27" s="14"/>
      <c r="DK27" s="57" t="s">
        <v>154</v>
      </c>
      <c r="DL27" s="122" t="str">
        <f ca="1">IF(COUNTIF(DL193:DL195,"")=2,DL193,                                                                                                                                                                                                IF(COUNTIF(DL193:DL195,"")=1,                                                                                                                                                                                                                                     IFERROR(IF(ABS(MATCH(DL193,Responses_list1_frequency,0)-MATCH(DL194,Responses_list1_frequency,0))=1,DL193&amp;" / "&amp;DL194,"No consensus"),"No consensus"),   IF(COUNTIF(DL193:DL195,"")=0,                                                                                                                                                                                                                                                       IFERROR(IF(AND(ABS(MATCH(DL193,Responses_list1_frequency,0)-MATCH(DL194,Responses_list1_frequency,0))=1,ABS(MATCH(DL194,Responses_list1_frequency,0)-MATCH(DL195,Responses_list1_frequency,0))=1),DL193&amp;" / "&amp;DL194&amp;" / "&amp;DL195,"No consensus"),"No consensus"),DL193)     ))</f>
        <v>na</v>
      </c>
      <c r="DM27" s="58">
        <f>DM193</f>
        <v>0</v>
      </c>
      <c r="DN27" s="58">
        <f>DN193</f>
        <v>0</v>
      </c>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row>
    <row r="28" spans="1:142" s="132" customFormat="1" x14ac:dyDescent="0.25">
      <c r="A28" s="23"/>
      <c r="B28" s="112" t="s">
        <v>350</v>
      </c>
      <c r="C28" s="126"/>
      <c r="D28" s="113">
        <f>SUM(D22:D27)</f>
        <v>9</v>
      </c>
      <c r="E28" s="113">
        <f>SUM(E22:E27)</f>
        <v>3</v>
      </c>
      <c r="F28" s="23"/>
      <c r="G28" s="137"/>
      <c r="H28" s="137"/>
      <c r="I28" s="137"/>
      <c r="J28" s="53"/>
      <c r="K28" s="23"/>
      <c r="L28" s="23"/>
      <c r="M28" s="23"/>
      <c r="N28" s="23"/>
      <c r="O28" s="23"/>
      <c r="P28" s="23"/>
      <c r="Q28" s="73"/>
      <c r="R28" s="56"/>
      <c r="S28" s="112" t="s">
        <v>350</v>
      </c>
      <c r="T28" s="113"/>
      <c r="U28" s="113">
        <f>SUM(U22:U27)</f>
        <v>10</v>
      </c>
      <c r="V28" s="113">
        <f>SUM(V22:V27)</f>
        <v>3</v>
      </c>
      <c r="W28" s="23"/>
      <c r="X28" s="56"/>
      <c r="Y28" s="56"/>
      <c r="Z28" s="23"/>
      <c r="AA28" s="23"/>
      <c r="AB28" s="23"/>
      <c r="AC28" s="23"/>
      <c r="AD28" s="142"/>
      <c r="AE28" s="144"/>
      <c r="AF28" s="73"/>
      <c r="AG28" s="56"/>
      <c r="AH28" s="112" t="s">
        <v>350</v>
      </c>
      <c r="AI28" s="113"/>
      <c r="AJ28" s="113">
        <f>SUM(AJ22:AJ27)</f>
        <v>6</v>
      </c>
      <c r="AK28" s="113">
        <f>SUM(AK22:AK27)</f>
        <v>0</v>
      </c>
      <c r="AL28" s="23"/>
      <c r="AM28" s="56"/>
      <c r="AN28" s="56"/>
      <c r="AO28" s="23"/>
      <c r="AP28" s="23"/>
      <c r="AQ28" s="23"/>
      <c r="AR28" s="23"/>
      <c r="AS28" s="142"/>
      <c r="AT28" s="144"/>
      <c r="AU28" s="73"/>
      <c r="AV28" s="23"/>
      <c r="AW28" s="112" t="s">
        <v>350</v>
      </c>
      <c r="AX28" s="113"/>
      <c r="AY28" s="113">
        <f>SUM(AY22:AY27)</f>
        <v>6</v>
      </c>
      <c r="AZ28" s="113">
        <f>SUM(AZ22:AZ27)</f>
        <v>0</v>
      </c>
      <c r="BA28" s="23"/>
      <c r="BB28" s="56"/>
      <c r="BC28" s="56"/>
      <c r="BD28" s="23"/>
      <c r="BE28" s="23"/>
      <c r="BF28" s="23"/>
      <c r="BG28" s="23"/>
      <c r="BH28" s="142"/>
      <c r="BI28" s="144"/>
      <c r="BJ28" s="372"/>
      <c r="BK28" s="56"/>
      <c r="BL28" s="112" t="s">
        <v>350</v>
      </c>
      <c r="BM28" s="113"/>
      <c r="BN28" s="113">
        <f>SUM(BN22:BN27)</f>
        <v>7</v>
      </c>
      <c r="BO28" s="113">
        <f>SUM(BO22:BO27)</f>
        <v>0</v>
      </c>
      <c r="BP28" s="23"/>
      <c r="BQ28" s="56"/>
      <c r="BR28" s="56"/>
      <c r="BS28" s="23"/>
      <c r="BT28" s="23"/>
      <c r="BU28" s="23"/>
      <c r="BV28" s="23"/>
      <c r="BW28" s="142"/>
      <c r="BX28" s="144"/>
      <c r="BY28" s="372"/>
      <c r="BZ28" s="23"/>
      <c r="CA28" s="112" t="s">
        <v>350</v>
      </c>
      <c r="CB28" s="113">
        <f>SUM(CB22:CB27)</f>
        <v>14</v>
      </c>
      <c r="CC28" s="56"/>
      <c r="CD28" s="56"/>
      <c r="CE28" s="56"/>
      <c r="CF28" s="39"/>
      <c r="CG28" s="23"/>
      <c r="CH28" s="23"/>
      <c r="CI28" s="23"/>
      <c r="CJ28" s="23"/>
      <c r="CK28" s="23"/>
      <c r="CL28" s="23"/>
      <c r="CM28" s="23"/>
      <c r="CN28" s="23"/>
      <c r="CO28" s="90"/>
      <c r="CP28" s="23"/>
      <c r="CQ28" s="73"/>
      <c r="CR28" s="23"/>
      <c r="CS28" s="112" t="s">
        <v>350</v>
      </c>
      <c r="CT28" s="113">
        <f>SUM(CT22:CT27)</f>
        <v>6</v>
      </c>
      <c r="CU28" s="56"/>
      <c r="CV28" s="31"/>
      <c r="CW28" s="56"/>
      <c r="CX28" s="39"/>
      <c r="CY28" s="23"/>
      <c r="CZ28" s="23"/>
      <c r="DA28" s="23"/>
      <c r="DB28" s="23"/>
      <c r="DC28" s="23"/>
      <c r="DD28" s="23"/>
      <c r="DE28" s="23"/>
      <c r="DF28" s="23"/>
      <c r="DG28" s="90"/>
      <c r="DH28" s="23"/>
      <c r="DI28" s="73"/>
      <c r="DJ28" s="23"/>
      <c r="DK28" s="112" t="s">
        <v>350</v>
      </c>
      <c r="DL28" s="126"/>
      <c r="DM28" s="113">
        <f>SUM(DM22:DM27)</f>
        <v>9</v>
      </c>
      <c r="DN28" s="113">
        <f>SUM(DN22:DN27)</f>
        <v>0</v>
      </c>
      <c r="DO28" s="53"/>
      <c r="DP28" s="23"/>
      <c r="DQ28" s="23"/>
      <c r="DR28" s="23"/>
      <c r="DS28" s="23"/>
      <c r="DT28" s="23"/>
      <c r="DU28" s="23"/>
      <c r="DV28" s="23"/>
      <c r="DW28" s="23"/>
      <c r="DX28" s="23"/>
      <c r="DY28" s="23"/>
      <c r="DZ28" s="23"/>
      <c r="EA28" s="23"/>
      <c r="EB28" s="23"/>
      <c r="EC28" s="23"/>
      <c r="ED28" s="23"/>
      <c r="EE28" s="23"/>
      <c r="EF28" s="23"/>
      <c r="EG28" s="23"/>
      <c r="EH28" s="23"/>
      <c r="EI28" s="23"/>
      <c r="EJ28" s="23"/>
      <c r="EK28" s="23"/>
      <c r="EL28" s="23"/>
    </row>
    <row r="29" spans="1:142" x14ac:dyDescent="0.25">
      <c r="A29" s="14"/>
      <c r="B29" s="23"/>
      <c r="C29" s="14"/>
      <c r="D29" s="18"/>
      <c r="E29" s="14"/>
      <c r="F29" s="14"/>
      <c r="G29" s="14"/>
      <c r="H29" s="21"/>
      <c r="I29" s="21"/>
      <c r="J29" s="14"/>
      <c r="K29" s="14"/>
      <c r="L29" s="14"/>
      <c r="M29" s="14"/>
      <c r="N29" s="14"/>
      <c r="O29" s="14"/>
      <c r="P29" s="14"/>
      <c r="Q29" s="47"/>
      <c r="R29" s="19"/>
      <c r="S29" s="14"/>
      <c r="T29" s="14"/>
      <c r="U29" s="14"/>
      <c r="V29" s="14"/>
      <c r="W29" s="14"/>
      <c r="X29" s="19"/>
      <c r="Y29" s="19"/>
      <c r="Z29" s="14"/>
      <c r="AA29" s="14"/>
      <c r="AB29" s="14"/>
      <c r="AC29" s="14"/>
      <c r="AD29" s="65"/>
      <c r="AE29" s="63"/>
      <c r="AF29" s="47"/>
      <c r="AG29" s="19"/>
      <c r="AH29" s="14"/>
      <c r="AI29" s="14"/>
      <c r="AJ29" s="14"/>
      <c r="AK29" s="14"/>
      <c r="AL29" s="14"/>
      <c r="AM29" s="19"/>
      <c r="AN29" s="19"/>
      <c r="AO29" s="14"/>
      <c r="AP29" s="14"/>
      <c r="AQ29" s="14"/>
      <c r="AR29" s="14"/>
      <c r="AS29" s="65"/>
      <c r="AT29" s="63"/>
      <c r="AU29" s="47"/>
      <c r="AV29" s="14"/>
      <c r="AW29" s="14"/>
      <c r="AX29" s="14"/>
      <c r="AY29" s="14"/>
      <c r="AZ29" s="14"/>
      <c r="BA29" s="14"/>
      <c r="BB29" s="19"/>
      <c r="BC29" s="19"/>
      <c r="BD29" s="14"/>
      <c r="BE29" s="14"/>
      <c r="BF29" s="14"/>
      <c r="BG29" s="14"/>
      <c r="BH29" s="65"/>
      <c r="BI29" s="63"/>
      <c r="BJ29" s="352"/>
      <c r="BK29" s="19"/>
      <c r="BL29" s="14"/>
      <c r="BM29" s="14"/>
      <c r="BN29" s="14"/>
      <c r="BO29" s="14"/>
      <c r="BP29" s="14"/>
      <c r="BQ29" s="19"/>
      <c r="BR29" s="19"/>
      <c r="BS29" s="14"/>
      <c r="BT29" s="14"/>
      <c r="BU29" s="14"/>
      <c r="BV29" s="14"/>
      <c r="BW29" s="65"/>
      <c r="BX29" s="63"/>
      <c r="BY29" s="352"/>
      <c r="BZ29" s="14"/>
      <c r="CA29" s="19"/>
      <c r="CB29" s="27"/>
      <c r="CC29" s="27"/>
      <c r="CD29" s="27"/>
      <c r="CE29" s="27"/>
      <c r="CF29" s="59"/>
      <c r="CG29" s="15"/>
      <c r="CH29" s="14"/>
      <c r="CI29" s="14"/>
      <c r="CJ29" s="14"/>
      <c r="CK29" s="14"/>
      <c r="CL29" s="14"/>
      <c r="CM29" s="14"/>
      <c r="CN29" s="14"/>
      <c r="CO29" s="129"/>
      <c r="CP29" s="30"/>
      <c r="CQ29" s="47"/>
      <c r="CR29" s="14"/>
      <c r="CS29" s="14"/>
      <c r="CT29" s="19"/>
      <c r="CU29" s="19"/>
      <c r="CV29" s="27"/>
      <c r="CW29" s="19"/>
      <c r="CX29" s="59"/>
      <c r="CY29" s="14"/>
      <c r="CZ29" s="14"/>
      <c r="DA29" s="14"/>
      <c r="DB29" s="14"/>
      <c r="DC29" s="14"/>
      <c r="DD29" s="14"/>
      <c r="DE29" s="14"/>
      <c r="DF29" s="14"/>
      <c r="DG29" s="129"/>
      <c r="DH29" s="14"/>
      <c r="DI29" s="47"/>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row>
    <row r="30" spans="1:142" s="133" customFormat="1" x14ac:dyDescent="0.25">
      <c r="A30" s="21"/>
      <c r="B30" s="266"/>
      <c r="C30" s="27"/>
      <c r="D30" s="31"/>
      <c r="E30" s="27"/>
      <c r="F30" s="27"/>
      <c r="G30" s="21"/>
      <c r="H30" s="21"/>
      <c r="I30" s="21"/>
      <c r="J30" s="21"/>
      <c r="K30" s="21"/>
      <c r="L30" s="21"/>
      <c r="M30" s="21"/>
      <c r="N30" s="21"/>
      <c r="O30" s="21"/>
      <c r="P30" s="21"/>
      <c r="Q30" s="47"/>
      <c r="R30" s="21"/>
      <c r="S30" s="21"/>
      <c r="T30" s="21"/>
      <c r="U30" s="21"/>
      <c r="V30" s="21"/>
      <c r="W30" s="21"/>
      <c r="X30" s="19"/>
      <c r="Y30" s="19"/>
      <c r="Z30" s="21"/>
      <c r="AA30" s="21"/>
      <c r="AB30" s="21"/>
      <c r="AC30" s="21"/>
      <c r="AD30" s="143"/>
      <c r="AE30" s="145"/>
      <c r="AF30" s="46"/>
      <c r="AG30" s="21"/>
      <c r="AH30" s="21"/>
      <c r="AI30" s="21"/>
      <c r="AJ30" s="21"/>
      <c r="AK30" s="21"/>
      <c r="AL30" s="21"/>
      <c r="AM30" s="19"/>
      <c r="AN30" s="19"/>
      <c r="AO30" s="21"/>
      <c r="AP30" s="21"/>
      <c r="AQ30" s="21"/>
      <c r="AR30" s="21"/>
      <c r="AS30" s="143"/>
      <c r="AT30" s="145"/>
      <c r="AU30" s="46"/>
      <c r="AV30" s="21"/>
      <c r="AW30" s="21"/>
      <c r="AX30" s="21"/>
      <c r="AY30" s="21"/>
      <c r="AZ30" s="21"/>
      <c r="BA30" s="21"/>
      <c r="BB30" s="19"/>
      <c r="BC30" s="19"/>
      <c r="BD30" s="21"/>
      <c r="BE30" s="21"/>
      <c r="BF30" s="21"/>
      <c r="BG30" s="21"/>
      <c r="BH30" s="143"/>
      <c r="BI30" s="145"/>
      <c r="BJ30" s="374"/>
      <c r="BK30" s="21"/>
      <c r="BL30" s="21"/>
      <c r="BM30" s="21"/>
      <c r="BN30" s="21"/>
      <c r="BO30" s="21"/>
      <c r="BP30" s="21"/>
      <c r="BQ30" s="19"/>
      <c r="BR30" s="19"/>
      <c r="BS30" s="21"/>
      <c r="BT30" s="21"/>
      <c r="BU30" s="21"/>
      <c r="BV30" s="21"/>
      <c r="BW30" s="143"/>
      <c r="BX30" s="145"/>
      <c r="BY30" s="374"/>
      <c r="BZ30" s="21"/>
      <c r="CA30" s="27"/>
      <c r="CB30" s="27"/>
      <c r="CC30" s="27"/>
      <c r="CD30" s="51"/>
      <c r="CE30" s="96"/>
      <c r="CF30" s="32"/>
      <c r="CG30" s="32"/>
      <c r="CH30" s="21"/>
      <c r="CI30" s="14"/>
      <c r="CJ30" s="14"/>
      <c r="CK30" s="14"/>
      <c r="CL30" s="14"/>
      <c r="CM30" s="14"/>
      <c r="CN30" s="14"/>
      <c r="CO30" s="129"/>
      <c r="CP30" s="28"/>
      <c r="CQ30" s="46"/>
      <c r="CR30" s="21"/>
      <c r="CS30" s="21"/>
      <c r="CT30" s="21"/>
      <c r="CU30" s="21"/>
      <c r="CV30" s="21"/>
      <c r="CW30" s="21"/>
      <c r="CX30" s="21"/>
      <c r="CY30" s="21"/>
      <c r="CZ30" s="21"/>
      <c r="DA30" s="21"/>
      <c r="DB30" s="21"/>
      <c r="DC30" s="21"/>
      <c r="DD30" s="21"/>
      <c r="DE30" s="21"/>
      <c r="DF30" s="21"/>
      <c r="DG30" s="285"/>
      <c r="DH30" s="21"/>
      <c r="DI30" s="46"/>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row>
    <row r="31" spans="1:142" s="133" customFormat="1" x14ac:dyDescent="0.25">
      <c r="A31" s="21"/>
      <c r="B31" s="269"/>
      <c r="C31" s="267"/>
      <c r="D31" s="267"/>
      <c r="E31" s="267"/>
      <c r="F31" s="267"/>
      <c r="G31" s="21"/>
      <c r="H31" s="21"/>
      <c r="I31" s="21"/>
      <c r="J31" s="21"/>
      <c r="K31" s="21"/>
      <c r="L31" s="21"/>
      <c r="M31" s="21"/>
      <c r="N31" s="21"/>
      <c r="O31" s="21"/>
      <c r="P31" s="21"/>
      <c r="Q31" s="47"/>
      <c r="R31" s="27"/>
      <c r="S31" s="159" t="s">
        <v>692</v>
      </c>
      <c r="T31" s="160">
        <f>IF(U28=0,"",IF(U38&gt;=0.5,"No consensus",IF(AND(U39&gt;0,U40&gt;0),U39/U40,IF(U39&gt;U40,"Likely","Unlikely"))))</f>
        <v>0.41666666666666669</v>
      </c>
      <c r="U31" s="161" t="str">
        <f>IFERROR(IF(T31/2&gt;=0,IF(T31&gt;2,"Likely",IF(T31&lt;0.5,"Unlikely","No clear consensus on the likelihood"))),"")</f>
        <v>Unlikely</v>
      </c>
      <c r="V31" s="21"/>
      <c r="W31" s="21"/>
      <c r="X31" s="19"/>
      <c r="Y31" s="19"/>
      <c r="Z31" s="21"/>
      <c r="AA31" s="21"/>
      <c r="AB31" s="21"/>
      <c r="AC31" s="21"/>
      <c r="AD31" s="143"/>
      <c r="AE31" s="145"/>
      <c r="AF31" s="46"/>
      <c r="AG31" s="27"/>
      <c r="AH31" s="159" t="s">
        <v>692</v>
      </c>
      <c r="AI31" s="160" t="str">
        <f>IF(AJ28=0,"",IF(AJ38&gt;=0.5,"No consensus",IF(AND(AJ39&gt;0,AJ40&gt;0),AJ39/AJ40,IF(AJ39&gt;AJ40,"Likely","Unlikely"))))</f>
        <v>Unlikely</v>
      </c>
      <c r="AJ31" s="161" t="str">
        <f>IFERROR(IF(AI31/2&gt;=0,IF(AI31&gt;2,"Likely",IF(AI31&lt;0.5,"Unlikely","No clear consensus on the likelihood"))),"")</f>
        <v/>
      </c>
      <c r="AK31" s="21"/>
      <c r="AL31" s="21"/>
      <c r="AM31" s="19"/>
      <c r="AN31" s="19"/>
      <c r="AO31" s="21"/>
      <c r="AP31" s="21"/>
      <c r="AQ31" s="21"/>
      <c r="AR31" s="21"/>
      <c r="AS31" s="143"/>
      <c r="AT31" s="145"/>
      <c r="AU31" s="46"/>
      <c r="AV31" s="21"/>
      <c r="AW31" s="159" t="s">
        <v>692</v>
      </c>
      <c r="AX31" s="160" t="str">
        <f>IF(AY28=0,"",IF(AY38&gt;=0.5,"No consensus",IF(AND(AY39&gt;0,AY40&gt;0),AY39/AY40,IF(AY39&gt;AY40,"Likely","Unlikely"))))</f>
        <v>Unlikely</v>
      </c>
      <c r="AY31" s="161" t="str">
        <f>IFERROR(IF(AX31/2&gt;=0,IF(AX31&gt;2,"Likely",IF(AX31&lt;0.5,"Unlikely","No clear consensus on the likelihood"))),"")</f>
        <v/>
      </c>
      <c r="AZ31" s="21"/>
      <c r="BA31" s="21"/>
      <c r="BB31" s="19"/>
      <c r="BC31" s="19"/>
      <c r="BD31" s="21"/>
      <c r="BE31" s="21"/>
      <c r="BF31" s="21"/>
      <c r="BG31" s="21"/>
      <c r="BH31" s="143"/>
      <c r="BI31" s="145"/>
      <c r="BJ31" s="374"/>
      <c r="BK31" s="27"/>
      <c r="BL31" s="159" t="s">
        <v>692</v>
      </c>
      <c r="BM31" s="160">
        <f>IF(BN28=0,"",IF(BN38&gt;=0.5,"No consensus",IF(AND(BN39&gt;0,BN40&gt;0),BN39/BN40,IF(BN39&gt;BN40,"Likely","Unlikely"))))</f>
        <v>0.42857142857142866</v>
      </c>
      <c r="BN31" s="161" t="str">
        <f>IFERROR(IF(BM31/2&gt;=0,IF(BM31&gt;=2,"Likely",IF(BM31&lt;=0.5,"Unlikely","No clear consensus on the likelihood"))),"")</f>
        <v>Unlikely</v>
      </c>
      <c r="BO31" s="21"/>
      <c r="BP31" s="21"/>
      <c r="BQ31" s="19"/>
      <c r="BR31" s="19"/>
      <c r="BS31" s="21"/>
      <c r="BT31" s="21"/>
      <c r="BU31" s="21"/>
      <c r="BV31" s="21"/>
      <c r="BW31" s="143"/>
      <c r="BX31" s="145"/>
      <c r="BY31" s="374"/>
      <c r="BZ31" s="21"/>
      <c r="CA31" s="43"/>
      <c r="CB31" s="209"/>
      <c r="CC31" s="518"/>
      <c r="CD31" s="518"/>
      <c r="CE31" s="518"/>
      <c r="CF31" s="518"/>
      <c r="CG31" s="518"/>
      <c r="CH31" s="518"/>
      <c r="CI31" s="518"/>
      <c r="CJ31" s="518"/>
      <c r="CK31" s="518"/>
      <c r="CL31" s="518"/>
      <c r="CM31" s="518"/>
      <c r="CN31" s="518"/>
      <c r="CO31" s="518"/>
      <c r="CP31" s="27"/>
      <c r="CQ31" s="46"/>
      <c r="CR31" s="21"/>
      <c r="CS31" s="212"/>
      <c r="CT31" s="209"/>
      <c r="CU31" s="519"/>
      <c r="CV31" s="519"/>
      <c r="CW31" s="519"/>
      <c r="CX31" s="519"/>
      <c r="CY31" s="519"/>
      <c r="CZ31" s="519"/>
      <c r="DA31" s="519"/>
      <c r="DB31" s="519"/>
      <c r="DC31" s="519"/>
      <c r="DD31" s="519"/>
      <c r="DE31" s="519"/>
      <c r="DF31" s="519"/>
      <c r="DG31" s="519"/>
      <c r="DH31" s="21"/>
      <c r="DI31" s="46"/>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row>
    <row r="32" spans="1:142" s="133" customFormat="1" ht="15" customHeight="1" x14ac:dyDescent="0.25">
      <c r="A32" s="21"/>
      <c r="B32" s="211"/>
      <c r="C32" s="265"/>
      <c r="D32" s="270"/>
      <c r="E32" s="270"/>
      <c r="F32" s="270"/>
      <c r="G32" s="21"/>
      <c r="H32" s="21"/>
      <c r="I32" s="21"/>
      <c r="J32" s="21"/>
      <c r="K32" s="21"/>
      <c r="L32" s="21"/>
      <c r="M32" s="21"/>
      <c r="N32" s="21"/>
      <c r="O32" s="21"/>
      <c r="P32" s="21"/>
      <c r="Q32" s="47"/>
      <c r="R32" s="27"/>
      <c r="S32" s="21"/>
      <c r="T32" s="21"/>
      <c r="U32" s="21"/>
      <c r="V32" s="21"/>
      <c r="W32" s="21"/>
      <c r="X32" s="19"/>
      <c r="Y32" s="19"/>
      <c r="Z32" s="21"/>
      <c r="AA32" s="21"/>
      <c r="AB32" s="21"/>
      <c r="AC32" s="21"/>
      <c r="AD32" s="143"/>
      <c r="AE32" s="145"/>
      <c r="AF32" s="46"/>
      <c r="AG32" s="27"/>
      <c r="AH32" s="21"/>
      <c r="AI32" s="21"/>
      <c r="AJ32" s="21"/>
      <c r="AK32" s="21"/>
      <c r="AL32" s="21"/>
      <c r="AM32" s="19"/>
      <c r="AN32" s="19"/>
      <c r="AO32" s="21"/>
      <c r="AP32" s="21"/>
      <c r="AQ32" s="21"/>
      <c r="AR32" s="21"/>
      <c r="AS32" s="143"/>
      <c r="AT32" s="145"/>
      <c r="AU32" s="46"/>
      <c r="AV32" s="21"/>
      <c r="AW32" s="21"/>
      <c r="AX32" s="21"/>
      <c r="AY32" s="21"/>
      <c r="AZ32" s="21"/>
      <c r="BA32" s="21"/>
      <c r="BB32" s="19"/>
      <c r="BC32" s="19"/>
      <c r="BD32" s="21"/>
      <c r="BE32" s="21"/>
      <c r="BF32" s="21"/>
      <c r="BG32" s="21"/>
      <c r="BH32" s="143"/>
      <c r="BI32" s="145"/>
      <c r="BJ32" s="374"/>
      <c r="BK32" s="27"/>
      <c r="BL32" s="21"/>
      <c r="BM32" s="21"/>
      <c r="BN32" s="21"/>
      <c r="BO32" s="21"/>
      <c r="BP32" s="21"/>
      <c r="BQ32" s="19"/>
      <c r="BR32" s="19"/>
      <c r="BS32" s="21"/>
      <c r="BT32" s="21"/>
      <c r="BU32" s="21"/>
      <c r="BV32" s="21"/>
      <c r="BW32" s="143"/>
      <c r="BX32" s="145"/>
      <c r="BY32" s="374"/>
      <c r="BZ32" s="21"/>
      <c r="CA32" s="210"/>
      <c r="CB32" s="211"/>
      <c r="CC32" s="515"/>
      <c r="CD32" s="515"/>
      <c r="CE32" s="515"/>
      <c r="CF32" s="515"/>
      <c r="CG32" s="515"/>
      <c r="CH32" s="515"/>
      <c r="CI32" s="515"/>
      <c r="CJ32" s="515"/>
      <c r="CK32" s="515"/>
      <c r="CL32" s="515"/>
      <c r="CM32" s="515"/>
      <c r="CN32" s="515"/>
      <c r="CO32" s="515"/>
      <c r="CP32" s="27"/>
      <c r="CQ32" s="46"/>
      <c r="CR32" s="21"/>
      <c r="CS32" s="71"/>
      <c r="CT32" s="71"/>
      <c r="CU32" s="516"/>
      <c r="CV32" s="516"/>
      <c r="CW32" s="516"/>
      <c r="CX32" s="516"/>
      <c r="CY32" s="516"/>
      <c r="CZ32" s="516"/>
      <c r="DA32" s="516"/>
      <c r="DB32" s="516"/>
      <c r="DC32" s="516"/>
      <c r="DD32" s="516"/>
      <c r="DE32" s="516"/>
      <c r="DF32" s="516"/>
      <c r="DG32" s="516"/>
      <c r="DH32" s="21"/>
      <c r="DI32" s="46"/>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row>
    <row r="33" spans="1:142" ht="42.75" customHeight="1" x14ac:dyDescent="0.25">
      <c r="A33" s="14"/>
      <c r="B33" s="211"/>
      <c r="C33" s="265"/>
      <c r="D33" s="270"/>
      <c r="E33" s="270"/>
      <c r="F33" s="270"/>
      <c r="G33" s="14"/>
      <c r="H33" s="21"/>
      <c r="I33" s="21"/>
      <c r="J33" s="14"/>
      <c r="K33" s="14"/>
      <c r="L33" s="14"/>
      <c r="M33" s="14"/>
      <c r="N33" s="14"/>
      <c r="O33" s="14"/>
      <c r="P33" s="14"/>
      <c r="Q33" s="47"/>
      <c r="R33" s="19"/>
      <c r="S33" s="545" t="s">
        <v>757</v>
      </c>
      <c r="T33" s="546"/>
      <c r="U33" s="547"/>
      <c r="V33" s="14"/>
      <c r="W33" s="14"/>
      <c r="X33" s="19"/>
      <c r="Y33" s="19"/>
      <c r="Z33" s="14"/>
      <c r="AA33" s="14"/>
      <c r="AB33" s="14"/>
      <c r="AC33" s="14"/>
      <c r="AD33" s="65"/>
      <c r="AE33" s="63"/>
      <c r="AF33" s="47"/>
      <c r="AG33" s="19"/>
      <c r="AH33" s="545" t="s">
        <v>757</v>
      </c>
      <c r="AI33" s="546"/>
      <c r="AJ33" s="547"/>
      <c r="AK33" s="14"/>
      <c r="AL33" s="14"/>
      <c r="AM33" s="19"/>
      <c r="AN33" s="19"/>
      <c r="AO33" s="14"/>
      <c r="AP33" s="14"/>
      <c r="AQ33" s="14"/>
      <c r="AR33" s="14"/>
      <c r="AS33" s="65"/>
      <c r="AT33" s="63"/>
      <c r="AU33" s="47"/>
      <c r="AV33" s="14"/>
      <c r="AW33" s="545" t="s">
        <v>757</v>
      </c>
      <c r="AX33" s="546"/>
      <c r="AY33" s="547"/>
      <c r="AZ33" s="14"/>
      <c r="BA33" s="14"/>
      <c r="BB33" s="19"/>
      <c r="BC33" s="19"/>
      <c r="BD33" s="14"/>
      <c r="BE33" s="14"/>
      <c r="BF33" s="14"/>
      <c r="BG33" s="14"/>
      <c r="BH33" s="65"/>
      <c r="BI33" s="63"/>
      <c r="BJ33" s="352"/>
      <c r="BK33" s="19"/>
      <c r="BL33" s="545" t="s">
        <v>757</v>
      </c>
      <c r="BM33" s="546"/>
      <c r="BN33" s="547"/>
      <c r="BO33" s="14"/>
      <c r="BP33" s="14"/>
      <c r="BQ33" s="19"/>
      <c r="BR33" s="19"/>
      <c r="BS33" s="14"/>
      <c r="BT33" s="14"/>
      <c r="BU33" s="14"/>
      <c r="BV33" s="14"/>
      <c r="BW33" s="65"/>
      <c r="BX33" s="63"/>
      <c r="BY33" s="352"/>
      <c r="BZ33" s="14"/>
      <c r="CA33" s="210"/>
      <c r="CB33" s="211"/>
      <c r="CC33" s="515"/>
      <c r="CD33" s="515"/>
      <c r="CE33" s="515"/>
      <c r="CF33" s="515"/>
      <c r="CG33" s="515"/>
      <c r="CH33" s="515"/>
      <c r="CI33" s="515"/>
      <c r="CJ33" s="515"/>
      <c r="CK33" s="515"/>
      <c r="CL33" s="515"/>
      <c r="CM33" s="515"/>
      <c r="CN33" s="515"/>
      <c r="CO33" s="515"/>
      <c r="CP33" s="14"/>
      <c r="CQ33" s="47"/>
      <c r="CR33" s="14"/>
      <c r="CS33" s="71"/>
      <c r="CT33" s="71"/>
      <c r="CU33" s="516"/>
      <c r="CV33" s="516"/>
      <c r="CW33" s="516"/>
      <c r="CX33" s="516"/>
      <c r="CY33" s="516"/>
      <c r="CZ33" s="516"/>
      <c r="DA33" s="516"/>
      <c r="DB33" s="516"/>
      <c r="DC33" s="516"/>
      <c r="DD33" s="516"/>
      <c r="DE33" s="516"/>
      <c r="DF33" s="516"/>
      <c r="DG33" s="516"/>
      <c r="DH33" s="14"/>
      <c r="DI33" s="47"/>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row>
    <row r="34" spans="1:142" ht="28.5" customHeight="1" x14ac:dyDescent="0.25">
      <c r="A34" s="14"/>
      <c r="B34" s="211"/>
      <c r="C34" s="265"/>
      <c r="D34" s="270"/>
      <c r="E34" s="270"/>
      <c r="F34" s="270"/>
      <c r="G34" s="14"/>
      <c r="H34" s="21"/>
      <c r="I34" s="21"/>
      <c r="J34" s="14"/>
      <c r="K34" s="14"/>
      <c r="L34" s="14"/>
      <c r="M34" s="14"/>
      <c r="N34" s="14"/>
      <c r="O34" s="14"/>
      <c r="P34" s="14"/>
      <c r="Q34" s="47"/>
      <c r="R34" s="19"/>
      <c r="S34" s="548"/>
      <c r="T34" s="549"/>
      <c r="U34" s="550"/>
      <c r="V34" s="14"/>
      <c r="W34" s="14"/>
      <c r="X34" s="19"/>
      <c r="Y34" s="19"/>
      <c r="Z34" s="14"/>
      <c r="AA34" s="14"/>
      <c r="AB34" s="14"/>
      <c r="AC34" s="14"/>
      <c r="AD34" s="65"/>
      <c r="AE34" s="63"/>
      <c r="AF34" s="47"/>
      <c r="AG34" s="19"/>
      <c r="AH34" s="548"/>
      <c r="AI34" s="549"/>
      <c r="AJ34" s="550"/>
      <c r="AK34" s="14"/>
      <c r="AL34" s="14"/>
      <c r="AM34" s="19"/>
      <c r="AN34" s="19"/>
      <c r="AO34" s="14"/>
      <c r="AP34" s="14"/>
      <c r="AQ34" s="14"/>
      <c r="AR34" s="14"/>
      <c r="AS34" s="65"/>
      <c r="AT34" s="63"/>
      <c r="AU34" s="47"/>
      <c r="AV34" s="14"/>
      <c r="AW34" s="548"/>
      <c r="AX34" s="549"/>
      <c r="AY34" s="550"/>
      <c r="AZ34" s="14"/>
      <c r="BA34" s="14"/>
      <c r="BB34" s="19"/>
      <c r="BC34" s="19"/>
      <c r="BD34" s="14"/>
      <c r="BE34" s="14"/>
      <c r="BF34" s="14"/>
      <c r="BG34" s="14"/>
      <c r="BH34" s="65"/>
      <c r="BI34" s="63"/>
      <c r="BJ34" s="352"/>
      <c r="BK34" s="19"/>
      <c r="BL34" s="548"/>
      <c r="BM34" s="549"/>
      <c r="BN34" s="550"/>
      <c r="BO34" s="14"/>
      <c r="BP34" s="14"/>
      <c r="BQ34" s="19"/>
      <c r="BR34" s="19"/>
      <c r="BS34" s="14"/>
      <c r="BT34" s="14"/>
      <c r="BU34" s="14"/>
      <c r="BV34" s="14"/>
      <c r="BW34" s="65"/>
      <c r="BX34" s="63"/>
      <c r="BY34" s="352"/>
      <c r="BZ34" s="14"/>
      <c r="CA34" s="210"/>
      <c r="CB34" s="211"/>
      <c r="CC34" s="515"/>
      <c r="CD34" s="515"/>
      <c r="CE34" s="515"/>
      <c r="CF34" s="515"/>
      <c r="CG34" s="515"/>
      <c r="CH34" s="515"/>
      <c r="CI34" s="515"/>
      <c r="CJ34" s="515"/>
      <c r="CK34" s="515"/>
      <c r="CL34" s="515"/>
      <c r="CM34" s="515"/>
      <c r="CN34" s="515"/>
      <c r="CO34" s="515"/>
      <c r="CP34" s="14"/>
      <c r="CQ34" s="47"/>
      <c r="CR34" s="14"/>
      <c r="CS34" s="71"/>
      <c r="CT34" s="71"/>
      <c r="CU34" s="516"/>
      <c r="CV34" s="516"/>
      <c r="CW34" s="516"/>
      <c r="CX34" s="516"/>
      <c r="CY34" s="516"/>
      <c r="CZ34" s="516"/>
      <c r="DA34" s="516"/>
      <c r="DB34" s="516"/>
      <c r="DC34" s="516"/>
      <c r="DD34" s="516"/>
      <c r="DE34" s="516"/>
      <c r="DF34" s="516"/>
      <c r="DG34" s="516"/>
      <c r="DH34" s="14"/>
      <c r="DI34" s="47"/>
      <c r="DJ34" s="14"/>
      <c r="DK34" s="14"/>
      <c r="DL34" s="14"/>
      <c r="DM34" s="14"/>
      <c r="DN34" s="14"/>
      <c r="DO34" s="14"/>
      <c r="DP34" s="14"/>
      <c r="DQ34" s="14"/>
      <c r="DR34" s="103"/>
      <c r="DS34" s="104"/>
      <c r="DT34" s="104"/>
      <c r="DU34" s="104"/>
      <c r="DV34" s="104"/>
      <c r="DW34" s="104"/>
      <c r="DX34" s="104"/>
      <c r="DY34" s="104"/>
      <c r="DZ34" s="14"/>
      <c r="EA34" s="14"/>
      <c r="EB34" s="14"/>
      <c r="EC34" s="14"/>
      <c r="ED34" s="14"/>
      <c r="EE34" s="14"/>
      <c r="EF34" s="14"/>
      <c r="EG34" s="14"/>
      <c r="EH34" s="14"/>
      <c r="EI34" s="14"/>
      <c r="EJ34" s="14"/>
      <c r="EK34" s="14"/>
      <c r="EL34" s="14"/>
    </row>
    <row r="35" spans="1:142" ht="42.75" customHeight="1" x14ac:dyDescent="0.25">
      <c r="A35" s="14"/>
      <c r="B35" s="211"/>
      <c r="C35" s="265"/>
      <c r="D35" s="270"/>
      <c r="E35" s="270"/>
      <c r="F35" s="270"/>
      <c r="G35" s="14"/>
      <c r="H35" s="21"/>
      <c r="I35" s="21"/>
      <c r="J35" s="14"/>
      <c r="K35" s="14"/>
      <c r="L35" s="14"/>
      <c r="M35" s="14"/>
      <c r="N35" s="14"/>
      <c r="O35" s="14"/>
      <c r="P35" s="14"/>
      <c r="Q35" s="47"/>
      <c r="R35" s="19"/>
      <c r="S35" s="551"/>
      <c r="T35" s="552"/>
      <c r="U35" s="553"/>
      <c r="V35" s="14"/>
      <c r="W35" s="14"/>
      <c r="X35" s="19"/>
      <c r="Y35" s="19"/>
      <c r="Z35" s="14"/>
      <c r="AA35" s="14"/>
      <c r="AB35" s="14"/>
      <c r="AC35" s="14"/>
      <c r="AD35" s="65"/>
      <c r="AE35" s="63"/>
      <c r="AF35" s="47"/>
      <c r="AG35" s="19"/>
      <c r="AH35" s="551"/>
      <c r="AI35" s="552"/>
      <c r="AJ35" s="553"/>
      <c r="AK35" s="14"/>
      <c r="AL35" s="14"/>
      <c r="AM35" s="19"/>
      <c r="AN35" s="19"/>
      <c r="AO35" s="14"/>
      <c r="AP35" s="14"/>
      <c r="AQ35" s="14"/>
      <c r="AR35" s="14"/>
      <c r="AS35" s="65"/>
      <c r="AT35" s="63"/>
      <c r="AU35" s="47"/>
      <c r="AV35" s="14"/>
      <c r="AW35" s="551"/>
      <c r="AX35" s="552"/>
      <c r="AY35" s="553"/>
      <c r="AZ35" s="14"/>
      <c r="BA35" s="14"/>
      <c r="BB35" s="19"/>
      <c r="BC35" s="19"/>
      <c r="BD35" s="14"/>
      <c r="BE35" s="14"/>
      <c r="BF35" s="14"/>
      <c r="BG35" s="14"/>
      <c r="BH35" s="65"/>
      <c r="BI35" s="63"/>
      <c r="BJ35" s="352"/>
      <c r="BK35" s="19"/>
      <c r="BL35" s="551"/>
      <c r="BM35" s="552"/>
      <c r="BN35" s="553"/>
      <c r="BO35" s="14"/>
      <c r="BP35" s="14"/>
      <c r="BQ35" s="19"/>
      <c r="BR35" s="19"/>
      <c r="BS35" s="14"/>
      <c r="BT35" s="14"/>
      <c r="BU35" s="14"/>
      <c r="BV35" s="14"/>
      <c r="BW35" s="65"/>
      <c r="BX35" s="63"/>
      <c r="BY35" s="352"/>
      <c r="BZ35" s="14"/>
      <c r="CA35" s="210"/>
      <c r="CB35" s="211"/>
      <c r="CC35" s="515"/>
      <c r="CD35" s="515"/>
      <c r="CE35" s="515"/>
      <c r="CF35" s="515"/>
      <c r="CG35" s="515"/>
      <c r="CH35" s="515"/>
      <c r="CI35" s="515"/>
      <c r="CJ35" s="515"/>
      <c r="CK35" s="515"/>
      <c r="CL35" s="515"/>
      <c r="CM35" s="515"/>
      <c r="CN35" s="515"/>
      <c r="CO35" s="515"/>
      <c r="CP35" s="14"/>
      <c r="CQ35" s="47"/>
      <c r="CR35" s="14"/>
      <c r="CS35" s="71"/>
      <c r="CT35" s="71"/>
      <c r="CU35" s="516"/>
      <c r="CV35" s="516"/>
      <c r="CW35" s="516"/>
      <c r="CX35" s="516"/>
      <c r="CY35" s="516"/>
      <c r="CZ35" s="516"/>
      <c r="DA35" s="516"/>
      <c r="DB35" s="516"/>
      <c r="DC35" s="516"/>
      <c r="DD35" s="516"/>
      <c r="DE35" s="516"/>
      <c r="DF35" s="516"/>
      <c r="DG35" s="516"/>
      <c r="DH35" s="14"/>
      <c r="DI35" s="47"/>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row>
    <row r="36" spans="1:142" ht="15" customHeight="1" x14ac:dyDescent="0.25">
      <c r="A36" s="14"/>
      <c r="B36" s="211"/>
      <c r="C36" s="265"/>
      <c r="D36" s="270"/>
      <c r="E36" s="270"/>
      <c r="F36" s="270"/>
      <c r="G36" s="14"/>
      <c r="H36" s="21"/>
      <c r="I36" s="21"/>
      <c r="J36" s="14"/>
      <c r="K36" s="14"/>
      <c r="L36" s="14"/>
      <c r="M36" s="14"/>
      <c r="N36" s="14"/>
      <c r="O36" s="14"/>
      <c r="P36" s="14"/>
      <c r="Q36" s="47"/>
      <c r="R36" s="19"/>
      <c r="S36" s="362" t="s">
        <v>763</v>
      </c>
      <c r="T36" s="354"/>
      <c r="U36" s="355"/>
      <c r="V36" s="14"/>
      <c r="W36" s="14"/>
      <c r="X36" s="19"/>
      <c r="Y36" s="19"/>
      <c r="Z36" s="14"/>
      <c r="AA36" s="14"/>
      <c r="AB36" s="14"/>
      <c r="AC36" s="14"/>
      <c r="AD36" s="65"/>
      <c r="AE36" s="63"/>
      <c r="AF36" s="47"/>
      <c r="AG36" s="19"/>
      <c r="AH36" s="362" t="s">
        <v>763</v>
      </c>
      <c r="AI36" s="354"/>
      <c r="AJ36" s="355"/>
      <c r="AK36" s="14"/>
      <c r="AL36" s="14"/>
      <c r="AM36" s="19"/>
      <c r="AN36" s="19"/>
      <c r="AO36" s="14"/>
      <c r="AP36" s="14"/>
      <c r="AQ36" s="14"/>
      <c r="AR36" s="14"/>
      <c r="AS36" s="65"/>
      <c r="AT36" s="63"/>
      <c r="AU36" s="47"/>
      <c r="AV36" s="14"/>
      <c r="AW36" s="362" t="s">
        <v>763</v>
      </c>
      <c r="AX36" s="354"/>
      <c r="AY36" s="355"/>
      <c r="AZ36" s="14"/>
      <c r="BA36" s="14"/>
      <c r="BB36" s="19"/>
      <c r="BC36" s="19"/>
      <c r="BD36" s="14"/>
      <c r="BE36" s="14"/>
      <c r="BF36" s="14"/>
      <c r="BG36" s="14"/>
      <c r="BH36" s="65"/>
      <c r="BI36" s="63"/>
      <c r="BJ36" s="352"/>
      <c r="BK36" s="19"/>
      <c r="BL36" s="362" t="s">
        <v>763</v>
      </c>
      <c r="BM36" s="354"/>
      <c r="BN36" s="355"/>
      <c r="BO36" s="14"/>
      <c r="BP36" s="14"/>
      <c r="BQ36" s="19"/>
      <c r="BR36" s="19"/>
      <c r="BS36" s="14"/>
      <c r="BT36" s="14"/>
      <c r="BU36" s="14"/>
      <c r="BV36" s="14"/>
      <c r="BW36" s="65"/>
      <c r="BX36" s="63"/>
      <c r="BY36" s="352"/>
      <c r="BZ36" s="14"/>
      <c r="CA36" s="210"/>
      <c r="CB36" s="211"/>
      <c r="CC36" s="515"/>
      <c r="CD36" s="515"/>
      <c r="CE36" s="515"/>
      <c r="CF36" s="515"/>
      <c r="CG36" s="515"/>
      <c r="CH36" s="515"/>
      <c r="CI36" s="515"/>
      <c r="CJ36" s="515"/>
      <c r="CK36" s="515"/>
      <c r="CL36" s="515"/>
      <c r="CM36" s="515"/>
      <c r="CN36" s="515"/>
      <c r="CO36" s="515"/>
      <c r="CP36" s="14"/>
      <c r="CQ36" s="47"/>
      <c r="CR36" s="14"/>
      <c r="CS36" s="71"/>
      <c r="CT36" s="71"/>
      <c r="CU36" s="516"/>
      <c r="CV36" s="516"/>
      <c r="CW36" s="516"/>
      <c r="CX36" s="516"/>
      <c r="CY36" s="516"/>
      <c r="CZ36" s="516"/>
      <c r="DA36" s="516"/>
      <c r="DB36" s="516"/>
      <c r="DC36" s="516"/>
      <c r="DD36" s="516"/>
      <c r="DE36" s="516"/>
      <c r="DF36" s="516"/>
      <c r="DG36" s="516"/>
      <c r="DH36" s="14"/>
      <c r="DI36" s="47"/>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row>
    <row r="37" spans="1:142" ht="15" customHeight="1" x14ac:dyDescent="0.25">
      <c r="A37" s="14"/>
      <c r="B37" s="211"/>
      <c r="C37" s="265"/>
      <c r="D37" s="270"/>
      <c r="E37" s="270"/>
      <c r="F37" s="270"/>
      <c r="G37" s="14"/>
      <c r="H37" s="21"/>
      <c r="I37" s="21"/>
      <c r="J37" s="14"/>
      <c r="K37" s="14"/>
      <c r="L37" s="14"/>
      <c r="M37" s="14"/>
      <c r="N37" s="14"/>
      <c r="O37" s="14"/>
      <c r="P37" s="14"/>
      <c r="Q37" s="367"/>
      <c r="R37" s="19"/>
      <c r="S37" s="42" t="s">
        <v>759</v>
      </c>
      <c r="T37" s="19"/>
      <c r="U37" s="318">
        <f>COUNTIF(U22:U27,"&lt;&gt;0")</f>
        <v>4</v>
      </c>
      <c r="V37" s="14"/>
      <c r="W37" s="14"/>
      <c r="X37" s="19"/>
      <c r="Y37" s="19"/>
      <c r="Z37" s="14"/>
      <c r="AA37" s="14"/>
      <c r="AB37" s="14"/>
      <c r="AC37" s="14"/>
      <c r="AD37" s="367"/>
      <c r="AE37" s="63"/>
      <c r="AF37" s="47"/>
      <c r="AG37" s="19"/>
      <c r="AH37" s="42" t="s">
        <v>759</v>
      </c>
      <c r="AI37" s="19"/>
      <c r="AJ37" s="318">
        <f>COUNTIF(AJ22:AJ27,"&lt;&gt;0")</f>
        <v>5</v>
      </c>
      <c r="AK37" s="14"/>
      <c r="AL37" s="14"/>
      <c r="AM37" s="19"/>
      <c r="AN37" s="19"/>
      <c r="AO37" s="14"/>
      <c r="AP37" s="14"/>
      <c r="AQ37" s="14"/>
      <c r="AR37" s="14"/>
      <c r="AS37" s="65"/>
      <c r="AT37" s="63"/>
      <c r="AU37" s="47"/>
      <c r="AV37" s="14"/>
      <c r="AW37" s="42" t="s">
        <v>759</v>
      </c>
      <c r="AX37" s="19"/>
      <c r="AY37" s="318">
        <f>COUNTIF(AY22:AY27,"&lt;&gt;0")</f>
        <v>5</v>
      </c>
      <c r="AZ37" s="14"/>
      <c r="BA37" s="14"/>
      <c r="BB37" s="19"/>
      <c r="BC37" s="19"/>
      <c r="BD37" s="14"/>
      <c r="BE37" s="14"/>
      <c r="BF37" s="14"/>
      <c r="BG37" s="14"/>
      <c r="BH37" s="65"/>
      <c r="BI37" s="63"/>
      <c r="BJ37" s="352"/>
      <c r="BK37" s="19"/>
      <c r="BL37" s="42" t="s">
        <v>759</v>
      </c>
      <c r="BM37" s="19"/>
      <c r="BN37" s="318">
        <f>COUNTIF(BN22:BN27,"&lt;&gt;0")</f>
        <v>5</v>
      </c>
      <c r="BO37" s="14"/>
      <c r="BP37" s="14"/>
      <c r="BQ37" s="19"/>
      <c r="BR37" s="19"/>
      <c r="BS37" s="14"/>
      <c r="BT37" s="14"/>
      <c r="BU37" s="14"/>
      <c r="BV37" s="14"/>
      <c r="BW37" s="65"/>
      <c r="BX37" s="63"/>
      <c r="BY37" s="352"/>
      <c r="BZ37" s="14"/>
      <c r="CA37" s="210"/>
      <c r="CB37" s="211"/>
      <c r="CC37" s="515"/>
      <c r="CD37" s="515"/>
      <c r="CE37" s="515"/>
      <c r="CF37" s="515"/>
      <c r="CG37" s="515"/>
      <c r="CH37" s="515"/>
      <c r="CI37" s="515"/>
      <c r="CJ37" s="515"/>
      <c r="CK37" s="515"/>
      <c r="CL37" s="515"/>
      <c r="CM37" s="515"/>
      <c r="CN37" s="515"/>
      <c r="CO37" s="515"/>
      <c r="CP37" s="14"/>
      <c r="CQ37" s="47"/>
      <c r="CR37" s="14"/>
      <c r="CS37" s="71"/>
      <c r="CT37" s="71"/>
      <c r="CU37" s="516"/>
      <c r="CV37" s="516"/>
      <c r="CW37" s="516"/>
      <c r="CX37" s="516"/>
      <c r="CY37" s="516"/>
      <c r="CZ37" s="516"/>
      <c r="DA37" s="516"/>
      <c r="DB37" s="516"/>
      <c r="DC37" s="516"/>
      <c r="DD37" s="516"/>
      <c r="DE37" s="516"/>
      <c r="DF37" s="516"/>
      <c r="DG37" s="516"/>
      <c r="DH37" s="14"/>
      <c r="DI37" s="47"/>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row>
    <row r="38" spans="1:142" ht="15" customHeight="1" x14ac:dyDescent="0.25">
      <c r="A38" s="14"/>
      <c r="B38" s="211"/>
      <c r="C38" s="265"/>
      <c r="D38" s="270"/>
      <c r="E38" s="270"/>
      <c r="F38" s="270"/>
      <c r="G38" s="14"/>
      <c r="H38" s="21"/>
      <c r="I38" s="21"/>
      <c r="J38" s="14"/>
      <c r="K38" s="14"/>
      <c r="L38" s="14"/>
      <c r="M38" s="14"/>
      <c r="N38" s="14"/>
      <c r="O38" s="14"/>
      <c r="P38" s="14"/>
      <c r="Q38" s="368"/>
      <c r="R38" s="19"/>
      <c r="S38" s="42" t="s">
        <v>760</v>
      </c>
      <c r="T38" s="19"/>
      <c r="U38" s="363">
        <f>(IFERROR(V22/U22/U37,0)+IFERROR(V23/U23/U37,0)+IFERROR(V24/U24/U37,0)+IFERROR(V25/U25/U37,0)+IFERROR(V26/U26/U37,0)+IFERROR(V27/U27/U37,0))</f>
        <v>0.15</v>
      </c>
      <c r="V38" s="14"/>
      <c r="W38" s="14"/>
      <c r="X38" s="19"/>
      <c r="Y38" s="19"/>
      <c r="Z38" s="14"/>
      <c r="AA38" s="14"/>
      <c r="AB38" s="14"/>
      <c r="AC38" s="14"/>
      <c r="AD38" s="368"/>
      <c r="AE38" s="63"/>
      <c r="AF38" s="47"/>
      <c r="AG38" s="19"/>
      <c r="AH38" s="42" t="s">
        <v>760</v>
      </c>
      <c r="AI38" s="19"/>
      <c r="AJ38" s="363">
        <f>(IFERROR(AK22/AJ22/AJ37,0)+IFERROR(AK23/AJ23/AJ37,0)+IFERROR(AK24/AJ24/AJ37,0)+IFERROR(AK25/AJ25/AJ37,0)+IFERROR(AK26/AJ26/AJ37,0)+IFERROR(AK27/AJ27/AJ37,0))</f>
        <v>0</v>
      </c>
      <c r="AK38" s="14"/>
      <c r="AL38" s="14"/>
      <c r="AM38" s="19"/>
      <c r="AN38" s="19"/>
      <c r="AO38" s="14"/>
      <c r="AP38" s="14"/>
      <c r="AQ38" s="14"/>
      <c r="AR38" s="14"/>
      <c r="AS38" s="65"/>
      <c r="AT38" s="63"/>
      <c r="AU38" s="47"/>
      <c r="AV38" s="14"/>
      <c r="AW38" s="42" t="s">
        <v>760</v>
      </c>
      <c r="AX38" s="19"/>
      <c r="AY38" s="363">
        <f>(IFERROR(AZ22/AY22/AY37,0)+IFERROR(AZ23/AY23/AY37,0)+IFERROR(AZ24/AY24/AY37,0)+IFERROR(AZ25/AY25/AY37,0)+IFERROR(AZ26/AY26/AY37,0)+IFERROR(AZ27/AY27/AY37,0))</f>
        <v>0</v>
      </c>
      <c r="AZ38" s="14"/>
      <c r="BA38" s="14"/>
      <c r="BB38" s="19"/>
      <c r="BC38" s="19"/>
      <c r="BD38" s="14"/>
      <c r="BE38" s="14"/>
      <c r="BF38" s="14"/>
      <c r="BG38" s="14"/>
      <c r="BH38" s="65"/>
      <c r="BI38" s="63"/>
      <c r="BJ38" s="352"/>
      <c r="BK38" s="19"/>
      <c r="BL38" s="42" t="s">
        <v>760</v>
      </c>
      <c r="BM38" s="19"/>
      <c r="BN38" s="363">
        <f>(IFERROR(BO22/BN22/BN37,0)+IFERROR(BO23/BN23/BN37,0)+IFERROR(BO24/BN24/BN37,0)+IFERROR(BO25/BN25/BN37,0)+IFERROR(BO26/BN26/BN37,0)+IFERROR(BO27/BN27/BN37,0))</f>
        <v>0</v>
      </c>
      <c r="BO38" s="14"/>
      <c r="BP38" s="14"/>
      <c r="BQ38" s="19"/>
      <c r="BR38" s="19"/>
      <c r="BS38" s="14"/>
      <c r="BT38" s="14"/>
      <c r="BU38" s="14"/>
      <c r="BV38" s="14"/>
      <c r="BW38" s="65"/>
      <c r="BX38" s="63"/>
      <c r="BY38" s="352"/>
      <c r="BZ38" s="14"/>
      <c r="CA38" s="210"/>
      <c r="CB38" s="211"/>
      <c r="CC38" s="515"/>
      <c r="CD38" s="515"/>
      <c r="CE38" s="515"/>
      <c r="CF38" s="515"/>
      <c r="CG38" s="515"/>
      <c r="CH38" s="515"/>
      <c r="CI38" s="515"/>
      <c r="CJ38" s="515"/>
      <c r="CK38" s="515"/>
      <c r="CL38" s="515"/>
      <c r="CM38" s="515"/>
      <c r="CN38" s="515"/>
      <c r="CO38" s="515"/>
      <c r="CP38" s="14"/>
      <c r="CQ38" s="47"/>
      <c r="CR38" s="14"/>
      <c r="CS38" s="71"/>
      <c r="CT38" s="71"/>
      <c r="CU38" s="516"/>
      <c r="CV38" s="516"/>
      <c r="CW38" s="516"/>
      <c r="CX38" s="516"/>
      <c r="CY38" s="516"/>
      <c r="CZ38" s="516"/>
      <c r="DA38" s="516"/>
      <c r="DB38" s="516"/>
      <c r="DC38" s="516"/>
      <c r="DD38" s="516"/>
      <c r="DE38" s="516"/>
      <c r="DF38" s="516"/>
      <c r="DG38" s="516"/>
      <c r="DH38" s="14"/>
      <c r="DI38" s="47"/>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row>
    <row r="39" spans="1:142" ht="15.75" customHeight="1" x14ac:dyDescent="0.25">
      <c r="A39" s="14"/>
      <c r="B39" s="211"/>
      <c r="C39" s="265"/>
      <c r="D39" s="270"/>
      <c r="E39" s="270"/>
      <c r="F39" s="270"/>
      <c r="G39" s="66"/>
      <c r="H39" s="76"/>
      <c r="I39" s="76"/>
      <c r="J39" s="14"/>
      <c r="K39" s="14"/>
      <c r="L39" s="14"/>
      <c r="M39" s="14"/>
      <c r="N39" s="14"/>
      <c r="O39" s="14"/>
      <c r="P39" s="14"/>
      <c r="Q39" s="368"/>
      <c r="R39" s="19"/>
      <c r="S39" s="42" t="s">
        <v>761</v>
      </c>
      <c r="T39" s="19"/>
      <c r="U39" s="364">
        <f>IFERROR(SUM(Y75:Y77)/U22/U37,0)+IFERROR(SUM(Y102:Y104)/U23/U37,0)+IFERROR(SUM(Y129:Y131)/U24/U37,0)+IFERROR(SUM(Y156:Y158)/U25/U37,0)+IFERROR(SUM(Y183:Y185)/U26/U37,0)+IFERROR(SUM(Y210:Y212)/U27/U37,0)</f>
        <v>0.25</v>
      </c>
      <c r="V39" s="14"/>
      <c r="W39" s="14"/>
      <c r="X39" s="19"/>
      <c r="Y39" s="19"/>
      <c r="Z39" s="14"/>
      <c r="AA39" s="14"/>
      <c r="AB39" s="14"/>
      <c r="AC39" s="14"/>
      <c r="AD39" s="368"/>
      <c r="AE39" s="63"/>
      <c r="AF39" s="47"/>
      <c r="AG39" s="19"/>
      <c r="AH39" s="42" t="s">
        <v>761</v>
      </c>
      <c r="AI39" s="19"/>
      <c r="AJ39" s="364">
        <f>IFERROR(SUM(AN75:AN77)/AJ22/AJ37,0)+IFERROR(SUM(AN102:AN104)/AJ23/AJ37,0)+IFERROR(SUM(AN129:AN131)/AJ24/AJ37,0)+IFERROR(SUM(AN156:AN158)/AJ25/AJ37,0)+IFERROR(SUM(AN183:AN185)/AJ26/AJ37,0)+IFERROR(SUM(AN210:AN212)/AJ27/AJ37,0)</f>
        <v>0</v>
      </c>
      <c r="AK39" s="14"/>
      <c r="AL39" s="14"/>
      <c r="AM39" s="19"/>
      <c r="AN39" s="19"/>
      <c r="AO39" s="14"/>
      <c r="AP39" s="14"/>
      <c r="AQ39" s="14"/>
      <c r="AR39" s="14"/>
      <c r="AS39" s="65"/>
      <c r="AT39" s="63"/>
      <c r="AU39" s="47"/>
      <c r="AV39" s="14"/>
      <c r="AW39" s="42" t="s">
        <v>761</v>
      </c>
      <c r="AX39" s="19"/>
      <c r="AY39" s="364">
        <f>IFERROR(SUM(BC75:BC77)/AY22/AY37,0)+IFERROR(SUM(BC102:BC104)/AY23/AY37,0)+IFERROR(SUM(BC129:BC131)/AY24/AY37,0)+IFERROR(SUM(BC156:BC158)/AY25/AY37,0)+IFERROR(SUM(BC183:BC185)/AY26/AY37,0)+IFERROR(SUM(BC210:BC212)/AY27/AY37,0)</f>
        <v>0</v>
      </c>
      <c r="AZ39" s="14"/>
      <c r="BA39" s="14"/>
      <c r="BB39" s="19"/>
      <c r="BC39" s="19"/>
      <c r="BD39" s="14"/>
      <c r="BE39" s="14"/>
      <c r="BF39" s="14"/>
      <c r="BG39" s="14"/>
      <c r="BH39" s="65"/>
      <c r="BI39" s="63"/>
      <c r="BJ39" s="352"/>
      <c r="BK39" s="19"/>
      <c r="BL39" s="42" t="s">
        <v>761</v>
      </c>
      <c r="BM39" s="19"/>
      <c r="BN39" s="364">
        <f>IFERROR(SUM(BR75:BR77)/BN22/BN37,0)+IFERROR(SUM(BR102:BR104)/BN23/BN37,0)+IFERROR(SUM(BR129:BR131)/BN24/BN37,0)+IFERROR(SUM(BR156:BR158)/BN25/BN37,0)+IFERROR(SUM(BR183:BR185)/BN26/BN37,0)+IFERROR(SUM(BR210:BR212)/BN27/BN37,0)</f>
        <v>0.30000000000000004</v>
      </c>
      <c r="BO39" s="14"/>
      <c r="BP39" s="14"/>
      <c r="BQ39" s="19"/>
      <c r="BR39" s="19"/>
      <c r="BS39" s="14"/>
      <c r="BT39" s="14"/>
      <c r="BU39" s="14"/>
      <c r="BV39" s="14"/>
      <c r="BW39" s="65"/>
      <c r="BX39" s="63"/>
      <c r="BY39" s="352"/>
      <c r="BZ39" s="14"/>
      <c r="CA39" s="210"/>
      <c r="CB39" s="211"/>
      <c r="CC39" s="515"/>
      <c r="CD39" s="515"/>
      <c r="CE39" s="515"/>
      <c r="CF39" s="515"/>
      <c r="CG39" s="515"/>
      <c r="CH39" s="515"/>
      <c r="CI39" s="515"/>
      <c r="CJ39" s="515"/>
      <c r="CK39" s="515"/>
      <c r="CL39" s="515"/>
      <c r="CM39" s="515"/>
      <c r="CN39" s="515"/>
      <c r="CO39" s="515"/>
      <c r="CP39" s="14"/>
      <c r="CQ39" s="47"/>
      <c r="CR39" s="14"/>
      <c r="CS39" s="71"/>
      <c r="CT39" s="71"/>
      <c r="CU39" s="516"/>
      <c r="CV39" s="516"/>
      <c r="CW39" s="516"/>
      <c r="CX39" s="516"/>
      <c r="CY39" s="516"/>
      <c r="CZ39" s="516"/>
      <c r="DA39" s="516"/>
      <c r="DB39" s="516"/>
      <c r="DC39" s="516"/>
      <c r="DD39" s="516"/>
      <c r="DE39" s="516"/>
      <c r="DF39" s="516"/>
      <c r="DG39" s="516"/>
      <c r="DH39" s="14"/>
      <c r="DI39" s="47"/>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row>
    <row r="40" spans="1:142" s="134" customFormat="1" ht="29.25" customHeight="1" x14ac:dyDescent="0.25">
      <c r="A40" s="8"/>
      <c r="B40" s="211"/>
      <c r="C40" s="265"/>
      <c r="D40" s="270"/>
      <c r="E40" s="270"/>
      <c r="F40" s="270"/>
      <c r="G40" s="8"/>
      <c r="H40" s="77"/>
      <c r="I40" s="77"/>
      <c r="J40" s="8"/>
      <c r="K40" s="8"/>
      <c r="L40" s="14"/>
      <c r="M40" s="14"/>
      <c r="N40" s="14"/>
      <c r="O40" s="14"/>
      <c r="P40" s="14"/>
      <c r="Q40" s="369"/>
      <c r="R40" s="44"/>
      <c r="S40" s="359" t="s">
        <v>762</v>
      </c>
      <c r="T40" s="360"/>
      <c r="U40" s="365">
        <f>IFERROR(SUM(Y72:Y74)/U22/U37,0)+IFERROR(SUM(Y99:Y101)/U23/U37,0)+IFERROR(SUM(Y126:Y128)/U24/U37,0)+IFERROR(SUM(Y153:Y155)/U25/U37,0)+IFERROR(SUM(Y180:Y182)/U26/U37,0)+IFERROR(SUM(Y207:Y209)/U27/U37,0)</f>
        <v>0.6</v>
      </c>
      <c r="V40" s="58"/>
      <c r="W40" s="58"/>
      <c r="X40" s="8"/>
      <c r="Y40" s="8"/>
      <c r="Z40" s="8"/>
      <c r="AA40" s="8"/>
      <c r="AB40" s="8"/>
      <c r="AC40" s="8"/>
      <c r="AD40" s="369"/>
      <c r="AE40" s="101"/>
      <c r="AF40" s="48"/>
      <c r="AG40" s="44"/>
      <c r="AH40" s="359" t="s">
        <v>762</v>
      </c>
      <c r="AI40" s="360"/>
      <c r="AJ40" s="365">
        <f>IFERROR(SUM(AN72:AN74)/AJ22/AJ37,0)+IFERROR(SUM(AN99:AN101)/AJ23/AJ37,0)+IFERROR(SUM(AN126:AN128)/AJ24/AJ37,0)+IFERROR(SUM(AN153:AN155)/AJ25/AJ37,0)+IFERROR(SUM(AN180:AN182)/AJ26/AJ37,0)+IFERROR(SUM(AN207:AN209)/AJ27/AJ37,0)</f>
        <v>1</v>
      </c>
      <c r="AK40" s="58"/>
      <c r="AL40" s="58"/>
      <c r="AM40" s="8"/>
      <c r="AN40" s="8"/>
      <c r="AO40" s="8"/>
      <c r="AP40" s="8"/>
      <c r="AQ40" s="8"/>
      <c r="AR40" s="8"/>
      <c r="AS40" s="102"/>
      <c r="AT40" s="101"/>
      <c r="AU40" s="48"/>
      <c r="AV40" s="8"/>
      <c r="AW40" s="359" t="s">
        <v>762</v>
      </c>
      <c r="AX40" s="360"/>
      <c r="AY40" s="365">
        <f>IFERROR(SUM(BC72:BC74)/AY22/AY37,0)+IFERROR(SUM(BC99:BC101)/AY23/AY37,0)+IFERROR(SUM(BC126:BC128)/AY24/AY37,0)+IFERROR(SUM(BC153:BC155)/AY25/AY37,0)+IFERROR(SUM(BC180:BC182)/AY26/AY37,0)+IFERROR(SUM(BC207:BC209)/AY27/AY37,0)</f>
        <v>1</v>
      </c>
      <c r="AZ40" s="58"/>
      <c r="BA40" s="58"/>
      <c r="BB40" s="8"/>
      <c r="BC40" s="8"/>
      <c r="BD40" s="8"/>
      <c r="BE40" s="8"/>
      <c r="BF40" s="8"/>
      <c r="BG40" s="8"/>
      <c r="BH40" s="102"/>
      <c r="BI40" s="101"/>
      <c r="BJ40" s="371"/>
      <c r="BK40" s="44"/>
      <c r="BL40" s="359" t="s">
        <v>762</v>
      </c>
      <c r="BM40" s="360"/>
      <c r="BN40" s="365">
        <f>IFERROR(SUM(BR72:BR74)/BN22/BN37,0)+IFERROR(SUM(BR99:BR101)/BN23/BN37,0)+IFERROR(SUM(BR126:BR128)/BN24/BN37,0)+IFERROR(SUM(BR153:BR155)/BN25/BN37,0)+IFERROR(SUM(BR180:BR182)/BN26/BN37,0)+IFERROR(SUM(BR207:BR209)/BN27/BN37,0)</f>
        <v>0.7</v>
      </c>
      <c r="BO40" s="58"/>
      <c r="BP40" s="58"/>
      <c r="BQ40" s="8"/>
      <c r="BR40" s="8"/>
      <c r="BS40" s="8"/>
      <c r="BT40" s="8"/>
      <c r="BU40" s="8"/>
      <c r="BV40" s="8"/>
      <c r="BW40" s="102"/>
      <c r="BX40" s="101"/>
      <c r="BY40" s="371"/>
      <c r="BZ40" s="8"/>
      <c r="CA40" s="210"/>
      <c r="CB40" s="211"/>
      <c r="CC40" s="515"/>
      <c r="CD40" s="515"/>
      <c r="CE40" s="515"/>
      <c r="CF40" s="515"/>
      <c r="CG40" s="515"/>
      <c r="CH40" s="515"/>
      <c r="CI40" s="515"/>
      <c r="CJ40" s="515"/>
      <c r="CK40" s="515"/>
      <c r="CL40" s="515"/>
      <c r="CM40" s="515"/>
      <c r="CN40" s="515"/>
      <c r="CO40" s="515"/>
      <c r="CP40" s="8"/>
      <c r="CQ40" s="48"/>
      <c r="CR40" s="8"/>
      <c r="CS40" s="71"/>
      <c r="CT40" s="71"/>
      <c r="CU40" s="516"/>
      <c r="CV40" s="516"/>
      <c r="CW40" s="516"/>
      <c r="CX40" s="516"/>
      <c r="CY40" s="516"/>
      <c r="CZ40" s="516"/>
      <c r="DA40" s="516"/>
      <c r="DB40" s="516"/>
      <c r="DC40" s="516"/>
      <c r="DD40" s="516"/>
      <c r="DE40" s="516"/>
      <c r="DF40" s="516"/>
      <c r="DG40" s="516"/>
      <c r="DH40" s="8"/>
      <c r="DI40" s="48"/>
      <c r="DJ40" s="8"/>
      <c r="DK40" s="8"/>
      <c r="DL40" s="8"/>
      <c r="DM40" s="8"/>
      <c r="DN40" s="8"/>
      <c r="DO40" s="8"/>
      <c r="DP40" s="8"/>
      <c r="DQ40" s="8"/>
      <c r="DR40" s="2"/>
      <c r="DS40" s="2"/>
      <c r="DT40" s="2"/>
      <c r="DU40" s="2"/>
      <c r="DV40" s="2"/>
      <c r="DW40" s="2"/>
      <c r="DX40" s="2"/>
      <c r="DY40" s="2"/>
      <c r="DZ40" s="8"/>
      <c r="EA40" s="8"/>
      <c r="EB40" s="8"/>
      <c r="EC40" s="8"/>
      <c r="ED40" s="8"/>
      <c r="EE40" s="8"/>
      <c r="EF40" s="8"/>
      <c r="EG40" s="8"/>
      <c r="EH40" s="8"/>
      <c r="EI40" s="8"/>
      <c r="EJ40" s="8"/>
      <c r="EK40" s="8"/>
      <c r="EL40" s="8"/>
    </row>
    <row r="41" spans="1:142" ht="28.5" customHeight="1" x14ac:dyDescent="0.25">
      <c r="A41" s="14"/>
      <c r="B41" s="211"/>
      <c r="C41" s="265"/>
      <c r="D41" s="270"/>
      <c r="E41" s="270"/>
      <c r="F41" s="270"/>
      <c r="G41" s="14"/>
      <c r="H41" s="21"/>
      <c r="I41" s="21"/>
      <c r="J41" s="14"/>
      <c r="K41" s="14"/>
      <c r="L41" s="8"/>
      <c r="M41" s="8"/>
      <c r="N41" s="8"/>
      <c r="O41" s="8"/>
      <c r="P41" s="8"/>
      <c r="Q41" s="48"/>
      <c r="R41" s="44"/>
      <c r="S41" s="19"/>
      <c r="T41" s="19"/>
      <c r="U41" s="50"/>
      <c r="V41" s="19"/>
      <c r="W41" s="50"/>
      <c r="X41" s="14"/>
      <c r="Y41" s="14"/>
      <c r="Z41" s="8"/>
      <c r="AA41" s="8"/>
      <c r="AB41" s="8"/>
      <c r="AC41" s="8"/>
      <c r="AD41" s="102"/>
      <c r="AE41" s="101"/>
      <c r="AF41" s="48"/>
      <c r="AG41" s="44"/>
      <c r="AH41" s="19"/>
      <c r="AI41" s="19"/>
      <c r="AJ41" s="50"/>
      <c r="AK41" s="19"/>
      <c r="AL41" s="50"/>
      <c r="AM41" s="14"/>
      <c r="AN41" s="14"/>
      <c r="AO41" s="8"/>
      <c r="AP41" s="8"/>
      <c r="AQ41" s="8"/>
      <c r="AR41" s="8"/>
      <c r="AS41" s="102"/>
      <c r="AT41" s="101"/>
      <c r="AU41" s="48"/>
      <c r="AV41" s="8"/>
      <c r="AW41" s="19"/>
      <c r="AX41" s="19"/>
      <c r="AY41" s="50"/>
      <c r="AZ41" s="19"/>
      <c r="BA41" s="50"/>
      <c r="BB41" s="14"/>
      <c r="BC41" s="14"/>
      <c r="BD41" s="8"/>
      <c r="BE41" s="8"/>
      <c r="BF41" s="8"/>
      <c r="BG41" s="8"/>
      <c r="BH41" s="102"/>
      <c r="BI41" s="101"/>
      <c r="BJ41" s="371"/>
      <c r="BK41" s="44"/>
      <c r="BL41" s="19"/>
      <c r="BM41" s="19"/>
      <c r="BN41" s="50"/>
      <c r="BO41" s="19"/>
      <c r="BP41" s="50"/>
      <c r="BQ41" s="14"/>
      <c r="BR41" s="14"/>
      <c r="BS41" s="8"/>
      <c r="BT41" s="8"/>
      <c r="BU41" s="8"/>
      <c r="BV41" s="8"/>
      <c r="BW41" s="102"/>
      <c r="BX41" s="101"/>
      <c r="BY41" s="371"/>
      <c r="BZ41" s="8"/>
      <c r="CA41" s="210"/>
      <c r="CB41" s="211"/>
      <c r="CC41" s="515"/>
      <c r="CD41" s="515"/>
      <c r="CE41" s="515"/>
      <c r="CF41" s="515"/>
      <c r="CG41" s="515"/>
      <c r="CH41" s="515"/>
      <c r="CI41" s="515"/>
      <c r="CJ41" s="515"/>
      <c r="CK41" s="515"/>
      <c r="CL41" s="515"/>
      <c r="CM41" s="515"/>
      <c r="CN41" s="515"/>
      <c r="CO41" s="515"/>
      <c r="CP41" s="14"/>
      <c r="CQ41" s="48"/>
      <c r="CR41" s="14"/>
      <c r="CS41" s="71"/>
      <c r="CT41" s="71"/>
      <c r="CU41" s="516"/>
      <c r="CV41" s="516"/>
      <c r="CW41" s="516"/>
      <c r="CX41" s="516"/>
      <c r="CY41" s="516"/>
      <c r="CZ41" s="516"/>
      <c r="DA41" s="516"/>
      <c r="DB41" s="516"/>
      <c r="DC41" s="516"/>
      <c r="DD41" s="516"/>
      <c r="DE41" s="516"/>
      <c r="DF41" s="516"/>
      <c r="DG41" s="516"/>
      <c r="DH41" s="14"/>
      <c r="DI41" s="48"/>
      <c r="DJ41" s="14"/>
      <c r="DK41" s="14"/>
      <c r="DL41" s="14"/>
      <c r="DM41" s="14"/>
      <c r="DN41" s="14"/>
      <c r="DO41" s="14"/>
      <c r="DP41" s="14"/>
      <c r="DQ41" s="14"/>
      <c r="DR41" s="2"/>
      <c r="DS41" s="2"/>
      <c r="DT41" s="2"/>
      <c r="DU41" s="2"/>
      <c r="DV41" s="2"/>
      <c r="DW41" s="2"/>
      <c r="DX41" s="2"/>
      <c r="DY41" s="2"/>
      <c r="DZ41" s="14"/>
      <c r="EA41" s="14"/>
      <c r="EB41" s="14"/>
      <c r="EC41" s="14"/>
      <c r="ED41" s="14"/>
      <c r="EE41" s="14"/>
      <c r="EF41" s="14"/>
      <c r="EG41" s="14"/>
      <c r="EH41" s="14"/>
      <c r="EI41" s="14"/>
      <c r="EJ41" s="14"/>
      <c r="EK41" s="14"/>
      <c r="EL41" s="14"/>
    </row>
    <row r="42" spans="1:142" ht="28.5" customHeight="1" x14ac:dyDescent="0.25">
      <c r="A42" s="14"/>
      <c r="B42" s="211"/>
      <c r="C42" s="265"/>
      <c r="D42" s="270"/>
      <c r="E42" s="270"/>
      <c r="F42" s="270"/>
      <c r="G42" s="14"/>
      <c r="H42" s="21"/>
      <c r="I42" s="21"/>
      <c r="J42" s="14"/>
      <c r="K42" s="14"/>
      <c r="L42" s="14"/>
      <c r="M42" s="14"/>
      <c r="N42" s="14"/>
      <c r="O42" s="14"/>
      <c r="P42" s="14"/>
      <c r="Q42" s="47"/>
      <c r="R42" s="19"/>
      <c r="S42" s="19"/>
      <c r="T42" s="19"/>
      <c r="U42" s="50"/>
      <c r="V42" s="19"/>
      <c r="W42" s="50"/>
      <c r="X42" s="14"/>
      <c r="Y42" s="14"/>
      <c r="Z42" s="14"/>
      <c r="AA42" s="14"/>
      <c r="AB42" s="14"/>
      <c r="AC42" s="14"/>
      <c r="AD42" s="65"/>
      <c r="AE42" s="63"/>
      <c r="AF42" s="47"/>
      <c r="AG42" s="19"/>
      <c r="AH42" s="19"/>
      <c r="AI42" s="19"/>
      <c r="AJ42" s="50"/>
      <c r="AK42" s="19"/>
      <c r="AL42" s="50"/>
      <c r="AM42" s="14"/>
      <c r="AN42" s="14"/>
      <c r="AO42" s="14"/>
      <c r="AP42" s="14"/>
      <c r="AQ42" s="14"/>
      <c r="AR42" s="14"/>
      <c r="AS42" s="65"/>
      <c r="AT42" s="63"/>
      <c r="AU42" s="47"/>
      <c r="AV42" s="14"/>
      <c r="AW42" s="19"/>
      <c r="AX42" s="19"/>
      <c r="AY42" s="50"/>
      <c r="AZ42" s="19"/>
      <c r="BA42" s="50"/>
      <c r="BB42" s="14"/>
      <c r="BC42" s="14"/>
      <c r="BD42" s="14"/>
      <c r="BE42" s="14"/>
      <c r="BF42" s="14"/>
      <c r="BG42" s="14"/>
      <c r="BH42" s="65"/>
      <c r="BI42" s="63"/>
      <c r="BJ42" s="352"/>
      <c r="BK42" s="19"/>
      <c r="BL42" s="19"/>
      <c r="BM42" s="19"/>
      <c r="BN42" s="50"/>
      <c r="BO42" s="19"/>
      <c r="BP42" s="50"/>
      <c r="BQ42" s="14"/>
      <c r="BR42" s="14"/>
      <c r="BS42" s="14"/>
      <c r="BT42" s="14"/>
      <c r="BU42" s="14"/>
      <c r="BV42" s="14"/>
      <c r="BW42" s="65"/>
      <c r="BX42" s="63"/>
      <c r="BY42" s="352"/>
      <c r="BZ42" s="14"/>
      <c r="CA42" s="210"/>
      <c r="CB42" s="211"/>
      <c r="CC42" s="515"/>
      <c r="CD42" s="515"/>
      <c r="CE42" s="515"/>
      <c r="CF42" s="515"/>
      <c r="CG42" s="515"/>
      <c r="CH42" s="515"/>
      <c r="CI42" s="515"/>
      <c r="CJ42" s="515"/>
      <c r="CK42" s="515"/>
      <c r="CL42" s="515"/>
      <c r="CM42" s="515"/>
      <c r="CN42" s="515"/>
      <c r="CO42" s="515"/>
      <c r="CP42" s="14"/>
      <c r="CQ42" s="47"/>
      <c r="CR42" s="14"/>
      <c r="CS42" s="71"/>
      <c r="CT42" s="71"/>
      <c r="CU42" s="516"/>
      <c r="CV42" s="516"/>
      <c r="CW42" s="516"/>
      <c r="CX42" s="516"/>
      <c r="CY42" s="516"/>
      <c r="CZ42" s="516"/>
      <c r="DA42" s="516"/>
      <c r="DB42" s="516"/>
      <c r="DC42" s="516"/>
      <c r="DD42" s="516"/>
      <c r="DE42" s="516"/>
      <c r="DF42" s="516"/>
      <c r="DG42" s="516"/>
      <c r="DH42" s="14"/>
      <c r="DI42" s="47"/>
      <c r="DJ42" s="14"/>
      <c r="DK42" s="14"/>
      <c r="DL42" s="14"/>
      <c r="DM42" s="14"/>
      <c r="DN42" s="14"/>
      <c r="DO42" s="14"/>
      <c r="DP42" s="14"/>
      <c r="DQ42" s="14"/>
      <c r="DR42" s="127"/>
      <c r="DS42" s="128"/>
      <c r="DT42" s="128"/>
      <c r="DU42" s="128"/>
      <c r="DV42" s="128"/>
      <c r="DW42" s="128"/>
      <c r="DX42" s="128"/>
      <c r="DY42" s="128"/>
      <c r="DZ42" s="14"/>
      <c r="EA42" s="14"/>
      <c r="EB42" s="14"/>
      <c r="EC42" s="14"/>
      <c r="ED42" s="14"/>
      <c r="EE42" s="14"/>
      <c r="EF42" s="14"/>
      <c r="EG42" s="14"/>
      <c r="EH42" s="14"/>
      <c r="EI42" s="14"/>
      <c r="EJ42" s="14"/>
      <c r="EK42" s="14"/>
      <c r="EL42" s="14"/>
    </row>
    <row r="43" spans="1:142" ht="28.5" customHeight="1" x14ac:dyDescent="0.25">
      <c r="A43" s="14"/>
      <c r="B43" s="211"/>
      <c r="C43" s="265"/>
      <c r="D43" s="270"/>
      <c r="E43" s="270"/>
      <c r="F43" s="270"/>
      <c r="G43" s="14"/>
      <c r="H43" s="21"/>
      <c r="I43" s="21"/>
      <c r="J43" s="14"/>
      <c r="K43" s="14"/>
      <c r="L43" s="14"/>
      <c r="M43" s="14"/>
      <c r="N43" s="14"/>
      <c r="O43" s="14"/>
      <c r="P43" s="14"/>
      <c r="Q43" s="47"/>
      <c r="R43" s="19"/>
      <c r="S43" s="19"/>
      <c r="T43" s="19"/>
      <c r="U43" s="50"/>
      <c r="V43" s="19"/>
      <c r="W43" s="50"/>
      <c r="X43" s="14"/>
      <c r="Y43" s="14"/>
      <c r="Z43" s="14"/>
      <c r="AA43" s="14"/>
      <c r="AB43" s="14"/>
      <c r="AC43" s="14"/>
      <c r="AD43" s="65"/>
      <c r="AE43" s="63"/>
      <c r="AF43" s="47"/>
      <c r="AG43" s="19"/>
      <c r="AH43" s="19"/>
      <c r="AI43" s="19"/>
      <c r="AJ43" s="50"/>
      <c r="AK43" s="19"/>
      <c r="AL43" s="50"/>
      <c r="AM43" s="14"/>
      <c r="AN43" s="14"/>
      <c r="AO43" s="14"/>
      <c r="AP43" s="14"/>
      <c r="AQ43" s="14"/>
      <c r="AR43" s="14"/>
      <c r="AS43" s="65"/>
      <c r="AT43" s="63"/>
      <c r="AU43" s="47"/>
      <c r="AV43" s="14"/>
      <c r="AW43" s="19"/>
      <c r="AX43" s="19"/>
      <c r="AY43" s="50"/>
      <c r="AZ43" s="19"/>
      <c r="BA43" s="50"/>
      <c r="BB43" s="14"/>
      <c r="BC43" s="14"/>
      <c r="BD43" s="14"/>
      <c r="BE43" s="14"/>
      <c r="BF43" s="14"/>
      <c r="BG43" s="14"/>
      <c r="BH43" s="65"/>
      <c r="BI43" s="63"/>
      <c r="BJ43" s="352"/>
      <c r="BK43" s="19"/>
      <c r="BL43" s="19"/>
      <c r="BM43" s="19"/>
      <c r="BN43" s="50"/>
      <c r="BO43" s="19"/>
      <c r="BP43" s="50"/>
      <c r="BQ43" s="14"/>
      <c r="BR43" s="14"/>
      <c r="BS43" s="14"/>
      <c r="BT43" s="14"/>
      <c r="BU43" s="14"/>
      <c r="BV43" s="14"/>
      <c r="BW43" s="65"/>
      <c r="BX43" s="63"/>
      <c r="BY43" s="352"/>
      <c r="BZ43" s="14"/>
      <c r="CA43" s="210"/>
      <c r="CB43" s="211"/>
      <c r="CC43" s="515"/>
      <c r="CD43" s="515"/>
      <c r="CE43" s="515"/>
      <c r="CF43" s="515"/>
      <c r="CG43" s="515"/>
      <c r="CH43" s="515"/>
      <c r="CI43" s="515"/>
      <c r="CJ43" s="515"/>
      <c r="CK43" s="515"/>
      <c r="CL43" s="515"/>
      <c r="CM43" s="515"/>
      <c r="CN43" s="515"/>
      <c r="CO43" s="515"/>
      <c r="CP43" s="14"/>
      <c r="CQ43" s="47"/>
      <c r="CR43" s="14"/>
      <c r="CS43" s="71"/>
      <c r="CT43" s="71"/>
      <c r="CU43" s="516"/>
      <c r="CV43" s="516"/>
      <c r="CW43" s="516"/>
      <c r="CX43" s="516"/>
      <c r="CY43" s="516"/>
      <c r="CZ43" s="516"/>
      <c r="DA43" s="516"/>
      <c r="DB43" s="516"/>
      <c r="DC43" s="516"/>
      <c r="DD43" s="516"/>
      <c r="DE43" s="516"/>
      <c r="DF43" s="516"/>
      <c r="DG43" s="516"/>
      <c r="DH43" s="14"/>
      <c r="DI43" s="47"/>
      <c r="DJ43" s="14"/>
      <c r="DK43" s="14"/>
      <c r="DL43" s="14"/>
      <c r="DM43" s="14"/>
      <c r="DN43" s="14"/>
      <c r="DO43" s="14"/>
      <c r="DP43" s="14"/>
      <c r="DQ43" s="14"/>
      <c r="DR43" s="127"/>
      <c r="DS43" s="128"/>
      <c r="DT43" s="128"/>
      <c r="DU43" s="128"/>
      <c r="DV43" s="128"/>
      <c r="DW43" s="128"/>
      <c r="DX43" s="128"/>
      <c r="DY43" s="128"/>
      <c r="DZ43" s="14"/>
      <c r="EA43" s="14"/>
      <c r="EB43" s="14"/>
      <c r="EC43" s="14"/>
      <c r="ED43" s="14"/>
      <c r="EE43" s="14"/>
      <c r="EF43" s="14"/>
      <c r="EG43" s="14"/>
      <c r="EH43" s="14"/>
      <c r="EI43" s="14"/>
      <c r="EJ43" s="14"/>
      <c r="EK43" s="14"/>
      <c r="EL43" s="14"/>
    </row>
    <row r="44" spans="1:142" ht="42.75" customHeight="1" x14ac:dyDescent="0.25">
      <c r="A44" s="14"/>
      <c r="B44" s="211"/>
      <c r="C44" s="265"/>
      <c r="D44" s="265"/>
      <c r="E44" s="265"/>
      <c r="F44" s="265"/>
      <c r="G44" s="524" t="s">
        <v>755</v>
      </c>
      <c r="H44" s="542"/>
      <c r="I44" s="542"/>
      <c r="J44" s="525"/>
      <c r="K44" s="14"/>
      <c r="L44" s="14"/>
      <c r="M44" s="14"/>
      <c r="N44" s="14"/>
      <c r="O44" s="14"/>
      <c r="P44" s="14"/>
      <c r="Q44" s="47"/>
      <c r="R44" s="19"/>
      <c r="S44" s="19"/>
      <c r="T44" s="19"/>
      <c r="U44" s="50"/>
      <c r="V44" s="19"/>
      <c r="W44" s="50"/>
      <c r="X44" s="524" t="s">
        <v>755</v>
      </c>
      <c r="Y44" s="542"/>
      <c r="Z44" s="542"/>
      <c r="AA44" s="525"/>
      <c r="AB44" s="14"/>
      <c r="AC44" s="14"/>
      <c r="AD44" s="65"/>
      <c r="AE44" s="63"/>
      <c r="AF44" s="47"/>
      <c r="AG44" s="19"/>
      <c r="AH44" s="19"/>
      <c r="AI44" s="19"/>
      <c r="AJ44" s="50"/>
      <c r="AK44" s="19"/>
      <c r="AL44" s="50"/>
      <c r="AM44" s="524" t="s">
        <v>755</v>
      </c>
      <c r="AN44" s="542"/>
      <c r="AO44" s="542"/>
      <c r="AP44" s="525"/>
      <c r="AQ44" s="14"/>
      <c r="AR44" s="14"/>
      <c r="AS44" s="65"/>
      <c r="AT44" s="63"/>
      <c r="AU44" s="47"/>
      <c r="AV44" s="14"/>
      <c r="AW44" s="19"/>
      <c r="AX44" s="19"/>
      <c r="AY44" s="50"/>
      <c r="AZ44" s="19"/>
      <c r="BA44" s="524" t="s">
        <v>755</v>
      </c>
      <c r="BB44" s="542"/>
      <c r="BC44" s="542"/>
      <c r="BD44" s="525"/>
      <c r="BE44" s="14"/>
      <c r="BF44" s="14"/>
      <c r="BG44" s="14"/>
      <c r="BH44" s="65"/>
      <c r="BI44" s="63"/>
      <c r="BJ44" s="352"/>
      <c r="BK44" s="19"/>
      <c r="BL44" s="19"/>
      <c r="BM44" s="19"/>
      <c r="BN44" s="50"/>
      <c r="BO44" s="19"/>
      <c r="BP44" s="50"/>
      <c r="BQ44" s="524" t="s">
        <v>755</v>
      </c>
      <c r="BR44" s="542"/>
      <c r="BS44" s="542"/>
      <c r="BT44" s="525"/>
      <c r="BU44" s="14"/>
      <c r="BV44" s="14"/>
      <c r="BW44" s="65"/>
      <c r="BX44" s="63"/>
      <c r="BY44" s="352"/>
      <c r="BZ44" s="14"/>
      <c r="CA44" s="210"/>
      <c r="CB44" s="211"/>
      <c r="CC44" s="515"/>
      <c r="CD44" s="515"/>
      <c r="CE44" s="515"/>
      <c r="CF44" s="515"/>
      <c r="CG44" s="515"/>
      <c r="CH44" s="515"/>
      <c r="CI44" s="515"/>
      <c r="CJ44" s="515"/>
      <c r="CK44" s="515"/>
      <c r="CL44" s="515"/>
      <c r="CM44" s="515"/>
      <c r="CN44" s="515"/>
      <c r="CO44" s="515"/>
      <c r="CP44" s="14"/>
      <c r="CQ44" s="47"/>
      <c r="CR44" s="14"/>
      <c r="CS44" s="71"/>
      <c r="CT44" s="71"/>
      <c r="CU44" s="516"/>
      <c r="CV44" s="516"/>
      <c r="CW44" s="516"/>
      <c r="CX44" s="516"/>
      <c r="CY44" s="516"/>
      <c r="CZ44" s="516"/>
      <c r="DA44" s="516"/>
      <c r="DB44" s="516"/>
      <c r="DC44" s="516"/>
      <c r="DD44" s="516"/>
      <c r="DE44" s="516"/>
      <c r="DF44" s="516"/>
      <c r="DG44" s="516"/>
      <c r="DH44" s="14"/>
      <c r="DI44" s="47"/>
      <c r="DJ44" s="14"/>
      <c r="DK44" s="14"/>
      <c r="DL44" s="14"/>
      <c r="DM44" s="14"/>
      <c r="DN44" s="14"/>
      <c r="DO44" s="14"/>
      <c r="DP44" s="524" t="s">
        <v>755</v>
      </c>
      <c r="DQ44" s="542"/>
      <c r="DR44" s="542"/>
      <c r="DS44" s="525"/>
      <c r="DT44" s="128"/>
      <c r="DU44" s="128"/>
      <c r="DV44" s="128"/>
      <c r="DW44" s="128"/>
      <c r="DX44" s="128"/>
      <c r="DY44" s="128"/>
      <c r="DZ44" s="14"/>
      <c r="EA44" s="14"/>
      <c r="EB44" s="14"/>
      <c r="EC44" s="14"/>
      <c r="ED44" s="14"/>
      <c r="EE44" s="14"/>
      <c r="EF44" s="14"/>
      <c r="EG44" s="14"/>
      <c r="EH44" s="14"/>
      <c r="EI44" s="14"/>
      <c r="EJ44" s="14"/>
      <c r="EK44" s="14"/>
      <c r="EL44" s="14"/>
    </row>
    <row r="45" spans="1:142" ht="28.5" customHeight="1" x14ac:dyDescent="0.25">
      <c r="A45" s="14"/>
      <c r="B45" s="211"/>
      <c r="C45" s="265"/>
      <c r="D45" s="265"/>
      <c r="E45" s="265"/>
      <c r="F45" s="265"/>
      <c r="G45" s="526"/>
      <c r="H45" s="543"/>
      <c r="I45" s="543"/>
      <c r="J45" s="527"/>
      <c r="K45" s="14"/>
      <c r="L45" s="14"/>
      <c r="M45" s="14"/>
      <c r="N45" s="14"/>
      <c r="O45" s="14"/>
      <c r="P45" s="14"/>
      <c r="Q45" s="47"/>
      <c r="R45" s="19"/>
      <c r="S45" s="19"/>
      <c r="T45" s="19"/>
      <c r="U45" s="50"/>
      <c r="V45" s="19"/>
      <c r="W45" s="50"/>
      <c r="X45" s="526"/>
      <c r="Y45" s="543"/>
      <c r="Z45" s="543"/>
      <c r="AA45" s="527"/>
      <c r="AB45" s="14"/>
      <c r="AC45" s="14"/>
      <c r="AD45" s="65"/>
      <c r="AE45" s="63"/>
      <c r="AF45" s="47"/>
      <c r="AG45" s="19"/>
      <c r="AH45" s="19"/>
      <c r="AI45" s="19"/>
      <c r="AJ45" s="50"/>
      <c r="AK45" s="19"/>
      <c r="AL45" s="50"/>
      <c r="AM45" s="526"/>
      <c r="AN45" s="543"/>
      <c r="AO45" s="543"/>
      <c r="AP45" s="527"/>
      <c r="AQ45" s="14"/>
      <c r="AR45" s="14"/>
      <c r="AS45" s="65"/>
      <c r="AT45" s="63"/>
      <c r="AU45" s="47"/>
      <c r="AV45" s="14"/>
      <c r="AW45" s="19"/>
      <c r="AX45" s="19"/>
      <c r="AY45" s="50"/>
      <c r="AZ45" s="19"/>
      <c r="BA45" s="526"/>
      <c r="BB45" s="543"/>
      <c r="BC45" s="543"/>
      <c r="BD45" s="527"/>
      <c r="BE45" s="14"/>
      <c r="BF45" s="14"/>
      <c r="BG45" s="14"/>
      <c r="BH45" s="65"/>
      <c r="BI45" s="63"/>
      <c r="BJ45" s="352"/>
      <c r="BK45" s="19"/>
      <c r="BL45" s="19"/>
      <c r="BM45" s="19"/>
      <c r="BN45" s="50"/>
      <c r="BO45" s="19"/>
      <c r="BP45" s="50"/>
      <c r="BQ45" s="526"/>
      <c r="BR45" s="543"/>
      <c r="BS45" s="543"/>
      <c r="BT45" s="527"/>
      <c r="BU45" s="14"/>
      <c r="BV45" s="14"/>
      <c r="BW45" s="65"/>
      <c r="BX45" s="63"/>
      <c r="BY45" s="352"/>
      <c r="BZ45" s="14"/>
      <c r="CA45" s="210"/>
      <c r="CB45" s="211"/>
      <c r="CC45" s="515"/>
      <c r="CD45" s="515"/>
      <c r="CE45" s="515"/>
      <c r="CF45" s="515"/>
      <c r="CG45" s="515"/>
      <c r="CH45" s="515"/>
      <c r="CI45" s="515"/>
      <c r="CJ45" s="515"/>
      <c r="CK45" s="515"/>
      <c r="CL45" s="515"/>
      <c r="CM45" s="515"/>
      <c r="CN45" s="515"/>
      <c r="CO45" s="515"/>
      <c r="CP45" s="14"/>
      <c r="CQ45" s="47"/>
      <c r="CR45" s="14"/>
      <c r="CS45" s="71"/>
      <c r="CT45" s="71"/>
      <c r="CU45" s="516"/>
      <c r="CV45" s="516"/>
      <c r="CW45" s="516"/>
      <c r="CX45" s="516"/>
      <c r="CY45" s="516"/>
      <c r="CZ45" s="516"/>
      <c r="DA45" s="516"/>
      <c r="DB45" s="516"/>
      <c r="DC45" s="516"/>
      <c r="DD45" s="516"/>
      <c r="DE45" s="516"/>
      <c r="DF45" s="516"/>
      <c r="DG45" s="516"/>
      <c r="DH45" s="14"/>
      <c r="DI45" s="47"/>
      <c r="DJ45" s="14"/>
      <c r="DK45" s="14"/>
      <c r="DL45" s="14"/>
      <c r="DM45" s="14"/>
      <c r="DN45" s="14"/>
      <c r="DO45" s="14"/>
      <c r="DP45" s="526"/>
      <c r="DQ45" s="543"/>
      <c r="DR45" s="543"/>
      <c r="DS45" s="527"/>
      <c r="DT45" s="128"/>
      <c r="DU45" s="128"/>
      <c r="DV45" s="128"/>
      <c r="DW45" s="128"/>
      <c r="DX45" s="128"/>
      <c r="DY45" s="128"/>
      <c r="DZ45" s="14"/>
      <c r="EA45" s="14"/>
      <c r="EB45" s="14"/>
      <c r="EC45" s="14"/>
      <c r="ED45" s="14"/>
      <c r="EE45" s="14"/>
      <c r="EF45" s="14"/>
      <c r="EG45" s="14"/>
      <c r="EH45" s="14"/>
      <c r="EI45" s="14"/>
      <c r="EJ45" s="14"/>
      <c r="EK45" s="14"/>
      <c r="EL45" s="14"/>
    </row>
    <row r="46" spans="1:142" ht="15.75" customHeight="1" x14ac:dyDescent="0.25">
      <c r="A46" s="14"/>
      <c r="B46" s="211"/>
      <c r="C46" s="265"/>
      <c r="D46" s="265"/>
      <c r="E46" s="265"/>
      <c r="F46" s="265"/>
      <c r="G46" s="526"/>
      <c r="H46" s="543"/>
      <c r="I46" s="543"/>
      <c r="J46" s="527"/>
      <c r="K46" s="14"/>
      <c r="L46" s="14"/>
      <c r="M46" s="14"/>
      <c r="N46" s="14"/>
      <c r="O46" s="14"/>
      <c r="P46" s="14"/>
      <c r="Q46" s="47"/>
      <c r="R46" s="19"/>
      <c r="S46" s="19"/>
      <c r="T46" s="19"/>
      <c r="U46" s="50"/>
      <c r="V46" s="19"/>
      <c r="W46" s="50"/>
      <c r="X46" s="526"/>
      <c r="Y46" s="543"/>
      <c r="Z46" s="543"/>
      <c r="AA46" s="527"/>
      <c r="AB46" s="14"/>
      <c r="AC46" s="14"/>
      <c r="AD46" s="65"/>
      <c r="AE46" s="63"/>
      <c r="AF46" s="47"/>
      <c r="AG46" s="19"/>
      <c r="AH46" s="19"/>
      <c r="AI46" s="19"/>
      <c r="AJ46" s="50"/>
      <c r="AK46" s="19"/>
      <c r="AL46" s="50"/>
      <c r="AM46" s="526"/>
      <c r="AN46" s="543"/>
      <c r="AO46" s="543"/>
      <c r="AP46" s="527"/>
      <c r="AQ46" s="14"/>
      <c r="AR46" s="14"/>
      <c r="AS46" s="65"/>
      <c r="AT46" s="63"/>
      <c r="AU46" s="47"/>
      <c r="AV46" s="14"/>
      <c r="AW46" s="19"/>
      <c r="AX46" s="19"/>
      <c r="AY46" s="50"/>
      <c r="AZ46" s="19"/>
      <c r="BA46" s="526"/>
      <c r="BB46" s="543"/>
      <c r="BC46" s="543"/>
      <c r="BD46" s="527"/>
      <c r="BE46" s="14"/>
      <c r="BF46" s="14"/>
      <c r="BG46" s="14"/>
      <c r="BH46" s="65"/>
      <c r="BI46" s="63"/>
      <c r="BJ46" s="352"/>
      <c r="BK46" s="19"/>
      <c r="BL46" s="19"/>
      <c r="BM46" s="19"/>
      <c r="BN46" s="50"/>
      <c r="BO46" s="19"/>
      <c r="BP46" s="50"/>
      <c r="BQ46" s="526"/>
      <c r="BR46" s="543"/>
      <c r="BS46" s="543"/>
      <c r="BT46" s="527"/>
      <c r="BU46" s="14"/>
      <c r="BV46" s="14"/>
      <c r="BW46" s="65"/>
      <c r="BX46" s="63"/>
      <c r="BY46" s="352"/>
      <c r="BZ46" s="14"/>
      <c r="CA46" s="210"/>
      <c r="CB46" s="211"/>
      <c r="CC46" s="515"/>
      <c r="CD46" s="515"/>
      <c r="CE46" s="515"/>
      <c r="CF46" s="515"/>
      <c r="CG46" s="515"/>
      <c r="CH46" s="515"/>
      <c r="CI46" s="515"/>
      <c r="CJ46" s="515"/>
      <c r="CK46" s="515"/>
      <c r="CL46" s="515"/>
      <c r="CM46" s="515"/>
      <c r="CN46" s="515"/>
      <c r="CO46" s="515"/>
      <c r="CP46" s="14"/>
      <c r="CQ46" s="47"/>
      <c r="CR46" s="14"/>
      <c r="CS46" s="71"/>
      <c r="CT46" s="71"/>
      <c r="CU46" s="516"/>
      <c r="CV46" s="516"/>
      <c r="CW46" s="516"/>
      <c r="CX46" s="516"/>
      <c r="CY46" s="516"/>
      <c r="CZ46" s="516"/>
      <c r="DA46" s="516"/>
      <c r="DB46" s="516"/>
      <c r="DC46" s="516"/>
      <c r="DD46" s="516"/>
      <c r="DE46" s="516"/>
      <c r="DF46" s="516"/>
      <c r="DG46" s="516"/>
      <c r="DH46" s="14"/>
      <c r="DI46" s="47"/>
      <c r="DJ46" s="14"/>
      <c r="DK46" s="14"/>
      <c r="DL46" s="14"/>
      <c r="DM46" s="14"/>
      <c r="DN46" s="14"/>
      <c r="DO46" s="14"/>
      <c r="DP46" s="526"/>
      <c r="DQ46" s="543"/>
      <c r="DR46" s="543"/>
      <c r="DS46" s="527"/>
      <c r="DT46" s="128"/>
      <c r="DU46" s="128"/>
      <c r="DV46" s="128"/>
      <c r="DW46" s="128"/>
      <c r="DX46" s="128"/>
      <c r="DY46" s="128"/>
      <c r="DZ46" s="14"/>
      <c r="EA46" s="14"/>
      <c r="EB46" s="14"/>
      <c r="EC46" s="14"/>
      <c r="ED46" s="14"/>
      <c r="EE46" s="14"/>
      <c r="EF46" s="14"/>
      <c r="EG46" s="14"/>
      <c r="EH46" s="14"/>
      <c r="EI46" s="14"/>
      <c r="EJ46" s="14"/>
      <c r="EK46" s="14"/>
      <c r="EL46" s="14"/>
    </row>
    <row r="47" spans="1:142" ht="15.75" customHeight="1" x14ac:dyDescent="0.25">
      <c r="A47" s="14"/>
      <c r="B47" s="211"/>
      <c r="C47" s="265"/>
      <c r="D47" s="265"/>
      <c r="E47" s="265"/>
      <c r="F47" s="265"/>
      <c r="G47" s="528"/>
      <c r="H47" s="544"/>
      <c r="I47" s="544"/>
      <c r="J47" s="529"/>
      <c r="K47" s="14"/>
      <c r="L47" s="14"/>
      <c r="M47" s="14"/>
      <c r="N47" s="14"/>
      <c r="O47" s="14"/>
      <c r="P47" s="14"/>
      <c r="Q47" s="47"/>
      <c r="R47" s="19"/>
      <c r="S47" s="34"/>
      <c r="T47" s="33"/>
      <c r="U47" s="517"/>
      <c r="V47" s="517"/>
      <c r="W47" s="53"/>
      <c r="X47" s="528"/>
      <c r="Y47" s="544"/>
      <c r="Z47" s="544"/>
      <c r="AA47" s="529"/>
      <c r="AB47" s="14"/>
      <c r="AC47" s="14"/>
      <c r="AD47" s="65"/>
      <c r="AE47" s="63"/>
      <c r="AF47" s="47"/>
      <c r="AG47" s="19"/>
      <c r="AH47" s="34"/>
      <c r="AI47" s="33"/>
      <c r="AJ47" s="517"/>
      <c r="AK47" s="517"/>
      <c r="AL47" s="53"/>
      <c r="AM47" s="528"/>
      <c r="AN47" s="544"/>
      <c r="AO47" s="544"/>
      <c r="AP47" s="529"/>
      <c r="AQ47" s="14"/>
      <c r="AR47" s="14"/>
      <c r="AS47" s="65"/>
      <c r="AT47" s="63"/>
      <c r="AU47" s="47"/>
      <c r="AV47" s="14"/>
      <c r="AW47" s="34"/>
      <c r="AX47" s="33"/>
      <c r="AY47" s="517"/>
      <c r="AZ47" s="517"/>
      <c r="BA47" s="528"/>
      <c r="BB47" s="544"/>
      <c r="BC47" s="544"/>
      <c r="BD47" s="529"/>
      <c r="BE47" s="14"/>
      <c r="BF47" s="14"/>
      <c r="BG47" s="14"/>
      <c r="BH47" s="65"/>
      <c r="BI47" s="63"/>
      <c r="BJ47" s="352"/>
      <c r="BK47" s="19"/>
      <c r="BL47" s="34"/>
      <c r="BM47" s="33"/>
      <c r="BN47" s="517"/>
      <c r="BO47" s="517"/>
      <c r="BP47" s="53"/>
      <c r="BQ47" s="528"/>
      <c r="BR47" s="544"/>
      <c r="BS47" s="544"/>
      <c r="BT47" s="529"/>
      <c r="BU47" s="14"/>
      <c r="BV47" s="14"/>
      <c r="BW47" s="65"/>
      <c r="BX47" s="63"/>
      <c r="BY47" s="352"/>
      <c r="BZ47" s="14"/>
      <c r="CA47" s="210"/>
      <c r="CB47" s="211"/>
      <c r="CC47" s="515"/>
      <c r="CD47" s="515"/>
      <c r="CE47" s="515"/>
      <c r="CF47" s="515"/>
      <c r="CG47" s="515"/>
      <c r="CH47" s="515"/>
      <c r="CI47" s="515"/>
      <c r="CJ47" s="515"/>
      <c r="CK47" s="515"/>
      <c r="CL47" s="515"/>
      <c r="CM47" s="515"/>
      <c r="CN47" s="515"/>
      <c r="CO47" s="515"/>
      <c r="CP47" s="14"/>
      <c r="CQ47" s="47"/>
      <c r="CR47" s="14"/>
      <c r="CS47" s="71"/>
      <c r="CT47" s="71"/>
      <c r="CU47" s="516"/>
      <c r="CV47" s="516"/>
      <c r="CW47" s="516"/>
      <c r="CX47" s="516"/>
      <c r="CY47" s="516"/>
      <c r="CZ47" s="516"/>
      <c r="DA47" s="516"/>
      <c r="DB47" s="516"/>
      <c r="DC47" s="516"/>
      <c r="DD47" s="516"/>
      <c r="DE47" s="516"/>
      <c r="DF47" s="516"/>
      <c r="DG47" s="516"/>
      <c r="DH47" s="14"/>
      <c r="DI47" s="47"/>
      <c r="DJ47" s="14"/>
      <c r="DK47" s="14"/>
      <c r="DL47" s="14"/>
      <c r="DM47" s="14"/>
      <c r="DN47" s="14"/>
      <c r="DO47" s="14"/>
      <c r="DP47" s="528"/>
      <c r="DQ47" s="544"/>
      <c r="DR47" s="544"/>
      <c r="DS47" s="529"/>
      <c r="DT47" s="2"/>
      <c r="DU47" s="14"/>
      <c r="DV47" s="14"/>
      <c r="DW47" s="14"/>
      <c r="DX47" s="14"/>
      <c r="DY47" s="14"/>
      <c r="DZ47" s="14"/>
      <c r="EA47" s="14"/>
      <c r="EB47" s="14"/>
      <c r="EC47" s="14"/>
      <c r="ED47" s="14"/>
      <c r="EE47" s="14"/>
      <c r="EF47" s="14"/>
      <c r="EG47" s="14"/>
      <c r="EH47" s="14"/>
      <c r="EI47" s="14"/>
      <c r="EJ47" s="14"/>
      <c r="EK47" s="14"/>
      <c r="EL47" s="14"/>
    </row>
    <row r="48" spans="1:142" ht="15" customHeight="1" x14ac:dyDescent="0.25">
      <c r="A48" s="14"/>
      <c r="B48" s="211"/>
      <c r="C48" s="265"/>
      <c r="D48" s="265"/>
      <c r="E48" s="265"/>
      <c r="F48" s="265"/>
      <c r="G48" s="23"/>
      <c r="H48" s="18"/>
      <c r="I48" s="27"/>
      <c r="J48" s="14"/>
      <c r="K48" s="14"/>
      <c r="L48" s="14"/>
      <c r="M48" s="14"/>
      <c r="N48" s="14"/>
      <c r="O48" s="14"/>
      <c r="P48" s="14"/>
      <c r="Q48" s="47"/>
      <c r="R48" s="19"/>
      <c r="S48" s="14"/>
      <c r="T48" s="14"/>
      <c r="U48" s="14"/>
      <c r="V48" s="14"/>
      <c r="W48" s="14"/>
      <c r="X48" s="14"/>
      <c r="Y48" s="14"/>
      <c r="Z48" s="14"/>
      <c r="AA48" s="14"/>
      <c r="AB48" s="14"/>
      <c r="AC48" s="14"/>
      <c r="AD48" s="65"/>
      <c r="AE48" s="63"/>
      <c r="AF48" s="47"/>
      <c r="AG48" s="19"/>
      <c r="AH48" s="14"/>
      <c r="AI48" s="14"/>
      <c r="AJ48" s="14"/>
      <c r="AK48" s="14"/>
      <c r="AL48" s="14"/>
      <c r="AM48" s="14"/>
      <c r="AN48" s="14"/>
      <c r="AO48" s="14"/>
      <c r="AP48" s="14"/>
      <c r="AQ48" s="14"/>
      <c r="AR48" s="14"/>
      <c r="AS48" s="65"/>
      <c r="AT48" s="63"/>
      <c r="AU48" s="47"/>
      <c r="AV48" s="14"/>
      <c r="AW48" s="14"/>
      <c r="AX48" s="14"/>
      <c r="AY48" s="14"/>
      <c r="AZ48" s="14"/>
      <c r="BA48" s="14"/>
      <c r="BB48" s="14"/>
      <c r="BC48" s="14"/>
      <c r="BD48" s="14"/>
      <c r="BE48" s="14"/>
      <c r="BF48" s="14"/>
      <c r="BG48" s="14"/>
      <c r="BH48" s="65"/>
      <c r="BI48" s="63"/>
      <c r="BJ48" s="352"/>
      <c r="BK48" s="19"/>
      <c r="BL48" s="14"/>
      <c r="BM48" s="14"/>
      <c r="BN48" s="14"/>
      <c r="BO48" s="14"/>
      <c r="BP48" s="14"/>
      <c r="BQ48" s="14"/>
      <c r="BR48" s="14"/>
      <c r="BS48" s="14"/>
      <c r="BT48" s="14"/>
      <c r="BU48" s="14"/>
      <c r="BV48" s="14"/>
      <c r="BW48" s="65"/>
      <c r="BX48" s="63"/>
      <c r="BY48" s="352"/>
      <c r="BZ48" s="14"/>
      <c r="CA48" s="210"/>
      <c r="CB48" s="211"/>
      <c r="CC48" s="515"/>
      <c r="CD48" s="515"/>
      <c r="CE48" s="515"/>
      <c r="CF48" s="515"/>
      <c r="CG48" s="515"/>
      <c r="CH48" s="515"/>
      <c r="CI48" s="515"/>
      <c r="CJ48" s="515"/>
      <c r="CK48" s="515"/>
      <c r="CL48" s="515"/>
      <c r="CM48" s="515"/>
      <c r="CN48" s="515"/>
      <c r="CO48" s="515"/>
      <c r="CP48" s="14"/>
      <c r="CQ48" s="47"/>
      <c r="CR48" s="14"/>
      <c r="CS48" s="71"/>
      <c r="CT48" s="71"/>
      <c r="CU48" s="516"/>
      <c r="CV48" s="516"/>
      <c r="CW48" s="516"/>
      <c r="CX48" s="516"/>
      <c r="CY48" s="516"/>
      <c r="CZ48" s="516"/>
      <c r="DA48" s="516"/>
      <c r="DB48" s="516"/>
      <c r="DC48" s="516"/>
      <c r="DD48" s="516"/>
      <c r="DE48" s="516"/>
      <c r="DF48" s="516"/>
      <c r="DG48" s="516"/>
      <c r="DH48" s="14"/>
      <c r="DI48" s="47"/>
      <c r="DJ48" s="14"/>
      <c r="DK48" s="14"/>
      <c r="DL48" s="14"/>
      <c r="DM48" s="14"/>
      <c r="DN48" s="14"/>
      <c r="DO48" s="14"/>
      <c r="DP48" s="14"/>
      <c r="DQ48" s="14"/>
      <c r="DR48" s="2"/>
      <c r="DS48" s="2"/>
      <c r="DT48" s="2"/>
      <c r="DU48" s="14"/>
      <c r="DV48" s="14"/>
      <c r="DW48" s="14"/>
      <c r="DX48" s="14"/>
      <c r="DY48" s="14"/>
      <c r="DZ48" s="14"/>
      <c r="EA48" s="14"/>
      <c r="EB48" s="14"/>
      <c r="EC48" s="14"/>
      <c r="ED48" s="14"/>
      <c r="EE48" s="14"/>
      <c r="EF48" s="14"/>
      <c r="EG48" s="14"/>
      <c r="EH48" s="14"/>
      <c r="EI48" s="14"/>
      <c r="EJ48" s="14"/>
      <c r="EK48" s="14"/>
      <c r="EL48" s="14"/>
    </row>
    <row r="49" spans="1:142" x14ac:dyDescent="0.25">
      <c r="A49" s="14"/>
      <c r="B49" s="211"/>
      <c r="C49" s="265"/>
      <c r="D49" s="265"/>
      <c r="E49" s="265"/>
      <c r="F49" s="265"/>
      <c r="G49" s="14"/>
      <c r="H49" s="21"/>
      <c r="I49" s="21"/>
      <c r="J49" s="14"/>
      <c r="K49" s="14"/>
      <c r="L49" s="14"/>
      <c r="M49" s="14"/>
      <c r="N49" s="14"/>
      <c r="O49" s="14"/>
      <c r="P49" s="14"/>
      <c r="Q49" s="47"/>
      <c r="R49" s="19"/>
      <c r="S49" s="14"/>
      <c r="T49" s="14"/>
      <c r="U49" s="14"/>
      <c r="V49" s="14"/>
      <c r="W49" s="14"/>
      <c r="X49" s="14"/>
      <c r="Y49" s="14"/>
      <c r="Z49" s="14"/>
      <c r="AA49" s="14"/>
      <c r="AB49" s="14"/>
      <c r="AC49" s="14"/>
      <c r="AD49" s="65"/>
      <c r="AE49" s="63"/>
      <c r="AF49" s="47"/>
      <c r="AG49" s="19"/>
      <c r="AH49" s="14"/>
      <c r="AI49" s="14"/>
      <c r="AJ49" s="14"/>
      <c r="AK49" s="14"/>
      <c r="AL49" s="14"/>
      <c r="AM49" s="14"/>
      <c r="AN49" s="14"/>
      <c r="AO49" s="14"/>
      <c r="AP49" s="14"/>
      <c r="AQ49" s="14"/>
      <c r="AR49" s="14"/>
      <c r="AS49" s="65"/>
      <c r="AT49" s="63"/>
      <c r="AU49" s="47"/>
      <c r="AV49" s="14"/>
      <c r="AW49" s="14"/>
      <c r="AX49" s="14"/>
      <c r="AY49" s="14"/>
      <c r="AZ49" s="14"/>
      <c r="BA49" s="14"/>
      <c r="BB49" s="14"/>
      <c r="BC49" s="14"/>
      <c r="BD49" s="14"/>
      <c r="BE49" s="14"/>
      <c r="BF49" s="14"/>
      <c r="BG49" s="14"/>
      <c r="BH49" s="65"/>
      <c r="BI49" s="63"/>
      <c r="BJ49" s="352"/>
      <c r="BK49" s="19"/>
      <c r="BL49" s="14"/>
      <c r="BM49" s="14"/>
      <c r="BN49" s="14"/>
      <c r="BO49" s="14"/>
      <c r="BP49" s="14"/>
      <c r="BQ49" s="14"/>
      <c r="BR49" s="14"/>
      <c r="BS49" s="14"/>
      <c r="BT49" s="14"/>
      <c r="BU49" s="14"/>
      <c r="BV49" s="14"/>
      <c r="BW49" s="65"/>
      <c r="BX49" s="63"/>
      <c r="BY49" s="352"/>
      <c r="BZ49" s="14"/>
      <c r="CA49" s="210"/>
      <c r="CB49" s="211"/>
      <c r="CC49" s="515"/>
      <c r="CD49" s="515"/>
      <c r="CE49" s="515"/>
      <c r="CF49" s="515"/>
      <c r="CG49" s="515"/>
      <c r="CH49" s="515"/>
      <c r="CI49" s="515"/>
      <c r="CJ49" s="515"/>
      <c r="CK49" s="515"/>
      <c r="CL49" s="515"/>
      <c r="CM49" s="515"/>
      <c r="CN49" s="515"/>
      <c r="CO49" s="515"/>
      <c r="CP49" s="14"/>
      <c r="CQ49" s="47"/>
      <c r="CR49" s="14"/>
      <c r="CS49" s="71"/>
      <c r="CT49" s="71"/>
      <c r="CU49" s="516"/>
      <c r="CV49" s="516"/>
      <c r="CW49" s="516"/>
      <c r="CX49" s="516"/>
      <c r="CY49" s="516"/>
      <c r="CZ49" s="516"/>
      <c r="DA49" s="516"/>
      <c r="DB49" s="516"/>
      <c r="DC49" s="516"/>
      <c r="DD49" s="516"/>
      <c r="DE49" s="516"/>
      <c r="DF49" s="516"/>
      <c r="DG49" s="516"/>
      <c r="DH49" s="14"/>
      <c r="DI49" s="47"/>
      <c r="DJ49" s="14"/>
      <c r="DK49" s="14"/>
      <c r="DL49" s="14"/>
      <c r="DM49" s="14"/>
      <c r="DN49" s="14"/>
      <c r="DO49" s="14"/>
      <c r="DP49" s="14"/>
      <c r="DQ49" s="14"/>
      <c r="DR49" s="2"/>
      <c r="DS49" s="2"/>
      <c r="DT49" s="2"/>
      <c r="DU49" s="14"/>
      <c r="DV49" s="14"/>
      <c r="DW49" s="14"/>
      <c r="DX49" s="14"/>
      <c r="DY49" s="14"/>
      <c r="DZ49" s="14"/>
      <c r="EA49" s="14"/>
      <c r="EB49" s="14"/>
      <c r="EC49" s="14"/>
      <c r="ED49" s="14"/>
      <c r="EE49" s="14"/>
      <c r="EF49" s="14"/>
      <c r="EG49" s="14"/>
      <c r="EH49" s="14"/>
      <c r="EI49" s="14"/>
      <c r="EJ49" s="14"/>
      <c r="EK49" s="14"/>
      <c r="EL49" s="14"/>
    </row>
    <row r="50" spans="1:142" x14ac:dyDescent="0.25">
      <c r="A50" s="14"/>
      <c r="B50" s="211"/>
      <c r="C50" s="265"/>
      <c r="D50" s="265"/>
      <c r="E50" s="265"/>
      <c r="F50" s="265"/>
      <c r="G50" s="19"/>
      <c r="H50" s="27"/>
      <c r="I50" s="21"/>
      <c r="J50" s="14"/>
      <c r="K50" s="14"/>
      <c r="L50" s="14"/>
      <c r="M50" s="14"/>
      <c r="N50" s="14"/>
      <c r="O50" s="14"/>
      <c r="P50" s="14"/>
      <c r="Q50" s="47"/>
      <c r="R50" s="19"/>
      <c r="S50" s="14"/>
      <c r="T50" s="14"/>
      <c r="U50" s="14"/>
      <c r="V50" s="14"/>
      <c r="W50" s="14"/>
      <c r="X50" s="14"/>
      <c r="Y50" s="14"/>
      <c r="Z50" s="14"/>
      <c r="AA50" s="14"/>
      <c r="AB50" s="14"/>
      <c r="AC50" s="14"/>
      <c r="AD50" s="65"/>
      <c r="AE50" s="63"/>
      <c r="AF50" s="47"/>
      <c r="AG50" s="19"/>
      <c r="AH50" s="14"/>
      <c r="AI50" s="14"/>
      <c r="AJ50" s="14"/>
      <c r="AK50" s="14"/>
      <c r="AL50" s="14"/>
      <c r="AM50" s="14"/>
      <c r="AN50" s="14"/>
      <c r="AO50" s="14"/>
      <c r="AP50" s="14"/>
      <c r="AQ50" s="14"/>
      <c r="AR50" s="14"/>
      <c r="AS50" s="65"/>
      <c r="AT50" s="63"/>
      <c r="AU50" s="47"/>
      <c r="AV50" s="14"/>
      <c r="AW50" s="14"/>
      <c r="AX50" s="14"/>
      <c r="AY50" s="14"/>
      <c r="AZ50" s="14"/>
      <c r="BA50" s="14"/>
      <c r="BB50" s="14"/>
      <c r="BC50" s="14"/>
      <c r="BD50" s="14"/>
      <c r="BE50" s="14"/>
      <c r="BF50" s="14"/>
      <c r="BG50" s="14"/>
      <c r="BH50" s="65"/>
      <c r="BI50" s="63"/>
      <c r="BJ50" s="352"/>
      <c r="BK50" s="19"/>
      <c r="BL50" s="14"/>
      <c r="BM50" s="14"/>
      <c r="BN50" s="14"/>
      <c r="BO50" s="14"/>
      <c r="BP50" s="14"/>
      <c r="BQ50" s="14"/>
      <c r="BR50" s="14"/>
      <c r="BS50" s="14"/>
      <c r="BT50" s="14"/>
      <c r="BU50" s="14"/>
      <c r="BV50" s="14"/>
      <c r="BW50" s="65"/>
      <c r="BX50" s="63"/>
      <c r="BY50" s="352"/>
      <c r="BZ50" s="14"/>
      <c r="CA50" s="210"/>
      <c r="CB50" s="211"/>
      <c r="CC50" s="515"/>
      <c r="CD50" s="515"/>
      <c r="CE50" s="515"/>
      <c r="CF50" s="515"/>
      <c r="CG50" s="515"/>
      <c r="CH50" s="515"/>
      <c r="CI50" s="515"/>
      <c r="CJ50" s="515"/>
      <c r="CK50" s="515"/>
      <c r="CL50" s="515"/>
      <c r="CM50" s="515"/>
      <c r="CN50" s="515"/>
      <c r="CO50" s="515"/>
      <c r="CP50" s="14"/>
      <c r="CQ50" s="47"/>
      <c r="CR50" s="14"/>
      <c r="CS50" s="71"/>
      <c r="CT50" s="71"/>
      <c r="CU50" s="516"/>
      <c r="CV50" s="516"/>
      <c r="CW50" s="516"/>
      <c r="CX50" s="516"/>
      <c r="CY50" s="516"/>
      <c r="CZ50" s="516"/>
      <c r="DA50" s="516"/>
      <c r="DB50" s="516"/>
      <c r="DC50" s="516"/>
      <c r="DD50" s="516"/>
      <c r="DE50" s="516"/>
      <c r="DF50" s="516"/>
      <c r="DG50" s="516"/>
      <c r="DH50" s="14"/>
      <c r="DI50" s="47"/>
      <c r="DJ50" s="14"/>
      <c r="DK50" s="14"/>
      <c r="DL50" s="14"/>
      <c r="DM50" s="14"/>
      <c r="DN50" s="14"/>
      <c r="DO50" s="14"/>
      <c r="DP50" s="14"/>
      <c r="DQ50" s="14"/>
      <c r="DR50" s="2"/>
      <c r="DS50" s="2"/>
      <c r="DT50" s="2"/>
      <c r="DU50" s="14"/>
      <c r="DV50" s="14"/>
      <c r="DW50" s="14"/>
      <c r="DX50" s="14"/>
      <c r="DY50" s="14"/>
      <c r="DZ50" s="14"/>
      <c r="EA50" s="14"/>
      <c r="EB50" s="14"/>
      <c r="EC50" s="14"/>
      <c r="ED50" s="14"/>
      <c r="EE50" s="14"/>
      <c r="EF50" s="14"/>
      <c r="EG50" s="14"/>
      <c r="EH50" s="14"/>
      <c r="EI50" s="14"/>
      <c r="EJ50" s="14"/>
      <c r="EK50" s="14"/>
      <c r="EL50" s="14"/>
    </row>
    <row r="51" spans="1:142" x14ac:dyDescent="0.25">
      <c r="A51" s="14"/>
      <c r="B51" s="14"/>
      <c r="C51" s="14"/>
      <c r="D51" s="21"/>
      <c r="E51" s="14"/>
      <c r="F51" s="19"/>
      <c r="G51" s="19"/>
      <c r="H51" s="27"/>
      <c r="I51" s="21"/>
      <c r="J51" s="14"/>
      <c r="K51" s="14"/>
      <c r="L51" s="14"/>
      <c r="M51" s="14"/>
      <c r="N51" s="14"/>
      <c r="O51" s="14"/>
      <c r="P51" s="14"/>
      <c r="Q51" s="47"/>
      <c r="R51" s="19"/>
      <c r="S51" s="14"/>
      <c r="T51" s="14"/>
      <c r="U51" s="14"/>
      <c r="V51" s="14"/>
      <c r="W51" s="14"/>
      <c r="X51" s="14"/>
      <c r="Y51" s="14"/>
      <c r="Z51" s="14"/>
      <c r="AA51" s="14"/>
      <c r="AB51" s="14"/>
      <c r="AC51" s="14"/>
      <c r="AD51" s="65"/>
      <c r="AE51" s="63"/>
      <c r="AF51" s="47"/>
      <c r="AG51" s="19"/>
      <c r="AH51" s="14"/>
      <c r="AI51" s="14"/>
      <c r="AJ51" s="14"/>
      <c r="AK51" s="14"/>
      <c r="AL51" s="14"/>
      <c r="AM51" s="14"/>
      <c r="AN51" s="14"/>
      <c r="AO51" s="14"/>
      <c r="AP51" s="14"/>
      <c r="AQ51" s="14"/>
      <c r="AR51" s="14"/>
      <c r="AS51" s="65"/>
      <c r="AT51" s="63"/>
      <c r="AU51" s="47"/>
      <c r="AV51" s="14"/>
      <c r="AW51" s="14"/>
      <c r="AX51" s="14"/>
      <c r="AY51" s="14"/>
      <c r="AZ51" s="14"/>
      <c r="BA51" s="14"/>
      <c r="BB51" s="14"/>
      <c r="BC51" s="14"/>
      <c r="BD51" s="14"/>
      <c r="BE51" s="14"/>
      <c r="BF51" s="14"/>
      <c r="BG51" s="14"/>
      <c r="BH51" s="65"/>
      <c r="BI51" s="63"/>
      <c r="BJ51" s="352"/>
      <c r="BK51" s="19"/>
      <c r="BL51" s="14"/>
      <c r="BM51" s="14"/>
      <c r="BN51" s="14"/>
      <c r="BO51" s="14"/>
      <c r="BP51" s="14"/>
      <c r="BQ51" s="14"/>
      <c r="BR51" s="14"/>
      <c r="BS51" s="14"/>
      <c r="BT51" s="14"/>
      <c r="BU51" s="14"/>
      <c r="BV51" s="14"/>
      <c r="BW51" s="65"/>
      <c r="BX51" s="63"/>
      <c r="BY51" s="352"/>
      <c r="BZ51" s="14"/>
      <c r="CA51" s="14"/>
      <c r="CB51" s="21"/>
      <c r="CC51" s="21"/>
      <c r="CD51" s="21"/>
      <c r="CE51" s="21"/>
      <c r="CF51" s="21"/>
      <c r="CG51" s="14"/>
      <c r="CH51" s="71"/>
      <c r="CI51" s="71"/>
      <c r="CJ51" s="71"/>
      <c r="CK51" s="14"/>
      <c r="CL51" s="14"/>
      <c r="CM51" s="14"/>
      <c r="CN51" s="14"/>
      <c r="CO51" s="129"/>
      <c r="CP51" s="14"/>
      <c r="CQ51" s="47"/>
      <c r="CR51" s="14"/>
      <c r="CS51" s="71"/>
      <c r="CT51" s="71"/>
      <c r="CU51" s="71"/>
      <c r="CV51" s="330"/>
      <c r="CW51" s="71"/>
      <c r="CX51" s="71"/>
      <c r="CY51" s="71"/>
      <c r="CZ51" s="71"/>
      <c r="DA51" s="71"/>
      <c r="DB51" s="71"/>
      <c r="DC51" s="71"/>
      <c r="DD51" s="71"/>
      <c r="DE51" s="71"/>
      <c r="DF51" s="71"/>
      <c r="DG51" s="260"/>
      <c r="DH51" s="14"/>
      <c r="DI51" s="47"/>
      <c r="DJ51" s="14"/>
      <c r="DK51" s="14"/>
      <c r="DL51" s="14"/>
      <c r="DM51" s="14"/>
      <c r="DN51" s="14"/>
      <c r="DO51" s="14"/>
      <c r="DP51" s="14"/>
      <c r="DQ51" s="14"/>
      <c r="DR51" s="2"/>
      <c r="DS51" s="2"/>
      <c r="DT51" s="2"/>
      <c r="DU51" s="14"/>
      <c r="DV51" s="14"/>
      <c r="DW51" s="14"/>
      <c r="DX51" s="14"/>
      <c r="DY51" s="14"/>
      <c r="DZ51" s="14"/>
      <c r="EA51" s="14"/>
      <c r="EB51" s="14"/>
      <c r="EC51" s="14"/>
      <c r="ED51" s="14"/>
      <c r="EE51" s="14"/>
      <c r="EF51" s="14"/>
      <c r="EG51" s="14"/>
      <c r="EH51" s="14"/>
      <c r="EI51" s="14"/>
      <c r="EJ51" s="14"/>
      <c r="EK51" s="14"/>
      <c r="EL51" s="14"/>
    </row>
    <row r="52" spans="1:142" s="130" customFormat="1" x14ac:dyDescent="0.25">
      <c r="A52" s="87"/>
      <c r="B52" s="87" t="s">
        <v>756</v>
      </c>
      <c r="C52" s="87"/>
      <c r="D52" s="88"/>
      <c r="E52" s="87"/>
      <c r="F52" s="87"/>
      <c r="G52" s="87"/>
      <c r="H52" s="88"/>
      <c r="I52" s="88"/>
      <c r="J52" s="87"/>
      <c r="K52" s="87"/>
      <c r="L52" s="87"/>
      <c r="M52" s="87"/>
      <c r="N52" s="87"/>
      <c r="O52" s="87"/>
      <c r="P52" s="87"/>
      <c r="Q52" s="93"/>
      <c r="R52" s="196"/>
      <c r="S52" s="87" t="str">
        <f>$B52</f>
        <v>Analysis by stakeholder group</v>
      </c>
      <c r="T52" s="87"/>
      <c r="U52" s="87"/>
      <c r="V52" s="87"/>
      <c r="W52" s="87"/>
      <c r="X52" s="87"/>
      <c r="Y52" s="87"/>
      <c r="Z52" s="87"/>
      <c r="AA52" s="87"/>
      <c r="AB52" s="87"/>
      <c r="AC52" s="87"/>
      <c r="AD52" s="91"/>
      <c r="AE52" s="92"/>
      <c r="AF52" s="93"/>
      <c r="AG52" s="196"/>
      <c r="AH52" s="87" t="str">
        <f>$B52</f>
        <v>Analysis by stakeholder group</v>
      </c>
      <c r="AI52" s="87"/>
      <c r="AJ52" s="87"/>
      <c r="AK52" s="87"/>
      <c r="AL52" s="87"/>
      <c r="AM52" s="87"/>
      <c r="AN52" s="87"/>
      <c r="AO52" s="87"/>
      <c r="AP52" s="87"/>
      <c r="AQ52" s="87"/>
      <c r="AR52" s="87"/>
      <c r="AS52" s="91"/>
      <c r="AT52" s="92"/>
      <c r="AU52" s="93"/>
      <c r="AV52" s="87"/>
      <c r="AW52" s="87" t="str">
        <f>$B52</f>
        <v>Analysis by stakeholder group</v>
      </c>
      <c r="AX52" s="87"/>
      <c r="AY52" s="87"/>
      <c r="AZ52" s="87"/>
      <c r="BA52" s="87"/>
      <c r="BB52" s="87"/>
      <c r="BC52" s="87"/>
      <c r="BD52" s="87"/>
      <c r="BE52" s="87"/>
      <c r="BF52" s="87"/>
      <c r="BG52" s="87"/>
      <c r="BH52" s="91"/>
      <c r="BI52" s="92"/>
      <c r="BJ52" s="351"/>
      <c r="BK52" s="196"/>
      <c r="BL52" s="87" t="str">
        <f>$B52</f>
        <v>Analysis by stakeholder group</v>
      </c>
      <c r="BM52" s="87"/>
      <c r="BN52" s="87"/>
      <c r="BO52" s="87"/>
      <c r="BP52" s="87"/>
      <c r="BQ52" s="87"/>
      <c r="BR52" s="87"/>
      <c r="BS52" s="87"/>
      <c r="BT52" s="87"/>
      <c r="BU52" s="87"/>
      <c r="BV52" s="87"/>
      <c r="BW52" s="91"/>
      <c r="BX52" s="92"/>
      <c r="BY52" s="351"/>
      <c r="BZ52" s="87"/>
      <c r="CA52" s="87" t="str">
        <f>$B52</f>
        <v>Analysis by stakeholder group</v>
      </c>
      <c r="CB52" s="88"/>
      <c r="CC52" s="88"/>
      <c r="CD52" s="88"/>
      <c r="CE52" s="88"/>
      <c r="CF52" s="88"/>
      <c r="CG52" s="87"/>
      <c r="CH52" s="87"/>
      <c r="CI52" s="87"/>
      <c r="CJ52" s="87"/>
      <c r="CK52" s="87"/>
      <c r="CL52" s="87"/>
      <c r="CM52" s="87"/>
      <c r="CN52" s="87"/>
      <c r="CO52" s="87"/>
      <c r="CP52" s="87"/>
      <c r="CQ52" s="93"/>
      <c r="CR52" s="87"/>
      <c r="CS52" s="87" t="str">
        <f>$B52</f>
        <v>Analysis by stakeholder group</v>
      </c>
      <c r="CT52" s="87"/>
      <c r="CU52" s="87"/>
      <c r="CV52" s="88"/>
      <c r="CW52" s="87"/>
      <c r="CX52" s="87"/>
      <c r="CY52" s="87"/>
      <c r="CZ52" s="87"/>
      <c r="DA52" s="87"/>
      <c r="DB52" s="87"/>
      <c r="DC52" s="87"/>
      <c r="DD52" s="87"/>
      <c r="DE52" s="87"/>
      <c r="DF52" s="87"/>
      <c r="DG52" s="87"/>
      <c r="DH52" s="87"/>
      <c r="DI52" s="93"/>
      <c r="DJ52" s="87"/>
      <c r="DK52" s="87" t="str">
        <f>$B52</f>
        <v>Analysis by stakeholder group</v>
      </c>
      <c r="DL52" s="87"/>
      <c r="DM52" s="87"/>
      <c r="DN52" s="87"/>
      <c r="DO52" s="87"/>
      <c r="DP52" s="87"/>
      <c r="DQ52" s="87"/>
      <c r="DR52" s="87"/>
      <c r="DS52" s="87"/>
      <c r="DT52" s="87"/>
      <c r="DU52" s="87"/>
      <c r="DV52" s="87"/>
      <c r="DW52" s="87"/>
      <c r="DX52" s="87"/>
      <c r="DY52" s="87"/>
      <c r="DZ52" s="87"/>
      <c r="EA52" s="87"/>
      <c r="EB52" s="87"/>
      <c r="EC52" s="87"/>
      <c r="ED52" s="87"/>
      <c r="EE52" s="87"/>
      <c r="EF52" s="87"/>
      <c r="EG52" s="87"/>
      <c r="EH52" s="87"/>
      <c r="EI52" s="87"/>
      <c r="EJ52" s="87"/>
      <c r="EK52" s="87"/>
      <c r="EL52" s="87"/>
    </row>
    <row r="53" spans="1:142" x14ac:dyDescent="0.25">
      <c r="A53" s="14"/>
      <c r="B53" s="211"/>
      <c r="C53" s="345"/>
      <c r="D53" s="345"/>
      <c r="E53" s="345"/>
      <c r="F53" s="345"/>
      <c r="G53" s="19"/>
      <c r="H53" s="27"/>
      <c r="I53" s="21"/>
      <c r="J53" s="14"/>
      <c r="K53" s="14"/>
      <c r="L53" s="14"/>
      <c r="M53" s="14"/>
      <c r="N53" s="14"/>
      <c r="O53" s="14"/>
      <c r="P53" s="14"/>
      <c r="Q53" s="47"/>
      <c r="R53" s="19"/>
      <c r="S53" s="14"/>
      <c r="T53" s="14"/>
      <c r="U53" s="14"/>
      <c r="V53" s="14"/>
      <c r="W53" s="14"/>
      <c r="X53" s="14"/>
      <c r="Y53" s="14"/>
      <c r="Z53" s="14"/>
      <c r="AA53" s="14"/>
      <c r="AB53" s="14"/>
      <c r="AC53" s="14"/>
      <c r="AD53" s="65"/>
      <c r="AE53" s="63"/>
      <c r="AF53" s="47"/>
      <c r="AG53" s="19"/>
      <c r="AH53" s="14"/>
      <c r="AI53" s="14"/>
      <c r="AJ53" s="14"/>
      <c r="AK53" s="14"/>
      <c r="AL53" s="14"/>
      <c r="AM53" s="14"/>
      <c r="AN53" s="14"/>
      <c r="AO53" s="14"/>
      <c r="AP53" s="14"/>
      <c r="AQ53" s="14"/>
      <c r="AR53" s="14"/>
      <c r="AS53" s="65"/>
      <c r="AT53" s="63"/>
      <c r="AU53" s="47"/>
      <c r="AV53" s="14"/>
      <c r="AW53" s="14"/>
      <c r="AX53" s="14"/>
      <c r="AY53" s="14"/>
      <c r="AZ53" s="14"/>
      <c r="BA53" s="14"/>
      <c r="BB53" s="14"/>
      <c r="BC53" s="14"/>
      <c r="BD53" s="14"/>
      <c r="BE53" s="14"/>
      <c r="BF53" s="14"/>
      <c r="BG53" s="14"/>
      <c r="BH53" s="65"/>
      <c r="BI53" s="63"/>
      <c r="BJ53" s="352"/>
      <c r="BK53" s="19"/>
      <c r="BL53" s="14"/>
      <c r="BM53" s="14"/>
      <c r="BN53" s="14"/>
      <c r="BO53" s="14"/>
      <c r="BP53" s="14"/>
      <c r="BQ53" s="14"/>
      <c r="BR53" s="14"/>
      <c r="BS53" s="14"/>
      <c r="BT53" s="14"/>
      <c r="BU53" s="14"/>
      <c r="BV53" s="14"/>
      <c r="BW53" s="65"/>
      <c r="BX53" s="63"/>
      <c r="BY53" s="352"/>
      <c r="BZ53" s="14"/>
      <c r="CA53" s="345"/>
      <c r="CB53" s="211"/>
      <c r="CC53" s="345"/>
      <c r="CD53" s="345"/>
      <c r="CE53" s="345"/>
      <c r="CF53" s="345"/>
      <c r="CG53" s="345"/>
      <c r="CH53" s="345"/>
      <c r="CI53" s="345"/>
      <c r="CJ53" s="345"/>
      <c r="CK53" s="345"/>
      <c r="CL53" s="345"/>
      <c r="CM53" s="345"/>
      <c r="CN53" s="345"/>
      <c r="CO53" s="345"/>
      <c r="CP53" s="14"/>
      <c r="CQ53" s="47"/>
      <c r="CR53" s="14"/>
      <c r="CS53" s="71"/>
      <c r="CT53" s="71"/>
      <c r="CU53" s="346"/>
      <c r="CV53" s="346"/>
      <c r="CW53" s="346"/>
      <c r="CX53" s="346"/>
      <c r="CY53" s="346"/>
      <c r="CZ53" s="346"/>
      <c r="DA53" s="346"/>
      <c r="DB53" s="346"/>
      <c r="DC53" s="346"/>
      <c r="DD53" s="346"/>
      <c r="DE53" s="346"/>
      <c r="DF53" s="346"/>
      <c r="DG53" s="346"/>
      <c r="DH53" s="14"/>
      <c r="DI53" s="47"/>
      <c r="DJ53" s="14"/>
      <c r="DK53" s="14"/>
      <c r="DL53" s="14"/>
      <c r="DM53" s="14"/>
      <c r="DN53" s="14"/>
      <c r="DO53" s="14"/>
      <c r="DP53" s="14"/>
      <c r="DQ53" s="14"/>
      <c r="DR53" s="2"/>
      <c r="DS53" s="2"/>
      <c r="DT53" s="2"/>
      <c r="DU53" s="14"/>
      <c r="DV53" s="14"/>
      <c r="DW53" s="14"/>
      <c r="DX53" s="14"/>
      <c r="DY53" s="14"/>
      <c r="DZ53" s="14"/>
      <c r="EA53" s="14"/>
      <c r="EB53" s="14"/>
      <c r="EC53" s="14"/>
      <c r="ED53" s="14"/>
      <c r="EE53" s="14"/>
      <c r="EF53" s="14"/>
      <c r="EG53" s="14"/>
      <c r="EH53" s="14"/>
      <c r="EI53" s="14"/>
      <c r="EJ53" s="14"/>
      <c r="EK53" s="14"/>
      <c r="EL53" s="14"/>
    </row>
    <row r="54" spans="1:142" s="131" customFormat="1" x14ac:dyDescent="0.25">
      <c r="A54" s="78"/>
      <c r="B54" s="78" t="s">
        <v>2</v>
      </c>
      <c r="C54" s="78" t="s">
        <v>123</v>
      </c>
      <c r="D54" s="79"/>
      <c r="E54" s="78"/>
      <c r="F54" s="78"/>
      <c r="G54" s="78"/>
      <c r="H54" s="79"/>
      <c r="I54" s="79"/>
      <c r="J54" s="78"/>
      <c r="K54" s="78"/>
      <c r="L54" s="78"/>
      <c r="M54" s="78"/>
      <c r="N54" s="78"/>
      <c r="O54" s="78"/>
      <c r="P54" s="78"/>
      <c r="Q54" s="82"/>
      <c r="R54" s="83"/>
      <c r="S54" s="78" t="str">
        <f>$B54</f>
        <v>Forest owners/managers</v>
      </c>
      <c r="T54" s="78"/>
      <c r="U54" s="78"/>
      <c r="V54" s="78"/>
      <c r="W54" s="78"/>
      <c r="X54" s="78"/>
      <c r="Y54" s="78"/>
      <c r="Z54" s="78"/>
      <c r="AA54" s="78"/>
      <c r="AB54" s="78"/>
      <c r="AC54" s="78"/>
      <c r="AD54" s="80"/>
      <c r="AE54" s="81"/>
      <c r="AF54" s="82"/>
      <c r="AG54" s="83"/>
      <c r="AH54" s="78" t="str">
        <f>$B54</f>
        <v>Forest owners/managers</v>
      </c>
      <c r="AI54" s="78"/>
      <c r="AJ54" s="78"/>
      <c r="AK54" s="78"/>
      <c r="AL54" s="78"/>
      <c r="AM54" s="78"/>
      <c r="AN54" s="78"/>
      <c r="AO54" s="78"/>
      <c r="AP54" s="78"/>
      <c r="AQ54" s="78"/>
      <c r="AR54" s="78"/>
      <c r="AS54" s="80"/>
      <c r="AT54" s="81"/>
      <c r="AU54" s="82"/>
      <c r="AV54" s="78"/>
      <c r="AW54" s="78" t="str">
        <f>$B54</f>
        <v>Forest owners/managers</v>
      </c>
      <c r="AX54" s="78"/>
      <c r="AY54" s="78"/>
      <c r="AZ54" s="78"/>
      <c r="BA54" s="78"/>
      <c r="BB54" s="78"/>
      <c r="BC54" s="78"/>
      <c r="BD54" s="78"/>
      <c r="BE54" s="78"/>
      <c r="BF54" s="78"/>
      <c r="BG54" s="78"/>
      <c r="BH54" s="80"/>
      <c r="BI54" s="81"/>
      <c r="BJ54" s="373"/>
      <c r="BK54" s="83"/>
      <c r="BL54" s="78" t="str">
        <f>$B54</f>
        <v>Forest owners/managers</v>
      </c>
      <c r="BM54" s="78"/>
      <c r="BN54" s="78"/>
      <c r="BO54" s="78"/>
      <c r="BP54" s="78"/>
      <c r="BQ54" s="78"/>
      <c r="BR54" s="78"/>
      <c r="BS54" s="78"/>
      <c r="BT54" s="78"/>
      <c r="BU54" s="78"/>
      <c r="BV54" s="78"/>
      <c r="BW54" s="80"/>
      <c r="BX54" s="81"/>
      <c r="BY54" s="373"/>
      <c r="BZ54" s="78"/>
      <c r="CA54" s="78" t="str">
        <f>$B54</f>
        <v>Forest owners/managers</v>
      </c>
      <c r="CB54" s="79"/>
      <c r="CC54" s="79"/>
      <c r="CD54" s="79"/>
      <c r="CE54" s="79"/>
      <c r="CF54" s="79"/>
      <c r="CG54" s="78"/>
      <c r="CH54" s="78"/>
      <c r="CI54" s="78"/>
      <c r="CJ54" s="78"/>
      <c r="CK54" s="78"/>
      <c r="CL54" s="78"/>
      <c r="CM54" s="78"/>
      <c r="CN54" s="78"/>
      <c r="CO54" s="78"/>
      <c r="CP54" s="78"/>
      <c r="CQ54" s="82"/>
      <c r="CR54" s="78"/>
      <c r="CS54" s="78" t="str">
        <f>$B54</f>
        <v>Forest owners/managers</v>
      </c>
      <c r="CT54" s="78"/>
      <c r="CU54" s="78"/>
      <c r="CV54" s="79"/>
      <c r="CW54" s="78"/>
      <c r="CX54" s="78"/>
      <c r="CY54" s="78"/>
      <c r="CZ54" s="78"/>
      <c r="DA54" s="78"/>
      <c r="DB54" s="78"/>
      <c r="DC54" s="78"/>
      <c r="DD54" s="78"/>
      <c r="DE54" s="78"/>
      <c r="DF54" s="78"/>
      <c r="DG54" s="78"/>
      <c r="DH54" s="78"/>
      <c r="DI54" s="82"/>
      <c r="DJ54" s="78"/>
      <c r="DK54" s="78" t="str">
        <f>$B54</f>
        <v>Forest owners/managers</v>
      </c>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row>
    <row r="55" spans="1:142" x14ac:dyDescent="0.25">
      <c r="A55" s="14"/>
      <c r="B55" s="84" t="s">
        <v>301</v>
      </c>
      <c r="C55" s="84"/>
      <c r="D55" s="85"/>
      <c r="E55" s="84"/>
      <c r="F55" s="14"/>
      <c r="G55" s="14"/>
      <c r="H55" s="21"/>
      <c r="I55" s="21"/>
      <c r="J55" s="14"/>
      <c r="K55" s="14"/>
      <c r="L55" s="14"/>
      <c r="M55" s="14"/>
      <c r="N55" s="14"/>
      <c r="O55" s="14"/>
      <c r="P55" s="14"/>
      <c r="Q55" s="47"/>
      <c r="R55" s="19"/>
      <c r="S55" s="84" t="s">
        <v>322</v>
      </c>
      <c r="T55" s="84"/>
      <c r="U55" s="85"/>
      <c r="V55" s="84"/>
      <c r="W55" s="14"/>
      <c r="X55" s="14"/>
      <c r="Y55" s="14"/>
      <c r="Z55" s="14"/>
      <c r="AA55" s="14"/>
      <c r="AB55" s="14"/>
      <c r="AC55" s="14"/>
      <c r="AD55" s="65"/>
      <c r="AE55" s="63"/>
      <c r="AF55" s="47"/>
      <c r="AG55" s="19"/>
      <c r="AH55" s="84" t="s">
        <v>328</v>
      </c>
      <c r="AI55" s="84"/>
      <c r="AJ55" s="85"/>
      <c r="AK55" s="84"/>
      <c r="AL55" s="84"/>
      <c r="AM55" s="14"/>
      <c r="AN55" s="14"/>
      <c r="AO55" s="14"/>
      <c r="AP55" s="14"/>
      <c r="AQ55" s="14"/>
      <c r="AR55" s="14"/>
      <c r="AS55" s="65"/>
      <c r="AT55" s="63"/>
      <c r="AU55" s="47"/>
      <c r="AV55" s="14"/>
      <c r="AW55" s="84" t="s">
        <v>347</v>
      </c>
      <c r="AX55" s="84"/>
      <c r="AY55" s="85"/>
      <c r="AZ55" s="84"/>
      <c r="BA55" s="84"/>
      <c r="BB55" s="14"/>
      <c r="BC55" s="14"/>
      <c r="BD55" s="14"/>
      <c r="BE55" s="14"/>
      <c r="BF55" s="14"/>
      <c r="BG55" s="14"/>
      <c r="BH55" s="65"/>
      <c r="BI55" s="63"/>
      <c r="BJ55" s="352"/>
      <c r="BK55" s="19"/>
      <c r="BL55" s="84" t="s">
        <v>348</v>
      </c>
      <c r="BM55" s="84"/>
      <c r="BN55" s="85"/>
      <c r="BO55" s="84"/>
      <c r="BP55" s="84"/>
      <c r="BQ55" s="14"/>
      <c r="BR55" s="14"/>
      <c r="BS55" s="14"/>
      <c r="BT55" s="14"/>
      <c r="BU55" s="14"/>
      <c r="BV55" s="14"/>
      <c r="BW55" s="65"/>
      <c r="BX55" s="63"/>
      <c r="BY55" s="352"/>
      <c r="BZ55" s="14"/>
      <c r="CA55" s="148" t="s">
        <v>303</v>
      </c>
      <c r="CB55" s="85"/>
      <c r="CC55" s="85"/>
      <c r="CD55" s="147"/>
      <c r="CE55" s="147"/>
      <c r="CF55" s="147"/>
      <c r="CG55" s="14"/>
      <c r="CH55" s="14"/>
      <c r="CI55" s="14"/>
      <c r="CJ55" s="14"/>
      <c r="CK55" s="14"/>
      <c r="CL55" s="14"/>
      <c r="CM55" s="14"/>
      <c r="CN55" s="14"/>
      <c r="CO55" s="129"/>
      <c r="CP55" s="14"/>
      <c r="CQ55" s="47"/>
      <c r="CR55" s="14"/>
      <c r="CS55" s="148" t="s">
        <v>304</v>
      </c>
      <c r="CT55" s="84"/>
      <c r="CU55" s="85"/>
      <c r="CV55" s="85"/>
      <c r="CW55" s="150"/>
      <c r="CX55" s="150"/>
      <c r="CY55" s="14"/>
      <c r="CZ55" s="14"/>
      <c r="DA55" s="14"/>
      <c r="DB55" s="14"/>
      <c r="DC55" s="14"/>
      <c r="DD55" s="14"/>
      <c r="DE55" s="14"/>
      <c r="DF55" s="14"/>
      <c r="DG55" s="129"/>
      <c r="DH55" s="14"/>
      <c r="DI55" s="47"/>
      <c r="DJ55" s="14"/>
      <c r="DK55" s="84" t="s">
        <v>305</v>
      </c>
      <c r="DL55" s="84"/>
      <c r="DM55" s="85"/>
      <c r="DN55" s="8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row>
    <row r="56" spans="1:142" x14ac:dyDescent="0.25">
      <c r="A56" s="14"/>
      <c r="B56" s="14"/>
      <c r="C56" s="14"/>
      <c r="D56" s="14"/>
      <c r="E56" s="14"/>
      <c r="F56" s="14"/>
      <c r="G56" s="14"/>
      <c r="H56" s="21"/>
      <c r="I56" s="21"/>
      <c r="J56" s="14"/>
      <c r="K56" s="14"/>
      <c r="L56" s="14"/>
      <c r="M56" s="14"/>
      <c r="N56" s="14"/>
      <c r="O56" s="14"/>
      <c r="P56" s="14"/>
      <c r="Q56" s="47"/>
      <c r="R56" s="19"/>
      <c r="S56" s="14"/>
      <c r="T56" s="14"/>
      <c r="U56" s="15"/>
      <c r="V56" s="14"/>
      <c r="W56" s="14"/>
      <c r="X56" s="14"/>
      <c r="Y56" s="14"/>
      <c r="Z56" s="14"/>
      <c r="AA56" s="14"/>
      <c r="AB56" s="14"/>
      <c r="AC56" s="14"/>
      <c r="AD56" s="65"/>
      <c r="AE56" s="63"/>
      <c r="AF56" s="47"/>
      <c r="AG56" s="19"/>
      <c r="AH56" s="14"/>
      <c r="AI56" s="14"/>
      <c r="AJ56" s="15"/>
      <c r="AK56" s="14"/>
      <c r="AL56" s="14"/>
      <c r="AM56" s="14"/>
      <c r="AN56" s="14"/>
      <c r="AO56" s="14"/>
      <c r="AP56" s="14"/>
      <c r="AQ56" s="14"/>
      <c r="AR56" s="14"/>
      <c r="AS56" s="65"/>
      <c r="AT56" s="63"/>
      <c r="AU56" s="47"/>
      <c r="AV56" s="14"/>
      <c r="AW56" s="14"/>
      <c r="AX56" s="14"/>
      <c r="AY56" s="15"/>
      <c r="AZ56" s="14"/>
      <c r="BA56" s="14"/>
      <c r="BB56" s="14"/>
      <c r="BC56" s="14"/>
      <c r="BD56" s="14"/>
      <c r="BE56" s="14"/>
      <c r="BF56" s="14"/>
      <c r="BG56" s="14"/>
      <c r="BH56" s="65"/>
      <c r="BI56" s="63"/>
      <c r="BJ56" s="352"/>
      <c r="BK56" s="19"/>
      <c r="BL56" s="14"/>
      <c r="BM56" s="14"/>
      <c r="BN56" s="15"/>
      <c r="BO56" s="14"/>
      <c r="BP56" s="14"/>
      <c r="BQ56" s="14"/>
      <c r="BR56" s="14"/>
      <c r="BS56" s="14"/>
      <c r="BT56" s="14"/>
      <c r="BU56" s="14"/>
      <c r="BV56" s="14"/>
      <c r="BW56" s="65"/>
      <c r="BX56" s="63"/>
      <c r="BY56" s="352"/>
      <c r="BZ56" s="14"/>
      <c r="CA56" s="14"/>
      <c r="CB56" s="21"/>
      <c r="CC56" s="21"/>
      <c r="CD56" s="21"/>
      <c r="CE56" s="21"/>
      <c r="CF56" s="21"/>
      <c r="CG56" s="17"/>
      <c r="CH56" s="14"/>
      <c r="CI56" s="14"/>
      <c r="CJ56" s="14"/>
      <c r="CK56" s="14"/>
      <c r="CL56" s="14"/>
      <c r="CM56" s="14"/>
      <c r="CN56" s="14"/>
      <c r="CO56" s="129"/>
      <c r="CP56" s="14"/>
      <c r="CQ56" s="47"/>
      <c r="CR56" s="14"/>
      <c r="CS56" s="14"/>
      <c r="CT56" s="14"/>
      <c r="CU56" s="14"/>
      <c r="CV56" s="21"/>
      <c r="CW56" s="14"/>
      <c r="CX56" s="14"/>
      <c r="CY56" s="14"/>
      <c r="CZ56" s="14"/>
      <c r="DA56" s="14"/>
      <c r="DB56" s="14"/>
      <c r="DC56" s="14"/>
      <c r="DD56" s="14"/>
      <c r="DE56" s="14"/>
      <c r="DF56" s="14"/>
      <c r="DG56" s="129"/>
      <c r="DH56" s="14"/>
      <c r="DI56" s="47"/>
      <c r="DJ56" s="14"/>
      <c r="DK56" s="14"/>
      <c r="DL56" s="14"/>
      <c r="DM56" s="15"/>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row>
    <row r="57" spans="1:142" ht="27.6" x14ac:dyDescent="0.25">
      <c r="A57" s="14"/>
      <c r="B57" s="112" t="s">
        <v>23</v>
      </c>
      <c r="C57" s="113" t="s">
        <v>24</v>
      </c>
      <c r="D57" s="113" t="s">
        <v>145</v>
      </c>
      <c r="E57" s="113" t="s">
        <v>300</v>
      </c>
      <c r="F57" s="14"/>
      <c r="G57" s="14"/>
      <c r="H57" s="27"/>
      <c r="I57" s="21"/>
      <c r="J57" s="14"/>
      <c r="K57" s="14"/>
      <c r="L57" s="51"/>
      <c r="M57" s="51"/>
      <c r="N57" s="51"/>
      <c r="O57" s="51"/>
      <c r="P57" s="51"/>
      <c r="Q57" s="47"/>
      <c r="R57" s="19"/>
      <c r="S57" s="112" t="s">
        <v>23</v>
      </c>
      <c r="T57" s="113" t="s">
        <v>24</v>
      </c>
      <c r="U57" s="113" t="s">
        <v>145</v>
      </c>
      <c r="V57" s="113" t="s">
        <v>300</v>
      </c>
      <c r="W57" s="14"/>
      <c r="X57" s="14"/>
      <c r="Y57" s="14"/>
      <c r="Z57" s="14"/>
      <c r="AA57" s="14"/>
      <c r="AB57" s="14"/>
      <c r="AC57" s="14"/>
      <c r="AD57" s="65"/>
      <c r="AE57" s="63"/>
      <c r="AF57" s="47"/>
      <c r="AG57" s="19"/>
      <c r="AH57" s="112" t="s">
        <v>23</v>
      </c>
      <c r="AI57" s="113" t="s">
        <v>24</v>
      </c>
      <c r="AJ57" s="113" t="s">
        <v>145</v>
      </c>
      <c r="AK57" s="113" t="s">
        <v>300</v>
      </c>
      <c r="AL57" s="14"/>
      <c r="AM57" s="14"/>
      <c r="AN57" s="14"/>
      <c r="AO57" s="14"/>
      <c r="AP57" s="14"/>
      <c r="AQ57" s="14"/>
      <c r="AR57" s="14"/>
      <c r="AS57" s="65"/>
      <c r="AT57" s="63"/>
      <c r="AU57" s="47"/>
      <c r="AV57" s="19"/>
      <c r="AW57" s="112" t="s">
        <v>23</v>
      </c>
      <c r="AX57" s="113" t="s">
        <v>24</v>
      </c>
      <c r="AY57" s="113" t="s">
        <v>145</v>
      </c>
      <c r="AZ57" s="113" t="s">
        <v>300</v>
      </c>
      <c r="BA57" s="14"/>
      <c r="BB57" s="14"/>
      <c r="BC57" s="14"/>
      <c r="BD57" s="14"/>
      <c r="BE57" s="14"/>
      <c r="BF57" s="14"/>
      <c r="BG57" s="14"/>
      <c r="BH57" s="65"/>
      <c r="BI57" s="63"/>
      <c r="BJ57" s="352"/>
      <c r="BK57" s="19"/>
      <c r="BL57" s="112" t="s">
        <v>23</v>
      </c>
      <c r="BM57" s="113" t="s">
        <v>24</v>
      </c>
      <c r="BN57" s="113" t="s">
        <v>145</v>
      </c>
      <c r="BO57" s="113" t="s">
        <v>300</v>
      </c>
      <c r="BP57" s="14"/>
      <c r="BQ57" s="14"/>
      <c r="BR57" s="14"/>
      <c r="BS57" s="14"/>
      <c r="BT57" s="14"/>
      <c r="BU57" s="14"/>
      <c r="BV57" s="14"/>
      <c r="BW57" s="65"/>
      <c r="BX57" s="63"/>
      <c r="BY57" s="352"/>
      <c r="BZ57" s="14"/>
      <c r="CA57" s="112" t="s">
        <v>23</v>
      </c>
      <c r="CB57" s="113" t="s">
        <v>145</v>
      </c>
      <c r="CC57" s="58"/>
      <c r="CD57" s="58"/>
      <c r="CE57" s="21"/>
      <c r="CF57" s="21"/>
      <c r="CG57" s="14"/>
      <c r="CH57" s="14"/>
      <c r="CI57" s="14"/>
      <c r="CJ57" s="14"/>
      <c r="CK57" s="14"/>
      <c r="CL57" s="14"/>
      <c r="CM57" s="14"/>
      <c r="CN57" s="14"/>
      <c r="CO57" s="129"/>
      <c r="CP57" s="20"/>
      <c r="CQ57" s="47"/>
      <c r="CR57" s="14"/>
      <c r="CS57" s="112" t="s">
        <v>23</v>
      </c>
      <c r="CT57" s="113" t="s">
        <v>145</v>
      </c>
      <c r="CU57" s="14"/>
      <c r="CV57" s="21"/>
      <c r="CW57" s="14"/>
      <c r="CX57" s="14"/>
      <c r="CY57" s="14"/>
      <c r="CZ57" s="14"/>
      <c r="DA57" s="14"/>
      <c r="DB57" s="14"/>
      <c r="DC57" s="14"/>
      <c r="DD57" s="14"/>
      <c r="DE57" s="14"/>
      <c r="DF57" s="14"/>
      <c r="DG57" s="129"/>
      <c r="DH57" s="17"/>
      <c r="DI57" s="47"/>
      <c r="DJ57" s="17"/>
      <c r="DK57" s="112" t="s">
        <v>23</v>
      </c>
      <c r="DL57" s="113" t="s">
        <v>24</v>
      </c>
      <c r="DM57" s="113" t="s">
        <v>145</v>
      </c>
      <c r="DN57" s="113" t="s">
        <v>300</v>
      </c>
      <c r="DO57" s="14"/>
      <c r="DP57" s="14"/>
      <c r="DQ57" s="14"/>
      <c r="DR57" s="14"/>
      <c r="DS57" s="14"/>
      <c r="DT57" s="14"/>
      <c r="DU57" s="51"/>
      <c r="DV57" s="14"/>
      <c r="DW57" s="14"/>
      <c r="DX57" s="14"/>
      <c r="DY57" s="14"/>
      <c r="DZ57" s="14"/>
      <c r="EA57" s="14"/>
      <c r="EB57" s="14"/>
      <c r="EC57" s="14"/>
      <c r="ED57" s="14"/>
      <c r="EE57" s="14"/>
      <c r="EF57" s="14"/>
      <c r="EG57" s="14"/>
      <c r="EH57" s="14"/>
      <c r="EI57" s="14"/>
      <c r="EJ57" s="14"/>
      <c r="EK57" s="14"/>
      <c r="EL57" s="14"/>
    </row>
    <row r="58" spans="1:142" x14ac:dyDescent="0.25">
      <c r="A58" s="14"/>
      <c r="B58" s="57" t="s">
        <v>2</v>
      </c>
      <c r="C58" s="121" t="str">
        <f>IF(H77=0,"na",IF(COUNTIF(H72:H76,MAX(H72:H76))&gt;COUNTIF(G72:G76,"&lt;&gt;""")/2,"No clear choice of the most common response",INDEX(G72:G76,MATCH(MAX(H72:H76),H72:H76,0),1)))</f>
        <v>Definitely not</v>
      </c>
      <c r="D58" s="58">
        <f>COUNTIFS(S30_stakeholder_category,"FO",Response_Q173_7,"&lt;&gt;0")</f>
        <v>4</v>
      </c>
      <c r="E58" s="121">
        <f>COUNTIFS(S30_stakeholder_category,"FO",Response_Q173_7,"I don’t know")</f>
        <v>2</v>
      </c>
      <c r="F58" s="14"/>
      <c r="G58" s="14"/>
      <c r="H58" s="27"/>
      <c r="I58" s="21"/>
      <c r="J58" s="14"/>
      <c r="K58" s="14"/>
      <c r="L58" s="19"/>
      <c r="M58" s="19"/>
      <c r="N58" s="19"/>
      <c r="O58" s="19"/>
      <c r="P58" s="19"/>
      <c r="Q58" s="47"/>
      <c r="R58" s="19"/>
      <c r="S58" s="34" t="s">
        <v>2</v>
      </c>
      <c r="T58" s="37" t="str">
        <f>IF(Y79=0,"na",IF(COUNTIF(Y72:Y78,MAX(Y72:Y78))&gt;COUNTIF(X72:X78,"&lt;&gt;""")/2,"No clear choice of the most common response",INDEX(X72:X78,MATCH(MAX(Y72:Y78),Y72:Y78,0),1)))</f>
        <v>I don’t know</v>
      </c>
      <c r="U58" s="33">
        <f>COUNTIFS(S30_stakeholder_category,"FO",Response_Q176_4,"&lt;&gt;0")</f>
        <v>5</v>
      </c>
      <c r="V58" s="37">
        <f>COUNTIFS(S30_stakeholder_category,"FO",Response_Q176_4,"I don’t know")</f>
        <v>3</v>
      </c>
      <c r="W58" s="14"/>
      <c r="X58" s="14"/>
      <c r="Y58" s="14"/>
      <c r="Z58" s="14"/>
      <c r="AA58" s="14"/>
      <c r="AB58" s="14"/>
      <c r="AC58" s="14"/>
      <c r="AD58" s="65"/>
      <c r="AE58" s="63"/>
      <c r="AF58" s="47"/>
      <c r="AG58" s="19"/>
      <c r="AH58" s="57" t="s">
        <v>2</v>
      </c>
      <c r="AI58" s="121" t="str">
        <f>IF(AN79=0,"na",IF(COUNTIF(AN72:AN78,MAX(AN72:AN78))&gt;COUNTIF(AM72:AM78,"&lt;&gt;""")/2,"No clear choice of the most common response",INDEX(AM72:AM78,MATCH(MAX(AN72:AN78),AN72:AN78,0),1)))</f>
        <v>Very unlikely</v>
      </c>
      <c r="AJ58" s="58">
        <f>COUNTIFS(S30_stakeholder_category,"FO",Response_30d_CaseA,"&lt;&gt;0")</f>
        <v>2</v>
      </c>
      <c r="AK58" s="121">
        <f>COUNTIFS(S30_stakeholder_category,"FO",Response_30d_CaseA,"I don’t know")</f>
        <v>0</v>
      </c>
      <c r="AL58" s="14"/>
      <c r="AM58" s="14"/>
      <c r="AN58" s="14"/>
      <c r="AO58" s="14"/>
      <c r="AP58" s="14"/>
      <c r="AQ58" s="14"/>
      <c r="AR58" s="14"/>
      <c r="AS58" s="65"/>
      <c r="AT58" s="63"/>
      <c r="AU58" s="47"/>
      <c r="AV58" s="19"/>
      <c r="AW58" s="57" t="s">
        <v>2</v>
      </c>
      <c r="AX58" s="121" t="str">
        <f>IF(BC79=0,"na",IF(COUNTIF(BC72:BC78,MAX(BC72:BC78))&gt;COUNTIF(BB72:BB78,"&lt;&gt;""")/2,"No clear choice of the most common response",INDEX(BB72:BB78,MATCH(MAX(BC72:BC78),BC72:BC78,0),1)))</f>
        <v>Very unlikely</v>
      </c>
      <c r="AY58" s="58">
        <f>COUNTIFS(S30_stakeholder_category,"FO",Response_30d_CaseB,"&lt;&gt;0")</f>
        <v>2</v>
      </c>
      <c r="AZ58" s="121">
        <f>COUNTIFS(S30_stakeholder_category,"FO",Response_30d_CaseB,"I don’t know")</f>
        <v>0</v>
      </c>
      <c r="BA58" s="14"/>
      <c r="BB58" s="14"/>
      <c r="BC58" s="14"/>
      <c r="BD58" s="14"/>
      <c r="BE58" s="14"/>
      <c r="BF58" s="14"/>
      <c r="BG58" s="14"/>
      <c r="BH58" s="65"/>
      <c r="BI58" s="63"/>
      <c r="BJ58" s="352"/>
      <c r="BK58" s="19"/>
      <c r="BL58" s="57" t="s">
        <v>2</v>
      </c>
      <c r="BM58" s="121" t="str">
        <f>IF(BR79=0,"na",IF(COUNTIF(BR72:BR78,MAX(BR72:BR78))&gt;COUNTIF(BQ72:BQ78,"&lt;&gt;""")/2,"No clear choice of the most common response",INDEX(BQ72:BQ78,MATCH(MAX(BR72:BR78),BR72:BR78,0),1)))</f>
        <v>Very unlikely</v>
      </c>
      <c r="BN58" s="58">
        <f>COUNTIFS(S30_stakeholder_category,"FO",Response_30d_CaseC,"&lt;&gt;0")</f>
        <v>2</v>
      </c>
      <c r="BO58" s="121">
        <f>COUNTIFS(S30_stakeholder_category,"FO",Response_30d_CaseC,"I don’t know")</f>
        <v>0</v>
      </c>
      <c r="BP58" s="14"/>
      <c r="BQ58" s="14"/>
      <c r="BR58" s="14"/>
      <c r="BS58" s="14"/>
      <c r="BT58" s="14"/>
      <c r="BU58" s="14"/>
      <c r="BV58" s="14"/>
      <c r="BW58" s="65"/>
      <c r="BX58" s="63"/>
      <c r="BY58" s="352"/>
      <c r="BZ58" s="14"/>
      <c r="CA58" s="34" t="s">
        <v>2</v>
      </c>
      <c r="CB58" s="37">
        <f>MAX(SUM(CC64:CC70),SUM(CD64:CD70),SUM(CE64:CE70))</f>
        <v>3</v>
      </c>
      <c r="CC58" s="21"/>
      <c r="CD58" s="21"/>
      <c r="CE58" s="21"/>
      <c r="CF58" s="21"/>
      <c r="CG58" s="14"/>
      <c r="CH58" s="14"/>
      <c r="CI58" s="14"/>
      <c r="CJ58" s="14"/>
      <c r="CK58" s="14"/>
      <c r="CL58" s="14"/>
      <c r="CM58" s="14"/>
      <c r="CN58" s="14"/>
      <c r="CO58" s="129"/>
      <c r="CP58" s="38"/>
      <c r="CQ58" s="47"/>
      <c r="CR58" s="14"/>
      <c r="CS58" s="34" t="s">
        <v>2</v>
      </c>
      <c r="CT58" s="37">
        <f>MAX(SUM(CU64:CU70),SUM(CV64:CV70),SUM(CW64:CW70))</f>
        <v>3</v>
      </c>
      <c r="CU58" s="14"/>
      <c r="CV58" s="21"/>
      <c r="CW58" s="14"/>
      <c r="CX58" s="14"/>
      <c r="CY58" s="14"/>
      <c r="CZ58" s="14"/>
      <c r="DA58" s="14"/>
      <c r="DB58" s="14"/>
      <c r="DC58" s="14"/>
      <c r="DD58" s="14"/>
      <c r="DE58" s="14"/>
      <c r="DF58" s="14"/>
      <c r="DG58" s="129"/>
      <c r="DH58" s="29"/>
      <c r="DI58" s="47"/>
      <c r="DJ58" s="29"/>
      <c r="DK58" s="34" t="s">
        <v>2</v>
      </c>
      <c r="DL58" s="37" t="str">
        <f>IF(DQ77=0,"na",IF(COUNTIF(DQ72:DQ76,MAX(DQ72:DQ76))&gt;COUNTIF(DP72:DP76,"&lt;&gt;""")/2,"No clear choice of the most common response",INDEX(DP72:DP76,MATCH(MAX(DQ72:DQ76),DQ72:DQ76,0),1)))</f>
        <v>No clear choice of the most common response</v>
      </c>
      <c r="DM58" s="33">
        <f>COUNTIFS(S30_stakeholder_category,"FO",Response_Q172_1,"&lt;&gt;0",Response_Q173_7,"&lt;&gt;0")</f>
        <v>4</v>
      </c>
      <c r="DN58" s="37">
        <f>DQ76</f>
        <v>0</v>
      </c>
      <c r="DO58" s="14"/>
      <c r="DP58" s="14"/>
      <c r="DQ58" s="14"/>
      <c r="DR58" s="14"/>
      <c r="DS58" s="14"/>
      <c r="DT58" s="14"/>
      <c r="DU58" s="40"/>
      <c r="DV58" s="14"/>
      <c r="DW58" s="14"/>
      <c r="DX58" s="14"/>
      <c r="DY58" s="14"/>
      <c r="DZ58" s="14"/>
      <c r="EA58" s="14"/>
      <c r="EB58" s="14"/>
      <c r="EC58" s="14"/>
      <c r="ED58" s="14"/>
      <c r="EE58" s="14"/>
      <c r="EF58" s="14"/>
      <c r="EG58" s="14"/>
      <c r="EH58" s="14"/>
      <c r="EI58" s="14"/>
      <c r="EJ58" s="14"/>
      <c r="EK58" s="14"/>
      <c r="EL58" s="14"/>
    </row>
    <row r="59" spans="1:142" x14ac:dyDescent="0.25">
      <c r="A59" s="14"/>
      <c r="B59" s="57"/>
      <c r="C59" s="121" t="str">
        <f ca="1">IF(H77=0,"",IF(COUNTIF(H72:H76,MAX(H72:H76))=1,"",IF(COUNTIF(H72:H76,MAX(H72:H76))&gt;COUNTIF(G72:G76,"&lt;&gt;""")/2,"",INDEX(OFFSET(G72,MATCH(C58,G72:G77,0),0):G76,MATCH(MAX(H72:H76),OFFSET(H72,MATCH(C58,G72:G77,0),0):H76,0),1))))</f>
        <v>I don’t know</v>
      </c>
      <c r="D59" s="58"/>
      <c r="E59" s="121"/>
      <c r="F59" s="14"/>
      <c r="G59" s="14"/>
      <c r="H59" s="27"/>
      <c r="I59" s="21"/>
      <c r="J59" s="14"/>
      <c r="K59" s="14"/>
      <c r="L59" s="19"/>
      <c r="M59" s="19"/>
      <c r="N59" s="19"/>
      <c r="O59" s="19"/>
      <c r="P59" s="19"/>
      <c r="Q59" s="47"/>
      <c r="R59" s="19"/>
      <c r="S59" s="34"/>
      <c r="T59" s="37" t="str">
        <f ca="1">IF(Y79=0,"",IF(COUNTIF(Y72:Y78,MAX(Y72:Y78))=1,"",IF(COUNTIF(Y72:Y78,MAX(Y72:Y78))&gt;COUNTIF(X72:X78,"&lt;&gt;""")/2,"",INDEX(OFFSET(X72,MATCH(T58,X72:X78,0),0):X78,MATCH(MAX(Y72:Y78),OFFSET(Y72,MATCH(T58,X72:X78,0),0):Y78,0),1))))</f>
        <v/>
      </c>
      <c r="U59" s="33"/>
      <c r="V59" s="37"/>
      <c r="W59" s="14"/>
      <c r="X59" s="14"/>
      <c r="Y59" s="14"/>
      <c r="Z59" s="14"/>
      <c r="AA59" s="14"/>
      <c r="AB59" s="14"/>
      <c r="AC59" s="14"/>
      <c r="AD59" s="65"/>
      <c r="AE59" s="63"/>
      <c r="AF59" s="47"/>
      <c r="AG59" s="19"/>
      <c r="AH59" s="57"/>
      <c r="AI59" s="121" t="str">
        <f ca="1">IF(AN79=0,"",IF(COUNTIF(AN72:AN78,MAX(AN72:AN78))=1,"",IF(COUNTIF(AN72:AN78,MAX(AN72:AN78))&gt;COUNTIF(AM72:AM78,"&lt;&gt;""")/2,"",INDEX(OFFSET(AM72,MATCH(AI58,AM72:AM78,0),0):AM78,MATCH(MAX(AN72:AN78),OFFSET(AN72,MATCH(AI58,AM72:AM78,0),0):AN78,0),1))))</f>
        <v/>
      </c>
      <c r="AJ59" s="58"/>
      <c r="AK59" s="121"/>
      <c r="AL59" s="14"/>
      <c r="AM59" s="14"/>
      <c r="AN59" s="14"/>
      <c r="AO59" s="14"/>
      <c r="AP59" s="14"/>
      <c r="AQ59" s="14"/>
      <c r="AR59" s="14"/>
      <c r="AS59" s="65"/>
      <c r="AT59" s="63"/>
      <c r="AU59" s="47"/>
      <c r="AV59" s="19"/>
      <c r="AW59" s="57"/>
      <c r="AX59" s="121" t="str">
        <f ca="1">IF(BC79=0,"",IF(COUNTIF(BC72:BC78,MAX(BC72:BC78))=1,"",IF(COUNTIF(BC72:BC78,MAX(BC72:BC78))&gt;COUNTIF(BB72:BB78,"&lt;&gt;""")/2,"",INDEX(OFFSET(BB72,MATCH(AX58,BB72:BB78,0),0):BB78,MATCH(MAX(BC72:BC78),OFFSET(BC72,MATCH(AX58,BB72:BB78,0),0):BC78,0),1))))</f>
        <v/>
      </c>
      <c r="AY59" s="58"/>
      <c r="AZ59" s="121"/>
      <c r="BA59" s="14"/>
      <c r="BB59" s="14"/>
      <c r="BC59" s="14"/>
      <c r="BD59" s="14"/>
      <c r="BE59" s="14"/>
      <c r="BF59" s="14"/>
      <c r="BG59" s="14"/>
      <c r="BH59" s="65"/>
      <c r="BI59" s="63"/>
      <c r="BJ59" s="352"/>
      <c r="BK59" s="19"/>
      <c r="BL59" s="57"/>
      <c r="BM59" s="121" t="str">
        <f ca="1">IF(BR79=0,"",IF(COUNTIF(BR72:BR78,MAX(BR72:BR78))=1,"",IF(COUNTIF(BR72:BR78,MAX(BR72:BR78))&gt;COUNTIF(BQ72:BQ78,"&lt;&gt;""")/2,"",INDEX(OFFSET(BQ72,MATCH(BM58,BQ72:BQ78,0),0):BQ78,MATCH(MAX(BR72:BR78),OFFSET(BR72,MATCH(BM58,BQ72:BQ78,0),0):BR78,0),1))))</f>
        <v/>
      </c>
      <c r="BN59" s="58"/>
      <c r="BO59" s="121"/>
      <c r="BP59" s="14"/>
      <c r="BQ59" s="14"/>
      <c r="BR59" s="14"/>
      <c r="BS59" s="14"/>
      <c r="BT59" s="14"/>
      <c r="BU59" s="14"/>
      <c r="BV59" s="14"/>
      <c r="BW59" s="65"/>
      <c r="BX59" s="63"/>
      <c r="BY59" s="352"/>
      <c r="BZ59" s="14"/>
      <c r="CA59" s="14"/>
      <c r="CB59" s="21"/>
      <c r="CC59" s="21"/>
      <c r="CD59" s="21"/>
      <c r="CE59" s="21"/>
      <c r="CF59" s="21"/>
      <c r="CG59" s="14"/>
      <c r="CH59" s="14"/>
      <c r="CI59" s="14"/>
      <c r="CJ59" s="14"/>
      <c r="CK59" s="14"/>
      <c r="CL59" s="14"/>
      <c r="CM59" s="14"/>
      <c r="CN59" s="14"/>
      <c r="CO59" s="129"/>
      <c r="CP59" s="38"/>
      <c r="CQ59" s="47"/>
      <c r="CR59" s="14"/>
      <c r="CS59" s="14"/>
      <c r="CT59" s="14"/>
      <c r="CU59" s="14"/>
      <c r="CV59" s="21"/>
      <c r="CW59" s="14"/>
      <c r="CX59" s="14"/>
      <c r="CY59" s="14"/>
      <c r="CZ59" s="14"/>
      <c r="DA59" s="14"/>
      <c r="DB59" s="14"/>
      <c r="DC59" s="14"/>
      <c r="DD59" s="14"/>
      <c r="DE59" s="14"/>
      <c r="DF59" s="14"/>
      <c r="DG59" s="129"/>
      <c r="DH59" s="29"/>
      <c r="DI59" s="47"/>
      <c r="DJ59" s="29"/>
      <c r="DK59" s="34"/>
      <c r="DL59" s="121" t="str">
        <f ca="1">IF(DQ77=0,"",IF(COUNTIF(DQ72:DQ76,MAX(DQ72:DQ76))=1,"",IF(COUNTIF(DQ72:DQ76,MAX(DQ72:DQ76))&gt;COUNTIF(DP72:DP76,"&lt;&gt;""")/2,"",INDEX(OFFSET(DP72,MATCH(DL58,DP72:DP77,0),0):DP76,MATCH(MAX(DQ72:DQ76),OFFSET(DQ72,MATCH(DL58,DP72:DP77,0),0):DQ76,0),1))))</f>
        <v/>
      </c>
      <c r="DM59" s="33"/>
      <c r="DN59" s="37"/>
      <c r="DO59" s="14"/>
      <c r="DP59" s="14"/>
      <c r="DQ59" s="14"/>
      <c r="DR59" s="14"/>
      <c r="DS59" s="14"/>
      <c r="DT59" s="14"/>
      <c r="DU59" s="40"/>
      <c r="DV59" s="14"/>
      <c r="DW59" s="14"/>
      <c r="DX59" s="14"/>
      <c r="DY59" s="14"/>
      <c r="DZ59" s="14"/>
      <c r="EA59" s="14"/>
      <c r="EB59" s="14"/>
      <c r="EC59" s="14"/>
      <c r="ED59" s="14"/>
      <c r="EE59" s="14"/>
      <c r="EF59" s="14"/>
      <c r="EG59" s="14"/>
      <c r="EH59" s="14"/>
      <c r="EI59" s="14"/>
      <c r="EJ59" s="14"/>
      <c r="EK59" s="14"/>
      <c r="EL59" s="14"/>
    </row>
    <row r="60" spans="1:142" x14ac:dyDescent="0.25">
      <c r="A60" s="14"/>
      <c r="B60" s="57"/>
      <c r="C60" s="121" t="str">
        <f ca="1" xml:space="preserve"> IF(H77=0,"",IF(H77=0,"", IF(COUNTIF(H72:H76,MAX(H72:H76))&lt;=2,"",IF(COUNTIF(H72:H76,MAX(H72:H76))&gt;COUNTIF(G72:G76,"&lt;&gt;""")/2,"", INDEX(OFFSET(G72,MATCH(C59,G72:G77,0),0):G76,         MATCH(MAX(H72:H76),        OFFSET(H72,MATCH(C59,G72:G77,0),0):H76,0),1)))))</f>
        <v/>
      </c>
      <c r="D60" s="58"/>
      <c r="E60" s="121"/>
      <c r="F60" s="14"/>
      <c r="G60" s="14"/>
      <c r="H60" s="27"/>
      <c r="I60" s="21"/>
      <c r="J60" s="14"/>
      <c r="K60" s="14"/>
      <c r="L60" s="19"/>
      <c r="M60" s="19"/>
      <c r="N60" s="19"/>
      <c r="O60" s="19"/>
      <c r="P60" s="19"/>
      <c r="Q60" s="47"/>
      <c r="R60" s="19"/>
      <c r="S60" s="34"/>
      <c r="T60" s="121" t="str">
        <f ca="1" xml:space="preserve"> IF(Y79=0,"",IF(Y79=0,"", IF(COUNTIF(Y72:Y78,MAX(Y72:Y78))&lt;=2,"",IF(COUNTIF(Y72:Y78,MAX(Y72:Y78))&gt;COUNTIF(X72:X78,"&lt;&gt;""")/2,"", INDEX(OFFSET(X72,MATCH(T59,X72:X78,0),0):X78,         MATCH(MAX(Y72:Y78),        OFFSET(Y72,MATCH(T59,X72:X78,0),0):Y78,0),1)))))</f>
        <v/>
      </c>
      <c r="U60" s="33"/>
      <c r="V60" s="37"/>
      <c r="W60" s="14"/>
      <c r="X60" s="14"/>
      <c r="Y60" s="14"/>
      <c r="Z60" s="14"/>
      <c r="AA60" s="14"/>
      <c r="AB60" s="14"/>
      <c r="AC60" s="14"/>
      <c r="AD60" s="65"/>
      <c r="AE60" s="63"/>
      <c r="AF60" s="47"/>
      <c r="AG60" s="19"/>
      <c r="AH60" s="57"/>
      <c r="AI60" s="121" t="str">
        <f ca="1" xml:space="preserve"> IF(AN79=0,"",IF(AN79=0,"", IF(COUNTIF(AN72:AN78,MAX(AN72:AN78))&lt;=2,"",IF(COUNTIF(AN72:AN78,MAX(AN72:AN78))&gt;COUNTIF(AM72:AM78,"&lt;&gt;""")/2,"", INDEX(OFFSET(AM72,MATCH(AI59,AM72:AM78,0),0):AM78,         MATCH(MAX(AN72:AN78),        OFFSET(AN72,MATCH(AI59,AM72:AM78,0),0):AN78,0),1)))))</f>
        <v/>
      </c>
      <c r="AJ60" s="58"/>
      <c r="AK60" s="121"/>
      <c r="AL60" s="14"/>
      <c r="AM60" s="14"/>
      <c r="AN60" s="14"/>
      <c r="AO60" s="14"/>
      <c r="AP60" s="14"/>
      <c r="AQ60" s="14"/>
      <c r="AR60" s="14"/>
      <c r="AS60" s="65"/>
      <c r="AT60" s="63"/>
      <c r="AU60" s="47"/>
      <c r="AV60" s="19"/>
      <c r="AW60" s="57"/>
      <c r="AX60" s="121" t="str">
        <f ca="1" xml:space="preserve"> IF(BC79=0,"",IF(BC79=0,"", IF(COUNTIF(BC72:BC78,MAX(BC72:BC78))&lt;=2,"",IF(COUNTIF(BC72:BC78,MAX(BC72:BC78))&gt;COUNTIF(BB72:BB78,"&lt;&gt;""")/2,"", INDEX(OFFSET(BB72,MATCH(AX59,BB72:BB78,0),0):BB78,         MATCH(MAX(BC72:BC78),        OFFSET(BC72,MATCH(AX59,BB72:BB78,0),0):BC78,0),1)))))</f>
        <v/>
      </c>
      <c r="AY60" s="58"/>
      <c r="AZ60" s="121"/>
      <c r="BA60" s="14"/>
      <c r="BB60" s="14"/>
      <c r="BC60" s="14"/>
      <c r="BD60" s="14"/>
      <c r="BE60" s="14"/>
      <c r="BF60" s="14"/>
      <c r="BG60" s="14"/>
      <c r="BH60" s="65"/>
      <c r="BI60" s="63"/>
      <c r="BJ60" s="352"/>
      <c r="BK60" s="19"/>
      <c r="BL60" s="57"/>
      <c r="BM60" s="121" t="str">
        <f ca="1" xml:space="preserve"> IF(BR79=0,"",IF(BR79=0,"", IF(COUNTIF(BR72:BR78,MAX(BR72:BR78))&lt;=2,"",IF(COUNTIF(BR72:BR78,MAX(BR72:BR78))&gt;COUNTIF(BQ72:BQ78,"&lt;&gt;""")/2,"", INDEX(OFFSET(BQ72,MATCH(BM59,BQ72:BQ78,0),0):BQ78,         MATCH(MAX(BR72:BR78),        OFFSET(BR72,MATCH(BM59,BQ72:BQ78,0),0):BR78,0),1)))))</f>
        <v/>
      </c>
      <c r="BN60" s="58"/>
      <c r="BO60" s="121"/>
      <c r="BP60" s="14"/>
      <c r="BQ60" s="14"/>
      <c r="BR60" s="14"/>
      <c r="BS60" s="14"/>
      <c r="BT60" s="14"/>
      <c r="BU60" s="14"/>
      <c r="BV60" s="14"/>
      <c r="BW60" s="65"/>
      <c r="BX60" s="63"/>
      <c r="BY60" s="352"/>
      <c r="BZ60" s="14"/>
      <c r="CA60" s="14"/>
      <c r="CB60" s="21"/>
      <c r="CC60" s="21"/>
      <c r="CD60" s="21"/>
      <c r="CE60" s="21"/>
      <c r="CF60" s="21"/>
      <c r="CG60" s="14"/>
      <c r="CH60" s="14"/>
      <c r="CI60" s="14"/>
      <c r="CJ60" s="14"/>
      <c r="CK60" s="14"/>
      <c r="CL60" s="14"/>
      <c r="CM60" s="14"/>
      <c r="CN60" s="14"/>
      <c r="CO60" s="129"/>
      <c r="CP60" s="38"/>
      <c r="CQ60" s="47"/>
      <c r="CR60" s="14"/>
      <c r="CS60" s="14"/>
      <c r="CT60" s="14"/>
      <c r="CU60" s="14"/>
      <c r="CV60" s="21"/>
      <c r="CW60" s="14"/>
      <c r="CX60" s="14"/>
      <c r="CY60" s="14"/>
      <c r="CZ60" s="14"/>
      <c r="DA60" s="14"/>
      <c r="DB60" s="14"/>
      <c r="DC60" s="14"/>
      <c r="DD60" s="14"/>
      <c r="DE60" s="14"/>
      <c r="DF60" s="14"/>
      <c r="DG60" s="129"/>
      <c r="DH60" s="29"/>
      <c r="DI60" s="47"/>
      <c r="DJ60" s="29"/>
      <c r="DK60" s="34"/>
      <c r="DL60" s="121" t="str">
        <f ca="1" xml:space="preserve"> IF(DQ77=0,"",IF(DQ77=0,"", IF(COUNTIF(DQ72:DQ76,MAX(DQ72:DQ76))&lt;=2,"",IF(COUNTIF(DQ72:DQ76,MAX(DQ72:DQ76))&gt;COUNTIF(DP72:DP76,"&lt;&gt;""")/2,"", INDEX(OFFSET(DP72,MATCH(DL59,DP72:DP77,0),0):DP76,         MATCH(MAX(DQ72:DQ76),        OFFSET(DQ72,MATCH(DL59,DP72:DP77,0),0):DQ76,0),1)))))</f>
        <v/>
      </c>
      <c r="DM60" s="33"/>
      <c r="DN60" s="37"/>
      <c r="DO60" s="14"/>
      <c r="DP60" s="14"/>
      <c r="DQ60" s="14"/>
      <c r="DR60" s="14"/>
      <c r="DS60" s="14"/>
      <c r="DT60" s="14"/>
      <c r="DU60" s="40"/>
      <c r="DV60" s="14"/>
      <c r="DW60" s="14"/>
      <c r="DX60" s="14"/>
      <c r="DY60" s="14"/>
      <c r="DZ60" s="14"/>
      <c r="EA60" s="14"/>
      <c r="EB60" s="14"/>
      <c r="EC60" s="14"/>
      <c r="ED60" s="14"/>
      <c r="EE60" s="14"/>
      <c r="EF60" s="14"/>
      <c r="EG60" s="14"/>
      <c r="EH60" s="14"/>
      <c r="EI60" s="14"/>
      <c r="EJ60" s="14"/>
      <c r="EK60" s="14"/>
      <c r="EL60" s="14"/>
    </row>
    <row r="61" spans="1:142" x14ac:dyDescent="0.25">
      <c r="A61" s="14"/>
      <c r="B61" s="19"/>
      <c r="C61" s="19"/>
      <c r="D61" s="27"/>
      <c r="E61" s="70"/>
      <c r="F61" s="14"/>
      <c r="G61" s="14"/>
      <c r="H61" s="27"/>
      <c r="I61" s="21"/>
      <c r="J61" s="14"/>
      <c r="K61" s="14"/>
      <c r="L61" s="19"/>
      <c r="M61" s="19"/>
      <c r="N61" s="19"/>
      <c r="O61" s="19"/>
      <c r="P61" s="19"/>
      <c r="Q61" s="47"/>
      <c r="R61" s="19"/>
      <c r="S61" s="19"/>
      <c r="T61" s="14"/>
      <c r="U61" s="27"/>
      <c r="V61" s="14"/>
      <c r="W61" s="14"/>
      <c r="X61" s="14"/>
      <c r="Y61" s="14"/>
      <c r="Z61" s="14"/>
      <c r="AA61" s="14"/>
      <c r="AB61" s="14"/>
      <c r="AC61" s="14"/>
      <c r="AD61" s="65"/>
      <c r="AE61" s="63"/>
      <c r="AF61" s="47"/>
      <c r="AG61" s="19"/>
      <c r="AH61" s="19"/>
      <c r="AI61" s="14"/>
      <c r="AJ61" s="27"/>
      <c r="AK61" s="14"/>
      <c r="AL61" s="14"/>
      <c r="AM61" s="14"/>
      <c r="AN61" s="14"/>
      <c r="AO61" s="14"/>
      <c r="AP61" s="14"/>
      <c r="AQ61" s="14"/>
      <c r="AR61" s="14"/>
      <c r="AS61" s="65"/>
      <c r="AT61" s="63"/>
      <c r="AU61" s="47"/>
      <c r="AV61" s="19"/>
      <c r="AW61" s="19"/>
      <c r="AX61" s="14"/>
      <c r="AY61" s="27"/>
      <c r="AZ61" s="14"/>
      <c r="BA61" s="14"/>
      <c r="BB61" s="14"/>
      <c r="BC61" s="14"/>
      <c r="BD61" s="14"/>
      <c r="BE61" s="14"/>
      <c r="BF61" s="14"/>
      <c r="BG61" s="14"/>
      <c r="BH61" s="65"/>
      <c r="BI61" s="63"/>
      <c r="BJ61" s="352"/>
      <c r="BK61" s="19"/>
      <c r="BL61" s="124"/>
      <c r="BM61" s="7"/>
      <c r="BN61" s="125"/>
      <c r="BO61" s="7"/>
      <c r="BP61" s="14"/>
      <c r="BQ61" s="14"/>
      <c r="BR61" s="14"/>
      <c r="BS61" s="14"/>
      <c r="BT61" s="14"/>
      <c r="BU61" s="14"/>
      <c r="BV61" s="14"/>
      <c r="BW61" s="65"/>
      <c r="BX61" s="63"/>
      <c r="BY61" s="352"/>
      <c r="BZ61" s="14"/>
      <c r="CA61" s="14"/>
      <c r="CB61" s="21"/>
      <c r="CC61" s="21"/>
      <c r="CD61" s="21"/>
      <c r="CE61" s="21"/>
      <c r="CF61" s="21"/>
      <c r="CG61" s="14"/>
      <c r="CH61" s="14"/>
      <c r="CI61" s="14"/>
      <c r="CJ61" s="14"/>
      <c r="CK61" s="14"/>
      <c r="CL61" s="14"/>
      <c r="CM61" s="14"/>
      <c r="CN61" s="14"/>
      <c r="CO61" s="129"/>
      <c r="CP61" s="38"/>
      <c r="CQ61" s="47"/>
      <c r="CR61" s="14"/>
      <c r="CS61" s="14"/>
      <c r="CT61" s="14"/>
      <c r="CU61" s="14"/>
      <c r="CV61" s="21"/>
      <c r="CW61" s="14"/>
      <c r="CX61" s="14"/>
      <c r="CY61" s="14"/>
      <c r="CZ61" s="14"/>
      <c r="DA61" s="14"/>
      <c r="DB61" s="14"/>
      <c r="DC61" s="14"/>
      <c r="DD61" s="14"/>
      <c r="DE61" s="14"/>
      <c r="DF61" s="14"/>
      <c r="DG61" s="129"/>
      <c r="DH61" s="29"/>
      <c r="DI61" s="47"/>
      <c r="DJ61" s="29"/>
      <c r="DK61" s="14"/>
      <c r="DL61" s="14"/>
      <c r="DM61" s="27"/>
      <c r="DN61" s="14"/>
      <c r="DO61" s="14"/>
      <c r="DP61" s="14"/>
      <c r="DQ61" s="14"/>
      <c r="DR61" s="14"/>
      <c r="DS61" s="14"/>
      <c r="DT61" s="14"/>
      <c r="DU61" s="40"/>
      <c r="DV61" s="14"/>
      <c r="DW61" s="14"/>
      <c r="DX61" s="14"/>
      <c r="DY61" s="14"/>
      <c r="DZ61" s="14"/>
      <c r="EA61" s="14"/>
      <c r="EB61" s="14"/>
      <c r="EC61" s="14"/>
      <c r="ED61" s="14"/>
      <c r="EE61" s="14"/>
      <c r="EF61" s="14"/>
      <c r="EG61" s="14"/>
      <c r="EH61" s="14"/>
      <c r="EI61" s="14"/>
      <c r="EJ61" s="14"/>
      <c r="EK61" s="14"/>
      <c r="EL61" s="14"/>
    </row>
    <row r="62" spans="1:142" x14ac:dyDescent="0.25">
      <c r="A62" s="14"/>
      <c r="B62" s="19"/>
      <c r="C62" s="19"/>
      <c r="D62" s="27"/>
      <c r="E62" s="19"/>
      <c r="F62" s="14"/>
      <c r="G62" s="14"/>
      <c r="H62" s="27"/>
      <c r="I62" s="21"/>
      <c r="J62" s="14"/>
      <c r="K62" s="14"/>
      <c r="L62" s="19"/>
      <c r="M62" s="19"/>
      <c r="N62" s="19"/>
      <c r="O62" s="19"/>
      <c r="P62" s="19"/>
      <c r="Q62" s="47"/>
      <c r="R62" s="19"/>
      <c r="S62" s="19"/>
      <c r="T62" s="14"/>
      <c r="U62" s="27"/>
      <c r="V62" s="14"/>
      <c r="W62" s="14"/>
      <c r="X62" s="14"/>
      <c r="Y62" s="14"/>
      <c r="Z62" s="14"/>
      <c r="AA62" s="14"/>
      <c r="AB62" s="14"/>
      <c r="AC62" s="14"/>
      <c r="AD62" s="65"/>
      <c r="AE62" s="63"/>
      <c r="AF62" s="47"/>
      <c r="AG62" s="19"/>
      <c r="AH62" s="19"/>
      <c r="AI62" s="14"/>
      <c r="AJ62" s="27"/>
      <c r="AK62" s="14"/>
      <c r="AL62" s="14"/>
      <c r="AM62" s="14"/>
      <c r="AN62" s="14"/>
      <c r="AO62" s="14"/>
      <c r="AP62" s="14"/>
      <c r="AQ62" s="14"/>
      <c r="AR62" s="14"/>
      <c r="AS62" s="65"/>
      <c r="AT62" s="63"/>
      <c r="AU62" s="47"/>
      <c r="AV62" s="19"/>
      <c r="AW62" s="19"/>
      <c r="AX62" s="14"/>
      <c r="AY62" s="27"/>
      <c r="AZ62" s="14"/>
      <c r="BA62" s="14"/>
      <c r="BB62" s="14"/>
      <c r="BC62" s="14"/>
      <c r="BD62" s="14"/>
      <c r="BE62" s="14"/>
      <c r="BF62" s="14"/>
      <c r="BG62" s="14"/>
      <c r="BH62" s="65"/>
      <c r="BI62" s="63"/>
      <c r="BJ62" s="352"/>
      <c r="BK62" s="19"/>
      <c r="BL62" s="19"/>
      <c r="BM62" s="14"/>
      <c r="BN62" s="27"/>
      <c r="BO62" s="14"/>
      <c r="BP62" s="14"/>
      <c r="BQ62" s="14"/>
      <c r="BR62" s="14"/>
      <c r="BS62" s="14"/>
      <c r="BT62" s="14"/>
      <c r="BU62" s="14"/>
      <c r="BV62" s="14"/>
      <c r="BW62" s="65"/>
      <c r="BX62" s="63"/>
      <c r="BY62" s="352"/>
      <c r="BZ62" s="14"/>
      <c r="CA62" s="14"/>
      <c r="CB62" s="21"/>
      <c r="CC62" s="21"/>
      <c r="CD62" s="21"/>
      <c r="CE62" s="21"/>
      <c r="CF62" s="21"/>
      <c r="CG62" s="14"/>
      <c r="CH62" s="14"/>
      <c r="CI62" s="14"/>
      <c r="CJ62" s="14"/>
      <c r="CK62" s="14"/>
      <c r="CL62" s="14"/>
      <c r="CM62" s="14"/>
      <c r="CN62" s="14"/>
      <c r="CO62" s="129"/>
      <c r="CP62" s="38"/>
      <c r="CQ62" s="47"/>
      <c r="CR62" s="14"/>
      <c r="CS62" s="14"/>
      <c r="CT62" s="14"/>
      <c r="CU62" s="14"/>
      <c r="CV62" s="21"/>
      <c r="CW62" s="14"/>
      <c r="CX62" s="14"/>
      <c r="CY62" s="14"/>
      <c r="CZ62" s="14"/>
      <c r="DA62" s="14"/>
      <c r="DB62" s="14"/>
      <c r="DC62" s="14"/>
      <c r="DD62" s="14"/>
      <c r="DE62" s="14"/>
      <c r="DF62" s="14"/>
      <c r="DG62" s="129"/>
      <c r="DH62" s="29"/>
      <c r="DI62" s="47"/>
      <c r="DJ62" s="29"/>
      <c r="DK62" s="19"/>
      <c r="DL62" s="19"/>
      <c r="DM62" s="27"/>
      <c r="DN62" s="14"/>
      <c r="DO62" s="14"/>
      <c r="DP62" s="14"/>
      <c r="DQ62" s="14"/>
      <c r="DR62" s="14"/>
      <c r="DS62" s="14"/>
      <c r="DT62" s="14"/>
      <c r="DU62" s="40"/>
      <c r="DV62" s="14"/>
      <c r="DW62" s="14"/>
      <c r="DX62" s="14"/>
      <c r="DY62" s="14"/>
      <c r="DZ62" s="14"/>
      <c r="EA62" s="14"/>
      <c r="EB62" s="14"/>
      <c r="EC62" s="14"/>
      <c r="ED62" s="14"/>
      <c r="EE62" s="14"/>
      <c r="EF62" s="14"/>
      <c r="EG62" s="14"/>
      <c r="EH62" s="14"/>
      <c r="EI62" s="14"/>
      <c r="EJ62" s="14"/>
      <c r="EK62" s="14"/>
      <c r="EL62" s="14"/>
    </row>
    <row r="63" spans="1:142" ht="27.6" x14ac:dyDescent="0.25">
      <c r="A63" s="14"/>
      <c r="B63" s="14"/>
      <c r="C63" s="19"/>
      <c r="D63" s="27"/>
      <c r="E63" s="14"/>
      <c r="F63" s="14"/>
      <c r="G63" s="14"/>
      <c r="H63" s="27"/>
      <c r="I63" s="21"/>
      <c r="J63" s="14"/>
      <c r="K63" s="14"/>
      <c r="L63" s="19"/>
      <c r="M63" s="19"/>
      <c r="N63" s="19"/>
      <c r="O63" s="19"/>
      <c r="P63" s="19"/>
      <c r="Q63" s="47"/>
      <c r="R63" s="19"/>
      <c r="S63" s="19"/>
      <c r="T63" s="14"/>
      <c r="U63" s="27"/>
      <c r="V63" s="14"/>
      <c r="W63" s="14"/>
      <c r="X63" s="14"/>
      <c r="Y63" s="14"/>
      <c r="Z63" s="14"/>
      <c r="AA63" s="14"/>
      <c r="AB63" s="14"/>
      <c r="AC63" s="14"/>
      <c r="AD63" s="65"/>
      <c r="AE63" s="63"/>
      <c r="AF63" s="47"/>
      <c r="AG63" s="19"/>
      <c r="AH63" s="19"/>
      <c r="AI63" s="14"/>
      <c r="AJ63" s="27"/>
      <c r="AK63" s="14"/>
      <c r="AL63" s="14"/>
      <c r="AM63" s="14"/>
      <c r="AN63" s="14"/>
      <c r="AO63" s="14"/>
      <c r="AP63" s="14"/>
      <c r="AQ63" s="14"/>
      <c r="AR63" s="14"/>
      <c r="AS63" s="65"/>
      <c r="AT63" s="63"/>
      <c r="AU63" s="47"/>
      <c r="AV63" s="19"/>
      <c r="AW63" s="19"/>
      <c r="AX63" s="14"/>
      <c r="AY63" s="27"/>
      <c r="AZ63" s="14"/>
      <c r="BA63" s="14"/>
      <c r="BB63" s="14"/>
      <c r="BC63" s="14"/>
      <c r="BD63" s="14"/>
      <c r="BE63" s="14"/>
      <c r="BF63" s="14"/>
      <c r="BG63" s="14"/>
      <c r="BH63" s="65"/>
      <c r="BI63" s="63"/>
      <c r="BJ63" s="352"/>
      <c r="BK63" s="19"/>
      <c r="BL63" s="19"/>
      <c r="BM63" s="14"/>
      <c r="BN63" s="27"/>
      <c r="BO63" s="14"/>
      <c r="BP63" s="14"/>
      <c r="BQ63" s="14"/>
      <c r="BR63" s="14"/>
      <c r="BS63" s="14"/>
      <c r="BT63" s="14"/>
      <c r="BU63" s="14"/>
      <c r="BV63" s="14"/>
      <c r="BW63" s="65"/>
      <c r="BX63" s="63"/>
      <c r="BY63" s="352"/>
      <c r="BZ63" s="14"/>
      <c r="CA63" s="109"/>
      <c r="CB63" s="110" t="s">
        <v>164</v>
      </c>
      <c r="CC63" s="110" t="s">
        <v>149</v>
      </c>
      <c r="CD63" s="110" t="s">
        <v>150</v>
      </c>
      <c r="CE63" s="110" t="s">
        <v>151</v>
      </c>
      <c r="CF63" s="110" t="s">
        <v>152</v>
      </c>
      <c r="CG63" s="14"/>
      <c r="CH63" s="109"/>
      <c r="CI63" s="110" t="s">
        <v>5</v>
      </c>
      <c r="CJ63" s="110" t="s">
        <v>4</v>
      </c>
      <c r="CK63" s="110" t="s">
        <v>33</v>
      </c>
      <c r="CL63" s="110" t="s">
        <v>29</v>
      </c>
      <c r="CM63" s="110" t="s">
        <v>3</v>
      </c>
      <c r="CN63" s="110" t="s">
        <v>54</v>
      </c>
      <c r="CO63" s="328" t="s">
        <v>160</v>
      </c>
      <c r="CP63" s="38"/>
      <c r="CQ63" s="47"/>
      <c r="CR63" s="14"/>
      <c r="CS63" s="109" t="s">
        <v>14</v>
      </c>
      <c r="CT63" s="110" t="s">
        <v>164</v>
      </c>
      <c r="CU63" s="110" t="s">
        <v>149</v>
      </c>
      <c r="CV63" s="110" t="s">
        <v>150</v>
      </c>
      <c r="CW63" s="110" t="s">
        <v>151</v>
      </c>
      <c r="CX63" s="109" t="s">
        <v>152</v>
      </c>
      <c r="CY63" s="14"/>
      <c r="CZ63" s="109" t="s">
        <v>14</v>
      </c>
      <c r="DA63" s="110" t="s">
        <v>5</v>
      </c>
      <c r="DB63" s="110" t="s">
        <v>4</v>
      </c>
      <c r="DC63" s="110" t="s">
        <v>33</v>
      </c>
      <c r="DD63" s="110" t="s">
        <v>29</v>
      </c>
      <c r="DE63" s="110" t="s">
        <v>3</v>
      </c>
      <c r="DF63" s="110" t="s">
        <v>54</v>
      </c>
      <c r="DG63" s="328" t="s">
        <v>160</v>
      </c>
      <c r="DH63" s="29"/>
      <c r="DI63" s="47"/>
      <c r="DJ63" s="29"/>
      <c r="DK63" s="19"/>
      <c r="DL63" s="19"/>
      <c r="DM63" s="27"/>
      <c r="DN63" s="14"/>
      <c r="DO63" s="14"/>
      <c r="DP63" s="14"/>
      <c r="DQ63" s="14"/>
      <c r="DR63" s="14"/>
      <c r="DS63" s="14"/>
      <c r="DT63" s="14"/>
      <c r="DU63" s="40"/>
      <c r="DV63" s="14"/>
      <c r="DW63" s="14"/>
      <c r="DX63" s="14"/>
      <c r="DY63" s="14"/>
      <c r="DZ63" s="14"/>
      <c r="EA63" s="14"/>
      <c r="EB63" s="14"/>
      <c r="EC63" s="14"/>
      <c r="ED63" s="14"/>
      <c r="EE63" s="14"/>
      <c r="EF63" s="14"/>
      <c r="EG63" s="14"/>
      <c r="EH63" s="14"/>
      <c r="EI63" s="14"/>
      <c r="EJ63" s="14"/>
      <c r="EK63" s="14"/>
      <c r="EL63" s="14"/>
    </row>
    <row r="64" spans="1:142" x14ac:dyDescent="0.25">
      <c r="A64" s="14"/>
      <c r="B64" s="14"/>
      <c r="C64" s="14"/>
      <c r="D64" s="21"/>
      <c r="E64" s="14"/>
      <c r="F64" s="14"/>
      <c r="G64" s="14"/>
      <c r="H64" s="27"/>
      <c r="I64" s="15"/>
      <c r="J64" s="13"/>
      <c r="K64" s="14"/>
      <c r="L64" s="14"/>
      <c r="M64" s="14"/>
      <c r="N64" s="14"/>
      <c r="O64" s="14"/>
      <c r="P64" s="14"/>
      <c r="Q64" s="47"/>
      <c r="R64" s="19"/>
      <c r="S64" s="14"/>
      <c r="T64" s="14"/>
      <c r="U64" s="14"/>
      <c r="V64" s="14"/>
      <c r="W64" s="14"/>
      <c r="X64" s="14"/>
      <c r="Y64" s="14"/>
      <c r="Z64" s="14"/>
      <c r="AA64" s="14"/>
      <c r="AB64" s="14"/>
      <c r="AC64" s="14"/>
      <c r="AD64" s="65"/>
      <c r="AE64" s="63"/>
      <c r="AF64" s="47"/>
      <c r="AG64" s="19"/>
      <c r="AH64" s="14"/>
      <c r="AI64" s="14"/>
      <c r="AJ64" s="14"/>
      <c r="AK64" s="14"/>
      <c r="AL64" s="14"/>
      <c r="AM64" s="14"/>
      <c r="AN64" s="14"/>
      <c r="AO64" s="14"/>
      <c r="AP64" s="14"/>
      <c r="AQ64" s="14"/>
      <c r="AR64" s="14"/>
      <c r="AS64" s="65"/>
      <c r="AT64" s="63"/>
      <c r="AU64" s="47"/>
      <c r="AV64" s="19"/>
      <c r="AW64" s="14"/>
      <c r="AX64" s="14"/>
      <c r="AY64" s="14"/>
      <c r="AZ64" s="14"/>
      <c r="BA64" s="14"/>
      <c r="BB64" s="14"/>
      <c r="BC64" s="14"/>
      <c r="BD64" s="14"/>
      <c r="BE64" s="14"/>
      <c r="BF64" s="14"/>
      <c r="BG64" s="14"/>
      <c r="BH64" s="65"/>
      <c r="BI64" s="63"/>
      <c r="BJ64" s="352"/>
      <c r="BK64" s="19"/>
      <c r="BL64" s="14"/>
      <c r="BM64" s="14"/>
      <c r="BN64" s="14"/>
      <c r="BO64" s="14"/>
      <c r="BP64" s="14"/>
      <c r="BQ64" s="14"/>
      <c r="BR64" s="14"/>
      <c r="BS64" s="14"/>
      <c r="BT64" s="14"/>
      <c r="BU64" s="14"/>
      <c r="BV64" s="14"/>
      <c r="BW64" s="65"/>
      <c r="BX64" s="63"/>
      <c r="BY64" s="352"/>
      <c r="BZ64" s="14"/>
      <c r="CA64" s="140" t="s">
        <v>701</v>
      </c>
      <c r="CB64" s="27">
        <f>COUNTIFS(S30_stakeholder_category,"FO",Response_Q177_1,"&lt;&gt;0",Response_Q173_7,"&lt;&gt;0")</f>
        <v>3</v>
      </c>
      <c r="CC64" s="37">
        <f>COUNTIFS(S30_stakeholder_category,"FO",Response_Q177_1,1,Response_Q173_7,"&lt;&gt;""0")</f>
        <v>3</v>
      </c>
      <c r="CD64" s="37">
        <f>COUNTIFS(S30_stakeholder_category,"FO",Response_Q177_1,2,Response_Q173_7,"&lt;&gt;""0")</f>
        <v>0</v>
      </c>
      <c r="CE64" s="37">
        <f>COUNTIFS(S30_stakeholder_category,"FO",Response_Q177_1,3,Response_Q173_7,"&lt;&gt;""0")</f>
        <v>0</v>
      </c>
      <c r="CF64" s="97">
        <f>IF(CB58=0,0,SUMPRODUCT(CC64:CE64,Rank_score)/$CB58)</f>
        <v>3</v>
      </c>
      <c r="CG64" s="14"/>
      <c r="CH64" s="140" t="s">
        <v>701</v>
      </c>
      <c r="CI64" s="27">
        <f t="shared" ref="CI64:CN64" si="18">COUNTIFS(S30_stakeholder_category,"FO",Response_Q177_1,"&lt;&gt;0",Response_Q177_2,CI$63,Response_Q173_7,"&lt;&gt;0")</f>
        <v>2</v>
      </c>
      <c r="CJ64" s="27">
        <f t="shared" si="18"/>
        <v>0</v>
      </c>
      <c r="CK64" s="27">
        <f t="shared" si="18"/>
        <v>0</v>
      </c>
      <c r="CL64" s="27">
        <f t="shared" si="18"/>
        <v>1</v>
      </c>
      <c r="CM64" s="27">
        <f t="shared" si="18"/>
        <v>0</v>
      </c>
      <c r="CN64" s="27">
        <f t="shared" si="18"/>
        <v>0</v>
      </c>
      <c r="CO64" s="141">
        <f>IF(ISBLANK(CH64),"",IF(CF64=0,not_ranked,IF(SUM(CI64:CN64)=0,not_estimated,IFERROR(SUMPRODUCT(CI64:CN64,Likekihood_score)/SUM(CI64:CN64),0))))</f>
        <v>2</v>
      </c>
      <c r="CP64" s="38"/>
      <c r="CQ64" s="47"/>
      <c r="CR64" s="14"/>
      <c r="CS64" s="140" t="s">
        <v>373</v>
      </c>
      <c r="CT64" s="27">
        <f>COUNTIFS(S30_stakeholder_category,"FO",Response_Q178_1,"&lt;&gt;0",Response_Q173_7,"&lt;&gt;0")</f>
        <v>3</v>
      </c>
      <c r="CU64" s="37">
        <f>COUNTIFS(S30_stakeholder_category,"FO",Response_Q178_1,1,Response_Q173_7,"&lt;&gt;0")</f>
        <v>3</v>
      </c>
      <c r="CV64" s="37">
        <f>COUNTIFS(S30_stakeholder_category,"FO",Response_Q178_1,2,Response_Q173_7,"&lt;&gt;0")</f>
        <v>0</v>
      </c>
      <c r="CW64" s="37">
        <f>COUNTIFS(S30_stakeholder_category,"FO",Response_Q178_1,3,Response_Q173_7,"&lt;&gt;0")</f>
        <v>0</v>
      </c>
      <c r="CX64" s="37">
        <f>IF(CT58=0,0,SUMPRODUCT(CU64:CW64,Rank_score)/CT$58)</f>
        <v>3</v>
      </c>
      <c r="CY64" s="14"/>
      <c r="CZ64" s="140" t="s">
        <v>373</v>
      </c>
      <c r="DA64" s="27">
        <f t="shared" ref="DA64:DF64" si="19">COUNTIFS(S30_stakeholder_category,"FO",Response_Q178_1,"&lt;&gt;0",Response_Q178_2,DA$63,Response_Q173_7,"&lt;&gt;0")</f>
        <v>0</v>
      </c>
      <c r="DB64" s="27">
        <f t="shared" si="19"/>
        <v>0</v>
      </c>
      <c r="DC64" s="27">
        <f t="shared" si="19"/>
        <v>0</v>
      </c>
      <c r="DD64" s="27">
        <f t="shared" si="19"/>
        <v>1</v>
      </c>
      <c r="DE64" s="27">
        <f t="shared" si="19"/>
        <v>0</v>
      </c>
      <c r="DF64" s="27">
        <f t="shared" si="19"/>
        <v>1</v>
      </c>
      <c r="DG64" s="141">
        <f t="shared" ref="DG64:DG71" si="20">IF(ISBLANK(CZ64),"",IF(CX64=0,not_ranked,IF(SUM(DA64:DF64)=0,not_estimated,IFERROR(SUMPRODUCT(DA64:DF64,Likekihood_score)/SUM(DA64:DF64),0))))</f>
        <v>5</v>
      </c>
      <c r="DH64" s="29"/>
      <c r="DI64" s="47"/>
      <c r="DJ64" s="29"/>
      <c r="DK64" s="56"/>
      <c r="DL64" s="29"/>
      <c r="DM64" s="14"/>
      <c r="DN64" s="14"/>
      <c r="DO64" s="14"/>
      <c r="DP64" s="107"/>
      <c r="DQ64" s="27"/>
      <c r="DR64" s="41"/>
      <c r="DS64" s="14"/>
      <c r="DT64" s="14"/>
      <c r="DU64" s="14"/>
      <c r="DV64" s="14"/>
      <c r="DW64" s="14"/>
      <c r="DX64" s="14"/>
      <c r="DY64" s="14"/>
      <c r="DZ64" s="14"/>
      <c r="EA64" s="14"/>
      <c r="EB64" s="14"/>
      <c r="EC64" s="14"/>
      <c r="ED64" s="14"/>
      <c r="EE64" s="14"/>
      <c r="EF64" s="14"/>
      <c r="EG64" s="14"/>
      <c r="EH64" s="14"/>
      <c r="EI64" s="14"/>
      <c r="EJ64" s="14"/>
      <c r="EK64" s="14"/>
      <c r="EL64" s="14"/>
    </row>
    <row r="65" spans="1:142" x14ac:dyDescent="0.25">
      <c r="A65" s="14"/>
      <c r="B65" s="56"/>
      <c r="C65" s="19"/>
      <c r="D65" s="59"/>
      <c r="E65" s="14"/>
      <c r="F65" s="14"/>
      <c r="G65" s="14"/>
      <c r="H65" s="21"/>
      <c r="I65" s="21"/>
      <c r="J65" s="14"/>
      <c r="K65" s="14"/>
      <c r="L65" s="14"/>
      <c r="M65" s="14"/>
      <c r="N65" s="14"/>
      <c r="O65" s="14"/>
      <c r="P65" s="14"/>
      <c r="Q65" s="47"/>
      <c r="R65" s="19"/>
      <c r="S65" s="19"/>
      <c r="T65" s="19"/>
      <c r="U65" s="59"/>
      <c r="V65" s="14"/>
      <c r="W65" s="14"/>
      <c r="X65" s="14"/>
      <c r="Y65" s="14"/>
      <c r="Z65" s="14"/>
      <c r="AA65" s="14"/>
      <c r="AB65" s="14"/>
      <c r="AC65" s="14"/>
      <c r="AD65" s="65"/>
      <c r="AE65" s="63"/>
      <c r="AF65" s="47"/>
      <c r="AG65" s="19"/>
      <c r="AH65" s="19"/>
      <c r="AI65" s="19"/>
      <c r="AJ65" s="59"/>
      <c r="AK65" s="14"/>
      <c r="AL65" s="14"/>
      <c r="AM65" s="14"/>
      <c r="AN65" s="14"/>
      <c r="AO65" s="14"/>
      <c r="AP65" s="14"/>
      <c r="AQ65" s="14"/>
      <c r="AR65" s="14"/>
      <c r="AS65" s="65"/>
      <c r="AT65" s="63"/>
      <c r="AU65" s="47"/>
      <c r="AV65" s="19"/>
      <c r="AW65" s="19"/>
      <c r="AX65" s="19"/>
      <c r="AY65" s="59"/>
      <c r="AZ65" s="14"/>
      <c r="BA65" s="14"/>
      <c r="BB65" s="14"/>
      <c r="BC65" s="14"/>
      <c r="BD65" s="14"/>
      <c r="BE65" s="14"/>
      <c r="BF65" s="14"/>
      <c r="BG65" s="14"/>
      <c r="BH65" s="65"/>
      <c r="BI65" s="63"/>
      <c r="BJ65" s="352"/>
      <c r="BK65" s="19"/>
      <c r="BL65" s="19"/>
      <c r="BM65" s="19"/>
      <c r="BN65" s="59"/>
      <c r="BO65" s="14"/>
      <c r="BP65" s="14"/>
      <c r="BQ65" s="14"/>
      <c r="BR65" s="14"/>
      <c r="BS65" s="14"/>
      <c r="BT65" s="14"/>
      <c r="BU65" s="14"/>
      <c r="BV65" s="14"/>
      <c r="BW65" s="65"/>
      <c r="BX65" s="63"/>
      <c r="BY65" s="352"/>
      <c r="BZ65" s="14"/>
      <c r="CA65" s="140" t="s">
        <v>344</v>
      </c>
      <c r="CB65" s="27">
        <f>COUNTIFS(S30_stakeholder_category,"FO",Response_Q177_3,"&lt;&gt;0",Response_Q173_7,"&lt;&gt;0")</f>
        <v>3</v>
      </c>
      <c r="CC65" s="37">
        <f>COUNTIFS(S30_stakeholder_category,"FO",Response_Q177_3,1,Response_Q173_7,"&lt;&gt;0")</f>
        <v>0</v>
      </c>
      <c r="CD65" s="37">
        <f>COUNTIFS(S30_stakeholder_category,"FO",Response_Q177_3,2,Response_Q173_7,"&lt;&gt;0")</f>
        <v>2</v>
      </c>
      <c r="CE65" s="37">
        <f>COUNTIFS(S30_stakeholder_category,"FO",Response_Q177_3,3,Response_Q173_7,"&lt;&gt;0")</f>
        <v>1</v>
      </c>
      <c r="CF65" s="97">
        <f>IF(CB58=0,0,SUMPRODUCT(CC65:CE65,Rank_score)/$CB58)</f>
        <v>1.6666666666666667</v>
      </c>
      <c r="CG65" s="14"/>
      <c r="CH65" s="140" t="s">
        <v>344</v>
      </c>
      <c r="CI65" s="27">
        <f t="shared" ref="CI65:CN65" si="21">COUNTIFS(S30_stakeholder_category,"FO",Response_Q177_3,"&lt;&gt;0",Response_Q177_4,CI$63,Response_Q173_7,"&lt;&gt;0")</f>
        <v>2</v>
      </c>
      <c r="CJ65" s="27">
        <f t="shared" si="21"/>
        <v>0</v>
      </c>
      <c r="CK65" s="27">
        <f t="shared" si="21"/>
        <v>0</v>
      </c>
      <c r="CL65" s="27">
        <f t="shared" si="21"/>
        <v>1</v>
      </c>
      <c r="CM65" s="27">
        <f t="shared" si="21"/>
        <v>0</v>
      </c>
      <c r="CN65" s="27">
        <f t="shared" si="21"/>
        <v>0</v>
      </c>
      <c r="CO65" s="141">
        <f t="shared" ref="CO65:CO70" si="22">IF(ISBLANK(CH65),"",IF(CF65=0,not_ranked,IF(SUM(CI65:CN65)=0,not_estimated,IFERROR(SUMPRODUCT(CI65:CN65,Likekihood_score)/SUM(CI65:CN65),0))))</f>
        <v>2</v>
      </c>
      <c r="CP65" s="14"/>
      <c r="CQ65" s="47"/>
      <c r="CR65" s="14"/>
      <c r="CS65" s="140" t="s">
        <v>338</v>
      </c>
      <c r="CT65" s="27">
        <f>COUNTIFS(S30_stakeholder_category,"FO",Response_Q178_3,"&lt;&gt;0",Response_Q173_7,"&lt;&gt;0")</f>
        <v>2</v>
      </c>
      <c r="CU65" s="37">
        <f>COUNTIFS(S30_stakeholder_category,"FO",Response_Q178_3,1,Response_Q173_7,"&lt;&gt;0")</f>
        <v>0</v>
      </c>
      <c r="CV65" s="37">
        <f>COUNTIFS(S30_stakeholder_category,"FO",Response_Q178_3,2,Response_Q173_7,"&lt;&gt;0")</f>
        <v>2</v>
      </c>
      <c r="CW65" s="37">
        <f>COUNTIFS(S30_stakeholder_category,"FO",Response_Q178_3,3,Response_Q173_7,"&lt;&gt;0")</f>
        <v>0</v>
      </c>
      <c r="CX65" s="37">
        <f>IF(CT58=0,0,SUMPRODUCT(CU65:CW65,Rank_score)/CT$58)</f>
        <v>1.3333333333333333</v>
      </c>
      <c r="CY65" s="14"/>
      <c r="CZ65" s="140" t="s">
        <v>338</v>
      </c>
      <c r="DA65" s="27">
        <f t="shared" ref="DA65:DF65" si="23">COUNTIFS(S30_stakeholder_category,"FO",Response_Q178_3,"&lt;&gt;0",Response_Q178_4,DA$63,Response_Q173_7,"&lt;&gt;0")</f>
        <v>0</v>
      </c>
      <c r="DB65" s="27">
        <f t="shared" si="23"/>
        <v>0</v>
      </c>
      <c r="DC65" s="27">
        <f t="shared" si="23"/>
        <v>0</v>
      </c>
      <c r="DD65" s="27">
        <f t="shared" si="23"/>
        <v>0</v>
      </c>
      <c r="DE65" s="27">
        <f t="shared" si="23"/>
        <v>0</v>
      </c>
      <c r="DF65" s="27">
        <f t="shared" si="23"/>
        <v>0</v>
      </c>
      <c r="DG65" s="141" t="str">
        <f t="shared" si="20"/>
        <v>Ranked, but likelihood not estimated</v>
      </c>
      <c r="DH65" s="14"/>
      <c r="DI65" s="47"/>
      <c r="DJ65" s="14"/>
      <c r="DK65" s="56"/>
      <c r="DL65" s="19"/>
      <c r="DM65" s="59"/>
      <c r="DN65" s="14"/>
      <c r="DO65" s="14"/>
      <c r="DP65" s="103"/>
      <c r="DQ65" s="114"/>
      <c r="DR65" s="120"/>
      <c r="DS65" s="14"/>
      <c r="DT65" s="14"/>
      <c r="DU65" s="14"/>
      <c r="DV65" s="14"/>
      <c r="DW65" s="14"/>
      <c r="DX65" s="14"/>
      <c r="DY65" s="14"/>
      <c r="DZ65" s="14"/>
      <c r="EA65" s="14"/>
      <c r="EB65" s="14"/>
      <c r="EC65" s="14"/>
      <c r="ED65" s="14"/>
      <c r="EE65" s="14"/>
      <c r="EF65" s="14"/>
      <c r="EG65" s="14"/>
      <c r="EH65" s="14"/>
      <c r="EI65" s="14"/>
      <c r="EJ65" s="14"/>
      <c r="EK65" s="14"/>
      <c r="EL65" s="14"/>
    </row>
    <row r="66" spans="1:142" x14ac:dyDescent="0.25">
      <c r="A66" s="14"/>
      <c r="B66" s="62"/>
      <c r="C66" s="19"/>
      <c r="D66" s="59"/>
      <c r="E66" s="14"/>
      <c r="F66" s="14"/>
      <c r="G66" s="14"/>
      <c r="H66" s="21"/>
      <c r="I66" s="21"/>
      <c r="J66" s="14"/>
      <c r="K66" s="14"/>
      <c r="L66" s="14"/>
      <c r="M66" s="14"/>
      <c r="N66" s="14"/>
      <c r="O66" s="14"/>
      <c r="P66" s="14"/>
      <c r="Q66" s="47"/>
      <c r="R66" s="19"/>
      <c r="S66" s="19"/>
      <c r="T66" s="19"/>
      <c r="U66" s="59"/>
      <c r="V66" s="14"/>
      <c r="W66" s="14"/>
      <c r="X66" s="14"/>
      <c r="Y66" s="14"/>
      <c r="Z66" s="14"/>
      <c r="AA66" s="14"/>
      <c r="AB66" s="14"/>
      <c r="AC66" s="14"/>
      <c r="AD66" s="65"/>
      <c r="AE66" s="63"/>
      <c r="AF66" s="47"/>
      <c r="AG66" s="19"/>
      <c r="AH66" s="19"/>
      <c r="AI66" s="19"/>
      <c r="AJ66" s="59"/>
      <c r="AK66" s="14"/>
      <c r="AL66" s="14"/>
      <c r="AM66" s="14"/>
      <c r="AN66" s="14"/>
      <c r="AO66" s="14"/>
      <c r="AP66" s="14"/>
      <c r="AQ66" s="14"/>
      <c r="AR66" s="14"/>
      <c r="AS66" s="65"/>
      <c r="AT66" s="63"/>
      <c r="AU66" s="47"/>
      <c r="AV66" s="19"/>
      <c r="AW66" s="19"/>
      <c r="AX66" s="19"/>
      <c r="AY66" s="59"/>
      <c r="AZ66" s="14"/>
      <c r="BA66" s="14"/>
      <c r="BB66" s="14"/>
      <c r="BC66" s="14"/>
      <c r="BD66" s="14"/>
      <c r="BE66" s="14"/>
      <c r="BF66" s="14"/>
      <c r="BG66" s="14"/>
      <c r="BH66" s="65"/>
      <c r="BI66" s="63"/>
      <c r="BJ66" s="352"/>
      <c r="BK66" s="19"/>
      <c r="BL66" s="19"/>
      <c r="BM66" s="19"/>
      <c r="BN66" s="59"/>
      <c r="BO66" s="14"/>
      <c r="BP66" s="14"/>
      <c r="BQ66" s="14"/>
      <c r="BR66" s="14"/>
      <c r="BS66" s="14"/>
      <c r="BT66" s="14"/>
      <c r="BU66" s="14"/>
      <c r="BV66" s="14"/>
      <c r="BW66" s="65"/>
      <c r="BX66" s="63"/>
      <c r="BY66" s="352"/>
      <c r="BZ66" s="14"/>
      <c r="CA66" s="140" t="s">
        <v>146</v>
      </c>
      <c r="CB66" s="27">
        <f>COUNTIFS(S30_stakeholder_category,"FO",Response_Q177_5,"&lt;&gt;0",Response_Q173_7,"&lt;&gt;0")</f>
        <v>2</v>
      </c>
      <c r="CC66" s="37">
        <f>COUNTIFS(S30_stakeholder_category,"FO",Response_Q177_5,1,Response_Q173_7,"&lt;&gt;0")</f>
        <v>0</v>
      </c>
      <c r="CD66" s="37">
        <f>COUNTIFS(S30_stakeholder_category,"FO",Response_Q177_5,2,Response_Q173_7,"&lt;&gt;0")</f>
        <v>1</v>
      </c>
      <c r="CE66" s="37">
        <f>COUNTIFS(S30_stakeholder_category,"FO",Response_Q177_5,3,Response_Q173_7,"&lt;&gt;0")</f>
        <v>1</v>
      </c>
      <c r="CF66" s="97">
        <f>IF(CB58=0,0,SUMPRODUCT(CC66:CE66,Rank_score)/$CB58)</f>
        <v>1</v>
      </c>
      <c r="CG66" s="14"/>
      <c r="CH66" s="140" t="s">
        <v>146</v>
      </c>
      <c r="CI66" s="27">
        <f t="shared" ref="CI66:CN66" si="24">COUNTIFS(S30_stakeholder_category,"FO",Response_Q177_5,"&lt;&gt;0",Response_Q177_6,CI$63,Response_Q173_7,"&lt;&gt;0")</f>
        <v>1</v>
      </c>
      <c r="CJ66" s="27">
        <f t="shared" si="24"/>
        <v>0</v>
      </c>
      <c r="CK66" s="27">
        <f t="shared" si="24"/>
        <v>0</v>
      </c>
      <c r="CL66" s="27">
        <f t="shared" si="24"/>
        <v>0</v>
      </c>
      <c r="CM66" s="27">
        <f t="shared" si="24"/>
        <v>0</v>
      </c>
      <c r="CN66" s="27">
        <f t="shared" si="24"/>
        <v>0</v>
      </c>
      <c r="CO66" s="141">
        <f t="shared" si="22"/>
        <v>1</v>
      </c>
      <c r="CP66" s="14"/>
      <c r="CQ66" s="47"/>
      <c r="CR66" s="14"/>
      <c r="CS66" s="106" t="s">
        <v>339</v>
      </c>
      <c r="CT66" s="27">
        <f>COUNTIFS(S30_stakeholder_category,"FO",Response_Q178_5,"&lt;&gt;0",Response_Q173_7,"&lt;&gt;0")</f>
        <v>1</v>
      </c>
      <c r="CU66" s="37">
        <f>COUNTIFS(S30_stakeholder_category,"FO",Response_Q178_5,1,Response_Q173_7,"&lt;&gt;0")</f>
        <v>0</v>
      </c>
      <c r="CV66" s="37">
        <f>COUNTIFS(S30_stakeholder_category,"FO",Response_Q178_5,2,Response_Q173_7,"&lt;&gt;0")</f>
        <v>0</v>
      </c>
      <c r="CW66" s="37">
        <f>COUNTIFS(S30_stakeholder_category,"FO",Response_Q178_5,3,Response_Q173_7,"&lt;&gt;0")</f>
        <v>1</v>
      </c>
      <c r="CX66" s="37">
        <f>IF(CT58=0,0,SUMPRODUCT(CU66:CW66,Rank_score)/CT$58)</f>
        <v>0.33333333333333331</v>
      </c>
      <c r="CY66" s="14"/>
      <c r="CZ66" s="106" t="s">
        <v>339</v>
      </c>
      <c r="DA66" s="27">
        <f t="shared" ref="DA66:DF66" si="25">COUNTIFS(S30_stakeholder_category,"FO",Response_Q178_5,"&lt;&gt;0",Response_Q178_6,DA$63,Response_Q173_7,"&lt;&gt;0")</f>
        <v>0</v>
      </c>
      <c r="DB66" s="27">
        <f t="shared" si="25"/>
        <v>0</v>
      </c>
      <c r="DC66" s="27">
        <f t="shared" si="25"/>
        <v>0</v>
      </c>
      <c r="DD66" s="27">
        <f t="shared" si="25"/>
        <v>0</v>
      </c>
      <c r="DE66" s="27">
        <f t="shared" si="25"/>
        <v>1</v>
      </c>
      <c r="DF66" s="27">
        <f t="shared" si="25"/>
        <v>0</v>
      </c>
      <c r="DG66" s="141">
        <f t="shared" si="20"/>
        <v>5</v>
      </c>
      <c r="DH66" s="14"/>
      <c r="DI66" s="47"/>
      <c r="DJ66" s="14"/>
      <c r="DK66" s="14"/>
      <c r="DL66" s="19"/>
      <c r="DM66" s="59"/>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row>
    <row r="67" spans="1:142" x14ac:dyDescent="0.25">
      <c r="A67" s="14"/>
      <c r="B67" s="62"/>
      <c r="C67" s="19"/>
      <c r="D67" s="59"/>
      <c r="E67" s="14"/>
      <c r="F67" s="14"/>
      <c r="G67" s="14"/>
      <c r="H67" s="21"/>
      <c r="I67" s="21"/>
      <c r="J67" s="14"/>
      <c r="K67" s="14"/>
      <c r="L67" s="14"/>
      <c r="M67" s="14"/>
      <c r="N67" s="14"/>
      <c r="O67" s="14"/>
      <c r="P67" s="14"/>
      <c r="Q67" s="47"/>
      <c r="R67" s="19"/>
      <c r="S67" s="56"/>
      <c r="T67" s="29"/>
      <c r="U67" s="59"/>
      <c r="V67" s="14"/>
      <c r="W67" s="14"/>
      <c r="X67" s="14"/>
      <c r="Y67" s="14"/>
      <c r="Z67" s="14"/>
      <c r="AA67" s="14"/>
      <c r="AB67" s="14"/>
      <c r="AC67" s="14"/>
      <c r="AD67" s="65"/>
      <c r="AE67" s="63"/>
      <c r="AF67" s="47"/>
      <c r="AG67" s="19"/>
      <c r="AH67" s="56"/>
      <c r="AI67" s="29"/>
      <c r="AJ67" s="59"/>
      <c r="AK67" s="14"/>
      <c r="AL67" s="14"/>
      <c r="AM67" s="14"/>
      <c r="AN67" s="14"/>
      <c r="AO67" s="14"/>
      <c r="AP67" s="14"/>
      <c r="AQ67" s="14"/>
      <c r="AR67" s="14"/>
      <c r="AS67" s="65"/>
      <c r="AT67" s="63"/>
      <c r="AU67" s="47"/>
      <c r="AV67" s="19"/>
      <c r="AW67" s="56"/>
      <c r="AX67" s="29"/>
      <c r="AY67" s="59"/>
      <c r="AZ67" s="14"/>
      <c r="BA67" s="14"/>
      <c r="BB67" s="14"/>
      <c r="BC67" s="14"/>
      <c r="BD67" s="14"/>
      <c r="BE67" s="14"/>
      <c r="BF67" s="14"/>
      <c r="BG67" s="14"/>
      <c r="BH67" s="65"/>
      <c r="BI67" s="63"/>
      <c r="BJ67" s="352"/>
      <c r="BK67" s="19"/>
      <c r="BL67" s="56"/>
      <c r="BM67" s="29"/>
      <c r="BN67" s="59"/>
      <c r="BO67" s="14"/>
      <c r="BP67" s="14"/>
      <c r="BQ67" s="14"/>
      <c r="BR67" s="14"/>
      <c r="BS67" s="14"/>
      <c r="BT67" s="14"/>
      <c r="BU67" s="14"/>
      <c r="BV67" s="14"/>
      <c r="BW67" s="65"/>
      <c r="BX67" s="63"/>
      <c r="BY67" s="352"/>
      <c r="BZ67" s="14"/>
      <c r="CA67" s="140" t="s">
        <v>147</v>
      </c>
      <c r="CB67" s="27">
        <f>COUNTIFS(S30_stakeholder_category,"FO",Response_Q177_7,"&lt;&gt;0",Response_Q173_7,"&lt;&gt;0")</f>
        <v>0</v>
      </c>
      <c r="CC67" s="37">
        <f>COUNTIFS(S30_stakeholder_category,"FO",Response_Q177_7,1,Response_Q173_7,"&lt;&gt;0")</f>
        <v>0</v>
      </c>
      <c r="CD67" s="37">
        <f>COUNTIFS(S30_stakeholder_category,"FO",Response_Q177_7,2,Response_Q173_7,"&lt;&gt;0")</f>
        <v>0</v>
      </c>
      <c r="CE67" s="37">
        <f>COUNTIFS(S30_stakeholder_category,"FO",Response_Q177_7,3,Response_Q173_7,"&lt;&gt;0")</f>
        <v>0</v>
      </c>
      <c r="CF67" s="97">
        <f>IF(CB58=0,0,SUMPRODUCT(CC67:CE67,Rank_score)/$CB58)</f>
        <v>0</v>
      </c>
      <c r="CG67" s="14"/>
      <c r="CH67" s="140" t="s">
        <v>147</v>
      </c>
      <c r="CI67" s="27">
        <f t="shared" ref="CI67:CN67" si="26">COUNTIFS(S30_stakeholder_category,"FO",Response_Q177_7,"&lt;&gt;0",Response_Q177_8,CI$63,Response_Q173_7,"&lt;&gt;0")</f>
        <v>0</v>
      </c>
      <c r="CJ67" s="27">
        <f t="shared" si="26"/>
        <v>0</v>
      </c>
      <c r="CK67" s="27">
        <f t="shared" si="26"/>
        <v>0</v>
      </c>
      <c r="CL67" s="27">
        <f t="shared" si="26"/>
        <v>0</v>
      </c>
      <c r="CM67" s="27">
        <f t="shared" si="26"/>
        <v>0</v>
      </c>
      <c r="CN67" s="27">
        <f t="shared" si="26"/>
        <v>0</v>
      </c>
      <c r="CO67" s="141" t="str">
        <f t="shared" si="22"/>
        <v>Factor not ranked</v>
      </c>
      <c r="CP67" s="14"/>
      <c r="CQ67" s="47"/>
      <c r="CR67" s="14"/>
      <c r="CS67" s="106" t="s">
        <v>345</v>
      </c>
      <c r="CT67" s="27">
        <f>COUNTIFS(S30_stakeholder_category,"FO",Response_Q178_7,"&lt;&gt;0",Response_Q173_7,"&lt;&gt;0")</f>
        <v>1</v>
      </c>
      <c r="CU67" s="37">
        <f>COUNTIFS(S30_stakeholder_category,"FO",Response_Q178_7,1,Response_Q173_7,"&lt;&gt;0")</f>
        <v>0</v>
      </c>
      <c r="CV67" s="37">
        <f>COUNTIFS(S30_stakeholder_category,"FO",Response_Q178_7,2,Response_Q173_7,"&lt;&gt;0")</f>
        <v>1</v>
      </c>
      <c r="CW67" s="37">
        <f>COUNTIFS(S30_stakeholder_category,"FO",Response_Q178_7,3,Response_Q173_7,"&lt;&gt;0")</f>
        <v>0</v>
      </c>
      <c r="CX67" s="37">
        <f>IF(CT58=0,0,SUMPRODUCT(CU67:CW67,Rank_score)/CT$58)</f>
        <v>0.66666666666666663</v>
      </c>
      <c r="CY67" s="14"/>
      <c r="CZ67" s="106" t="s">
        <v>345</v>
      </c>
      <c r="DA67" s="27">
        <f t="shared" ref="DA67:DF67" si="27">COUNTIFS(S30_stakeholder_category,"FO",Response_Q178_7,"&lt;&gt;0",Response_Q178_8,DA$63,Response_Q173_7,"&lt;&gt;0")</f>
        <v>0</v>
      </c>
      <c r="DB67" s="27">
        <f t="shared" si="27"/>
        <v>0</v>
      </c>
      <c r="DC67" s="27">
        <f t="shared" si="27"/>
        <v>0</v>
      </c>
      <c r="DD67" s="27">
        <f t="shared" si="27"/>
        <v>1</v>
      </c>
      <c r="DE67" s="27">
        <f t="shared" si="27"/>
        <v>0</v>
      </c>
      <c r="DF67" s="27">
        <f t="shared" si="27"/>
        <v>0</v>
      </c>
      <c r="DG67" s="141">
        <f t="shared" si="20"/>
        <v>4</v>
      </c>
      <c r="DH67" s="14"/>
      <c r="DI67" s="47"/>
      <c r="DJ67" s="14"/>
      <c r="DK67" s="14"/>
      <c r="DL67" s="19"/>
      <c r="DM67" s="59"/>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row>
    <row r="68" spans="1:142" x14ac:dyDescent="0.25">
      <c r="A68" s="14"/>
      <c r="B68" s="62"/>
      <c r="C68" s="19"/>
      <c r="D68" s="19"/>
      <c r="E68" s="14"/>
      <c r="F68" s="14"/>
      <c r="G68" s="14"/>
      <c r="H68" s="21"/>
      <c r="I68" s="21"/>
      <c r="J68" s="14"/>
      <c r="K68" s="14"/>
      <c r="L68" s="14"/>
      <c r="M68" s="14"/>
      <c r="N68" s="14"/>
      <c r="O68" s="14"/>
      <c r="P68" s="14"/>
      <c r="Q68" s="47"/>
      <c r="R68" s="19"/>
      <c r="S68" s="56"/>
      <c r="T68" s="19"/>
      <c r="U68" s="59"/>
      <c r="V68" s="14"/>
      <c r="W68" s="14"/>
      <c r="X68" s="14"/>
      <c r="Y68" s="14"/>
      <c r="Z68" s="14"/>
      <c r="AA68" s="14"/>
      <c r="AB68" s="14"/>
      <c r="AC68" s="14"/>
      <c r="AD68" s="65"/>
      <c r="AE68" s="63"/>
      <c r="AF68" s="47"/>
      <c r="AG68" s="19"/>
      <c r="AH68" s="56"/>
      <c r="AI68" s="19"/>
      <c r="AJ68" s="59"/>
      <c r="AK68" s="14"/>
      <c r="AL68" s="14"/>
      <c r="AM68" s="14"/>
      <c r="AN68" s="14"/>
      <c r="AO68" s="14"/>
      <c r="AP68" s="14"/>
      <c r="AQ68" s="14"/>
      <c r="AR68" s="14"/>
      <c r="AS68" s="65"/>
      <c r="AT68" s="63"/>
      <c r="AU68" s="47"/>
      <c r="AV68" s="14"/>
      <c r="AW68" s="56"/>
      <c r="AX68" s="19"/>
      <c r="AY68" s="59"/>
      <c r="AZ68" s="14"/>
      <c r="BA68" s="14"/>
      <c r="BB68" s="14"/>
      <c r="BC68" s="14"/>
      <c r="BD68" s="14"/>
      <c r="BE68" s="14"/>
      <c r="BF68" s="14"/>
      <c r="BG68" s="14"/>
      <c r="BH68" s="65"/>
      <c r="BI68" s="63"/>
      <c r="BJ68" s="352"/>
      <c r="BK68" s="19"/>
      <c r="BL68" s="56"/>
      <c r="BM68" s="19"/>
      <c r="BN68" s="59"/>
      <c r="BO68" s="14"/>
      <c r="BP68" s="14"/>
      <c r="BQ68" s="14"/>
      <c r="BR68" s="14"/>
      <c r="BS68" s="14"/>
      <c r="BT68" s="14"/>
      <c r="BU68" s="14"/>
      <c r="BV68" s="14"/>
      <c r="BW68" s="65"/>
      <c r="BX68" s="63"/>
      <c r="BY68" s="352"/>
      <c r="BZ68" s="14"/>
      <c r="CA68" s="140" t="s">
        <v>341</v>
      </c>
      <c r="CB68" s="27">
        <f>COUNTIFS(S30_stakeholder_category,"FO",Response_Q177_9,"&lt;&gt;0",Response_Q173_7,"&lt;&gt;0")</f>
        <v>0</v>
      </c>
      <c r="CC68" s="37">
        <f>COUNTIFS(S30_stakeholder_category,"FO",Response_Q177_9,1,Response_Q173_7,"&lt;&gt;0")</f>
        <v>0</v>
      </c>
      <c r="CD68" s="37">
        <f>COUNTIFS(S30_stakeholder_category,"FO",Response_Q177_9,2,Response_Q173_7,"&lt;&gt;0")</f>
        <v>0</v>
      </c>
      <c r="CE68" s="37">
        <f>COUNTIFS(S30_stakeholder_category,"FO",Response_Q177_9,3,Response_Q173_7,"&lt;&gt;0")</f>
        <v>0</v>
      </c>
      <c r="CF68" s="97">
        <f>IF(CB58=0,0,SUMPRODUCT(CC68:CE68,Rank_score)/$CB58)</f>
        <v>0</v>
      </c>
      <c r="CG68" s="14"/>
      <c r="CH68" s="140" t="s">
        <v>341</v>
      </c>
      <c r="CI68" s="27">
        <f t="shared" ref="CI68:CN68" si="28">COUNTIFS(S30_stakeholder_category,"FO",Response_Q177_9,"&lt;&gt;0",Response_Q177_10,CI$63,Response_Q173_7,"&lt;&gt;0")</f>
        <v>0</v>
      </c>
      <c r="CJ68" s="27">
        <f t="shared" si="28"/>
        <v>0</v>
      </c>
      <c r="CK68" s="27">
        <f t="shared" si="28"/>
        <v>0</v>
      </c>
      <c r="CL68" s="27">
        <f t="shared" si="28"/>
        <v>0</v>
      </c>
      <c r="CM68" s="27">
        <f t="shared" si="28"/>
        <v>0</v>
      </c>
      <c r="CN68" s="27">
        <f t="shared" si="28"/>
        <v>0</v>
      </c>
      <c r="CO68" s="141" t="str">
        <f t="shared" si="22"/>
        <v>Factor not ranked</v>
      </c>
      <c r="CP68" s="14"/>
      <c r="CQ68" s="47"/>
      <c r="CR68" s="14"/>
      <c r="CS68" s="106" t="s">
        <v>561</v>
      </c>
      <c r="CT68" s="27">
        <f>COUNTIFS(S30_stakeholder_category,"FO",Response_Q178_9,"&lt;&gt;0",Response_Q173_7,"&lt;&gt;0")</f>
        <v>0</v>
      </c>
      <c r="CU68" s="37">
        <f>COUNTIFS(S30_stakeholder_category,"FO",Response_Q178_9,1,Response_Q173_7,"&lt;&gt;0")</f>
        <v>0</v>
      </c>
      <c r="CV68" s="37">
        <f>COUNTIFS(S30_stakeholder_category,"FO",Response_Q178_9,2,Response_Q173_7,"&lt;&gt;0")</f>
        <v>0</v>
      </c>
      <c r="CW68" s="37">
        <f>COUNTIFS(S30_stakeholder_category,"FO",Response_Q178_9,3,Response_Q173_7,"&lt;&gt;0")</f>
        <v>0</v>
      </c>
      <c r="CX68" s="37">
        <f>IF(CT58=0,0,SUMPRODUCT(CU68:CW68,Rank_score)/CT$58)</f>
        <v>0</v>
      </c>
      <c r="CY68" s="14"/>
      <c r="CZ68" s="106" t="s">
        <v>561</v>
      </c>
      <c r="DA68" s="27">
        <f t="shared" ref="DA68:DF68" si="29">COUNTIFS(S30_stakeholder_category,"FO",Response_Q178_9,"&lt;&gt;0",Response_Q178_10,DA$63,Response_Q173_7,"&lt;&gt;0")</f>
        <v>0</v>
      </c>
      <c r="DB68" s="27">
        <f t="shared" si="29"/>
        <v>0</v>
      </c>
      <c r="DC68" s="27">
        <f t="shared" si="29"/>
        <v>0</v>
      </c>
      <c r="DD68" s="27">
        <f t="shared" si="29"/>
        <v>0</v>
      </c>
      <c r="DE68" s="27">
        <f t="shared" si="29"/>
        <v>0</v>
      </c>
      <c r="DF68" s="27">
        <f t="shared" si="29"/>
        <v>0</v>
      </c>
      <c r="DG68" s="141" t="str">
        <f t="shared" si="20"/>
        <v>Factor not ranked</v>
      </c>
      <c r="DH68" s="14"/>
      <c r="DI68" s="47"/>
      <c r="DJ68" s="14"/>
      <c r="DK68" s="14"/>
      <c r="DL68" s="19"/>
      <c r="DM68" s="59"/>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row>
    <row r="69" spans="1:142" x14ac:dyDescent="0.25">
      <c r="A69" s="14"/>
      <c r="B69" s="62"/>
      <c r="C69" s="19"/>
      <c r="D69" s="19"/>
      <c r="E69" s="14"/>
      <c r="F69" s="14"/>
      <c r="G69" s="14"/>
      <c r="H69" s="21"/>
      <c r="I69" s="21"/>
      <c r="J69" s="14"/>
      <c r="K69" s="14"/>
      <c r="L69" s="14"/>
      <c r="M69" s="14"/>
      <c r="N69" s="14"/>
      <c r="O69" s="14"/>
      <c r="P69" s="14"/>
      <c r="Q69" s="47"/>
      <c r="R69" s="19"/>
      <c r="S69" s="14"/>
      <c r="T69" s="19"/>
      <c r="U69" s="59"/>
      <c r="V69" s="14"/>
      <c r="W69" s="14"/>
      <c r="X69" s="14"/>
      <c r="Y69" s="19"/>
      <c r="Z69" s="19"/>
      <c r="AA69" s="19"/>
      <c r="AB69" s="19"/>
      <c r="AC69" s="19"/>
      <c r="AD69" s="65"/>
      <c r="AE69" s="63"/>
      <c r="AF69" s="47"/>
      <c r="AG69" s="19"/>
      <c r="AH69" s="14"/>
      <c r="AI69" s="19"/>
      <c r="AJ69" s="59"/>
      <c r="AK69" s="14"/>
      <c r="AL69" s="14"/>
      <c r="AM69" s="14"/>
      <c r="AN69" s="19"/>
      <c r="AO69" s="19"/>
      <c r="AP69" s="19"/>
      <c r="AQ69" s="19"/>
      <c r="AR69" s="19"/>
      <c r="AS69" s="65"/>
      <c r="AT69" s="63"/>
      <c r="AU69" s="47"/>
      <c r="AV69" s="14"/>
      <c r="AW69" s="14"/>
      <c r="AX69" s="19"/>
      <c r="AY69" s="59"/>
      <c r="AZ69" s="14"/>
      <c r="BA69" s="14"/>
      <c r="BB69" s="14"/>
      <c r="BC69" s="19"/>
      <c r="BD69" s="19"/>
      <c r="BE69" s="19"/>
      <c r="BF69" s="19"/>
      <c r="BG69" s="19"/>
      <c r="BH69" s="65"/>
      <c r="BI69" s="63"/>
      <c r="BJ69" s="352"/>
      <c r="BK69" s="19"/>
      <c r="BL69" s="14"/>
      <c r="BM69" s="19"/>
      <c r="BN69" s="59"/>
      <c r="BO69" s="14"/>
      <c r="BP69" s="14"/>
      <c r="BQ69" s="14"/>
      <c r="BR69" s="19"/>
      <c r="BS69" s="19"/>
      <c r="BT69" s="19"/>
      <c r="BU69" s="19"/>
      <c r="BV69" s="19"/>
      <c r="BW69" s="65"/>
      <c r="BX69" s="63"/>
      <c r="BY69" s="352"/>
      <c r="BZ69" s="14"/>
      <c r="CA69" s="106" t="s">
        <v>148</v>
      </c>
      <c r="CB69" s="27">
        <f>COUNTIFS(S30_stakeholder_category,"FO",Response_Q177_11,"&lt;&gt;0",Response_Q173_7,"&lt;&gt;0")</f>
        <v>1</v>
      </c>
      <c r="CC69" s="37">
        <f>COUNTIFS(S30_stakeholder_category,"FO",Response_Q177_11,1,Response_Q173_7,"&lt;&gt;0")</f>
        <v>0</v>
      </c>
      <c r="CD69" s="37">
        <f>COUNTIFS(S30_stakeholder_category,"FO",Response_Q177_11,2,Response_Q173_7,"&lt;&gt;0")</f>
        <v>0</v>
      </c>
      <c r="CE69" s="37">
        <f>COUNTIFS(S30_stakeholder_category,"FO",Response_Q177_11,3,Response_Q173_7,"&lt;&gt;0")</f>
        <v>1</v>
      </c>
      <c r="CF69" s="97">
        <f>IF(CB58=0,0,SUMPRODUCT(CC69:CE69,Rank_score)/$CB58)</f>
        <v>0.33333333333333331</v>
      </c>
      <c r="CG69" s="43"/>
      <c r="CH69" s="106" t="s">
        <v>148</v>
      </c>
      <c r="CI69" s="27">
        <f t="shared" ref="CI69:CN69" si="30">COUNTIFS(S30_stakeholder_category,"FO",Response_Q177_11,"&lt;&gt;0",Response_Q177_12,CI$63,Response_Q173_7,"&lt;&gt;0")</f>
        <v>0</v>
      </c>
      <c r="CJ69" s="27">
        <f t="shared" si="30"/>
        <v>1</v>
      </c>
      <c r="CK69" s="27">
        <f t="shared" si="30"/>
        <v>0</v>
      </c>
      <c r="CL69" s="27">
        <f t="shared" si="30"/>
        <v>0</v>
      </c>
      <c r="CM69" s="27">
        <f t="shared" si="30"/>
        <v>0</v>
      </c>
      <c r="CN69" s="27">
        <f t="shared" si="30"/>
        <v>0</v>
      </c>
      <c r="CO69" s="141">
        <f t="shared" si="22"/>
        <v>2</v>
      </c>
      <c r="CP69" s="14"/>
      <c r="CQ69" s="47"/>
      <c r="CR69" s="14"/>
      <c r="CS69" s="106" t="s">
        <v>49</v>
      </c>
      <c r="CT69" s="27">
        <f>COUNTIFS(S30_stakeholder_category,"FO",Response_Q178_11,"&lt;&gt;0",Response_Q173_7,"&lt;&gt;0")</f>
        <v>0</v>
      </c>
      <c r="CU69" s="37">
        <f>COUNTIFS(S30_stakeholder_category,"FO",Response_Q178_11,1,Response_Q173_7,"&lt;&gt;0")</f>
        <v>0</v>
      </c>
      <c r="CV69" s="37">
        <f>COUNTIFS(S30_stakeholder_category,"FO",Response_Q178_11,2,Response_Q173_7,"&lt;&gt;0")</f>
        <v>0</v>
      </c>
      <c r="CW69" s="37">
        <f>COUNTIFS(S30_stakeholder_category,"FO",Response_Q178_11,3,Response_Q173_7,"&lt;&gt;0")</f>
        <v>0</v>
      </c>
      <c r="CX69" s="37">
        <f>IF(CT58=0,0,SUMPRODUCT(CU69:CW69,Rank_score)/CT$58)</f>
        <v>0</v>
      </c>
      <c r="CY69" s="43"/>
      <c r="CZ69" s="106" t="s">
        <v>49</v>
      </c>
      <c r="DA69" s="27">
        <f t="shared" ref="DA69:DF69" si="31">COUNTIFS(S30_stakeholder_category,"FO",Response_Q178_11,"&lt;&gt;0",Response_Q178_12,DA$63,Response_Q173_7,"&lt;&gt;0")</f>
        <v>0</v>
      </c>
      <c r="DB69" s="27">
        <f t="shared" si="31"/>
        <v>0</v>
      </c>
      <c r="DC69" s="27">
        <f t="shared" si="31"/>
        <v>0</v>
      </c>
      <c r="DD69" s="27">
        <f t="shared" si="31"/>
        <v>0</v>
      </c>
      <c r="DE69" s="27">
        <f t="shared" si="31"/>
        <v>0</v>
      </c>
      <c r="DF69" s="27">
        <f t="shared" si="31"/>
        <v>0</v>
      </c>
      <c r="DG69" s="141" t="str">
        <f t="shared" si="20"/>
        <v>Factor not ranked</v>
      </c>
      <c r="DH69" s="14"/>
      <c r="DI69" s="47"/>
      <c r="DJ69" s="14"/>
      <c r="DK69" s="62"/>
      <c r="DL69" s="19"/>
      <c r="DM69" s="59"/>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row>
    <row r="70" spans="1:142" x14ac:dyDescent="0.25">
      <c r="A70" s="14"/>
      <c r="B70" s="62"/>
      <c r="C70" s="19"/>
      <c r="D70" s="59"/>
      <c r="E70" s="14"/>
      <c r="F70" s="14"/>
      <c r="G70" s="14"/>
      <c r="H70" s="21"/>
      <c r="I70" s="21"/>
      <c r="J70" s="14"/>
      <c r="K70" s="14"/>
      <c r="L70" s="14"/>
      <c r="M70" s="14"/>
      <c r="N70" s="14"/>
      <c r="O70" s="14"/>
      <c r="P70" s="14"/>
      <c r="Q70" s="47"/>
      <c r="R70" s="19"/>
      <c r="S70" s="14"/>
      <c r="T70" s="19"/>
      <c r="U70" s="59"/>
      <c r="V70" s="14"/>
      <c r="W70" s="14"/>
      <c r="X70" s="14"/>
      <c r="Y70" s="19"/>
      <c r="Z70" s="14"/>
      <c r="AA70" s="14"/>
      <c r="AB70" s="14"/>
      <c r="AC70" s="14"/>
      <c r="AD70" s="65"/>
      <c r="AE70" s="63"/>
      <c r="AF70" s="47"/>
      <c r="AG70" s="19"/>
      <c r="AH70" s="14"/>
      <c r="AI70" s="19"/>
      <c r="AJ70" s="59"/>
      <c r="AK70" s="14"/>
      <c r="AL70" s="14"/>
      <c r="AM70" s="14"/>
      <c r="AN70" s="19"/>
      <c r="AO70" s="14"/>
      <c r="AP70" s="14"/>
      <c r="AQ70" s="14"/>
      <c r="AR70" s="14"/>
      <c r="AS70" s="65"/>
      <c r="AT70" s="63"/>
      <c r="AU70" s="47"/>
      <c r="AV70" s="14"/>
      <c r="AW70" s="14"/>
      <c r="AX70" s="19"/>
      <c r="AY70" s="59"/>
      <c r="AZ70" s="14"/>
      <c r="BA70" s="14"/>
      <c r="BB70" s="14"/>
      <c r="BC70" s="19"/>
      <c r="BD70" s="14"/>
      <c r="BE70" s="14"/>
      <c r="BF70" s="14"/>
      <c r="BG70" s="14"/>
      <c r="BH70" s="65"/>
      <c r="BI70" s="63"/>
      <c r="BJ70" s="352"/>
      <c r="BK70" s="19"/>
      <c r="BL70" s="14"/>
      <c r="BM70" s="19"/>
      <c r="BN70" s="59"/>
      <c r="BO70" s="14"/>
      <c r="BP70" s="14"/>
      <c r="BQ70" s="14"/>
      <c r="BR70" s="19"/>
      <c r="BS70" s="14"/>
      <c r="BT70" s="14"/>
      <c r="BU70" s="14"/>
      <c r="BV70" s="14"/>
      <c r="BW70" s="65"/>
      <c r="BX70" s="63"/>
      <c r="BY70" s="352"/>
      <c r="BZ70" s="14"/>
      <c r="CA70" s="107" t="s">
        <v>49</v>
      </c>
      <c r="CB70" s="27">
        <f>COUNTIFS(S30_stakeholder_category,"FO",Response_Q177_13,"&lt;&gt;0",Response_Q173_7,"&lt;&gt;0")</f>
        <v>0</v>
      </c>
      <c r="CC70" s="37">
        <f>COUNTIFS(S30_stakeholder_category,"FO",Response_Q177_13,1,Response_Q173_7,"&lt;&gt;0")</f>
        <v>0</v>
      </c>
      <c r="CD70" s="37">
        <f>COUNTIFS(S30_stakeholder_category,"FO",Response_Q177_13,2,Response_Q173_7,"&lt;&gt;0")</f>
        <v>0</v>
      </c>
      <c r="CE70" s="37">
        <f>COUNTIFS(S30_stakeholder_category,"FO",Response_Q177_13,3,Response_Q173_7,"&lt;&gt;0")</f>
        <v>0</v>
      </c>
      <c r="CF70" s="97">
        <f>IF(CB58=0,0,SUMPRODUCT(CC70:CE70,Rank_score)/$CB58)</f>
        <v>0</v>
      </c>
      <c r="CG70" s="29"/>
      <c r="CH70" s="107" t="s">
        <v>49</v>
      </c>
      <c r="CI70" s="27">
        <f t="shared" ref="CI70:CN70" si="32">COUNTIFS(S30_stakeholder_category,"FO",Response_Q177_13,"&lt;&gt;0",Response_Q177_14,CI$63,Response_Q173_7,"&lt;&gt;0")</f>
        <v>0</v>
      </c>
      <c r="CJ70" s="27">
        <f t="shared" si="32"/>
        <v>0</v>
      </c>
      <c r="CK70" s="27">
        <f t="shared" si="32"/>
        <v>0</v>
      </c>
      <c r="CL70" s="27">
        <f t="shared" si="32"/>
        <v>0</v>
      </c>
      <c r="CM70" s="27">
        <f t="shared" si="32"/>
        <v>0</v>
      </c>
      <c r="CN70" s="27">
        <f t="shared" si="32"/>
        <v>0</v>
      </c>
      <c r="CO70" s="141" t="str">
        <f t="shared" si="22"/>
        <v>Factor not ranked</v>
      </c>
      <c r="CP70" s="14"/>
      <c r="CQ70" s="47"/>
      <c r="CR70" s="14"/>
      <c r="CS70" s="107"/>
      <c r="CT70" s="27"/>
      <c r="CU70" s="37"/>
      <c r="CV70" s="37"/>
      <c r="CW70" s="37"/>
      <c r="CX70" s="37"/>
      <c r="CY70" s="29"/>
      <c r="CZ70" s="106"/>
      <c r="DA70" s="27"/>
      <c r="DB70" s="27"/>
      <c r="DC70" s="27"/>
      <c r="DD70" s="27"/>
      <c r="DE70" s="27"/>
      <c r="DF70" s="27"/>
      <c r="DG70" s="141" t="str">
        <f t="shared" si="20"/>
        <v/>
      </c>
      <c r="DH70" s="14"/>
      <c r="DI70" s="47"/>
      <c r="DJ70" s="14"/>
      <c r="DK70" s="62"/>
      <c r="DL70" s="19"/>
      <c r="DM70" s="59"/>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row>
    <row r="71" spans="1:142" x14ac:dyDescent="0.25">
      <c r="A71" s="14"/>
      <c r="B71" s="62"/>
      <c r="C71" s="19"/>
      <c r="D71" s="59"/>
      <c r="E71" s="14"/>
      <c r="F71" s="14"/>
      <c r="G71" s="109" t="s">
        <v>14</v>
      </c>
      <c r="H71" s="110" t="s">
        <v>6</v>
      </c>
      <c r="I71" s="110" t="s">
        <v>7</v>
      </c>
      <c r="J71" s="14"/>
      <c r="K71" s="14"/>
      <c r="L71" s="14"/>
      <c r="M71" s="14"/>
      <c r="N71" s="14"/>
      <c r="O71" s="14"/>
      <c r="P71" s="14"/>
      <c r="Q71" s="47"/>
      <c r="R71" s="19"/>
      <c r="S71" s="14"/>
      <c r="T71" s="19"/>
      <c r="U71" s="59"/>
      <c r="V71" s="14"/>
      <c r="W71" s="14"/>
      <c r="X71" s="109" t="s">
        <v>14</v>
      </c>
      <c r="Y71" s="110" t="s">
        <v>6</v>
      </c>
      <c r="Z71" s="110" t="s">
        <v>7</v>
      </c>
      <c r="AA71" s="56"/>
      <c r="AB71" s="14"/>
      <c r="AC71" s="14"/>
      <c r="AD71" s="65"/>
      <c r="AE71" s="63"/>
      <c r="AF71" s="47"/>
      <c r="AG71" s="19"/>
      <c r="AH71" s="14"/>
      <c r="AI71" s="19"/>
      <c r="AJ71" s="59"/>
      <c r="AK71" s="14"/>
      <c r="AL71" s="14"/>
      <c r="AM71" s="109" t="s">
        <v>14</v>
      </c>
      <c r="AN71" s="110" t="s">
        <v>6</v>
      </c>
      <c r="AO71" s="110" t="s">
        <v>7</v>
      </c>
      <c r="AP71" s="56"/>
      <c r="AQ71" s="14"/>
      <c r="AR71" s="14"/>
      <c r="AS71" s="65"/>
      <c r="AT71" s="63"/>
      <c r="AU71" s="47"/>
      <c r="AV71" s="14"/>
      <c r="AW71" s="14"/>
      <c r="AX71" s="19"/>
      <c r="AY71" s="59"/>
      <c r="AZ71" s="14"/>
      <c r="BA71" s="14"/>
      <c r="BB71" s="109" t="s">
        <v>14</v>
      </c>
      <c r="BC71" s="110" t="s">
        <v>6</v>
      </c>
      <c r="BD71" s="110" t="s">
        <v>7</v>
      </c>
      <c r="BE71" s="56"/>
      <c r="BF71" s="14"/>
      <c r="BG71" s="14"/>
      <c r="BH71" s="65"/>
      <c r="BI71" s="63"/>
      <c r="BJ71" s="352"/>
      <c r="BK71" s="19"/>
      <c r="BL71" s="14"/>
      <c r="BM71" s="19"/>
      <c r="BN71" s="59"/>
      <c r="BO71" s="14"/>
      <c r="BP71" s="14"/>
      <c r="BQ71" s="109" t="s">
        <v>14</v>
      </c>
      <c r="BR71" s="110" t="s">
        <v>6</v>
      </c>
      <c r="BS71" s="110" t="s">
        <v>7</v>
      </c>
      <c r="BT71" s="56"/>
      <c r="BU71" s="14"/>
      <c r="BV71" s="14"/>
      <c r="BW71" s="65"/>
      <c r="BX71" s="63"/>
      <c r="BY71" s="352"/>
      <c r="BZ71" s="14"/>
      <c r="CA71" s="86"/>
      <c r="CB71" s="111"/>
      <c r="CC71" s="111"/>
      <c r="CD71" s="179"/>
      <c r="CE71" s="179"/>
      <c r="CF71" s="108"/>
      <c r="CG71" s="29"/>
      <c r="CH71" s="109"/>
      <c r="CI71" s="109"/>
      <c r="CJ71" s="109"/>
      <c r="CK71" s="109"/>
      <c r="CL71" s="109"/>
      <c r="CM71" s="109"/>
      <c r="CN71" s="109"/>
      <c r="CO71" s="329"/>
      <c r="CP71" s="14"/>
      <c r="CQ71" s="47"/>
      <c r="CR71" s="14"/>
      <c r="CS71" s="107"/>
      <c r="CT71" s="27"/>
      <c r="CU71" s="37"/>
      <c r="CV71" s="37"/>
      <c r="CW71" s="37"/>
      <c r="CX71" s="37"/>
      <c r="CY71" s="29"/>
      <c r="CZ71" s="106"/>
      <c r="DA71" s="27"/>
      <c r="DB71" s="27"/>
      <c r="DC71" s="27"/>
      <c r="DD71" s="27"/>
      <c r="DE71" s="27"/>
      <c r="DF71" s="27"/>
      <c r="DG71" s="141" t="str">
        <f t="shared" si="20"/>
        <v/>
      </c>
      <c r="DH71" s="14"/>
      <c r="DI71" s="47"/>
      <c r="DJ71" s="14"/>
      <c r="DK71" s="62"/>
      <c r="DL71" s="19"/>
      <c r="DM71" s="59"/>
      <c r="DN71" s="14"/>
      <c r="DO71" s="14"/>
      <c r="DP71" s="109" t="s">
        <v>14</v>
      </c>
      <c r="DQ71" s="110" t="s">
        <v>6</v>
      </c>
      <c r="DR71" s="110" t="s">
        <v>7</v>
      </c>
      <c r="DS71" s="14"/>
      <c r="DT71" s="14"/>
      <c r="DU71" s="14"/>
      <c r="DV71" s="14"/>
      <c r="DW71" s="14"/>
      <c r="DX71" s="14"/>
      <c r="DY71" s="14"/>
      <c r="DZ71" s="14"/>
      <c r="EA71" s="14"/>
      <c r="EB71" s="14"/>
      <c r="EC71" s="14"/>
      <c r="ED71" s="14"/>
      <c r="EE71" s="14"/>
      <c r="EF71" s="14"/>
      <c r="EG71" s="14"/>
      <c r="EH71" s="14"/>
      <c r="EI71" s="14"/>
      <c r="EJ71" s="14"/>
      <c r="EK71" s="14"/>
      <c r="EL71" s="14"/>
    </row>
    <row r="72" spans="1:142" x14ac:dyDescent="0.25">
      <c r="A72" s="14"/>
      <c r="B72" s="62"/>
      <c r="C72" s="19"/>
      <c r="D72" s="59"/>
      <c r="E72" s="14"/>
      <c r="F72" s="14"/>
      <c r="G72" s="107" t="s">
        <v>34</v>
      </c>
      <c r="H72" s="27">
        <f>COUNTIFS(S30_stakeholder_category,"FO",Response_Q173_7,G72)</f>
        <v>2</v>
      </c>
      <c r="I72" s="41">
        <f>IFERROR(H72/H$77,"")</f>
        <v>0.5</v>
      </c>
      <c r="J72" s="14"/>
      <c r="K72" s="14"/>
      <c r="L72" s="14"/>
      <c r="M72" s="14"/>
      <c r="N72" s="14"/>
      <c r="O72" s="14"/>
      <c r="P72" s="14"/>
      <c r="Q72" s="47"/>
      <c r="R72" s="19"/>
      <c r="S72" s="62"/>
      <c r="T72" s="19"/>
      <c r="U72" s="59"/>
      <c r="V72" s="14"/>
      <c r="W72" s="14"/>
      <c r="X72" s="107" t="s">
        <v>5</v>
      </c>
      <c r="Y72" s="27">
        <f t="shared" ref="Y72:Y78" si="33">COUNTIFS(S30_stakeholder_category,"FO",Response_Q176_4,X72)</f>
        <v>2</v>
      </c>
      <c r="Z72" s="41">
        <f t="shared" ref="Z72:Z79" si="34">IFERROR(Y72/Y$79,0)</f>
        <v>0.4</v>
      </c>
      <c r="AA72" s="19"/>
      <c r="AB72" s="14"/>
      <c r="AC72" s="14"/>
      <c r="AD72" s="65"/>
      <c r="AE72" s="63"/>
      <c r="AF72" s="47"/>
      <c r="AG72" s="19"/>
      <c r="AH72" s="62"/>
      <c r="AI72" s="19"/>
      <c r="AJ72" s="59"/>
      <c r="AK72" s="14"/>
      <c r="AL72" s="14"/>
      <c r="AM72" s="107" t="s">
        <v>5</v>
      </c>
      <c r="AN72" s="27">
        <f t="shared" ref="AN72:AN78" si="35">COUNTIFS(S30_stakeholder_category,"FO",Response_30d_CaseA,AM72)</f>
        <v>2</v>
      </c>
      <c r="AO72" s="41">
        <f>IFERROR(AN72/AN$79,0)</f>
        <v>1</v>
      </c>
      <c r="AP72" s="19"/>
      <c r="AQ72" s="14"/>
      <c r="AR72" s="14"/>
      <c r="AS72" s="65"/>
      <c r="AT72" s="63"/>
      <c r="AU72" s="47"/>
      <c r="AV72" s="14"/>
      <c r="AW72" s="62"/>
      <c r="AX72" s="19"/>
      <c r="AY72" s="59"/>
      <c r="AZ72" s="14"/>
      <c r="BA72" s="14"/>
      <c r="BB72" s="107" t="s">
        <v>5</v>
      </c>
      <c r="BC72" s="27">
        <f t="shared" ref="BC72:BC78" si="36">COUNTIFS(S30_stakeholder_category,"FO",Response_30d_CaseB,BB72)</f>
        <v>2</v>
      </c>
      <c r="BD72" s="41">
        <f>IFERROR(BC72/BC$79,0)</f>
        <v>1</v>
      </c>
      <c r="BE72" s="19"/>
      <c r="BF72" s="14"/>
      <c r="BG72" s="14"/>
      <c r="BH72" s="65"/>
      <c r="BI72" s="63"/>
      <c r="BJ72" s="352"/>
      <c r="BK72" s="19"/>
      <c r="BL72" s="62"/>
      <c r="BM72" s="19"/>
      <c r="BN72" s="59"/>
      <c r="BO72" s="14"/>
      <c r="BP72" s="14"/>
      <c r="BQ72" s="107" t="s">
        <v>5</v>
      </c>
      <c r="BR72" s="27">
        <f t="shared" ref="BR72:BR78" si="37">COUNTIFS(S30_stakeholder_category,"FO",Response_30d_CaseC,BQ72)</f>
        <v>2</v>
      </c>
      <c r="BS72" s="41">
        <f>IFERROR(BR72/BR$79,0)</f>
        <v>1</v>
      </c>
      <c r="BT72" s="19"/>
      <c r="BU72" s="14"/>
      <c r="BV72" s="14"/>
      <c r="BW72" s="65"/>
      <c r="BX72" s="63"/>
      <c r="BY72" s="352"/>
      <c r="BZ72" s="14"/>
      <c r="CA72" s="14"/>
      <c r="CB72" s="21"/>
      <c r="CC72" s="21"/>
      <c r="CD72" s="180"/>
      <c r="CE72" s="181"/>
      <c r="CF72" s="31"/>
      <c r="CG72" s="52"/>
      <c r="CH72" s="52"/>
      <c r="CI72" s="99"/>
      <c r="CJ72" s="14"/>
      <c r="CK72" s="14"/>
      <c r="CL72" s="14"/>
      <c r="CM72" s="14"/>
      <c r="CN72" s="14"/>
      <c r="CO72" s="129"/>
      <c r="CP72" s="14"/>
      <c r="CQ72" s="47"/>
      <c r="CR72" s="14"/>
      <c r="CS72" s="86"/>
      <c r="CT72" s="111"/>
      <c r="CU72" s="86"/>
      <c r="CV72" s="179"/>
      <c r="CW72" s="188"/>
      <c r="CX72" s="179"/>
      <c r="CY72" s="29"/>
      <c r="CZ72" s="109"/>
      <c r="DA72" s="109"/>
      <c r="DB72" s="109"/>
      <c r="DC72" s="109"/>
      <c r="DD72" s="109"/>
      <c r="DE72" s="109"/>
      <c r="DF72" s="109"/>
      <c r="DG72" s="329"/>
      <c r="DH72" s="14"/>
      <c r="DI72" s="47"/>
      <c r="DJ72" s="14"/>
      <c r="DK72" s="62"/>
      <c r="DL72" s="19"/>
      <c r="DM72" s="59"/>
      <c r="DN72" s="14"/>
      <c r="DO72" s="14"/>
      <c r="DP72" s="107" t="s">
        <v>34</v>
      </c>
      <c r="DQ72" s="27">
        <f>COUNTIFS(S30_stakeholder_category,"FO",Response_Q172_1,DP72,Response_Q173_7,"&lt;&gt;0")</f>
        <v>1</v>
      </c>
      <c r="DR72" s="41">
        <f>IF(DQ77=0,"",DQ72/DQ77)</f>
        <v>0.25</v>
      </c>
      <c r="DS72" s="14"/>
      <c r="DT72" s="14"/>
      <c r="DU72" s="14"/>
      <c r="DV72" s="14"/>
      <c r="DW72" s="14"/>
      <c r="DX72" s="14"/>
      <c r="DY72" s="14"/>
      <c r="DZ72" s="14"/>
      <c r="EA72" s="14"/>
      <c r="EB72" s="14"/>
      <c r="EC72" s="14"/>
      <c r="ED72" s="14"/>
      <c r="EE72" s="14"/>
      <c r="EF72" s="14"/>
      <c r="EG72" s="14"/>
      <c r="EH72" s="14"/>
      <c r="EI72" s="14"/>
      <c r="EJ72" s="14"/>
      <c r="EK72" s="14"/>
      <c r="EL72" s="14"/>
    </row>
    <row r="73" spans="1:142" x14ac:dyDescent="0.25">
      <c r="A73" s="14"/>
      <c r="B73" s="62"/>
      <c r="C73" s="19"/>
      <c r="D73" s="59"/>
      <c r="E73" s="14"/>
      <c r="F73" s="14"/>
      <c r="G73" s="107" t="s">
        <v>35</v>
      </c>
      <c r="H73" s="27">
        <f>COUNTIFS(S30_stakeholder_category,"FO",Response_Q173_7,G73)</f>
        <v>0</v>
      </c>
      <c r="I73" s="41">
        <f t="shared" ref="I73:I77" si="38">IFERROR(H73/H$77,"")</f>
        <v>0</v>
      </c>
      <c r="J73" s="14"/>
      <c r="K73" s="14"/>
      <c r="L73" s="14"/>
      <c r="M73" s="14"/>
      <c r="N73" s="14"/>
      <c r="O73" s="14"/>
      <c r="P73" s="14"/>
      <c r="Q73" s="47"/>
      <c r="R73" s="19"/>
      <c r="S73" s="62"/>
      <c r="T73" s="19"/>
      <c r="U73" s="59"/>
      <c r="V73" s="14"/>
      <c r="W73" s="14"/>
      <c r="X73" s="107" t="s">
        <v>4</v>
      </c>
      <c r="Y73" s="27">
        <f t="shared" si="33"/>
        <v>0</v>
      </c>
      <c r="Z73" s="41">
        <f t="shared" si="34"/>
        <v>0</v>
      </c>
      <c r="AA73" s="19"/>
      <c r="AB73" s="14"/>
      <c r="AC73" s="14"/>
      <c r="AD73" s="65"/>
      <c r="AE73" s="63"/>
      <c r="AF73" s="47"/>
      <c r="AG73" s="19"/>
      <c r="AH73" s="62"/>
      <c r="AI73" s="19"/>
      <c r="AJ73" s="59"/>
      <c r="AK73" s="14"/>
      <c r="AL73" s="14"/>
      <c r="AM73" s="107" t="s">
        <v>4</v>
      </c>
      <c r="AN73" s="27">
        <f t="shared" si="35"/>
        <v>0</v>
      </c>
      <c r="AO73" s="41">
        <f t="shared" ref="AO73:AO79" si="39">IFERROR(AN73/AN$79,0)</f>
        <v>0</v>
      </c>
      <c r="AP73" s="19"/>
      <c r="AQ73" s="14"/>
      <c r="AR73" s="14"/>
      <c r="AS73" s="65"/>
      <c r="AT73" s="63"/>
      <c r="AU73" s="47"/>
      <c r="AV73" s="14"/>
      <c r="AW73" s="62"/>
      <c r="AX73" s="19"/>
      <c r="AY73" s="59"/>
      <c r="AZ73" s="14"/>
      <c r="BA73" s="14"/>
      <c r="BB73" s="107" t="s">
        <v>4</v>
      </c>
      <c r="BC73" s="27">
        <f t="shared" si="36"/>
        <v>0</v>
      </c>
      <c r="BD73" s="41">
        <f t="shared" ref="BD73:BD79" si="40">IFERROR(BC73/BC$79,0)</f>
        <v>0</v>
      </c>
      <c r="BE73" s="19"/>
      <c r="BF73" s="14"/>
      <c r="BG73" s="14"/>
      <c r="BH73" s="65"/>
      <c r="BI73" s="63"/>
      <c r="BJ73" s="352"/>
      <c r="BK73" s="19"/>
      <c r="BL73" s="62"/>
      <c r="BM73" s="19"/>
      <c r="BN73" s="59"/>
      <c r="BO73" s="14"/>
      <c r="BP73" s="14"/>
      <c r="BQ73" s="107" t="s">
        <v>4</v>
      </c>
      <c r="BR73" s="27">
        <f t="shared" si="37"/>
        <v>0</v>
      </c>
      <c r="BS73" s="41">
        <f t="shared" ref="BS73:BS79" si="41">IFERROR(BR73/BR$79,0)</f>
        <v>0</v>
      </c>
      <c r="BT73" s="19"/>
      <c r="BU73" s="14"/>
      <c r="BV73" s="14"/>
      <c r="BW73" s="65"/>
      <c r="BX73" s="63"/>
      <c r="BY73" s="352"/>
      <c r="BZ73" s="14"/>
      <c r="CA73" s="14"/>
      <c r="CB73" s="21"/>
      <c r="CC73" s="21"/>
      <c r="CD73" s="180"/>
      <c r="CE73" s="181"/>
      <c r="CF73" s="31"/>
      <c r="CG73" s="52"/>
      <c r="CH73" s="52"/>
      <c r="CI73" s="99"/>
      <c r="CJ73" s="14"/>
      <c r="CK73" s="14"/>
      <c r="CL73" s="14"/>
      <c r="CM73" s="14"/>
      <c r="CN73" s="14"/>
      <c r="CO73" s="129"/>
      <c r="CP73" s="14"/>
      <c r="CQ73" s="47"/>
      <c r="CR73" s="14"/>
      <c r="CS73" s="14"/>
      <c r="CT73" s="14"/>
      <c r="CU73" s="14"/>
      <c r="CV73" s="180"/>
      <c r="CW73" s="190"/>
      <c r="CX73" s="191"/>
      <c r="CY73" s="52"/>
      <c r="CZ73" s="52"/>
      <c r="DA73" s="54"/>
      <c r="DB73" s="19"/>
      <c r="DC73" s="19"/>
      <c r="DD73" s="19"/>
      <c r="DE73" s="19"/>
      <c r="DF73" s="19"/>
      <c r="DG73" s="260"/>
      <c r="DH73" s="14"/>
      <c r="DI73" s="47"/>
      <c r="DJ73" s="14"/>
      <c r="DK73" s="62"/>
      <c r="DL73" s="19"/>
      <c r="DM73" s="59"/>
      <c r="DN73" s="14"/>
      <c r="DO73" s="14"/>
      <c r="DP73" s="107" t="s">
        <v>35</v>
      </c>
      <c r="DQ73" s="27">
        <f>COUNTIFS(S30_stakeholder_category,"FO",Response_Q172_1,DP73,Response_Q173_7,"&lt;&gt;0")</f>
        <v>1</v>
      </c>
      <c r="DR73" s="41">
        <f>IF(DQ77=0,"",DQ73/DQ77)</f>
        <v>0.25</v>
      </c>
      <c r="DS73" s="14"/>
      <c r="DT73" s="14"/>
      <c r="DU73" s="14"/>
      <c r="DV73" s="14"/>
      <c r="DW73" s="14"/>
      <c r="DX73" s="14"/>
      <c r="DY73" s="14"/>
      <c r="DZ73" s="14"/>
      <c r="EA73" s="14"/>
      <c r="EB73" s="14"/>
      <c r="EC73" s="14"/>
      <c r="ED73" s="14"/>
      <c r="EE73" s="14"/>
      <c r="EF73" s="14"/>
      <c r="EG73" s="14"/>
      <c r="EH73" s="14"/>
      <c r="EI73" s="14"/>
      <c r="EJ73" s="14"/>
      <c r="EK73" s="14"/>
      <c r="EL73" s="14"/>
    </row>
    <row r="74" spans="1:142" x14ac:dyDescent="0.25">
      <c r="A74" s="14"/>
      <c r="B74" s="62"/>
      <c r="C74" s="19"/>
      <c r="D74" s="59"/>
      <c r="E74" s="14"/>
      <c r="F74" s="14"/>
      <c r="G74" s="107" t="s">
        <v>36</v>
      </c>
      <c r="H74" s="27">
        <f>COUNTIFS(S30_stakeholder_category,"FO",Response_Q173_7,G74)</f>
        <v>0</v>
      </c>
      <c r="I74" s="41">
        <f t="shared" si="38"/>
        <v>0</v>
      </c>
      <c r="J74" s="14"/>
      <c r="K74" s="14"/>
      <c r="L74" s="14"/>
      <c r="M74" s="14"/>
      <c r="N74" s="14"/>
      <c r="O74" s="14"/>
      <c r="P74" s="14"/>
      <c r="Q74" s="47"/>
      <c r="R74" s="19"/>
      <c r="S74" s="62"/>
      <c r="T74" s="19"/>
      <c r="U74" s="59"/>
      <c r="V74" s="14"/>
      <c r="W74" s="14"/>
      <c r="X74" s="107" t="s">
        <v>33</v>
      </c>
      <c r="Y74" s="27">
        <f t="shared" si="33"/>
        <v>0</v>
      </c>
      <c r="Z74" s="41">
        <f t="shared" si="34"/>
        <v>0</v>
      </c>
      <c r="AA74" s="19"/>
      <c r="AB74" s="14"/>
      <c r="AC74" s="14"/>
      <c r="AD74" s="65"/>
      <c r="AE74" s="63"/>
      <c r="AF74" s="47"/>
      <c r="AG74" s="19"/>
      <c r="AH74" s="62"/>
      <c r="AI74" s="19"/>
      <c r="AJ74" s="59"/>
      <c r="AK74" s="14"/>
      <c r="AL74" s="14"/>
      <c r="AM74" s="107" t="s">
        <v>33</v>
      </c>
      <c r="AN74" s="27">
        <f t="shared" si="35"/>
        <v>0</v>
      </c>
      <c r="AO74" s="41">
        <f t="shared" si="39"/>
        <v>0</v>
      </c>
      <c r="AP74" s="19"/>
      <c r="AQ74" s="14"/>
      <c r="AR74" s="14"/>
      <c r="AS74" s="65"/>
      <c r="AT74" s="63"/>
      <c r="AU74" s="47"/>
      <c r="AV74" s="14"/>
      <c r="AW74" s="62"/>
      <c r="AX74" s="19"/>
      <c r="AY74" s="59"/>
      <c r="AZ74" s="14"/>
      <c r="BA74" s="14"/>
      <c r="BB74" s="107" t="s">
        <v>33</v>
      </c>
      <c r="BC74" s="27">
        <f t="shared" si="36"/>
        <v>0</v>
      </c>
      <c r="BD74" s="41">
        <f t="shared" si="40"/>
        <v>0</v>
      </c>
      <c r="BE74" s="19"/>
      <c r="BF74" s="14"/>
      <c r="BG74" s="14"/>
      <c r="BH74" s="65"/>
      <c r="BI74" s="63"/>
      <c r="BJ74" s="352"/>
      <c r="BK74" s="19"/>
      <c r="BL74" s="62"/>
      <c r="BM74" s="19"/>
      <c r="BN74" s="59"/>
      <c r="BO74" s="14"/>
      <c r="BP74" s="14"/>
      <c r="BQ74" s="107" t="s">
        <v>33</v>
      </c>
      <c r="BR74" s="27">
        <f t="shared" si="37"/>
        <v>0</v>
      </c>
      <c r="BS74" s="41">
        <f t="shared" si="41"/>
        <v>0</v>
      </c>
      <c r="BT74" s="19"/>
      <c r="BU74" s="14"/>
      <c r="BV74" s="14"/>
      <c r="BW74" s="65"/>
      <c r="BX74" s="63"/>
      <c r="BY74" s="352"/>
      <c r="BZ74" s="14"/>
      <c r="CA74" s="14"/>
      <c r="CB74" s="21"/>
      <c r="CC74" s="21"/>
      <c r="CD74" s="180"/>
      <c r="CE74" s="181"/>
      <c r="CF74" s="31"/>
      <c r="CG74" s="52"/>
      <c r="CH74" s="52"/>
      <c r="CI74" s="99"/>
      <c r="CJ74" s="14"/>
      <c r="CK74" s="14"/>
      <c r="CL74" s="14"/>
      <c r="CM74" s="14"/>
      <c r="CN74" s="14"/>
      <c r="CO74" s="129"/>
      <c r="CP74" s="14"/>
      <c r="CQ74" s="47"/>
      <c r="CR74" s="14"/>
      <c r="CS74" s="14"/>
      <c r="CT74" s="14"/>
      <c r="CU74" s="14"/>
      <c r="CV74" s="180"/>
      <c r="CW74" s="190"/>
      <c r="CX74" s="191"/>
      <c r="CY74" s="52"/>
      <c r="CZ74" s="52"/>
      <c r="DA74" s="54"/>
      <c r="DB74" s="19"/>
      <c r="DC74" s="19"/>
      <c r="DD74" s="19"/>
      <c r="DE74" s="19"/>
      <c r="DF74" s="19"/>
      <c r="DG74" s="260"/>
      <c r="DH74" s="14"/>
      <c r="DI74" s="47"/>
      <c r="DJ74" s="14"/>
      <c r="DK74" s="62"/>
      <c r="DL74" s="19"/>
      <c r="DM74" s="59"/>
      <c r="DN74" s="14"/>
      <c r="DO74" s="14"/>
      <c r="DP74" s="107" t="s">
        <v>36</v>
      </c>
      <c r="DQ74" s="27">
        <f>COUNTIFS(S30_stakeholder_category,"FO",Response_Q172_1,DP74,Response_Q173_7,"&lt;&gt;0")</f>
        <v>1</v>
      </c>
      <c r="DR74" s="41">
        <f>IF(DQ77=0,"",DQ74/DQ77)</f>
        <v>0.25</v>
      </c>
      <c r="DS74" s="14"/>
      <c r="DT74" s="14"/>
      <c r="DU74" s="14"/>
      <c r="DV74" s="14"/>
      <c r="DW74" s="14"/>
      <c r="DX74" s="14"/>
      <c r="DY74" s="14"/>
      <c r="DZ74" s="14"/>
      <c r="EA74" s="14"/>
      <c r="EB74" s="14"/>
      <c r="EC74" s="14"/>
      <c r="ED74" s="14"/>
      <c r="EE74" s="14"/>
      <c r="EF74" s="14"/>
      <c r="EG74" s="14"/>
      <c r="EH74" s="14"/>
      <c r="EI74" s="14"/>
      <c r="EJ74" s="14"/>
      <c r="EK74" s="14"/>
      <c r="EL74" s="14"/>
    </row>
    <row r="75" spans="1:142" x14ac:dyDescent="0.25">
      <c r="A75" s="14"/>
      <c r="B75" s="62"/>
      <c r="C75" s="19"/>
      <c r="D75" s="59"/>
      <c r="E75" s="14"/>
      <c r="F75" s="14"/>
      <c r="G75" s="107" t="s">
        <v>38</v>
      </c>
      <c r="H75" s="27">
        <f>COUNTIFS(S30_stakeholder_category,"FO",Response_Q173_7,G75)</f>
        <v>0</v>
      </c>
      <c r="I75" s="41">
        <f t="shared" si="38"/>
        <v>0</v>
      </c>
      <c r="J75" s="14"/>
      <c r="K75" s="14"/>
      <c r="L75" s="14"/>
      <c r="M75" s="14"/>
      <c r="N75" s="14"/>
      <c r="O75" s="14"/>
      <c r="P75" s="14"/>
      <c r="Q75" s="47"/>
      <c r="R75" s="19"/>
      <c r="S75" s="62"/>
      <c r="T75" s="19"/>
      <c r="U75" s="59"/>
      <c r="V75" s="14"/>
      <c r="W75" s="14"/>
      <c r="X75" s="107" t="s">
        <v>29</v>
      </c>
      <c r="Y75" s="27">
        <f t="shared" si="33"/>
        <v>0</v>
      </c>
      <c r="Z75" s="41">
        <f t="shared" si="34"/>
        <v>0</v>
      </c>
      <c r="AA75" s="19"/>
      <c r="AB75" s="14"/>
      <c r="AC75" s="14"/>
      <c r="AD75" s="65"/>
      <c r="AE75" s="63"/>
      <c r="AF75" s="47"/>
      <c r="AG75" s="19"/>
      <c r="AH75" s="62"/>
      <c r="AI75" s="19"/>
      <c r="AJ75" s="59"/>
      <c r="AK75" s="14"/>
      <c r="AL75" s="14"/>
      <c r="AM75" s="107" t="s">
        <v>29</v>
      </c>
      <c r="AN75" s="27">
        <f t="shared" si="35"/>
        <v>0</v>
      </c>
      <c r="AO75" s="41">
        <f t="shared" si="39"/>
        <v>0</v>
      </c>
      <c r="AP75" s="19"/>
      <c r="AQ75" s="14"/>
      <c r="AR75" s="14"/>
      <c r="AS75" s="65"/>
      <c r="AT75" s="63"/>
      <c r="AU75" s="47"/>
      <c r="AV75" s="14"/>
      <c r="AW75" s="62"/>
      <c r="AX75" s="19"/>
      <c r="AY75" s="59"/>
      <c r="AZ75" s="14"/>
      <c r="BA75" s="14"/>
      <c r="BB75" s="107" t="s">
        <v>29</v>
      </c>
      <c r="BC75" s="27">
        <f t="shared" si="36"/>
        <v>0</v>
      </c>
      <c r="BD75" s="41">
        <f t="shared" si="40"/>
        <v>0</v>
      </c>
      <c r="BE75" s="19"/>
      <c r="BF75" s="14"/>
      <c r="BG75" s="14"/>
      <c r="BH75" s="65"/>
      <c r="BI75" s="63"/>
      <c r="BJ75" s="352"/>
      <c r="BK75" s="19"/>
      <c r="BL75" s="62"/>
      <c r="BM75" s="19"/>
      <c r="BN75" s="59"/>
      <c r="BO75" s="14"/>
      <c r="BP75" s="14"/>
      <c r="BQ75" s="107" t="s">
        <v>29</v>
      </c>
      <c r="BR75" s="27">
        <f t="shared" si="37"/>
        <v>0</v>
      </c>
      <c r="BS75" s="41">
        <f t="shared" si="41"/>
        <v>0</v>
      </c>
      <c r="BT75" s="19"/>
      <c r="BU75" s="14"/>
      <c r="BV75" s="14"/>
      <c r="BW75" s="65"/>
      <c r="BX75" s="63"/>
      <c r="BY75" s="352"/>
      <c r="BZ75" s="14"/>
      <c r="CA75" s="14"/>
      <c r="CB75" s="21"/>
      <c r="CC75" s="21"/>
      <c r="CD75" s="180"/>
      <c r="CE75" s="181"/>
      <c r="CF75" s="31"/>
      <c r="CG75" s="52"/>
      <c r="CH75" s="52"/>
      <c r="CI75" s="99"/>
      <c r="CJ75" s="14"/>
      <c r="CK75" s="14"/>
      <c r="CL75" s="14"/>
      <c r="CM75" s="14"/>
      <c r="CN75" s="14"/>
      <c r="CO75" s="129"/>
      <c r="CP75" s="14"/>
      <c r="CQ75" s="47"/>
      <c r="CR75" s="14"/>
      <c r="CS75" s="14"/>
      <c r="CT75" s="14"/>
      <c r="CU75" s="14"/>
      <c r="CV75" s="180"/>
      <c r="CW75" s="190"/>
      <c r="CX75" s="191"/>
      <c r="CY75" s="52"/>
      <c r="CZ75" s="52"/>
      <c r="DA75" s="54"/>
      <c r="DB75" s="19"/>
      <c r="DC75" s="19"/>
      <c r="DD75" s="19"/>
      <c r="DE75" s="19"/>
      <c r="DF75" s="19"/>
      <c r="DG75" s="260"/>
      <c r="DH75" s="14"/>
      <c r="DI75" s="47"/>
      <c r="DJ75" s="14"/>
      <c r="DK75" s="62"/>
      <c r="DL75" s="19"/>
      <c r="DM75" s="59"/>
      <c r="DN75" s="14"/>
      <c r="DO75" s="14"/>
      <c r="DP75" s="107" t="s">
        <v>38</v>
      </c>
      <c r="DQ75" s="27">
        <f>COUNTIFS(S30_stakeholder_category,"FO",Response_Q172_1,DP75,Response_Q173_7,"&lt;&gt;0")</f>
        <v>1</v>
      </c>
      <c r="DR75" s="41">
        <f>IF(DQ77=0,"",DQ75/DQ77)</f>
        <v>0.25</v>
      </c>
      <c r="DS75" s="14"/>
      <c r="DT75" s="14"/>
      <c r="DU75" s="14"/>
      <c r="DV75" s="14"/>
      <c r="DW75" s="14"/>
      <c r="DX75" s="14"/>
      <c r="DY75" s="14"/>
      <c r="DZ75" s="14"/>
      <c r="EA75" s="14"/>
      <c r="EB75" s="14"/>
      <c r="EC75" s="14"/>
      <c r="ED75" s="14"/>
      <c r="EE75" s="14"/>
      <c r="EF75" s="14"/>
      <c r="EG75" s="14"/>
      <c r="EH75" s="14"/>
      <c r="EI75" s="14"/>
      <c r="EJ75" s="14"/>
      <c r="EK75" s="14"/>
      <c r="EL75" s="14"/>
    </row>
    <row r="76" spans="1:142" x14ac:dyDescent="0.25">
      <c r="A76" s="14"/>
      <c r="B76" s="62"/>
      <c r="C76" s="19"/>
      <c r="D76" s="59"/>
      <c r="E76" s="14"/>
      <c r="F76" s="14"/>
      <c r="G76" s="107" t="s">
        <v>39</v>
      </c>
      <c r="H76" s="27">
        <f>COUNTIFS(S30_stakeholder_category,"FO",Response_Q173_7,G76)</f>
        <v>2</v>
      </c>
      <c r="I76" s="41">
        <f t="shared" si="38"/>
        <v>0.5</v>
      </c>
      <c r="J76" s="14"/>
      <c r="K76" s="14"/>
      <c r="L76" s="14"/>
      <c r="M76" s="14"/>
      <c r="N76" s="14"/>
      <c r="O76" s="14"/>
      <c r="P76" s="14"/>
      <c r="Q76" s="47"/>
      <c r="R76" s="19"/>
      <c r="S76" s="62"/>
      <c r="T76" s="19"/>
      <c r="U76" s="59"/>
      <c r="V76" s="14"/>
      <c r="W76" s="14"/>
      <c r="X76" s="107" t="s">
        <v>3</v>
      </c>
      <c r="Y76" s="27">
        <f t="shared" si="33"/>
        <v>0</v>
      </c>
      <c r="Z76" s="41">
        <f t="shared" si="34"/>
        <v>0</v>
      </c>
      <c r="AA76" s="19"/>
      <c r="AB76" s="14"/>
      <c r="AC76" s="14"/>
      <c r="AD76" s="65"/>
      <c r="AE76" s="63"/>
      <c r="AF76" s="47"/>
      <c r="AG76" s="19"/>
      <c r="AH76" s="62"/>
      <c r="AI76" s="19"/>
      <c r="AJ76" s="59"/>
      <c r="AK76" s="14"/>
      <c r="AL76" s="14"/>
      <c r="AM76" s="107" t="s">
        <v>3</v>
      </c>
      <c r="AN76" s="27">
        <f t="shared" si="35"/>
        <v>0</v>
      </c>
      <c r="AO76" s="41">
        <f t="shared" si="39"/>
        <v>0</v>
      </c>
      <c r="AP76" s="19"/>
      <c r="AQ76" s="14"/>
      <c r="AR76" s="14"/>
      <c r="AS76" s="65"/>
      <c r="AT76" s="63"/>
      <c r="AU76" s="47"/>
      <c r="AV76" s="14"/>
      <c r="AW76" s="62"/>
      <c r="AX76" s="19"/>
      <c r="AY76" s="59"/>
      <c r="AZ76" s="14"/>
      <c r="BA76" s="14"/>
      <c r="BB76" s="107" t="s">
        <v>3</v>
      </c>
      <c r="BC76" s="27">
        <f t="shared" si="36"/>
        <v>0</v>
      </c>
      <c r="BD76" s="41">
        <f t="shared" si="40"/>
        <v>0</v>
      </c>
      <c r="BE76" s="19"/>
      <c r="BF76" s="14"/>
      <c r="BG76" s="14"/>
      <c r="BH76" s="65"/>
      <c r="BI76" s="63"/>
      <c r="BJ76" s="352"/>
      <c r="BK76" s="19"/>
      <c r="BL76" s="62"/>
      <c r="BM76" s="19"/>
      <c r="BN76" s="59"/>
      <c r="BO76" s="14"/>
      <c r="BP76" s="14"/>
      <c r="BQ76" s="107" t="s">
        <v>3</v>
      </c>
      <c r="BR76" s="27">
        <f t="shared" si="37"/>
        <v>0</v>
      </c>
      <c r="BS76" s="41">
        <f t="shared" si="41"/>
        <v>0</v>
      </c>
      <c r="BT76" s="19"/>
      <c r="BU76" s="14"/>
      <c r="BV76" s="14"/>
      <c r="BW76" s="65"/>
      <c r="BX76" s="63"/>
      <c r="BY76" s="352"/>
      <c r="BZ76" s="14"/>
      <c r="CA76" s="14"/>
      <c r="CB76" s="21"/>
      <c r="CC76" s="21"/>
      <c r="CD76" s="180"/>
      <c r="CE76" s="181"/>
      <c r="CF76" s="31"/>
      <c r="CG76" s="52"/>
      <c r="CH76" s="52"/>
      <c r="CI76" s="99"/>
      <c r="CJ76" s="14"/>
      <c r="CK76" s="14"/>
      <c r="CL76" s="14"/>
      <c r="CM76" s="14"/>
      <c r="CN76" s="14"/>
      <c r="CO76" s="129"/>
      <c r="CP76" s="14"/>
      <c r="CQ76" s="47"/>
      <c r="CR76" s="14"/>
      <c r="CS76" s="14"/>
      <c r="CT76" s="14"/>
      <c r="CU76" s="14"/>
      <c r="CV76" s="180"/>
      <c r="CW76" s="190"/>
      <c r="CX76" s="191"/>
      <c r="CY76" s="52"/>
      <c r="CZ76" s="52"/>
      <c r="DA76" s="54"/>
      <c r="DB76" s="19"/>
      <c r="DC76" s="19"/>
      <c r="DD76" s="19"/>
      <c r="DE76" s="19"/>
      <c r="DF76" s="19"/>
      <c r="DG76" s="260"/>
      <c r="DH76" s="14"/>
      <c r="DI76" s="47"/>
      <c r="DJ76" s="14"/>
      <c r="DK76" s="62"/>
      <c r="DL76" s="19"/>
      <c r="DM76" s="59"/>
      <c r="DN76" s="14"/>
      <c r="DO76" s="14"/>
      <c r="DP76" s="107" t="s">
        <v>39</v>
      </c>
      <c r="DQ76" s="27">
        <f>COUNTIFS(S30_stakeholder_category,"FO",Response_Q172_1,DP76,Response_Q173_7,"&lt;&gt;0")</f>
        <v>0</v>
      </c>
      <c r="DR76" s="41">
        <f>IF(DQ77=0,"",DQ76/DQ77)</f>
        <v>0</v>
      </c>
      <c r="DS76" s="14"/>
      <c r="DT76" s="14"/>
      <c r="DU76" s="14"/>
      <c r="DV76" s="14"/>
      <c r="DW76" s="14"/>
      <c r="DX76" s="14"/>
      <c r="DY76" s="14"/>
      <c r="DZ76" s="14"/>
      <c r="EA76" s="14"/>
      <c r="EB76" s="14"/>
      <c r="EC76" s="14"/>
      <c r="ED76" s="14"/>
      <c r="EE76" s="14"/>
      <c r="EF76" s="14"/>
      <c r="EG76" s="14"/>
      <c r="EH76" s="14"/>
      <c r="EI76" s="14"/>
      <c r="EJ76" s="14"/>
      <c r="EK76" s="14"/>
      <c r="EL76" s="14"/>
    </row>
    <row r="77" spans="1:142" x14ac:dyDescent="0.25">
      <c r="A77" s="14"/>
      <c r="B77" s="62"/>
      <c r="C77" s="19"/>
      <c r="D77" s="59"/>
      <c r="E77" s="14"/>
      <c r="F77" s="14"/>
      <c r="G77" s="86" t="s">
        <v>145</v>
      </c>
      <c r="H77" s="111">
        <f>COUNTIFS(S30_stakeholder_category,"FO",Response_Q173_7,"&lt;&gt;0")</f>
        <v>4</v>
      </c>
      <c r="I77" s="119">
        <f t="shared" si="38"/>
        <v>1</v>
      </c>
      <c r="J77" s="14"/>
      <c r="K77" s="14"/>
      <c r="L77" s="14"/>
      <c r="M77" s="14"/>
      <c r="N77" s="14"/>
      <c r="O77" s="14"/>
      <c r="P77" s="14"/>
      <c r="Q77" s="47"/>
      <c r="R77" s="19"/>
      <c r="S77" s="62"/>
      <c r="T77" s="19"/>
      <c r="U77" s="59"/>
      <c r="V77" s="14"/>
      <c r="W77" s="14"/>
      <c r="X77" s="107" t="s">
        <v>54</v>
      </c>
      <c r="Y77" s="27">
        <f t="shared" si="33"/>
        <v>0</v>
      </c>
      <c r="Z77" s="41">
        <f t="shared" si="34"/>
        <v>0</v>
      </c>
      <c r="AA77" s="19"/>
      <c r="AB77" s="14"/>
      <c r="AC77" s="14"/>
      <c r="AD77" s="65"/>
      <c r="AE77" s="63"/>
      <c r="AF77" s="47"/>
      <c r="AG77" s="19"/>
      <c r="AH77" s="62"/>
      <c r="AI77" s="19"/>
      <c r="AJ77" s="59"/>
      <c r="AK77" s="14"/>
      <c r="AL77" s="14"/>
      <c r="AM77" s="107" t="s">
        <v>54</v>
      </c>
      <c r="AN77" s="27">
        <f t="shared" si="35"/>
        <v>0</v>
      </c>
      <c r="AO77" s="41">
        <f t="shared" si="39"/>
        <v>0</v>
      </c>
      <c r="AP77" s="19"/>
      <c r="AQ77" s="14"/>
      <c r="AR77" s="14"/>
      <c r="AS77" s="65"/>
      <c r="AT77" s="63"/>
      <c r="AU77" s="47"/>
      <c r="AV77" s="14"/>
      <c r="AW77" s="62"/>
      <c r="AX77" s="19"/>
      <c r="AY77" s="59"/>
      <c r="AZ77" s="14"/>
      <c r="BA77" s="14"/>
      <c r="BB77" s="107" t="s">
        <v>54</v>
      </c>
      <c r="BC77" s="27">
        <f t="shared" si="36"/>
        <v>0</v>
      </c>
      <c r="BD77" s="41">
        <f t="shared" si="40"/>
        <v>0</v>
      </c>
      <c r="BE77" s="19"/>
      <c r="BF77" s="14"/>
      <c r="BG77" s="14"/>
      <c r="BH77" s="65"/>
      <c r="BI77" s="63"/>
      <c r="BJ77" s="352"/>
      <c r="BK77" s="19"/>
      <c r="BL77" s="62"/>
      <c r="BM77" s="19"/>
      <c r="BN77" s="59"/>
      <c r="BO77" s="14"/>
      <c r="BP77" s="14"/>
      <c r="BQ77" s="107" t="s">
        <v>54</v>
      </c>
      <c r="BR77" s="27">
        <f t="shared" si="37"/>
        <v>0</v>
      </c>
      <c r="BS77" s="41">
        <f t="shared" si="41"/>
        <v>0</v>
      </c>
      <c r="BT77" s="19"/>
      <c r="BU77" s="14"/>
      <c r="BV77" s="14"/>
      <c r="BW77" s="65"/>
      <c r="BX77" s="63"/>
      <c r="BY77" s="352"/>
      <c r="BZ77" s="14"/>
      <c r="CA77" s="14"/>
      <c r="CB77" s="21"/>
      <c r="CC77" s="21"/>
      <c r="CD77" s="180"/>
      <c r="CE77" s="181"/>
      <c r="CF77" s="31"/>
      <c r="CG77" s="52"/>
      <c r="CH77" s="52"/>
      <c r="CI77" s="99"/>
      <c r="CJ77" s="14"/>
      <c r="CK77" s="14"/>
      <c r="CL77" s="14"/>
      <c r="CM77" s="14"/>
      <c r="CN77" s="14"/>
      <c r="CO77" s="129"/>
      <c r="CP77" s="14"/>
      <c r="CQ77" s="47"/>
      <c r="CR77" s="14"/>
      <c r="CS77" s="14"/>
      <c r="CT77" s="14"/>
      <c r="CU77" s="14"/>
      <c r="CV77" s="180"/>
      <c r="CW77" s="190"/>
      <c r="CX77" s="191"/>
      <c r="CY77" s="52"/>
      <c r="CZ77" s="52"/>
      <c r="DA77" s="54"/>
      <c r="DB77" s="19"/>
      <c r="DC77" s="19"/>
      <c r="DD77" s="19"/>
      <c r="DE77" s="19"/>
      <c r="DF77" s="19"/>
      <c r="DG77" s="260"/>
      <c r="DH77" s="14"/>
      <c r="DI77" s="47"/>
      <c r="DJ77" s="14"/>
      <c r="DK77" s="62"/>
      <c r="DL77" s="19"/>
      <c r="DM77" s="59"/>
      <c r="DN77" s="14"/>
      <c r="DO77" s="14"/>
      <c r="DP77" s="86" t="s">
        <v>145</v>
      </c>
      <c r="DQ77" s="111">
        <f>COUNTIFS(S30_stakeholder_category,"FO",Response_Q172_1,"&lt;&gt;0",Response_Q173_7,"&lt;&gt;0")</f>
        <v>4</v>
      </c>
      <c r="DR77" s="119">
        <f>IF(DQ77=0,"",DQ77/DQ77)</f>
        <v>1</v>
      </c>
      <c r="DS77" s="14"/>
      <c r="DT77" s="14"/>
      <c r="DU77" s="14"/>
      <c r="DV77" s="14"/>
      <c r="DW77" s="14"/>
      <c r="DX77" s="14"/>
      <c r="DY77" s="14"/>
      <c r="DZ77" s="14"/>
      <c r="EA77" s="14"/>
      <c r="EB77" s="14"/>
      <c r="EC77" s="14"/>
      <c r="ED77" s="14"/>
      <c r="EE77" s="14"/>
      <c r="EF77" s="14"/>
      <c r="EG77" s="14"/>
      <c r="EH77" s="14"/>
      <c r="EI77" s="14"/>
      <c r="EJ77" s="14"/>
      <c r="EK77" s="14"/>
      <c r="EL77" s="14"/>
    </row>
    <row r="78" spans="1:142" x14ac:dyDescent="0.25">
      <c r="A78" s="14"/>
      <c r="B78" s="62"/>
      <c r="C78" s="19"/>
      <c r="D78" s="59"/>
      <c r="E78" s="14"/>
      <c r="F78" s="14"/>
      <c r="G78" s="14"/>
      <c r="H78" s="21"/>
      <c r="I78" s="21"/>
      <c r="J78" s="14"/>
      <c r="K78" s="14"/>
      <c r="L78" s="14"/>
      <c r="M78" s="14"/>
      <c r="N78" s="14"/>
      <c r="O78" s="14"/>
      <c r="P78" s="14"/>
      <c r="Q78" s="47"/>
      <c r="R78" s="19"/>
      <c r="S78" s="62"/>
      <c r="T78" s="19"/>
      <c r="U78" s="59"/>
      <c r="V78" s="14"/>
      <c r="W78" s="14"/>
      <c r="X78" s="107" t="s">
        <v>39</v>
      </c>
      <c r="Y78" s="27">
        <f t="shared" si="33"/>
        <v>3</v>
      </c>
      <c r="Z78" s="41">
        <f t="shared" si="34"/>
        <v>0.6</v>
      </c>
      <c r="AA78" s="19"/>
      <c r="AB78" s="14"/>
      <c r="AC78" s="14"/>
      <c r="AD78" s="65"/>
      <c r="AE78" s="63"/>
      <c r="AF78" s="47"/>
      <c r="AG78" s="19"/>
      <c r="AH78" s="62"/>
      <c r="AI78" s="19"/>
      <c r="AJ78" s="59"/>
      <c r="AK78" s="14"/>
      <c r="AL78" s="14"/>
      <c r="AM78" s="107" t="s">
        <v>39</v>
      </c>
      <c r="AN78" s="27">
        <f t="shared" si="35"/>
        <v>0</v>
      </c>
      <c r="AO78" s="41">
        <f t="shared" si="39"/>
        <v>0</v>
      </c>
      <c r="AP78" s="19"/>
      <c r="AQ78" s="14"/>
      <c r="AR78" s="14"/>
      <c r="AS78" s="65"/>
      <c r="AT78" s="63"/>
      <c r="AU78" s="47"/>
      <c r="AV78" s="14"/>
      <c r="AW78" s="62"/>
      <c r="AX78" s="19"/>
      <c r="AY78" s="59"/>
      <c r="AZ78" s="14"/>
      <c r="BA78" s="14"/>
      <c r="BB78" s="107" t="s">
        <v>39</v>
      </c>
      <c r="BC78" s="27">
        <f t="shared" si="36"/>
        <v>0</v>
      </c>
      <c r="BD78" s="41">
        <f t="shared" si="40"/>
        <v>0</v>
      </c>
      <c r="BE78" s="19"/>
      <c r="BF78" s="14"/>
      <c r="BG78" s="14"/>
      <c r="BH78" s="65"/>
      <c r="BI78" s="63"/>
      <c r="BJ78" s="352"/>
      <c r="BK78" s="19"/>
      <c r="BL78" s="62"/>
      <c r="BM78" s="19"/>
      <c r="BN78" s="59"/>
      <c r="BO78" s="14"/>
      <c r="BP78" s="14"/>
      <c r="BQ78" s="107" t="s">
        <v>39</v>
      </c>
      <c r="BR78" s="27">
        <f t="shared" si="37"/>
        <v>0</v>
      </c>
      <c r="BS78" s="41">
        <f t="shared" si="41"/>
        <v>0</v>
      </c>
      <c r="BT78" s="19"/>
      <c r="BU78" s="14"/>
      <c r="BV78" s="14"/>
      <c r="BW78" s="65"/>
      <c r="BX78" s="63"/>
      <c r="BY78" s="352"/>
      <c r="BZ78" s="14"/>
      <c r="CA78" s="14"/>
      <c r="CB78" s="21"/>
      <c r="CC78" s="21"/>
      <c r="CD78" s="180"/>
      <c r="CE78" s="181"/>
      <c r="CF78" s="31"/>
      <c r="CG78" s="52"/>
      <c r="CH78" s="52"/>
      <c r="CI78" s="99"/>
      <c r="CJ78" s="14"/>
      <c r="CK78" s="14"/>
      <c r="CL78" s="14"/>
      <c r="CM78" s="14"/>
      <c r="CN78" s="14"/>
      <c r="CO78" s="129"/>
      <c r="CP78" s="14"/>
      <c r="CQ78" s="47"/>
      <c r="CR78" s="14"/>
      <c r="CS78" s="14"/>
      <c r="CT78" s="14"/>
      <c r="CU78" s="14"/>
      <c r="CV78" s="180"/>
      <c r="CW78" s="190"/>
      <c r="CX78" s="191"/>
      <c r="CY78" s="52"/>
      <c r="CZ78" s="52"/>
      <c r="DA78" s="54"/>
      <c r="DB78" s="19"/>
      <c r="DC78" s="19"/>
      <c r="DD78" s="19"/>
      <c r="DE78" s="19"/>
      <c r="DF78" s="19"/>
      <c r="DG78" s="260"/>
      <c r="DH78" s="14"/>
      <c r="DI78" s="47"/>
      <c r="DJ78" s="14"/>
      <c r="DK78" s="62"/>
      <c r="DL78" s="19"/>
      <c r="DM78" s="59"/>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row>
    <row r="79" spans="1:142" x14ac:dyDescent="0.25">
      <c r="A79" s="14"/>
      <c r="B79" s="62"/>
      <c r="C79" s="19"/>
      <c r="D79" s="59"/>
      <c r="E79" s="14"/>
      <c r="F79" s="14"/>
      <c r="G79" s="14"/>
      <c r="H79" s="21"/>
      <c r="I79" s="21"/>
      <c r="J79" s="14"/>
      <c r="K79" s="14"/>
      <c r="L79" s="14"/>
      <c r="M79" s="14"/>
      <c r="N79" s="14"/>
      <c r="O79" s="14"/>
      <c r="P79" s="14"/>
      <c r="Q79" s="47"/>
      <c r="R79" s="19"/>
      <c r="S79" s="62"/>
      <c r="T79" s="19"/>
      <c r="U79" s="59"/>
      <c r="V79" s="14"/>
      <c r="W79" s="14"/>
      <c r="X79" s="86" t="s">
        <v>145</v>
      </c>
      <c r="Y79" s="111">
        <f>COUNTIFS(S30_stakeholder_category,"FO",Response_Q176_4,"&lt;&gt;0")</f>
        <v>5</v>
      </c>
      <c r="Z79" s="119">
        <f t="shared" si="34"/>
        <v>1</v>
      </c>
      <c r="AA79" s="19"/>
      <c r="AB79" s="14"/>
      <c r="AC79" s="14"/>
      <c r="AD79" s="65"/>
      <c r="AE79" s="63"/>
      <c r="AF79" s="47"/>
      <c r="AG79" s="19"/>
      <c r="AH79" s="62"/>
      <c r="AI79" s="19"/>
      <c r="AJ79" s="59"/>
      <c r="AK79" s="14"/>
      <c r="AL79" s="14"/>
      <c r="AM79" s="86" t="s">
        <v>145</v>
      </c>
      <c r="AN79" s="111">
        <f>COUNTIFS(S30_stakeholder_category,"FO",Response_30d_CaseA,"&lt;&gt;0")</f>
        <v>2</v>
      </c>
      <c r="AO79" s="119">
        <f t="shared" si="39"/>
        <v>1</v>
      </c>
      <c r="AP79" s="19"/>
      <c r="AQ79" s="14"/>
      <c r="AR79" s="14"/>
      <c r="AS79" s="65"/>
      <c r="AT79" s="63"/>
      <c r="AU79" s="47"/>
      <c r="AV79" s="14"/>
      <c r="AW79" s="62"/>
      <c r="AX79" s="19"/>
      <c r="AY79" s="59"/>
      <c r="AZ79" s="14"/>
      <c r="BA79" s="14"/>
      <c r="BB79" s="86" t="s">
        <v>145</v>
      </c>
      <c r="BC79" s="111">
        <f>COUNTIFS(S30_stakeholder_category,"FO",Response_30d_CaseB,"&lt;&gt;0")</f>
        <v>2</v>
      </c>
      <c r="BD79" s="119">
        <f t="shared" si="40"/>
        <v>1</v>
      </c>
      <c r="BE79" s="19"/>
      <c r="BF79" s="14"/>
      <c r="BG79" s="14"/>
      <c r="BH79" s="65"/>
      <c r="BI79" s="63"/>
      <c r="BJ79" s="352"/>
      <c r="BK79" s="19"/>
      <c r="BL79" s="62"/>
      <c r="BM79" s="19"/>
      <c r="BN79" s="59"/>
      <c r="BO79" s="14"/>
      <c r="BP79" s="14"/>
      <c r="BQ79" s="86" t="s">
        <v>145</v>
      </c>
      <c r="BR79" s="111">
        <f>COUNTIFS(S30_stakeholder_category,"FO",Response_30d_CaseC,"&lt;&gt;0")</f>
        <v>2</v>
      </c>
      <c r="BS79" s="119">
        <f t="shared" si="41"/>
        <v>1</v>
      </c>
      <c r="BT79" s="19"/>
      <c r="BU79" s="14"/>
      <c r="BV79" s="14"/>
      <c r="BW79" s="65"/>
      <c r="BX79" s="63"/>
      <c r="BY79" s="352"/>
      <c r="BZ79" s="14"/>
      <c r="CA79" s="14"/>
      <c r="CB79" s="21"/>
      <c r="CC79" s="21"/>
      <c r="CD79" s="180"/>
      <c r="CE79" s="181"/>
      <c r="CF79" s="31"/>
      <c r="CG79" s="52"/>
      <c r="CH79" s="52"/>
      <c r="CI79" s="99"/>
      <c r="CJ79" s="14"/>
      <c r="CK79" s="14"/>
      <c r="CL79" s="14"/>
      <c r="CM79" s="14"/>
      <c r="CN79" s="14"/>
      <c r="CO79" s="129"/>
      <c r="CP79" s="14"/>
      <c r="CQ79" s="47"/>
      <c r="CR79" s="14"/>
      <c r="CS79" s="14"/>
      <c r="CT79" s="14"/>
      <c r="CU79" s="14"/>
      <c r="CV79" s="180"/>
      <c r="CW79" s="190"/>
      <c r="CX79" s="191"/>
      <c r="CY79" s="52"/>
      <c r="CZ79" s="52"/>
      <c r="DA79" s="54"/>
      <c r="DB79" s="19"/>
      <c r="DC79" s="19"/>
      <c r="DD79" s="19"/>
      <c r="DE79" s="19"/>
      <c r="DF79" s="19"/>
      <c r="DG79" s="260"/>
      <c r="DH79" s="14"/>
      <c r="DI79" s="47"/>
      <c r="DJ79" s="14"/>
      <c r="DK79" s="62"/>
      <c r="DL79" s="19"/>
      <c r="DM79" s="59"/>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row>
    <row r="80" spans="1:142" s="135" customFormat="1" ht="16.5" customHeight="1" x14ac:dyDescent="0.25">
      <c r="A80" s="14"/>
      <c r="B80" s="13"/>
      <c r="C80" s="13"/>
      <c r="D80" s="21"/>
      <c r="E80" s="14"/>
      <c r="F80" s="14"/>
      <c r="G80" s="14"/>
      <c r="H80" s="21"/>
      <c r="I80" s="21"/>
      <c r="J80" s="14"/>
      <c r="K80" s="14"/>
      <c r="L80" s="14"/>
      <c r="M80" s="14"/>
      <c r="N80" s="14"/>
      <c r="O80" s="14"/>
      <c r="P80" s="14"/>
      <c r="Q80" s="47"/>
      <c r="R80" s="19"/>
      <c r="S80" s="13"/>
      <c r="T80" s="13"/>
      <c r="U80" s="21"/>
      <c r="V80" s="14"/>
      <c r="W80" s="14"/>
      <c r="X80" s="14"/>
      <c r="Y80" s="55"/>
      <c r="Z80" s="55"/>
      <c r="AA80" s="55"/>
      <c r="AB80" s="55"/>
      <c r="AC80" s="55"/>
      <c r="AD80" s="65"/>
      <c r="AE80" s="63"/>
      <c r="AF80" s="47"/>
      <c r="AG80" s="19"/>
      <c r="AH80" s="13"/>
      <c r="AI80" s="13"/>
      <c r="AJ80" s="21"/>
      <c r="AK80" s="14"/>
      <c r="AL80" s="14"/>
      <c r="AM80" s="14"/>
      <c r="AN80" s="55"/>
      <c r="AO80" s="55"/>
      <c r="AP80" s="55"/>
      <c r="AQ80" s="55"/>
      <c r="AR80" s="55"/>
      <c r="AS80" s="65"/>
      <c r="AT80" s="63"/>
      <c r="AU80" s="47"/>
      <c r="AV80" s="14"/>
      <c r="AW80" s="13"/>
      <c r="AX80" s="13"/>
      <c r="AY80" s="21"/>
      <c r="AZ80" s="14"/>
      <c r="BA80" s="14"/>
      <c r="BB80" s="14"/>
      <c r="BC80" s="55"/>
      <c r="BD80" s="55"/>
      <c r="BE80" s="55"/>
      <c r="BF80" s="55"/>
      <c r="BG80" s="55"/>
      <c r="BH80" s="65"/>
      <c r="BI80" s="63"/>
      <c r="BJ80" s="352"/>
      <c r="BK80" s="19"/>
      <c r="BL80" s="13"/>
      <c r="BM80" s="13"/>
      <c r="BN80" s="21"/>
      <c r="BO80" s="14"/>
      <c r="BP80" s="14"/>
      <c r="BQ80" s="14"/>
      <c r="BR80" s="55"/>
      <c r="BS80" s="55"/>
      <c r="BT80" s="55"/>
      <c r="BU80" s="55"/>
      <c r="BV80" s="55"/>
      <c r="BW80" s="65"/>
      <c r="BX80" s="63"/>
      <c r="BY80" s="352"/>
      <c r="BZ80" s="14"/>
      <c r="CA80" s="14"/>
      <c r="CB80" s="21"/>
      <c r="CC80" s="21"/>
      <c r="CD80" s="180"/>
      <c r="CE80" s="181"/>
      <c r="CF80" s="31"/>
      <c r="CG80" s="31"/>
      <c r="CH80" s="31"/>
      <c r="CI80" s="14"/>
      <c r="CJ80" s="14"/>
      <c r="CK80" s="14"/>
      <c r="CL80" s="14"/>
      <c r="CM80" s="14"/>
      <c r="CN80" s="14"/>
      <c r="CO80" s="129"/>
      <c r="CP80" s="14"/>
      <c r="CQ80" s="47"/>
      <c r="CR80" s="14"/>
      <c r="CS80" s="14"/>
      <c r="CT80" s="14"/>
      <c r="CU80" s="14"/>
      <c r="CV80" s="180"/>
      <c r="CW80" s="190"/>
      <c r="CX80" s="191"/>
      <c r="CY80" s="31"/>
      <c r="CZ80" s="31"/>
      <c r="DA80" s="14"/>
      <c r="DB80" s="14"/>
      <c r="DC80" s="14"/>
      <c r="DD80" s="14"/>
      <c r="DE80" s="14"/>
      <c r="DF80" s="14"/>
      <c r="DG80" s="129"/>
      <c r="DH80" s="14"/>
      <c r="DI80" s="47"/>
      <c r="DJ80" s="14"/>
      <c r="DK80" s="13"/>
      <c r="DL80" s="13"/>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row>
    <row r="81" spans="1:142" s="131" customFormat="1" x14ac:dyDescent="0.25">
      <c r="A81" s="78"/>
      <c r="B81" s="78" t="s">
        <v>31</v>
      </c>
      <c r="C81" s="78" t="s">
        <v>135</v>
      </c>
      <c r="D81" s="79"/>
      <c r="E81" s="78"/>
      <c r="F81" s="78"/>
      <c r="G81" s="78"/>
      <c r="H81" s="79"/>
      <c r="I81" s="79"/>
      <c r="J81" s="78"/>
      <c r="K81" s="78"/>
      <c r="L81" s="78"/>
      <c r="M81" s="78"/>
      <c r="N81" s="78"/>
      <c r="O81" s="78"/>
      <c r="P81" s="78"/>
      <c r="Q81" s="82"/>
      <c r="R81" s="83"/>
      <c r="S81" s="78" t="str">
        <f>$B81</f>
        <v>Pellet producers</v>
      </c>
      <c r="T81" s="78"/>
      <c r="U81" s="78"/>
      <c r="V81" s="78"/>
      <c r="W81" s="78"/>
      <c r="X81" s="78"/>
      <c r="Y81" s="78"/>
      <c r="Z81" s="78"/>
      <c r="AA81" s="78"/>
      <c r="AB81" s="78"/>
      <c r="AC81" s="78"/>
      <c r="AD81" s="80"/>
      <c r="AE81" s="81"/>
      <c r="AF81" s="82"/>
      <c r="AG81" s="83"/>
      <c r="AH81" s="78" t="str">
        <f>$B81</f>
        <v>Pellet producers</v>
      </c>
      <c r="AI81" s="78"/>
      <c r="AJ81" s="78"/>
      <c r="AK81" s="78"/>
      <c r="AL81" s="78"/>
      <c r="AM81" s="78"/>
      <c r="AN81" s="78"/>
      <c r="AO81" s="78"/>
      <c r="AP81" s="78"/>
      <c r="AQ81" s="78"/>
      <c r="AR81" s="78"/>
      <c r="AS81" s="80"/>
      <c r="AT81" s="81"/>
      <c r="AU81" s="82"/>
      <c r="AV81" s="78"/>
      <c r="AW81" s="78" t="str">
        <f>$B81</f>
        <v>Pellet producers</v>
      </c>
      <c r="AX81" s="78"/>
      <c r="AY81" s="78"/>
      <c r="AZ81" s="78"/>
      <c r="BA81" s="78"/>
      <c r="BB81" s="78"/>
      <c r="BC81" s="78"/>
      <c r="BD81" s="78"/>
      <c r="BE81" s="78"/>
      <c r="BF81" s="78"/>
      <c r="BG81" s="78"/>
      <c r="BH81" s="80"/>
      <c r="BI81" s="81"/>
      <c r="BJ81" s="373"/>
      <c r="BK81" s="83"/>
      <c r="BL81" s="78" t="str">
        <f>$B81</f>
        <v>Pellet producers</v>
      </c>
      <c r="BM81" s="78"/>
      <c r="BN81" s="78"/>
      <c r="BO81" s="78"/>
      <c r="BP81" s="78"/>
      <c r="BQ81" s="78"/>
      <c r="BR81" s="78"/>
      <c r="BS81" s="78"/>
      <c r="BT81" s="78"/>
      <c r="BU81" s="78"/>
      <c r="BV81" s="78"/>
      <c r="BW81" s="80"/>
      <c r="BX81" s="81"/>
      <c r="BY81" s="373"/>
      <c r="BZ81" s="78"/>
      <c r="CA81" s="78" t="str">
        <f>$B81</f>
        <v>Pellet producers</v>
      </c>
      <c r="CB81" s="79"/>
      <c r="CC81" s="79"/>
      <c r="CD81" s="182"/>
      <c r="CE81" s="182"/>
      <c r="CF81" s="79"/>
      <c r="CG81" s="78"/>
      <c r="CH81" s="78"/>
      <c r="CI81" s="78"/>
      <c r="CJ81" s="78"/>
      <c r="CK81" s="78"/>
      <c r="CL81" s="78"/>
      <c r="CM81" s="78"/>
      <c r="CN81" s="78"/>
      <c r="CO81" s="78"/>
      <c r="CP81" s="78"/>
      <c r="CQ81" s="82"/>
      <c r="CR81" s="78"/>
      <c r="CS81" s="78" t="str">
        <f>$B81</f>
        <v>Pellet producers</v>
      </c>
      <c r="CT81" s="78"/>
      <c r="CU81" s="78"/>
      <c r="CV81" s="182"/>
      <c r="CW81" s="192"/>
      <c r="CX81" s="192"/>
      <c r="CY81" s="78"/>
      <c r="CZ81" s="78"/>
      <c r="DA81" s="78"/>
      <c r="DB81" s="78"/>
      <c r="DC81" s="78"/>
      <c r="DD81" s="78"/>
      <c r="DE81" s="78"/>
      <c r="DF81" s="78"/>
      <c r="DG81" s="78"/>
      <c r="DH81" s="78"/>
      <c r="DI81" s="82"/>
      <c r="DJ81" s="78"/>
      <c r="DK81" s="78" t="str">
        <f>$B81</f>
        <v>Pellet producers</v>
      </c>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row>
    <row r="82" spans="1:142" x14ac:dyDescent="0.25">
      <c r="A82" s="14"/>
      <c r="B82" s="84" t="s">
        <v>301</v>
      </c>
      <c r="C82" s="84"/>
      <c r="D82" s="85"/>
      <c r="E82" s="84"/>
      <c r="F82" s="14"/>
      <c r="G82" s="14"/>
      <c r="H82" s="21"/>
      <c r="I82" s="21"/>
      <c r="J82" s="14"/>
      <c r="K82" s="14"/>
      <c r="L82" s="14"/>
      <c r="M82" s="14"/>
      <c r="N82" s="14"/>
      <c r="O82" s="14"/>
      <c r="P82" s="14"/>
      <c r="Q82" s="47"/>
      <c r="R82" s="19"/>
      <c r="S82" s="84" t="s">
        <v>322</v>
      </c>
      <c r="T82" s="84"/>
      <c r="U82" s="85"/>
      <c r="V82" s="84"/>
      <c r="W82" s="14"/>
      <c r="X82" s="14"/>
      <c r="Y82" s="14"/>
      <c r="Z82" s="14"/>
      <c r="AA82" s="14"/>
      <c r="AB82" s="14"/>
      <c r="AC82" s="14"/>
      <c r="AD82" s="65"/>
      <c r="AE82" s="63"/>
      <c r="AF82" s="47"/>
      <c r="AG82" s="19"/>
      <c r="AH82" s="84" t="s">
        <v>328</v>
      </c>
      <c r="AI82" s="84"/>
      <c r="AJ82" s="85"/>
      <c r="AK82" s="84"/>
      <c r="AL82" s="84"/>
      <c r="AM82" s="14"/>
      <c r="AN82" s="14"/>
      <c r="AO82" s="14"/>
      <c r="AP82" s="14"/>
      <c r="AQ82" s="14"/>
      <c r="AR82" s="14"/>
      <c r="AS82" s="65"/>
      <c r="AT82" s="63"/>
      <c r="AU82" s="47"/>
      <c r="AV82" s="14"/>
      <c r="AW82" s="84" t="s">
        <v>347</v>
      </c>
      <c r="AX82" s="84"/>
      <c r="AY82" s="85"/>
      <c r="AZ82" s="84"/>
      <c r="BA82" s="84"/>
      <c r="BB82" s="14"/>
      <c r="BC82" s="14"/>
      <c r="BD82" s="14"/>
      <c r="BE82" s="14"/>
      <c r="BF82" s="14"/>
      <c r="BG82" s="14"/>
      <c r="BH82" s="65"/>
      <c r="BI82" s="63"/>
      <c r="BJ82" s="352"/>
      <c r="BK82" s="19"/>
      <c r="BL82" s="84" t="s">
        <v>348</v>
      </c>
      <c r="BM82" s="84"/>
      <c r="BN82" s="85"/>
      <c r="BO82" s="84"/>
      <c r="BP82" s="84"/>
      <c r="BQ82" s="14"/>
      <c r="BR82" s="14"/>
      <c r="BS82" s="14"/>
      <c r="BT82" s="14"/>
      <c r="BU82" s="14"/>
      <c r="BV82" s="14"/>
      <c r="BW82" s="65"/>
      <c r="BX82" s="63"/>
      <c r="BY82" s="352"/>
      <c r="BZ82" s="19"/>
      <c r="CA82" s="84" t="s">
        <v>348</v>
      </c>
      <c r="CB82" s="84"/>
      <c r="CC82" s="85"/>
      <c r="CD82" s="183"/>
      <c r="CE82" s="183"/>
      <c r="CF82" s="14"/>
      <c r="CG82" s="14"/>
      <c r="CH82" s="14"/>
      <c r="CI82" s="14"/>
      <c r="CJ82" s="14"/>
      <c r="CK82" s="14"/>
      <c r="CL82" s="14"/>
      <c r="CM82" s="14"/>
      <c r="CN82" s="14"/>
      <c r="CO82" s="129"/>
      <c r="CP82" s="14"/>
      <c r="CQ82" s="47"/>
      <c r="CR82" s="14"/>
      <c r="CS82" s="148" t="s">
        <v>304</v>
      </c>
      <c r="CT82" s="84"/>
      <c r="CU82" s="85"/>
      <c r="CV82" s="185"/>
      <c r="CW82" s="193"/>
      <c r="CX82" s="193"/>
      <c r="CY82" s="14"/>
      <c r="CZ82" s="14"/>
      <c r="DA82" s="14"/>
      <c r="DB82" s="14"/>
      <c r="DC82" s="14"/>
      <c r="DD82" s="14"/>
      <c r="DE82" s="14"/>
      <c r="DF82" s="14"/>
      <c r="DG82" s="129"/>
      <c r="DH82" s="14"/>
      <c r="DI82" s="47"/>
      <c r="DJ82" s="14"/>
      <c r="DK82" s="84" t="s">
        <v>305</v>
      </c>
      <c r="DL82" s="84"/>
      <c r="DM82" s="85"/>
      <c r="DN82" s="8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row>
    <row r="83" spans="1:142" x14ac:dyDescent="0.25">
      <c r="A83" s="14"/>
      <c r="B83" s="14"/>
      <c r="C83" s="14"/>
      <c r="D83" s="15"/>
      <c r="E83" s="14"/>
      <c r="F83" s="14"/>
      <c r="G83" s="14"/>
      <c r="H83" s="21"/>
      <c r="I83" s="21"/>
      <c r="J83" s="14"/>
      <c r="K83" s="14"/>
      <c r="L83" s="14"/>
      <c r="M83" s="14"/>
      <c r="N83" s="14"/>
      <c r="O83" s="14"/>
      <c r="P83" s="14"/>
      <c r="Q83" s="47"/>
      <c r="R83" s="19"/>
      <c r="S83" s="14"/>
      <c r="T83" s="14"/>
      <c r="U83" s="15"/>
      <c r="V83" s="14"/>
      <c r="W83" s="14"/>
      <c r="X83" s="14"/>
      <c r="Y83" s="14"/>
      <c r="Z83" s="14"/>
      <c r="AA83" s="14"/>
      <c r="AB83" s="14"/>
      <c r="AC83" s="14"/>
      <c r="AD83" s="65"/>
      <c r="AE83" s="63"/>
      <c r="AF83" s="47"/>
      <c r="AG83" s="19"/>
      <c r="AH83" s="14"/>
      <c r="AI83" s="14"/>
      <c r="AJ83" s="15"/>
      <c r="AK83" s="14"/>
      <c r="AL83" s="14"/>
      <c r="AM83" s="14"/>
      <c r="AN83" s="14"/>
      <c r="AO83" s="14"/>
      <c r="AP83" s="14"/>
      <c r="AQ83" s="14"/>
      <c r="AR83" s="14"/>
      <c r="AS83" s="65"/>
      <c r="AT83" s="63"/>
      <c r="AU83" s="47"/>
      <c r="AV83" s="14"/>
      <c r="AW83" s="14"/>
      <c r="AX83" s="14"/>
      <c r="AY83" s="15"/>
      <c r="AZ83" s="14"/>
      <c r="BA83" s="14"/>
      <c r="BB83" s="14"/>
      <c r="BC83" s="14"/>
      <c r="BD83" s="14"/>
      <c r="BE83" s="14"/>
      <c r="BF83" s="14"/>
      <c r="BG83" s="14"/>
      <c r="BH83" s="65"/>
      <c r="BI83" s="63"/>
      <c r="BJ83" s="352"/>
      <c r="BK83" s="19"/>
      <c r="BL83" s="14"/>
      <c r="BM83" s="14"/>
      <c r="BN83" s="15"/>
      <c r="BO83" s="14"/>
      <c r="BP83" s="14"/>
      <c r="BQ83" s="14"/>
      <c r="BR83" s="14"/>
      <c r="BS83" s="14"/>
      <c r="BT83" s="14"/>
      <c r="BU83" s="14"/>
      <c r="BV83" s="14"/>
      <c r="BW83" s="65"/>
      <c r="BX83" s="63"/>
      <c r="BY83" s="352"/>
      <c r="BZ83" s="14"/>
      <c r="CA83" s="14"/>
      <c r="CB83" s="21"/>
      <c r="CC83" s="21"/>
      <c r="CD83" s="180"/>
      <c r="CE83" s="180"/>
      <c r="CF83" s="21"/>
      <c r="CG83" s="14"/>
      <c r="CH83" s="14"/>
      <c r="CI83" s="14"/>
      <c r="CJ83" s="14"/>
      <c r="CK83" s="14"/>
      <c r="CL83" s="14"/>
      <c r="CM83" s="14"/>
      <c r="CN83" s="14"/>
      <c r="CO83" s="129"/>
      <c r="CP83" s="14"/>
      <c r="CQ83" s="47"/>
      <c r="CR83" s="14"/>
      <c r="CS83" s="14"/>
      <c r="CT83" s="14"/>
      <c r="CU83" s="14"/>
      <c r="CV83" s="180"/>
      <c r="CW83" s="189"/>
      <c r="CX83" s="189"/>
      <c r="CY83" s="14"/>
      <c r="CZ83" s="14"/>
      <c r="DA83" s="14"/>
      <c r="DB83" s="14"/>
      <c r="DC83" s="14"/>
      <c r="DD83" s="14"/>
      <c r="DE83" s="14"/>
      <c r="DF83" s="14"/>
      <c r="DG83" s="129"/>
      <c r="DH83" s="14"/>
      <c r="DI83" s="47"/>
      <c r="DJ83" s="14"/>
      <c r="DK83" s="14"/>
      <c r="DL83" s="14"/>
      <c r="DM83" s="15"/>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row>
    <row r="84" spans="1:142" ht="27.6" x14ac:dyDescent="0.25">
      <c r="A84" s="14"/>
      <c r="B84" s="112" t="s">
        <v>23</v>
      </c>
      <c r="C84" s="113" t="s">
        <v>24</v>
      </c>
      <c r="D84" s="113" t="s">
        <v>145</v>
      </c>
      <c r="E84" s="113" t="s">
        <v>300</v>
      </c>
      <c r="F84" s="14"/>
      <c r="G84" s="14"/>
      <c r="H84" s="21"/>
      <c r="I84" s="21"/>
      <c r="J84" s="14"/>
      <c r="K84" s="14"/>
      <c r="L84" s="51"/>
      <c r="M84" s="51"/>
      <c r="N84" s="51"/>
      <c r="O84" s="51"/>
      <c r="P84" s="51"/>
      <c r="Q84" s="47"/>
      <c r="R84" s="19"/>
      <c r="S84" s="112" t="s">
        <v>23</v>
      </c>
      <c r="T84" s="113" t="s">
        <v>24</v>
      </c>
      <c r="U84" s="113" t="s">
        <v>145</v>
      </c>
      <c r="V84" s="113" t="s">
        <v>300</v>
      </c>
      <c r="W84" s="14"/>
      <c r="X84" s="14"/>
      <c r="Y84" s="14"/>
      <c r="Z84" s="14"/>
      <c r="AA84" s="56"/>
      <c r="AB84" s="56"/>
      <c r="AC84" s="56"/>
      <c r="AD84" s="65"/>
      <c r="AE84" s="63"/>
      <c r="AF84" s="47"/>
      <c r="AG84" s="19"/>
      <c r="AH84" s="112" t="s">
        <v>23</v>
      </c>
      <c r="AI84" s="113" t="s">
        <v>24</v>
      </c>
      <c r="AJ84" s="113" t="s">
        <v>145</v>
      </c>
      <c r="AK84" s="113" t="s">
        <v>300</v>
      </c>
      <c r="AL84" s="14"/>
      <c r="AM84" s="14"/>
      <c r="AN84" s="14"/>
      <c r="AO84" s="14"/>
      <c r="AP84" s="56"/>
      <c r="AQ84" s="56"/>
      <c r="AR84" s="56"/>
      <c r="AS84" s="65"/>
      <c r="AT84" s="63"/>
      <c r="AU84" s="47"/>
      <c r="AV84" s="14"/>
      <c r="AW84" s="112" t="s">
        <v>23</v>
      </c>
      <c r="AX84" s="113" t="s">
        <v>24</v>
      </c>
      <c r="AY84" s="113" t="s">
        <v>145</v>
      </c>
      <c r="AZ84" s="113" t="s">
        <v>300</v>
      </c>
      <c r="BA84" s="14"/>
      <c r="BB84" s="14"/>
      <c r="BC84" s="14"/>
      <c r="BD84" s="14"/>
      <c r="BE84" s="56"/>
      <c r="BF84" s="56"/>
      <c r="BG84" s="56"/>
      <c r="BH84" s="65"/>
      <c r="BI84" s="63"/>
      <c r="BJ84" s="352"/>
      <c r="BK84" s="19"/>
      <c r="BL84" s="112" t="s">
        <v>23</v>
      </c>
      <c r="BM84" s="113" t="s">
        <v>24</v>
      </c>
      <c r="BN84" s="113" t="s">
        <v>145</v>
      </c>
      <c r="BO84" s="113" t="s">
        <v>300</v>
      </c>
      <c r="BP84" s="14"/>
      <c r="BQ84" s="14"/>
      <c r="BR84" s="14"/>
      <c r="BS84" s="14"/>
      <c r="BT84" s="56"/>
      <c r="BU84" s="56"/>
      <c r="BV84" s="56"/>
      <c r="BW84" s="65"/>
      <c r="BX84" s="63"/>
      <c r="BY84" s="352"/>
      <c r="BZ84" s="14"/>
      <c r="CA84" s="112" t="s">
        <v>23</v>
      </c>
      <c r="CB84" s="113" t="s">
        <v>145</v>
      </c>
      <c r="CC84" s="21"/>
      <c r="CD84" s="180"/>
      <c r="CE84" s="180"/>
      <c r="CF84" s="21"/>
      <c r="CG84" s="14"/>
      <c r="CH84" s="14"/>
      <c r="CI84" s="14"/>
      <c r="CJ84" s="14"/>
      <c r="CK84" s="14"/>
      <c r="CL84" s="14"/>
      <c r="CM84" s="14"/>
      <c r="CN84" s="14"/>
      <c r="CO84" s="129"/>
      <c r="CP84" s="17"/>
      <c r="CQ84" s="47"/>
      <c r="CR84" s="14"/>
      <c r="CS84" s="112" t="s">
        <v>23</v>
      </c>
      <c r="CT84" s="113" t="s">
        <v>145</v>
      </c>
      <c r="CU84" s="14"/>
      <c r="CV84" s="180"/>
      <c r="CW84" s="189"/>
      <c r="CX84" s="189"/>
      <c r="CY84" s="14"/>
      <c r="CZ84" s="14"/>
      <c r="DA84" s="14"/>
      <c r="DB84" s="14"/>
      <c r="DC84" s="14"/>
      <c r="DD84" s="14"/>
      <c r="DE84" s="14"/>
      <c r="DF84" s="14"/>
      <c r="DG84" s="129"/>
      <c r="DH84" s="17"/>
      <c r="DI84" s="47"/>
      <c r="DJ84" s="17"/>
      <c r="DK84" s="112" t="s">
        <v>23</v>
      </c>
      <c r="DL84" s="113" t="s">
        <v>24</v>
      </c>
      <c r="DM84" s="113" t="s">
        <v>145</v>
      </c>
      <c r="DN84" s="113" t="s">
        <v>300</v>
      </c>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row>
    <row r="85" spans="1:142" x14ac:dyDescent="0.25">
      <c r="A85" s="14"/>
      <c r="B85" s="57" t="s">
        <v>31</v>
      </c>
      <c r="C85" s="121" t="str">
        <f>IF(H104=0,"na",IF(COUNTIF(H99:H103,MAX(H99:H103))&gt;COUNTIF(G99:G103,"&lt;&gt;""")/2,"No clear choice of the most common response",INDEX(G99:G103,MATCH(MAX(H99:H103),H99:H103,0),1)))</f>
        <v>na</v>
      </c>
      <c r="D85" s="58">
        <f>COUNTIFS(S30_stakeholder_category,"PP",Response_Q173_7,"&lt;&gt;0")</f>
        <v>0</v>
      </c>
      <c r="E85" s="121">
        <f>COUNTIFS(S30_stakeholder_category,"PP",Response_Q173_7,"I don’t know")</f>
        <v>0</v>
      </c>
      <c r="F85" s="14"/>
      <c r="G85" s="14"/>
      <c r="H85" s="27"/>
      <c r="I85" s="21"/>
      <c r="J85" s="14"/>
      <c r="K85" s="14"/>
      <c r="L85" s="40"/>
      <c r="M85" s="40"/>
      <c r="N85" s="40"/>
      <c r="O85" s="40"/>
      <c r="P85" s="40"/>
      <c r="Q85" s="47"/>
      <c r="R85" s="19"/>
      <c r="S85" s="34" t="s">
        <v>31</v>
      </c>
      <c r="T85" s="37" t="str">
        <f>IF(Y106=0,"na",IF(COUNTIF(Y99:Y105,MAX(Y99:Y105))&gt;COUNTIF(X99:X105,"&lt;&gt;""")/2,"No clear choice of the most common response",INDEX(X99:X105,MATCH(MAX(Y99:Y105),Y99:Y105,0),1)))</f>
        <v>na</v>
      </c>
      <c r="U85" s="33">
        <f>COUNTIFS(S30_stakeholder_category,"PP",Response_Q176_4,"&lt;&gt;0")</f>
        <v>0</v>
      </c>
      <c r="V85" s="37">
        <f>COUNTIFS(S30_stakeholder_category,"PP",Response_Q176_4,"I don’t know")</f>
        <v>0</v>
      </c>
      <c r="W85" s="14"/>
      <c r="X85" s="14"/>
      <c r="Y85" s="14"/>
      <c r="Z85" s="14"/>
      <c r="AA85" s="19"/>
      <c r="AB85" s="19"/>
      <c r="AC85" s="19"/>
      <c r="AD85" s="65"/>
      <c r="AE85" s="63"/>
      <c r="AF85" s="47"/>
      <c r="AG85" s="19"/>
      <c r="AH85" s="57" t="s">
        <v>31</v>
      </c>
      <c r="AI85" s="121" t="str">
        <f>IF(AN106=0,"na",IF(COUNTIF(AN99:AN105,MAX(AN99:AN105))&gt;COUNTIF(AM99:AM105,"&lt;&gt;""")/2,"No clear choice of the most common response",INDEX(AM99:AM105,MATCH(MAX(AN99:AN105),AN99:AN105,0),1)))</f>
        <v>Very unlikely</v>
      </c>
      <c r="AJ85" s="58">
        <f>COUNTIFS(S30_stakeholder_category,"PP",Response_30d_CaseA,"&lt;&gt;0")</f>
        <v>1</v>
      </c>
      <c r="AK85" s="121">
        <f>COUNTIFS(S30_stakeholder_category,"PP",Response_30d_CaseA,"I don’t know")</f>
        <v>0</v>
      </c>
      <c r="AL85" s="14"/>
      <c r="AM85" s="14"/>
      <c r="AN85" s="14"/>
      <c r="AO85" s="14"/>
      <c r="AP85" s="19"/>
      <c r="AQ85" s="19"/>
      <c r="AR85" s="19"/>
      <c r="AS85" s="65"/>
      <c r="AT85" s="63"/>
      <c r="AU85" s="47"/>
      <c r="AV85" s="14"/>
      <c r="AW85" s="57" t="s">
        <v>31</v>
      </c>
      <c r="AX85" s="121" t="str">
        <f>IF(BC106=0,"na",IF(COUNTIF(BC99:BC105,MAX(BC99:BC105))&gt;COUNTIF(BB99:BB105,"&lt;&gt;""")/2,"No clear choice of the most common response",INDEX(BB99:BB105,MATCH(MAX(BC99:BC105),BC99:BC105,0),1)))</f>
        <v>Very unlikely</v>
      </c>
      <c r="AY85" s="58">
        <f>COUNTIFS(S30_stakeholder_category,"PP",Response_30d_CaseB,"&lt;&gt;0")</f>
        <v>1</v>
      </c>
      <c r="AZ85" s="121">
        <f>COUNTIFS(S30_stakeholder_category,"PP",Response_30d_CaseB,"I don’t know")</f>
        <v>0</v>
      </c>
      <c r="BA85" s="14"/>
      <c r="BB85" s="14"/>
      <c r="BC85" s="14"/>
      <c r="BD85" s="14"/>
      <c r="BE85" s="19"/>
      <c r="BF85" s="19"/>
      <c r="BG85" s="19"/>
      <c r="BH85" s="65"/>
      <c r="BI85" s="63"/>
      <c r="BJ85" s="352"/>
      <c r="BK85" s="19"/>
      <c r="BL85" s="57" t="s">
        <v>31</v>
      </c>
      <c r="BM85" s="121" t="str">
        <f>IF(BR106=0,"na",IF(COUNTIF(BR99:BR105,MAX(BR99:BR105))&gt;COUNTIF(BQ99:BQ105,"&lt;&gt;""")/2,"No clear choice of the most common response",INDEX(BQ99:BQ105,MATCH(MAX(BR99:BR105),BR99:BR105,0),1)))</f>
        <v>Very unlikely</v>
      </c>
      <c r="BN85" s="58">
        <f>COUNTIFS(S30_stakeholder_category,"PP",Response_30d_CaseC,"&lt;&gt;0")</f>
        <v>1</v>
      </c>
      <c r="BO85" s="121">
        <f>COUNTIFS(S30_stakeholder_category,"PP",Response_30d_CaseC,"I don’t know")</f>
        <v>0</v>
      </c>
      <c r="BP85" s="14"/>
      <c r="BQ85" s="14"/>
      <c r="BR85" s="14"/>
      <c r="BS85" s="14"/>
      <c r="BT85" s="19"/>
      <c r="BU85" s="19"/>
      <c r="BV85" s="19"/>
      <c r="BW85" s="65"/>
      <c r="BX85" s="63"/>
      <c r="BY85" s="352"/>
      <c r="BZ85" s="14"/>
      <c r="CA85" s="34" t="s">
        <v>31</v>
      </c>
      <c r="CB85" s="37">
        <f>MAX(SUM(CC91:CC97),SUM(CD91:CD97),SUM(CE91:CE97))</f>
        <v>1</v>
      </c>
      <c r="CC85" s="21"/>
      <c r="CD85" s="180"/>
      <c r="CE85" s="180"/>
      <c r="CF85" s="21"/>
      <c r="CG85" s="14"/>
      <c r="CH85" s="14"/>
      <c r="CI85" s="14"/>
      <c r="CJ85" s="14"/>
      <c r="CK85" s="14"/>
      <c r="CL85" s="14"/>
      <c r="CM85" s="14"/>
      <c r="CN85" s="14"/>
      <c r="CO85" s="129"/>
      <c r="CP85" s="29"/>
      <c r="CQ85" s="47"/>
      <c r="CR85" s="14"/>
      <c r="CS85" s="34" t="s">
        <v>31</v>
      </c>
      <c r="CT85" s="37">
        <f>MAX(SUM(CU91:CU97),SUM(CV91:CV97),SUM(CW91:CW97))</f>
        <v>0</v>
      </c>
      <c r="CU85" s="14"/>
      <c r="CV85" s="180"/>
      <c r="CW85" s="189"/>
      <c r="CX85" s="189"/>
      <c r="CY85" s="14"/>
      <c r="CZ85" s="14"/>
      <c r="DA85" s="14"/>
      <c r="DB85" s="14"/>
      <c r="DC85" s="14"/>
      <c r="DD85" s="14"/>
      <c r="DE85" s="14"/>
      <c r="DF85" s="14"/>
      <c r="DG85" s="129"/>
      <c r="DH85" s="29"/>
      <c r="DI85" s="47"/>
      <c r="DJ85" s="29"/>
      <c r="DK85" s="34" t="s">
        <v>31</v>
      </c>
      <c r="DL85" s="37" t="str">
        <f>IF(DQ104=0,"na",IF(COUNTIF(DQ99:DQ103,MAX(DQ99:DQ103))&gt;COUNTIF(DP99:DP103,"&lt;&gt;""")/2,"No clear choice of the most common response",INDEX(DP99:DP103,MATCH(MAX(DQ99:DQ103),DQ99:DQ103,0),1)))</f>
        <v>na</v>
      </c>
      <c r="DM85" s="33">
        <f>COUNTIFS(S30_stakeholder_category,"PP",Response_Q172_1,"&lt;&gt;0",Response_Q173_7,"&lt;&gt;0")</f>
        <v>0</v>
      </c>
      <c r="DN85" s="37">
        <f>DQ103</f>
        <v>0</v>
      </c>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row>
    <row r="86" spans="1:142" x14ac:dyDescent="0.25">
      <c r="A86" s="14"/>
      <c r="B86" s="57"/>
      <c r="C86" s="121" t="str">
        <f ca="1">IF(H104=0,"",IF(COUNTIF(H99:H103,MAX(H99:H103))=1,"",IF(COUNTIF(H99:H103,MAX(H99:H103))&gt;COUNTIF(G99:G103,"&lt;&gt;""")/2,"",INDEX(OFFSET(G99,MATCH(C85,G99:G104,0),0):G103,MATCH(MAX(H99:H103),OFFSET(H99,MATCH(C85,G99:G104,0),0):H103,0),1))))</f>
        <v/>
      </c>
      <c r="D86" s="58"/>
      <c r="E86" s="121"/>
      <c r="F86" s="14"/>
      <c r="G86" s="14"/>
      <c r="H86" s="27"/>
      <c r="I86" s="21"/>
      <c r="J86" s="14"/>
      <c r="K86" s="14"/>
      <c r="L86" s="40"/>
      <c r="M86" s="40"/>
      <c r="N86" s="40"/>
      <c r="O86" s="40"/>
      <c r="P86" s="40"/>
      <c r="Q86" s="47"/>
      <c r="R86" s="19"/>
      <c r="S86" s="34"/>
      <c r="T86" s="37" t="str">
        <f ca="1">IF(Y106=0,"",IF(COUNTIF(Y99:Y105,MAX(Y99:Y105))=1,"",IF(COUNTIF(Y99:Y105,MAX(Y99:Y105))&gt;COUNTIF(X99:X105,"&lt;&gt;""")/2,"",INDEX(OFFSET(X99,MATCH(T85,X99:X105,0),0):X105,MATCH(MAX(Y99:Y105),OFFSET(Y99,MATCH(T85,X99:X105,0),0):Y105,0),1))))</f>
        <v/>
      </c>
      <c r="U86" s="33"/>
      <c r="V86" s="37"/>
      <c r="W86" s="14"/>
      <c r="X86" s="14"/>
      <c r="Y86" s="14"/>
      <c r="Z86" s="14"/>
      <c r="AA86" s="19"/>
      <c r="AB86" s="19"/>
      <c r="AC86" s="19"/>
      <c r="AD86" s="65"/>
      <c r="AE86" s="63"/>
      <c r="AF86" s="47"/>
      <c r="AG86" s="19"/>
      <c r="AH86" s="57"/>
      <c r="AI86" s="121" t="str">
        <f ca="1">IF(AN106=0,"",IF(COUNTIF(AN99:AN105,MAX(AN99:AN105))=1,"",IF(COUNTIF(AN99:AN105,MAX(AN99:AN105))&gt;COUNTIF(AM99:AM105,"&lt;&gt;""")/2,"",INDEX(OFFSET(AM99,MATCH(AI85,AM99:AM105,0),0):AM105,MATCH(MAX(AN99:AN105),OFFSET(AN99,MATCH(AI85,AM99:AM105,0),0):AN105,0),1))))</f>
        <v/>
      </c>
      <c r="AJ86" s="58"/>
      <c r="AK86" s="121"/>
      <c r="AL86" s="14"/>
      <c r="AM86" s="14"/>
      <c r="AN86" s="14"/>
      <c r="AO86" s="14"/>
      <c r="AP86" s="19"/>
      <c r="AQ86" s="19"/>
      <c r="AR86" s="19"/>
      <c r="AS86" s="65"/>
      <c r="AT86" s="63"/>
      <c r="AU86" s="47"/>
      <c r="AV86" s="14"/>
      <c r="AW86" s="57"/>
      <c r="AX86" s="121" t="str">
        <f ca="1">IF(BC106=0,"",IF(COUNTIF(BC99:BC105,MAX(BC99:BC105))=1,"",IF(COUNTIF(BC99:BC105,MAX(BC99:BC105))&gt;COUNTIF(BB99:BB105,"&lt;&gt;""")/2,"",INDEX(OFFSET(BB99,MATCH(AX85,BB99:BB105,0),0):BB105,MATCH(MAX(BC99:BC105),OFFSET(BC99,MATCH(AX85,BB99:BB105,0),0):BC105,0),1))))</f>
        <v/>
      </c>
      <c r="AY86" s="58"/>
      <c r="AZ86" s="121"/>
      <c r="BA86" s="14"/>
      <c r="BB86" s="14"/>
      <c r="BC86" s="14"/>
      <c r="BD86" s="14"/>
      <c r="BE86" s="19"/>
      <c r="BF86" s="19"/>
      <c r="BG86" s="19"/>
      <c r="BH86" s="65"/>
      <c r="BI86" s="63"/>
      <c r="BJ86" s="352"/>
      <c r="BK86" s="19"/>
      <c r="BL86" s="57"/>
      <c r="BM86" s="121" t="str">
        <f ca="1">IF(BR106=0,"",IF(COUNTIF(BR99:BR105,MAX(BR99:BR105))=1,"",IF(COUNTIF(BR99:BR105,MAX(BR99:BR105))&gt;COUNTIF(BQ99:BQ105,"&lt;&gt;""")/2,"",INDEX(OFFSET(BQ99,MATCH(BM85,BQ99:BQ105,0),0):BQ105,MATCH(MAX(BR99:BR105),OFFSET(BR99,MATCH(BM85,BQ99:BQ105,0),0):BR105,0),1))))</f>
        <v/>
      </c>
      <c r="BN86" s="58"/>
      <c r="BO86" s="121"/>
      <c r="BP86" s="14"/>
      <c r="BQ86" s="14"/>
      <c r="BR86" s="14"/>
      <c r="BS86" s="14"/>
      <c r="BT86" s="19"/>
      <c r="BU86" s="19"/>
      <c r="BV86" s="19"/>
      <c r="BW86" s="65"/>
      <c r="BX86" s="63"/>
      <c r="BY86" s="352"/>
      <c r="BZ86" s="14"/>
      <c r="CA86" s="14"/>
      <c r="CB86" s="21"/>
      <c r="CC86" s="21"/>
      <c r="CD86" s="180"/>
      <c r="CE86" s="180"/>
      <c r="CF86" s="21"/>
      <c r="CG86" s="14"/>
      <c r="CH86" s="14"/>
      <c r="CI86" s="14"/>
      <c r="CJ86" s="14"/>
      <c r="CK86" s="14"/>
      <c r="CL86" s="14"/>
      <c r="CM86" s="14"/>
      <c r="CN86" s="14"/>
      <c r="CO86" s="129"/>
      <c r="CP86" s="29"/>
      <c r="CQ86" s="47"/>
      <c r="CR86" s="14"/>
      <c r="CS86" s="14"/>
      <c r="CT86" s="14"/>
      <c r="CU86" s="14"/>
      <c r="CV86" s="180"/>
      <c r="CW86" s="189"/>
      <c r="CX86" s="189"/>
      <c r="CY86" s="14"/>
      <c r="CZ86" s="14"/>
      <c r="DA86" s="14"/>
      <c r="DB86" s="14"/>
      <c r="DC86" s="14"/>
      <c r="DD86" s="14"/>
      <c r="DE86" s="14"/>
      <c r="DF86" s="14"/>
      <c r="DG86" s="129"/>
      <c r="DH86" s="29"/>
      <c r="DI86" s="47"/>
      <c r="DJ86" s="29"/>
      <c r="DK86" s="34"/>
      <c r="DL86" s="121" t="str">
        <f ca="1">IF(DQ104=0,"",IF(COUNTIF(DQ99:DQ103,MAX(DQ99:DQ103))=1,"",IF(COUNTIF(DQ99:DQ103,MAX(DQ99:DQ103))&gt;COUNTIF(DP99:DP103,"&lt;&gt;""")/2,"",INDEX(OFFSET(DP99,MATCH(DL85,DP99:DP104,0),0):DP103,MATCH(MAX(DQ99:DQ103),OFFSET(DQ99,MATCH(DL85,DP99:DP104,0),0):DQ103,0),1))))</f>
        <v/>
      </c>
      <c r="DM86" s="33"/>
      <c r="DN86" s="37"/>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row>
    <row r="87" spans="1:142" x14ac:dyDescent="0.25">
      <c r="A87" s="14"/>
      <c r="B87" s="57"/>
      <c r="C87" s="121" t="str">
        <f ca="1" xml:space="preserve"> IF(H104=0,"", IF(COUNTIF(H99:H103,MAX(H99:H103))&lt;=2,"",IF(COUNTIF(H99:H103,MAX(H99:H103))&gt;COUNTIF(G99:G103,"&lt;&gt;""")/2,"", INDEX(OFFSET(G99,MATCH(C86,G99:G104,0),0):G103,         MATCH(MAX(H99:H103),        OFFSET(H99,MATCH(C86,G99:G104,0),0):H103,0),1))))</f>
        <v/>
      </c>
      <c r="D87" s="58"/>
      <c r="E87" s="121"/>
      <c r="F87" s="14"/>
      <c r="G87" s="14"/>
      <c r="H87" s="27"/>
      <c r="I87" s="21"/>
      <c r="J87" s="14"/>
      <c r="K87" s="14"/>
      <c r="L87" s="40"/>
      <c r="M87" s="40"/>
      <c r="N87" s="40"/>
      <c r="O87" s="40"/>
      <c r="P87" s="40"/>
      <c r="Q87" s="47"/>
      <c r="R87" s="19"/>
      <c r="S87" s="34"/>
      <c r="T87" s="121" t="str">
        <f ca="1" xml:space="preserve"> IF(Y106=0,"",IF(Y106=0,"", IF(COUNTIF(Y99:Y105,MAX(Y99:Y105))&lt;=2,"",IF(COUNTIF(Y99:Y105,MAX(Y99:Y105))&gt;COUNTIF(X99:X105,"&lt;&gt;""")/2,"", INDEX(OFFSET(X99,MATCH(T86,X99:X105,0),0):X105,         MATCH(MAX(Y99:Y105),        OFFSET(Y99,MATCH(T86,X99:X105,0),0):Y105,0),1)))))</f>
        <v/>
      </c>
      <c r="U87" s="33"/>
      <c r="V87" s="37"/>
      <c r="W87" s="14"/>
      <c r="X87" s="14"/>
      <c r="Y87" s="14"/>
      <c r="Z87" s="14"/>
      <c r="AA87" s="19"/>
      <c r="AB87" s="19"/>
      <c r="AC87" s="19"/>
      <c r="AD87" s="65"/>
      <c r="AE87" s="63"/>
      <c r="AF87" s="47"/>
      <c r="AG87" s="19"/>
      <c r="AH87" s="57"/>
      <c r="AI87" s="121" t="str">
        <f ca="1" xml:space="preserve"> IF(AN106=0,"",IF(AN106=0,"", IF(COUNTIF(AN99:AN105,MAX(AN99:AN105))&lt;=2,"",IF(COUNTIF(AN99:AN105,MAX(AN99:AN105))&gt;COUNTIF(AM99:AM105,"&lt;&gt;""")/2,"", INDEX(OFFSET(AM99,MATCH(AI86,AM99:AM105,0),0):AM105,         MATCH(MAX(AN99:AN105),        OFFSET(AN99,MATCH(AI86,AM99:AM105,0),0):AN105,0),1)))))</f>
        <v/>
      </c>
      <c r="AJ87" s="58"/>
      <c r="AK87" s="121"/>
      <c r="AL87" s="14"/>
      <c r="AM87" s="14"/>
      <c r="AN87" s="14"/>
      <c r="AO87" s="14"/>
      <c r="AP87" s="19"/>
      <c r="AQ87" s="19"/>
      <c r="AR87" s="19"/>
      <c r="AS87" s="65"/>
      <c r="AT87" s="63"/>
      <c r="AU87" s="47"/>
      <c r="AV87" s="14"/>
      <c r="AW87" s="57"/>
      <c r="AX87" s="121" t="str">
        <f ca="1" xml:space="preserve"> IF(BC106=0,"",IF(BC106=0,"", IF(COUNTIF(BC99:BC105,MAX(BC99:BC105))&lt;=2,"",IF(COUNTIF(BC99:BC105,MAX(BC99:BC105))&gt;COUNTIF(BB99:BB105,"&lt;&gt;""")/2,"", INDEX(OFFSET(BB99,MATCH(AX86,BB99:BB105,0),0):BB105,         MATCH(MAX(BC99:BC105),        OFFSET(BC99,MATCH(AX86,BB99:BB105,0),0):BC105,0),1)))))</f>
        <v/>
      </c>
      <c r="AY87" s="58"/>
      <c r="AZ87" s="121"/>
      <c r="BA87" s="14"/>
      <c r="BB87" s="14"/>
      <c r="BC87" s="14"/>
      <c r="BD87" s="14"/>
      <c r="BE87" s="19"/>
      <c r="BF87" s="19"/>
      <c r="BG87" s="19"/>
      <c r="BH87" s="65"/>
      <c r="BI87" s="63"/>
      <c r="BJ87" s="352"/>
      <c r="BK87" s="19"/>
      <c r="BL87" s="57"/>
      <c r="BM87" s="121" t="str">
        <f ca="1" xml:space="preserve"> IF(BR106=0,"",IF(BR106=0,"", IF(COUNTIF(BR99:BR105,MAX(BR99:BR105))&lt;=2,"",IF(COUNTIF(BR99:BR105,MAX(BR99:BR105))&gt;COUNTIF(BQ99:BQ105,"&lt;&gt;""")/2,"", INDEX(OFFSET(BQ99,MATCH(BM86,BQ99:BQ105,0),0):BQ105,         MATCH(MAX(BR99:BR105),        OFFSET(BR99,MATCH(BM86,BQ99:BQ105,0),0):BR105,0),1)))))</f>
        <v/>
      </c>
      <c r="BN87" s="58"/>
      <c r="BO87" s="121"/>
      <c r="BP87" s="14"/>
      <c r="BQ87" s="14"/>
      <c r="BR87" s="14"/>
      <c r="BS87" s="14"/>
      <c r="BT87" s="19"/>
      <c r="BU87" s="19"/>
      <c r="BV87" s="19"/>
      <c r="BW87" s="65"/>
      <c r="BX87" s="63"/>
      <c r="BY87" s="352"/>
      <c r="BZ87" s="14"/>
      <c r="CA87" s="14"/>
      <c r="CB87" s="21"/>
      <c r="CC87" s="21"/>
      <c r="CD87" s="180"/>
      <c r="CE87" s="180"/>
      <c r="CF87" s="21"/>
      <c r="CG87" s="14"/>
      <c r="CH87" s="14"/>
      <c r="CI87" s="14"/>
      <c r="CJ87" s="14"/>
      <c r="CK87" s="14"/>
      <c r="CL87" s="14"/>
      <c r="CM87" s="14"/>
      <c r="CN87" s="14"/>
      <c r="CO87" s="129"/>
      <c r="CP87" s="29"/>
      <c r="CQ87" s="47"/>
      <c r="CR87" s="14"/>
      <c r="CS87" s="14"/>
      <c r="CT87" s="14"/>
      <c r="CU87" s="14"/>
      <c r="CV87" s="180"/>
      <c r="CW87" s="189"/>
      <c r="CX87" s="189"/>
      <c r="CY87" s="14"/>
      <c r="CZ87" s="14"/>
      <c r="DA87" s="14"/>
      <c r="DB87" s="14"/>
      <c r="DC87" s="14"/>
      <c r="DD87" s="14"/>
      <c r="DE87" s="14"/>
      <c r="DF87" s="14"/>
      <c r="DG87" s="129"/>
      <c r="DH87" s="29"/>
      <c r="DI87" s="47"/>
      <c r="DJ87" s="29"/>
      <c r="DK87" s="34"/>
      <c r="DL87" s="121" t="str">
        <f ca="1" xml:space="preserve"> IF(DQ104=0,"",IF(DQ104=0,"", IF(COUNTIF(DQ99:DQ103,MAX(DQ99:DQ103))&lt;=2,"",IF(COUNTIF(DQ99:DQ103,MAX(DQ99:DQ103))&gt;COUNTIF(DP99:DP103,"&lt;&gt;""")/2,"", INDEX(OFFSET(DP99,MATCH(DL86,DP99:DP104,0),0):DP103,         MATCH(MAX(DQ99:DQ103),        OFFSET(DQ99,MATCH(DL86,DP99:DP104,0),0):DQ103,0),1)))))</f>
        <v/>
      </c>
      <c r="DM87" s="33"/>
      <c r="DN87" s="37"/>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row>
    <row r="88" spans="1:142" x14ac:dyDescent="0.25">
      <c r="A88" s="14"/>
      <c r="B88" s="14"/>
      <c r="C88" s="14"/>
      <c r="D88" s="27"/>
      <c r="E88" s="14"/>
      <c r="F88" s="14"/>
      <c r="G88" s="14"/>
      <c r="H88" s="27"/>
      <c r="I88" s="21"/>
      <c r="J88" s="14"/>
      <c r="K88" s="14"/>
      <c r="L88" s="40"/>
      <c r="M88" s="40"/>
      <c r="N88" s="40"/>
      <c r="O88" s="40"/>
      <c r="P88" s="40"/>
      <c r="Q88" s="47"/>
      <c r="R88" s="19"/>
      <c r="S88" s="19"/>
      <c r="T88" s="14"/>
      <c r="U88" s="27"/>
      <c r="V88" s="14"/>
      <c r="W88" s="14"/>
      <c r="X88" s="14"/>
      <c r="Y88" s="14"/>
      <c r="Z88" s="14"/>
      <c r="AA88" s="19"/>
      <c r="AB88" s="19"/>
      <c r="AC88" s="19"/>
      <c r="AD88" s="65"/>
      <c r="AE88" s="63"/>
      <c r="AF88" s="47"/>
      <c r="AG88" s="19"/>
      <c r="AH88" s="19"/>
      <c r="AI88" s="14"/>
      <c r="AJ88" s="27"/>
      <c r="AK88" s="14"/>
      <c r="AL88" s="14"/>
      <c r="AM88" s="14"/>
      <c r="AN88" s="14"/>
      <c r="AO88" s="14"/>
      <c r="AP88" s="19"/>
      <c r="AQ88" s="19"/>
      <c r="AR88" s="19"/>
      <c r="AS88" s="65"/>
      <c r="AT88" s="63"/>
      <c r="AU88" s="47"/>
      <c r="AV88" s="14"/>
      <c r="AW88" s="19"/>
      <c r="AX88" s="14"/>
      <c r="AY88" s="27"/>
      <c r="AZ88" s="14"/>
      <c r="BA88" s="14"/>
      <c r="BB88" s="14"/>
      <c r="BC88" s="14"/>
      <c r="BD88" s="14"/>
      <c r="BE88" s="19"/>
      <c r="BF88" s="19"/>
      <c r="BG88" s="19"/>
      <c r="BH88" s="65"/>
      <c r="BI88" s="63"/>
      <c r="BJ88" s="352"/>
      <c r="BK88" s="19"/>
      <c r="BL88" s="44"/>
      <c r="BM88" s="8"/>
      <c r="BN88" s="123"/>
      <c r="BO88" s="8"/>
      <c r="BP88" s="14"/>
      <c r="BQ88" s="14"/>
      <c r="BR88" s="14"/>
      <c r="BS88" s="14"/>
      <c r="BT88" s="19"/>
      <c r="BU88" s="19"/>
      <c r="BV88" s="19"/>
      <c r="BW88" s="65"/>
      <c r="BX88" s="63"/>
      <c r="BY88" s="352"/>
      <c r="BZ88" s="14"/>
      <c r="CA88" s="14"/>
      <c r="CB88" s="21"/>
      <c r="CC88" s="21"/>
      <c r="CD88" s="180"/>
      <c r="CE88" s="180"/>
      <c r="CF88" s="21"/>
      <c r="CG88" s="14"/>
      <c r="CH88" s="14"/>
      <c r="CI88" s="14"/>
      <c r="CJ88" s="14"/>
      <c r="CK88" s="14"/>
      <c r="CL88" s="14"/>
      <c r="CM88" s="14"/>
      <c r="CN88" s="14"/>
      <c r="CO88" s="129"/>
      <c r="CP88" s="29"/>
      <c r="CQ88" s="47"/>
      <c r="CR88" s="14"/>
      <c r="CS88" s="14"/>
      <c r="CT88" s="14"/>
      <c r="CU88" s="14"/>
      <c r="CV88" s="180"/>
      <c r="CW88" s="189"/>
      <c r="CX88" s="189"/>
      <c r="CY88" s="14"/>
      <c r="CZ88" s="14"/>
      <c r="DA88" s="14"/>
      <c r="DB88" s="14"/>
      <c r="DC88" s="14"/>
      <c r="DD88" s="14"/>
      <c r="DE88" s="14"/>
      <c r="DF88" s="14"/>
      <c r="DG88" s="129"/>
      <c r="DH88" s="29"/>
      <c r="DI88" s="47"/>
      <c r="DJ88" s="29"/>
      <c r="DK88" s="14"/>
      <c r="DL88" s="14"/>
      <c r="DM88" s="27"/>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row>
    <row r="89" spans="1:142" x14ac:dyDescent="0.25">
      <c r="A89" s="14"/>
      <c r="B89" s="14"/>
      <c r="C89" s="14"/>
      <c r="D89" s="27"/>
      <c r="E89" s="14"/>
      <c r="F89" s="14"/>
      <c r="G89" s="14"/>
      <c r="H89" s="27"/>
      <c r="I89" s="21"/>
      <c r="J89" s="14"/>
      <c r="K89" s="14"/>
      <c r="L89" s="40"/>
      <c r="M89" s="40"/>
      <c r="N89" s="40"/>
      <c r="O89" s="40"/>
      <c r="P89" s="40"/>
      <c r="Q89" s="47"/>
      <c r="R89" s="19"/>
      <c r="S89" s="19"/>
      <c r="T89" s="14"/>
      <c r="U89" s="27"/>
      <c r="V89" s="14"/>
      <c r="W89" s="14"/>
      <c r="X89" s="14"/>
      <c r="Y89" s="14"/>
      <c r="Z89" s="14"/>
      <c r="AA89" s="19"/>
      <c r="AB89" s="19"/>
      <c r="AC89" s="19"/>
      <c r="AD89" s="65"/>
      <c r="AE89" s="63"/>
      <c r="AF89" s="47"/>
      <c r="AG89" s="19"/>
      <c r="AH89" s="19"/>
      <c r="AI89" s="14"/>
      <c r="AJ89" s="27"/>
      <c r="AK89" s="14"/>
      <c r="AL89" s="14"/>
      <c r="AM89" s="14"/>
      <c r="AN89" s="14"/>
      <c r="AO89" s="14"/>
      <c r="AP89" s="19"/>
      <c r="AQ89" s="19"/>
      <c r="AR89" s="19"/>
      <c r="AS89" s="65"/>
      <c r="AT89" s="63"/>
      <c r="AU89" s="47"/>
      <c r="AV89" s="14"/>
      <c r="AW89" s="19"/>
      <c r="AX89" s="14"/>
      <c r="AY89" s="27"/>
      <c r="AZ89" s="14"/>
      <c r="BA89" s="14"/>
      <c r="BB89" s="14"/>
      <c r="BC89" s="14"/>
      <c r="BD89" s="14"/>
      <c r="BE89" s="19"/>
      <c r="BF89" s="19"/>
      <c r="BG89" s="19"/>
      <c r="BH89" s="65"/>
      <c r="BI89" s="63"/>
      <c r="BJ89" s="352"/>
      <c r="BK89" s="19"/>
      <c r="BL89" s="19"/>
      <c r="BM89" s="14"/>
      <c r="BN89" s="27"/>
      <c r="BO89" s="14"/>
      <c r="BP89" s="14"/>
      <c r="BQ89" s="14"/>
      <c r="BR89" s="14"/>
      <c r="BS89" s="14"/>
      <c r="BT89" s="19"/>
      <c r="BU89" s="19"/>
      <c r="BV89" s="19"/>
      <c r="BW89" s="65"/>
      <c r="BX89" s="63"/>
      <c r="BY89" s="352"/>
      <c r="BZ89" s="14"/>
      <c r="CA89" s="14"/>
      <c r="CB89" s="21"/>
      <c r="CC89" s="21"/>
      <c r="CD89" s="180"/>
      <c r="CE89" s="180"/>
      <c r="CF89" s="21"/>
      <c r="CG89" s="14"/>
      <c r="CH89" s="14"/>
      <c r="CI89" s="14"/>
      <c r="CJ89" s="14"/>
      <c r="CK89" s="14"/>
      <c r="CL89" s="14"/>
      <c r="CM89" s="14"/>
      <c r="CN89" s="14"/>
      <c r="CO89" s="129"/>
      <c r="CP89" s="29"/>
      <c r="CQ89" s="47"/>
      <c r="CR89" s="14"/>
      <c r="CS89" s="14"/>
      <c r="CT89" s="14"/>
      <c r="CU89" s="14"/>
      <c r="CV89" s="180"/>
      <c r="CW89" s="189"/>
      <c r="CX89" s="189"/>
      <c r="CY89" s="14"/>
      <c r="CZ89" s="14"/>
      <c r="DA89" s="14"/>
      <c r="DB89" s="14"/>
      <c r="DC89" s="14"/>
      <c r="DD89" s="14"/>
      <c r="DE89" s="14"/>
      <c r="DF89" s="14"/>
      <c r="DG89" s="129"/>
      <c r="DH89" s="29"/>
      <c r="DI89" s="47"/>
      <c r="DJ89" s="29"/>
      <c r="DK89" s="14"/>
      <c r="DL89" s="14"/>
      <c r="DM89" s="27"/>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row>
    <row r="90" spans="1:142" ht="27.6" x14ac:dyDescent="0.25">
      <c r="A90" s="14"/>
      <c r="B90" s="14"/>
      <c r="C90" s="14"/>
      <c r="D90" s="27"/>
      <c r="E90" s="14"/>
      <c r="F90" s="14"/>
      <c r="G90" s="14"/>
      <c r="H90" s="27"/>
      <c r="I90" s="21"/>
      <c r="J90" s="14"/>
      <c r="K90" s="14"/>
      <c r="L90" s="40"/>
      <c r="M90" s="40"/>
      <c r="N90" s="40"/>
      <c r="O90" s="40"/>
      <c r="P90" s="40"/>
      <c r="Q90" s="47"/>
      <c r="R90" s="19"/>
      <c r="S90" s="19"/>
      <c r="T90" s="14"/>
      <c r="U90" s="27"/>
      <c r="V90" s="14"/>
      <c r="W90" s="14"/>
      <c r="X90" s="14"/>
      <c r="Y90" s="14"/>
      <c r="Z90" s="14"/>
      <c r="AA90" s="19"/>
      <c r="AB90" s="19"/>
      <c r="AC90" s="19"/>
      <c r="AD90" s="65"/>
      <c r="AE90" s="63"/>
      <c r="AF90" s="47"/>
      <c r="AG90" s="19"/>
      <c r="AH90" s="19"/>
      <c r="AI90" s="14"/>
      <c r="AJ90" s="27"/>
      <c r="AK90" s="14"/>
      <c r="AL90" s="14"/>
      <c r="AM90" s="14"/>
      <c r="AN90" s="14"/>
      <c r="AO90" s="14"/>
      <c r="AP90" s="19"/>
      <c r="AQ90" s="19"/>
      <c r="AR90" s="19"/>
      <c r="AS90" s="65"/>
      <c r="AT90" s="63"/>
      <c r="AU90" s="47"/>
      <c r="AV90" s="14"/>
      <c r="AW90" s="19"/>
      <c r="AX90" s="14"/>
      <c r="AY90" s="27"/>
      <c r="AZ90" s="14"/>
      <c r="BA90" s="14"/>
      <c r="BB90" s="14"/>
      <c r="BC90" s="14"/>
      <c r="BD90" s="14"/>
      <c r="BE90" s="19"/>
      <c r="BF90" s="19"/>
      <c r="BG90" s="19"/>
      <c r="BH90" s="65"/>
      <c r="BI90" s="63"/>
      <c r="BJ90" s="352"/>
      <c r="BK90" s="19"/>
      <c r="BL90" s="19"/>
      <c r="BM90" s="14"/>
      <c r="BN90" s="27"/>
      <c r="BO90" s="14"/>
      <c r="BP90" s="14"/>
      <c r="BQ90" s="14"/>
      <c r="BR90" s="14"/>
      <c r="BS90" s="14"/>
      <c r="BT90" s="19"/>
      <c r="BU90" s="19"/>
      <c r="BV90" s="19"/>
      <c r="BW90" s="65"/>
      <c r="BX90" s="63"/>
      <c r="BY90" s="352"/>
      <c r="BZ90" s="14"/>
      <c r="CA90" s="109" t="s">
        <v>14</v>
      </c>
      <c r="CB90" s="110" t="s">
        <v>164</v>
      </c>
      <c r="CC90" s="110" t="s">
        <v>149</v>
      </c>
      <c r="CD90" s="184" t="s">
        <v>150</v>
      </c>
      <c r="CE90" s="184" t="s">
        <v>151</v>
      </c>
      <c r="CF90" s="110" t="s">
        <v>152</v>
      </c>
      <c r="CG90" s="14"/>
      <c r="CH90" s="109"/>
      <c r="CI90" s="110" t="s">
        <v>5</v>
      </c>
      <c r="CJ90" s="110" t="s">
        <v>4</v>
      </c>
      <c r="CK90" s="110" t="s">
        <v>33</v>
      </c>
      <c r="CL90" s="110" t="s">
        <v>29</v>
      </c>
      <c r="CM90" s="110" t="s">
        <v>3</v>
      </c>
      <c r="CN90" s="110" t="s">
        <v>54</v>
      </c>
      <c r="CO90" s="328" t="s">
        <v>160</v>
      </c>
      <c r="CP90" s="29"/>
      <c r="CQ90" s="47"/>
      <c r="CR90" s="14"/>
      <c r="CS90" s="109" t="s">
        <v>14</v>
      </c>
      <c r="CT90" s="110" t="s">
        <v>164</v>
      </c>
      <c r="CU90" s="110" t="s">
        <v>149</v>
      </c>
      <c r="CV90" s="184" t="s">
        <v>150</v>
      </c>
      <c r="CW90" s="184" t="s">
        <v>151</v>
      </c>
      <c r="CX90" s="194" t="s">
        <v>152</v>
      </c>
      <c r="CY90" s="14"/>
      <c r="CZ90" s="109" t="s">
        <v>14</v>
      </c>
      <c r="DA90" s="110" t="s">
        <v>5</v>
      </c>
      <c r="DB90" s="110" t="s">
        <v>4</v>
      </c>
      <c r="DC90" s="110" t="s">
        <v>33</v>
      </c>
      <c r="DD90" s="110" t="s">
        <v>29</v>
      </c>
      <c r="DE90" s="110" t="s">
        <v>3</v>
      </c>
      <c r="DF90" s="110" t="s">
        <v>54</v>
      </c>
      <c r="DG90" s="328" t="s">
        <v>160</v>
      </c>
      <c r="DH90" s="29"/>
      <c r="DI90" s="47"/>
      <c r="DJ90" s="29"/>
      <c r="DK90" s="19"/>
      <c r="DL90" s="19"/>
      <c r="DM90" s="27"/>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row>
    <row r="91" spans="1:142" x14ac:dyDescent="0.25">
      <c r="A91" s="14"/>
      <c r="B91" s="14"/>
      <c r="C91" s="14"/>
      <c r="D91" s="21"/>
      <c r="E91" s="14"/>
      <c r="F91" s="14"/>
      <c r="G91" s="14"/>
      <c r="H91" s="21"/>
      <c r="I91" s="15"/>
      <c r="J91" s="13"/>
      <c r="K91" s="14"/>
      <c r="L91" s="14"/>
      <c r="M91" s="14"/>
      <c r="N91" s="14"/>
      <c r="O91" s="14"/>
      <c r="P91" s="14"/>
      <c r="Q91" s="47"/>
      <c r="R91" s="19"/>
      <c r="S91" s="14"/>
      <c r="T91" s="14"/>
      <c r="U91" s="21"/>
      <c r="V91" s="14"/>
      <c r="W91" s="14"/>
      <c r="X91" s="14"/>
      <c r="Y91" s="14"/>
      <c r="Z91" s="14"/>
      <c r="AA91" s="19"/>
      <c r="AB91" s="19"/>
      <c r="AC91" s="19"/>
      <c r="AD91" s="65"/>
      <c r="AE91" s="63"/>
      <c r="AF91" s="47"/>
      <c r="AG91" s="19"/>
      <c r="AH91" s="14"/>
      <c r="AI91" s="14"/>
      <c r="AJ91" s="21"/>
      <c r="AK91" s="14"/>
      <c r="AL91" s="14"/>
      <c r="AM91" s="14"/>
      <c r="AN91" s="14"/>
      <c r="AO91" s="14"/>
      <c r="AP91" s="19"/>
      <c r="AQ91" s="19"/>
      <c r="AR91" s="19"/>
      <c r="AS91" s="65"/>
      <c r="AT91" s="63"/>
      <c r="AU91" s="47"/>
      <c r="AV91" s="14"/>
      <c r="AW91" s="14"/>
      <c r="AX91" s="14"/>
      <c r="AY91" s="21"/>
      <c r="AZ91" s="14"/>
      <c r="BA91" s="14"/>
      <c r="BB91" s="14"/>
      <c r="BC91" s="14"/>
      <c r="BD91" s="14"/>
      <c r="BE91" s="19"/>
      <c r="BF91" s="19"/>
      <c r="BG91" s="19"/>
      <c r="BH91" s="65"/>
      <c r="BI91" s="63"/>
      <c r="BJ91" s="352"/>
      <c r="BK91" s="19"/>
      <c r="BL91" s="14"/>
      <c r="BM91" s="14"/>
      <c r="BN91" s="21"/>
      <c r="BO91" s="14"/>
      <c r="BP91" s="14"/>
      <c r="BQ91" s="14"/>
      <c r="BR91" s="14"/>
      <c r="BS91" s="14"/>
      <c r="BT91" s="19"/>
      <c r="BU91" s="19"/>
      <c r="BV91" s="19"/>
      <c r="BW91" s="65"/>
      <c r="BX91" s="63"/>
      <c r="BY91" s="352"/>
      <c r="BZ91" s="14"/>
      <c r="CA91" s="140" t="s">
        <v>701</v>
      </c>
      <c r="CB91" s="27">
        <f>COUNTIFS(S30_stakeholder_category,"PP",Response_Q177_1,"&lt;&gt;0",Response_Q173_7,"&lt;&gt;0")</f>
        <v>0</v>
      </c>
      <c r="CC91" s="37">
        <f>COUNTIFS(S30_stakeholder_category,"PP",Response_Q177_1,1,Response_Q173_7,"&lt;&gt;""0")</f>
        <v>1</v>
      </c>
      <c r="CD91" s="37">
        <f>COUNTIFS(S26_stakeholder_category,"PP",Response_Q161_1,2,Response_Q156_1,"&lt;&gt;0")</f>
        <v>0</v>
      </c>
      <c r="CE91" s="37">
        <f>COUNTIFS(S26_stakeholder_category,"PP",Response_Q161_1,3,Response_Q156_1,"&lt;&gt;0")</f>
        <v>0</v>
      </c>
      <c r="CF91" s="97">
        <f t="shared" ref="CF91:CF97" si="42">IF(CB$85=0,0,SUMPRODUCT(CC91:CE91,Rank_score)/CB$85)</f>
        <v>3</v>
      </c>
      <c r="CG91" s="14"/>
      <c r="CH91" s="140" t="s">
        <v>701</v>
      </c>
      <c r="CI91" s="27">
        <f t="shared" ref="CI91:CN91" si="43">COUNTIFS(S30_stakeholder_category,"PP",Response_Q177_1,"&lt;&gt;0",Response_Q177_2,CI$63,Response_Q173_7,"&lt;&gt;0")</f>
        <v>0</v>
      </c>
      <c r="CJ91" s="27">
        <f t="shared" si="43"/>
        <v>0</v>
      </c>
      <c r="CK91" s="27">
        <f t="shared" si="43"/>
        <v>0</v>
      </c>
      <c r="CL91" s="27">
        <f t="shared" si="43"/>
        <v>0</v>
      </c>
      <c r="CM91" s="27">
        <f t="shared" si="43"/>
        <v>0</v>
      </c>
      <c r="CN91" s="27">
        <f t="shared" si="43"/>
        <v>0</v>
      </c>
      <c r="CO91" s="141" t="str">
        <f t="shared" ref="CO91:CO97" si="44">IF(ISBLANK(CH91),"",IF(CF91=0,not_ranked,IF(SUM(CI91:CN91)=0,not_estimated,IFERROR(SUMPRODUCT(CI91:CN91,Likekihood_score)/SUM(CI91:CN91),0))))</f>
        <v>Ranked, but likelihood not estimated</v>
      </c>
      <c r="CP91" s="29"/>
      <c r="CQ91" s="47"/>
      <c r="CR91" s="14"/>
      <c r="CS91" s="140" t="s">
        <v>373</v>
      </c>
      <c r="CT91" s="27">
        <f>COUNTIFS(S30_stakeholder_category,"PP",Response_Q178_1,"&lt;&gt;0",Response_Q173_7,"&lt;&gt;0")</f>
        <v>0</v>
      </c>
      <c r="CU91" s="37">
        <f>COUNTIFS(S30_stakeholder_category,"PP",Response_Q178_1,1,Response_Q173_7,"&lt;&gt;0")</f>
        <v>0</v>
      </c>
      <c r="CV91" s="37">
        <f>COUNTIFS(S30_stakeholder_category,"PP",Response_Q178_1,2,Response_Q173_7,"&lt;&gt;0")</f>
        <v>0</v>
      </c>
      <c r="CW91" s="37">
        <f>COUNTIFS(S30_stakeholder_category,"PP",Response_Q178_1,3,Response_Q173_7,"&lt;&gt;0")</f>
        <v>0</v>
      </c>
      <c r="CX91" s="37">
        <f>IF(CT85=0,0,SUMPRODUCT(CU91:CW91,Rank_score)/CT$58)</f>
        <v>0</v>
      </c>
      <c r="CY91" s="14"/>
      <c r="CZ91" s="140" t="s">
        <v>373</v>
      </c>
      <c r="DA91" s="27">
        <f t="shared" ref="DA91:DF91" si="45">COUNTIFS(S30_stakeholder_category,"PP",Response_Q178_1,"&lt;&gt;0",Response_Q178_2,DA$63,Response_Q173_7,"&lt;&gt;0")</f>
        <v>0</v>
      </c>
      <c r="DB91" s="27">
        <f t="shared" si="45"/>
        <v>0</v>
      </c>
      <c r="DC91" s="27">
        <f t="shared" si="45"/>
        <v>0</v>
      </c>
      <c r="DD91" s="27">
        <f t="shared" si="45"/>
        <v>0</v>
      </c>
      <c r="DE91" s="27">
        <f t="shared" si="45"/>
        <v>0</v>
      </c>
      <c r="DF91" s="27">
        <f t="shared" si="45"/>
        <v>0</v>
      </c>
      <c r="DG91" s="141" t="str">
        <f t="shared" ref="DG91:DG98" si="46">IF(ISBLANK(CZ91),"",IF(CX91=0,not_ranked,IF(SUM(DA91:DF91)=0,not_estimated,IFERROR(SUMPRODUCT(DA91:DF91,Likekihood_score)/SUM(DA91:DF91),0))))</f>
        <v>Factor not ranked</v>
      </c>
      <c r="DH91" s="29"/>
      <c r="DI91" s="47"/>
      <c r="DJ91" s="29"/>
      <c r="DK91" s="19"/>
      <c r="DL91" s="19"/>
      <c r="DM91" s="14"/>
      <c r="DN91" s="14"/>
      <c r="DO91" s="14"/>
      <c r="DP91" s="14"/>
      <c r="DQ91" s="14"/>
      <c r="DR91" s="13"/>
      <c r="DS91" s="13"/>
      <c r="DT91" s="14"/>
      <c r="DU91" s="14"/>
      <c r="DV91" s="14"/>
      <c r="DW91" s="14"/>
      <c r="DX91" s="14"/>
      <c r="DY91" s="14"/>
      <c r="DZ91" s="14"/>
      <c r="EA91" s="14"/>
      <c r="EB91" s="14"/>
      <c r="EC91" s="14"/>
      <c r="ED91" s="14"/>
      <c r="EE91" s="14"/>
      <c r="EF91" s="14"/>
      <c r="EG91" s="14"/>
      <c r="EH91" s="14"/>
      <c r="EI91" s="14"/>
      <c r="EJ91" s="14"/>
      <c r="EK91" s="14"/>
      <c r="EL91" s="14"/>
    </row>
    <row r="92" spans="1:142" ht="14.4" x14ac:dyDescent="0.25">
      <c r="A92" s="14"/>
      <c r="B92" s="60"/>
      <c r="C92" s="19"/>
      <c r="D92" s="59"/>
      <c r="E92" s="14"/>
      <c r="F92" s="14"/>
      <c r="G92" s="14"/>
      <c r="H92" s="21"/>
      <c r="I92" s="21"/>
      <c r="J92" s="14"/>
      <c r="K92" s="14"/>
      <c r="L92" s="14"/>
      <c r="M92" s="14"/>
      <c r="N92" s="14"/>
      <c r="O92" s="14"/>
      <c r="P92" s="14"/>
      <c r="Q92" s="47"/>
      <c r="R92" s="19"/>
      <c r="S92" s="60"/>
      <c r="T92" s="19"/>
      <c r="U92" s="59"/>
      <c r="V92" s="14"/>
      <c r="W92" s="14"/>
      <c r="X92" s="14"/>
      <c r="Y92" s="14"/>
      <c r="Z92" s="14"/>
      <c r="AA92" s="19"/>
      <c r="AB92" s="19"/>
      <c r="AC92" s="19"/>
      <c r="AD92" s="65"/>
      <c r="AE92" s="63"/>
      <c r="AF92" s="47"/>
      <c r="AG92" s="19"/>
      <c r="AH92" s="60"/>
      <c r="AI92" s="19"/>
      <c r="AJ92" s="59"/>
      <c r="AK92" s="14"/>
      <c r="AL92" s="14"/>
      <c r="AM92" s="14"/>
      <c r="AN92" s="14"/>
      <c r="AO92" s="14"/>
      <c r="AP92" s="19"/>
      <c r="AQ92" s="19"/>
      <c r="AR92" s="19"/>
      <c r="AS92" s="65"/>
      <c r="AT92" s="63"/>
      <c r="AU92" s="47"/>
      <c r="AV92" s="14"/>
      <c r="AW92" s="60"/>
      <c r="AX92" s="19"/>
      <c r="AY92" s="59"/>
      <c r="AZ92" s="14"/>
      <c r="BA92" s="14"/>
      <c r="BB92" s="14"/>
      <c r="BC92" s="14"/>
      <c r="BD92" s="14"/>
      <c r="BE92" s="19"/>
      <c r="BF92" s="19"/>
      <c r="BG92" s="19"/>
      <c r="BH92" s="65"/>
      <c r="BI92" s="63"/>
      <c r="BJ92" s="352"/>
      <c r="BK92" s="19"/>
      <c r="BL92" s="60"/>
      <c r="BM92" s="19"/>
      <c r="BN92" s="59"/>
      <c r="BO92" s="14"/>
      <c r="BP92" s="14"/>
      <c r="BQ92" s="14"/>
      <c r="BR92" s="14"/>
      <c r="BS92" s="14"/>
      <c r="BT92" s="19"/>
      <c r="BU92" s="19"/>
      <c r="BV92" s="19"/>
      <c r="BW92" s="65"/>
      <c r="BX92" s="63"/>
      <c r="BY92" s="352"/>
      <c r="BZ92" s="14"/>
      <c r="CA92" s="140" t="s">
        <v>344</v>
      </c>
      <c r="CB92" s="27">
        <f>COUNTIFS(S30_stakeholder_category,"PP",Response_Q177_3,"&lt;&gt;0",Response_Q173_7,"&lt;&gt;0")</f>
        <v>0</v>
      </c>
      <c r="CC92" s="37">
        <f>COUNTIFS(S30_stakeholder_category,"PP",Response_Q177_3,1,Response_Q173_7,"&lt;&gt;0")</f>
        <v>0</v>
      </c>
      <c r="CD92" s="37">
        <f>COUNTIFS(S30_stakeholder_category,"PP",Response_Q177_3,2,Response_Q173_7,"&lt;&gt;0")</f>
        <v>0</v>
      </c>
      <c r="CE92" s="37">
        <f>COUNTIFS(S26_stakeholder_category,"PP",Response_Q161_3,3,Response_Q156_1,"&lt;&gt;0")</f>
        <v>0</v>
      </c>
      <c r="CF92" s="97">
        <f t="shared" si="42"/>
        <v>0</v>
      </c>
      <c r="CG92" s="14"/>
      <c r="CH92" s="140" t="s">
        <v>344</v>
      </c>
      <c r="CI92" s="27">
        <f t="shared" ref="CI92:CN92" si="47">COUNTIFS(S30_stakeholder_category,"PP",Response_Q177_3,"&lt;&gt;0",Response_Q177_4,CI$63,Response_Q173_7,"&lt;&gt;0")</f>
        <v>0</v>
      </c>
      <c r="CJ92" s="27">
        <f t="shared" si="47"/>
        <v>0</v>
      </c>
      <c r="CK92" s="27">
        <f t="shared" si="47"/>
        <v>0</v>
      </c>
      <c r="CL92" s="27">
        <f t="shared" si="47"/>
        <v>0</v>
      </c>
      <c r="CM92" s="27">
        <f t="shared" si="47"/>
        <v>0</v>
      </c>
      <c r="CN92" s="27">
        <f t="shared" si="47"/>
        <v>0</v>
      </c>
      <c r="CO92" s="141" t="str">
        <f t="shared" si="44"/>
        <v>Factor not ranked</v>
      </c>
      <c r="CP92" s="14"/>
      <c r="CQ92" s="47"/>
      <c r="CR92" s="14"/>
      <c r="CS92" s="140" t="s">
        <v>338</v>
      </c>
      <c r="CT92" s="27">
        <f>COUNTIFS(S30_stakeholder_category,"PP",Response_Q178_3,"&lt;&gt;0",Response_Q173_7,"&lt;&gt;0")</f>
        <v>0</v>
      </c>
      <c r="CU92" s="37">
        <f>COUNTIFS(S30_stakeholder_category,"PP",Response_Q178_3,1,Response_Q173_7,"&lt;&gt;0")</f>
        <v>0</v>
      </c>
      <c r="CV92" s="37">
        <f>COUNTIFS(S30_stakeholder_category,"PP",Response_Q178_3,2,Response_Q173_7,"&lt;&gt;0")</f>
        <v>0</v>
      </c>
      <c r="CW92" s="37">
        <f>COUNTIFS(S30_stakeholder_category,"PP",Response_Q178_3,3,Response_Q173_7,"&lt;&gt;0")</f>
        <v>0</v>
      </c>
      <c r="CX92" s="37">
        <f>IF(CT85=0,0,SUMPRODUCT(CU92:CW92,Rank_score)/CT$58)</f>
        <v>0</v>
      </c>
      <c r="CY92" s="14"/>
      <c r="CZ92" s="140" t="s">
        <v>338</v>
      </c>
      <c r="DA92" s="27">
        <f t="shared" ref="DA92:DF92" si="48">COUNTIFS(S30_stakeholder_category,"PP",Response_Q178_3,"&lt;&gt;0",Response_Q178_4,DA$63,Response_Q173_7,"&lt;&gt;0")</f>
        <v>0</v>
      </c>
      <c r="DB92" s="27">
        <f t="shared" si="48"/>
        <v>0</v>
      </c>
      <c r="DC92" s="27">
        <f t="shared" si="48"/>
        <v>0</v>
      </c>
      <c r="DD92" s="27">
        <f t="shared" si="48"/>
        <v>0</v>
      </c>
      <c r="DE92" s="27">
        <f t="shared" si="48"/>
        <v>0</v>
      </c>
      <c r="DF92" s="27">
        <f t="shared" si="48"/>
        <v>0</v>
      </c>
      <c r="DG92" s="141" t="str">
        <f t="shared" si="46"/>
        <v>Factor not ranked</v>
      </c>
      <c r="DH92" s="14"/>
      <c r="DI92" s="47"/>
      <c r="DJ92" s="14"/>
      <c r="DK92" s="56"/>
      <c r="DL92" s="29"/>
      <c r="DM92" s="59"/>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row>
    <row r="93" spans="1:142" ht="14.4" x14ac:dyDescent="0.25">
      <c r="A93" s="14"/>
      <c r="B93" s="62"/>
      <c r="C93" s="19"/>
      <c r="D93" s="59"/>
      <c r="E93" s="14"/>
      <c r="F93" s="14"/>
      <c r="G93" s="14"/>
      <c r="H93" s="21"/>
      <c r="I93" s="21"/>
      <c r="J93" s="14"/>
      <c r="K93" s="14"/>
      <c r="L93" s="14"/>
      <c r="M93" s="14"/>
      <c r="N93" s="14"/>
      <c r="O93" s="14"/>
      <c r="P93" s="14"/>
      <c r="Q93" s="47"/>
      <c r="R93" s="19"/>
      <c r="S93" s="61"/>
      <c r="T93" s="19"/>
      <c r="U93" s="59"/>
      <c r="V93" s="14"/>
      <c r="W93" s="14"/>
      <c r="X93" s="14"/>
      <c r="Y93" s="14"/>
      <c r="Z93" s="13"/>
      <c r="AA93" s="30"/>
      <c r="AB93" s="30"/>
      <c r="AC93" s="30"/>
      <c r="AD93" s="65"/>
      <c r="AE93" s="63"/>
      <c r="AF93" s="47"/>
      <c r="AG93" s="19"/>
      <c r="AH93" s="61"/>
      <c r="AI93" s="19"/>
      <c r="AJ93" s="59"/>
      <c r="AK93" s="14"/>
      <c r="AL93" s="14"/>
      <c r="AM93" s="14"/>
      <c r="AN93" s="14"/>
      <c r="AO93" s="13"/>
      <c r="AP93" s="30"/>
      <c r="AQ93" s="30"/>
      <c r="AR93" s="30"/>
      <c r="AS93" s="65"/>
      <c r="AT93" s="63"/>
      <c r="AU93" s="47"/>
      <c r="AV93" s="14"/>
      <c r="AW93" s="61"/>
      <c r="AX93" s="19"/>
      <c r="AY93" s="59"/>
      <c r="AZ93" s="14"/>
      <c r="BA93" s="14"/>
      <c r="BB93" s="14"/>
      <c r="BC93" s="14"/>
      <c r="BD93" s="13"/>
      <c r="BE93" s="30"/>
      <c r="BF93" s="30"/>
      <c r="BG93" s="30"/>
      <c r="BH93" s="65"/>
      <c r="BI93" s="63"/>
      <c r="BJ93" s="352"/>
      <c r="BK93" s="19"/>
      <c r="BL93" s="61"/>
      <c r="BM93" s="19"/>
      <c r="BN93" s="59"/>
      <c r="BO93" s="14"/>
      <c r="BP93" s="14"/>
      <c r="BQ93" s="14"/>
      <c r="BR93" s="14"/>
      <c r="BS93" s="13"/>
      <c r="BT93" s="30"/>
      <c r="BU93" s="30"/>
      <c r="BV93" s="30"/>
      <c r="BW93" s="65"/>
      <c r="BX93" s="63"/>
      <c r="BY93" s="352"/>
      <c r="BZ93" s="14"/>
      <c r="CA93" s="140" t="s">
        <v>146</v>
      </c>
      <c r="CB93" s="27">
        <f>COUNTIFS(S30_stakeholder_category,"PP",Response_Q177_5,"&lt;&gt;0",Response_Q173_7,"&lt;&gt;0")</f>
        <v>0</v>
      </c>
      <c r="CC93" s="37">
        <f>COUNTIFS(S30_stakeholder_category,"PP",Response_Q177_5,1,Response_Q173_7,"&lt;&gt;0")</f>
        <v>0</v>
      </c>
      <c r="CD93" s="37">
        <f>COUNTIFS(S30_stakeholder_category,"PP",Response_Q177_5,2,Response_Q173_7,"&lt;&gt;0")</f>
        <v>0</v>
      </c>
      <c r="CE93" s="37">
        <f>COUNTIFS(S30_stakeholder_category,"PP",Response_Q177_5,3,Response_Q173_7,"&lt;&gt;0")</f>
        <v>0</v>
      </c>
      <c r="CF93" s="97">
        <f t="shared" si="42"/>
        <v>0</v>
      </c>
      <c r="CG93" s="14"/>
      <c r="CH93" s="140" t="s">
        <v>146</v>
      </c>
      <c r="CI93" s="27">
        <f t="shared" ref="CI93:CN93" si="49">COUNTIFS(S30_stakeholder_category,"PP",Response_Q177_5,"&lt;&gt;0",Response_Q177_6,CI$63,Response_Q173_7,"&lt;&gt;0")</f>
        <v>0</v>
      </c>
      <c r="CJ93" s="27">
        <f t="shared" si="49"/>
        <v>0</v>
      </c>
      <c r="CK93" s="27">
        <f t="shared" si="49"/>
        <v>0</v>
      </c>
      <c r="CL93" s="27">
        <f t="shared" si="49"/>
        <v>0</v>
      </c>
      <c r="CM93" s="27">
        <f t="shared" si="49"/>
        <v>0</v>
      </c>
      <c r="CN93" s="27">
        <f t="shared" si="49"/>
        <v>0</v>
      </c>
      <c r="CO93" s="141" t="str">
        <f t="shared" si="44"/>
        <v>Factor not ranked</v>
      </c>
      <c r="CP93" s="14"/>
      <c r="CQ93" s="47"/>
      <c r="CR93" s="14"/>
      <c r="CS93" s="106" t="s">
        <v>339</v>
      </c>
      <c r="CT93" s="27">
        <f>COUNTIFS(S30_stakeholder_category,"PP",Response_Q178_5,"&lt;&gt;0",Response_Q173_7,"&lt;&gt;0")</f>
        <v>0</v>
      </c>
      <c r="CU93" s="37">
        <f>COUNTIFS(S30_stakeholder_category,"PP",Response_Q178_5,1,Response_Q173_7,"&lt;&gt;0")</f>
        <v>0</v>
      </c>
      <c r="CV93" s="37">
        <f>COUNTIFS(S30_stakeholder_category,"PP",Response_Q178_5,2,Response_Q173_7,"&lt;&gt;0")</f>
        <v>0</v>
      </c>
      <c r="CW93" s="37">
        <f>COUNTIFS(S30_stakeholder_category,"PP",Response_Q178_5,3,Response_Q173_7,"&lt;&gt;0")</f>
        <v>0</v>
      </c>
      <c r="CX93" s="37">
        <f>IF(CT85=0,0,SUMPRODUCT(CU93:CW93,Rank_score)/CT$58)</f>
        <v>0</v>
      </c>
      <c r="CY93" s="14"/>
      <c r="CZ93" s="106" t="s">
        <v>339</v>
      </c>
      <c r="DA93" s="27">
        <f t="shared" ref="DA93:DF93" si="50">COUNTIFS(S30_stakeholder_category,"PP",Response_Q178_5,"&lt;&gt;0",Response_Q178_6,DA$63,Response_Q173_7,"&lt;&gt;0")</f>
        <v>0</v>
      </c>
      <c r="DB93" s="27">
        <f t="shared" si="50"/>
        <v>0</v>
      </c>
      <c r="DC93" s="27">
        <f t="shared" si="50"/>
        <v>0</v>
      </c>
      <c r="DD93" s="27">
        <f t="shared" si="50"/>
        <v>0</v>
      </c>
      <c r="DE93" s="27">
        <f t="shared" si="50"/>
        <v>0</v>
      </c>
      <c r="DF93" s="27">
        <f t="shared" si="50"/>
        <v>0</v>
      </c>
      <c r="DG93" s="141" t="str">
        <f t="shared" si="46"/>
        <v>Factor not ranked</v>
      </c>
      <c r="DH93" s="14"/>
      <c r="DI93" s="47"/>
      <c r="DJ93" s="14"/>
      <c r="DK93" s="56"/>
      <c r="DL93" s="19"/>
      <c r="DM93" s="59"/>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row>
    <row r="94" spans="1:142" x14ac:dyDescent="0.25">
      <c r="A94" s="14"/>
      <c r="B94" s="19"/>
      <c r="C94" s="19"/>
      <c r="D94" s="59"/>
      <c r="E94" s="14"/>
      <c r="F94" s="14"/>
      <c r="G94" s="14"/>
      <c r="H94" s="21"/>
      <c r="I94" s="21"/>
      <c r="J94" s="14"/>
      <c r="K94" s="14"/>
      <c r="L94" s="14"/>
      <c r="M94" s="14"/>
      <c r="N94" s="14"/>
      <c r="O94" s="14"/>
      <c r="P94" s="14"/>
      <c r="Q94" s="47"/>
      <c r="R94" s="19"/>
      <c r="S94" s="62"/>
      <c r="T94" s="19"/>
      <c r="U94" s="59"/>
      <c r="V94" s="14"/>
      <c r="W94" s="14"/>
      <c r="X94" s="14"/>
      <c r="Y94" s="14"/>
      <c r="Z94" s="14"/>
      <c r="AA94" s="14"/>
      <c r="AB94" s="14"/>
      <c r="AC94" s="14"/>
      <c r="AD94" s="65"/>
      <c r="AE94" s="63"/>
      <c r="AF94" s="47"/>
      <c r="AG94" s="19"/>
      <c r="AH94" s="62"/>
      <c r="AI94" s="19"/>
      <c r="AJ94" s="59"/>
      <c r="AK94" s="14"/>
      <c r="AL94" s="14"/>
      <c r="AM94" s="14"/>
      <c r="AN94" s="14"/>
      <c r="AO94" s="14"/>
      <c r="AP94" s="14"/>
      <c r="AQ94" s="14"/>
      <c r="AR94" s="14"/>
      <c r="AS94" s="65"/>
      <c r="AT94" s="63"/>
      <c r="AU94" s="47"/>
      <c r="AV94" s="14"/>
      <c r="AW94" s="62"/>
      <c r="AX94" s="19"/>
      <c r="AY94" s="59"/>
      <c r="AZ94" s="14"/>
      <c r="BA94" s="14"/>
      <c r="BB94" s="14"/>
      <c r="BC94" s="14"/>
      <c r="BD94" s="14"/>
      <c r="BE94" s="14"/>
      <c r="BF94" s="14"/>
      <c r="BG94" s="14"/>
      <c r="BH94" s="65"/>
      <c r="BI94" s="63"/>
      <c r="BJ94" s="352"/>
      <c r="BK94" s="19"/>
      <c r="BL94" s="62"/>
      <c r="BM94" s="19"/>
      <c r="BN94" s="59"/>
      <c r="BO94" s="14"/>
      <c r="BP94" s="14"/>
      <c r="BQ94" s="14"/>
      <c r="BR94" s="14"/>
      <c r="BS94" s="14"/>
      <c r="BT94" s="14"/>
      <c r="BU94" s="14"/>
      <c r="BV94" s="14"/>
      <c r="BW94" s="65"/>
      <c r="BX94" s="63"/>
      <c r="BY94" s="352"/>
      <c r="BZ94" s="14"/>
      <c r="CA94" s="140" t="s">
        <v>147</v>
      </c>
      <c r="CB94" s="27">
        <f>COUNTIFS(S30_stakeholder_category,"PP",Response_Q177_7,"&lt;&gt;0",Response_Q173_7,"&lt;&gt;0")</f>
        <v>0</v>
      </c>
      <c r="CC94" s="37">
        <f>COUNTIFS(S30_stakeholder_category,"PP",Response_Q177_7,1,Response_Q173_7,"&lt;&gt;0")</f>
        <v>0</v>
      </c>
      <c r="CD94" s="37">
        <f>COUNTIFS(S30_stakeholder_category,"PP",Response_Q177_7,2,Response_Q173_7,"&lt;&gt;0")</f>
        <v>0</v>
      </c>
      <c r="CE94" s="37">
        <f>COUNTIFS(S30_stakeholder_category,"PP",Response_Q177_7,3,Response_Q173_7,"&lt;&gt;0")</f>
        <v>0</v>
      </c>
      <c r="CF94" s="97">
        <f t="shared" si="42"/>
        <v>0</v>
      </c>
      <c r="CG94" s="14"/>
      <c r="CH94" s="140" t="s">
        <v>147</v>
      </c>
      <c r="CI94" s="27">
        <f t="shared" ref="CI94:CN94" si="51">COUNTIFS(S30_stakeholder_category,"PP",Response_Q177_7,"&lt;&gt;0",Response_Q177_8,CI$63,Response_Q173_7,"&lt;&gt;0")</f>
        <v>0</v>
      </c>
      <c r="CJ94" s="27">
        <f t="shared" si="51"/>
        <v>0</v>
      </c>
      <c r="CK94" s="27">
        <f t="shared" si="51"/>
        <v>0</v>
      </c>
      <c r="CL94" s="27">
        <f t="shared" si="51"/>
        <v>0</v>
      </c>
      <c r="CM94" s="27">
        <f t="shared" si="51"/>
        <v>0</v>
      </c>
      <c r="CN94" s="27">
        <f t="shared" si="51"/>
        <v>0</v>
      </c>
      <c r="CO94" s="141" t="str">
        <f t="shared" si="44"/>
        <v>Factor not ranked</v>
      </c>
      <c r="CP94" s="14"/>
      <c r="CQ94" s="47"/>
      <c r="CR94" s="14"/>
      <c r="CS94" s="106" t="s">
        <v>345</v>
      </c>
      <c r="CT94" s="27">
        <f>COUNTIFS(S30_stakeholder_category,"PP",Response_Q178_7,"&lt;&gt;0",Response_Q173_7,"&lt;&gt;0")</f>
        <v>0</v>
      </c>
      <c r="CU94" s="37">
        <f>COUNTIFS(S30_stakeholder_category,"PP",Response_Q178_7,1,Response_Q173_7,"&lt;&gt;0")</f>
        <v>0</v>
      </c>
      <c r="CV94" s="37">
        <f>COUNTIFS(S30_stakeholder_category,"PP",Response_Q178_7,2,Response_Q173_7,"&lt;&gt;0")</f>
        <v>0</v>
      </c>
      <c r="CW94" s="37">
        <f>COUNTIFS(S30_stakeholder_category,"PP",Response_Q178_7,3,Response_Q173_7,"&lt;&gt;0")</f>
        <v>0</v>
      </c>
      <c r="CX94" s="37">
        <f>IF(CT85=0,0,SUMPRODUCT(CU94:CW94,Rank_score)/CT$58)</f>
        <v>0</v>
      </c>
      <c r="CY94" s="14"/>
      <c r="CZ94" s="106" t="s">
        <v>345</v>
      </c>
      <c r="DA94" s="27">
        <f t="shared" ref="DA94:DF94" si="52">COUNTIFS(S30_stakeholder_category,"PP",Response_Q178_7,"&lt;&gt;0",Response_Q178_8,DA$63,Response_Q173_7,"&lt;&gt;0")</f>
        <v>0</v>
      </c>
      <c r="DB94" s="27">
        <f t="shared" si="52"/>
        <v>0</v>
      </c>
      <c r="DC94" s="27">
        <f t="shared" si="52"/>
        <v>0</v>
      </c>
      <c r="DD94" s="27">
        <f t="shared" si="52"/>
        <v>0</v>
      </c>
      <c r="DE94" s="27">
        <f t="shared" si="52"/>
        <v>0</v>
      </c>
      <c r="DF94" s="27">
        <f t="shared" si="52"/>
        <v>0</v>
      </c>
      <c r="DG94" s="141" t="str">
        <f t="shared" si="46"/>
        <v>Factor not ranked</v>
      </c>
      <c r="DH94" s="14"/>
      <c r="DI94" s="47"/>
      <c r="DJ94" s="14"/>
      <c r="DK94" s="14"/>
      <c r="DL94" s="19"/>
      <c r="DM94" s="59"/>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row>
    <row r="95" spans="1:142" x14ac:dyDescent="0.25">
      <c r="A95" s="14"/>
      <c r="B95" s="19"/>
      <c r="C95" s="19"/>
      <c r="D95" s="59"/>
      <c r="E95" s="14"/>
      <c r="F95" s="14"/>
      <c r="G95" s="14"/>
      <c r="H95" s="21"/>
      <c r="I95" s="21"/>
      <c r="J95" s="14"/>
      <c r="K95" s="14"/>
      <c r="L95" s="14"/>
      <c r="M95" s="14"/>
      <c r="N95" s="14"/>
      <c r="O95" s="14"/>
      <c r="P95" s="14"/>
      <c r="Q95" s="47"/>
      <c r="R95" s="19"/>
      <c r="S95" s="62"/>
      <c r="T95" s="19"/>
      <c r="U95" s="59"/>
      <c r="V95" s="14"/>
      <c r="W95" s="14"/>
      <c r="X95" s="14"/>
      <c r="Y95" s="14"/>
      <c r="Z95" s="14"/>
      <c r="AA95" s="14"/>
      <c r="AB95" s="14"/>
      <c r="AC95" s="14"/>
      <c r="AD95" s="65"/>
      <c r="AE95" s="63"/>
      <c r="AF95" s="47"/>
      <c r="AG95" s="19"/>
      <c r="AH95" s="62"/>
      <c r="AI95" s="19"/>
      <c r="AJ95" s="59"/>
      <c r="AK95" s="14"/>
      <c r="AL95" s="14"/>
      <c r="AM95" s="14"/>
      <c r="AN95" s="14"/>
      <c r="AO95" s="14"/>
      <c r="AP95" s="14"/>
      <c r="AQ95" s="14"/>
      <c r="AR95" s="14"/>
      <c r="AS95" s="65"/>
      <c r="AT95" s="63"/>
      <c r="AU95" s="47"/>
      <c r="AV95" s="14"/>
      <c r="AW95" s="62"/>
      <c r="AX95" s="19"/>
      <c r="AY95" s="59"/>
      <c r="AZ95" s="14"/>
      <c r="BA95" s="14"/>
      <c r="BB95" s="14"/>
      <c r="BC95" s="14"/>
      <c r="BD95" s="14"/>
      <c r="BE95" s="14"/>
      <c r="BF95" s="14"/>
      <c r="BG95" s="14"/>
      <c r="BH95" s="65"/>
      <c r="BI95" s="63"/>
      <c r="BJ95" s="352"/>
      <c r="BK95" s="19"/>
      <c r="BL95" s="62"/>
      <c r="BM95" s="19"/>
      <c r="BN95" s="59"/>
      <c r="BO95" s="14"/>
      <c r="BP95" s="14"/>
      <c r="BQ95" s="14"/>
      <c r="BR95" s="14"/>
      <c r="BS95" s="14"/>
      <c r="BT95" s="14"/>
      <c r="BU95" s="14"/>
      <c r="BV95" s="14"/>
      <c r="BW95" s="65"/>
      <c r="BX95" s="63"/>
      <c r="BY95" s="352"/>
      <c r="BZ95" s="14"/>
      <c r="CA95" s="140" t="s">
        <v>341</v>
      </c>
      <c r="CB95" s="27">
        <f>COUNTIFS(S30_stakeholder_category,"PP",Response_Q177_9,"&lt;&gt;0",Response_Q173_7,"&lt;&gt;0")</f>
        <v>0</v>
      </c>
      <c r="CC95" s="37">
        <f>COUNTIFS(S30_stakeholder_category,"PP",Response_Q177_9,1,Response_Q173_7,"&lt;&gt;0")</f>
        <v>0</v>
      </c>
      <c r="CD95" s="37">
        <f>COUNTIFS(S30_stakeholder_category,"PP",Response_Q177_9,2,Response_Q173_7,"&lt;&gt;0")</f>
        <v>0</v>
      </c>
      <c r="CE95" s="37">
        <f>COUNTIFS(S30_stakeholder_category,"PP",Response_Q177_9,3,Response_Q173_7,"&lt;&gt;0")</f>
        <v>0</v>
      </c>
      <c r="CF95" s="97">
        <f t="shared" si="42"/>
        <v>0</v>
      </c>
      <c r="CG95" s="14"/>
      <c r="CH95" s="140" t="s">
        <v>341</v>
      </c>
      <c r="CI95" s="27">
        <f t="shared" ref="CI95:CN95" si="53">COUNTIFS(S30_stakeholder_category,"PP",Response_Q177_9,"&lt;&gt;0",Response_Q177_10,CI$63,Response_Q173_7,"&lt;&gt;0")</f>
        <v>0</v>
      </c>
      <c r="CJ95" s="27">
        <f t="shared" si="53"/>
        <v>0</v>
      </c>
      <c r="CK95" s="27">
        <f t="shared" si="53"/>
        <v>0</v>
      </c>
      <c r="CL95" s="27">
        <f t="shared" si="53"/>
        <v>0</v>
      </c>
      <c r="CM95" s="27">
        <f t="shared" si="53"/>
        <v>0</v>
      </c>
      <c r="CN95" s="27">
        <f t="shared" si="53"/>
        <v>0</v>
      </c>
      <c r="CO95" s="141" t="str">
        <f t="shared" si="44"/>
        <v>Factor not ranked</v>
      </c>
      <c r="CP95" s="14"/>
      <c r="CQ95" s="47"/>
      <c r="CR95" s="14"/>
      <c r="CS95" s="106" t="s">
        <v>561</v>
      </c>
      <c r="CT95" s="27">
        <f>COUNTIFS(S30_stakeholder_category,"PP",Response_Q178_9,"&lt;&gt;0",Response_Q173_7,"&lt;&gt;0")</f>
        <v>0</v>
      </c>
      <c r="CU95" s="37">
        <f>COUNTIFS(S30_stakeholder_category,"PP",Response_Q178_9,1,Response_Q173_7,"&lt;&gt;0")</f>
        <v>0</v>
      </c>
      <c r="CV95" s="37">
        <f>COUNTIFS(S30_stakeholder_category,"PP",Response_Q178_9,2,Response_Q173_7,"&lt;&gt;0")</f>
        <v>0</v>
      </c>
      <c r="CW95" s="37">
        <f>COUNTIFS(S30_stakeholder_category,"PP",Response_Q178_9,3,Response_Q173_7,"&lt;&gt;0")</f>
        <v>0</v>
      </c>
      <c r="CX95" s="37">
        <f>IF(CT85=0,0,SUMPRODUCT(CU95:CW95,Rank_score)/CT$58)</f>
        <v>0</v>
      </c>
      <c r="CY95" s="14"/>
      <c r="CZ95" s="106" t="s">
        <v>561</v>
      </c>
      <c r="DA95" s="27">
        <f t="shared" ref="DA95:DF95" si="54">COUNTIFS(S30_stakeholder_category,"PP",Response_Q178_9,"&lt;&gt;0",Response_Q178_10,DA$63,Response_Q173_7,"&lt;&gt;0")</f>
        <v>0</v>
      </c>
      <c r="DB95" s="27">
        <f t="shared" si="54"/>
        <v>0</v>
      </c>
      <c r="DC95" s="27">
        <f t="shared" si="54"/>
        <v>0</v>
      </c>
      <c r="DD95" s="27">
        <f t="shared" si="54"/>
        <v>0</v>
      </c>
      <c r="DE95" s="27">
        <f t="shared" si="54"/>
        <v>0</v>
      </c>
      <c r="DF95" s="27">
        <f t="shared" si="54"/>
        <v>0</v>
      </c>
      <c r="DG95" s="141" t="str">
        <f t="shared" si="46"/>
        <v>Factor not ranked</v>
      </c>
      <c r="DH95" s="14"/>
      <c r="DI95" s="47"/>
      <c r="DJ95" s="14"/>
      <c r="DK95" s="14"/>
      <c r="DL95" s="19"/>
      <c r="DM95" s="59"/>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row>
    <row r="96" spans="1:142" x14ac:dyDescent="0.25">
      <c r="A96" s="14"/>
      <c r="B96" s="56"/>
      <c r="C96" s="29"/>
      <c r="D96" s="59"/>
      <c r="E96" s="14"/>
      <c r="F96" s="14"/>
      <c r="G96" s="14"/>
      <c r="H96" s="21"/>
      <c r="I96" s="21"/>
      <c r="J96" s="14"/>
      <c r="K96" s="14"/>
      <c r="L96" s="14"/>
      <c r="M96" s="14"/>
      <c r="N96" s="14"/>
      <c r="O96" s="14"/>
      <c r="P96" s="14"/>
      <c r="Q96" s="47"/>
      <c r="R96" s="19"/>
      <c r="S96" s="19"/>
      <c r="T96" s="19"/>
      <c r="U96" s="59"/>
      <c r="V96" s="14"/>
      <c r="W96" s="14"/>
      <c r="X96" s="14"/>
      <c r="Y96" s="14"/>
      <c r="Z96" s="14"/>
      <c r="AA96" s="14"/>
      <c r="AB96" s="14"/>
      <c r="AC96" s="14"/>
      <c r="AD96" s="65"/>
      <c r="AE96" s="63"/>
      <c r="AF96" s="47"/>
      <c r="AG96" s="19"/>
      <c r="AH96" s="19"/>
      <c r="AI96" s="19"/>
      <c r="AJ96" s="59"/>
      <c r="AK96" s="14"/>
      <c r="AL96" s="14"/>
      <c r="AM96" s="14"/>
      <c r="AN96" s="14"/>
      <c r="AO96" s="14"/>
      <c r="AP96" s="14"/>
      <c r="AQ96" s="14"/>
      <c r="AR96" s="14"/>
      <c r="AS96" s="65"/>
      <c r="AT96" s="63"/>
      <c r="AU96" s="47"/>
      <c r="AV96" s="14"/>
      <c r="AW96" s="19"/>
      <c r="AX96" s="19"/>
      <c r="AY96" s="59"/>
      <c r="AZ96" s="14"/>
      <c r="BA96" s="14"/>
      <c r="BB96" s="14"/>
      <c r="BC96" s="14"/>
      <c r="BD96" s="14"/>
      <c r="BE96" s="14"/>
      <c r="BF96" s="14"/>
      <c r="BG96" s="14"/>
      <c r="BH96" s="65"/>
      <c r="BI96" s="63"/>
      <c r="BJ96" s="352"/>
      <c r="BK96" s="19"/>
      <c r="BL96" s="19"/>
      <c r="BM96" s="19"/>
      <c r="BN96" s="59"/>
      <c r="BO96" s="14"/>
      <c r="BP96" s="14"/>
      <c r="BQ96" s="14"/>
      <c r="BR96" s="14"/>
      <c r="BS96" s="14"/>
      <c r="BT96" s="14"/>
      <c r="BU96" s="14"/>
      <c r="BV96" s="14"/>
      <c r="BW96" s="65"/>
      <c r="BX96" s="63"/>
      <c r="BY96" s="352"/>
      <c r="BZ96" s="14"/>
      <c r="CA96" s="106" t="s">
        <v>148</v>
      </c>
      <c r="CB96" s="27">
        <f>COUNTIFS(S30_stakeholder_category,"PP",Response_Q177_11,"&lt;&gt;0",Response_Q173_7,"&lt;&gt;0")</f>
        <v>0</v>
      </c>
      <c r="CC96" s="37">
        <f>COUNTIFS(S30_stakeholder_category,"PP",Response_Q177_11,1,Response_Q173_7,"&lt;&gt;0")</f>
        <v>0</v>
      </c>
      <c r="CD96" s="37">
        <f>COUNTIFS(S30_stakeholder_category,"PP",Response_Q177_11,2,Response_Q173_7,"&lt;&gt;0")</f>
        <v>0</v>
      </c>
      <c r="CE96" s="37">
        <f>COUNTIFS(S30_stakeholder_category,"PP",Response_Q177_11,3,Response_Q173_7,"&lt;&gt;0")</f>
        <v>0</v>
      </c>
      <c r="CF96" s="97">
        <f t="shared" si="42"/>
        <v>0</v>
      </c>
      <c r="CG96" s="43"/>
      <c r="CH96" s="106" t="s">
        <v>148</v>
      </c>
      <c r="CI96" s="27">
        <f t="shared" ref="CI96:CN96" si="55">COUNTIFS(S30_stakeholder_category,"PP",Response_Q177_11,"&lt;&gt;0",Response_Q177_12,CI$63,Response_Q173_7,"&lt;&gt;0")</f>
        <v>0</v>
      </c>
      <c r="CJ96" s="27">
        <f t="shared" si="55"/>
        <v>0</v>
      </c>
      <c r="CK96" s="27">
        <f t="shared" si="55"/>
        <v>0</v>
      </c>
      <c r="CL96" s="27">
        <f t="shared" si="55"/>
        <v>0</v>
      </c>
      <c r="CM96" s="27">
        <f t="shared" si="55"/>
        <v>0</v>
      </c>
      <c r="CN96" s="27">
        <f t="shared" si="55"/>
        <v>0</v>
      </c>
      <c r="CO96" s="141" t="str">
        <f t="shared" si="44"/>
        <v>Factor not ranked</v>
      </c>
      <c r="CP96" s="14"/>
      <c r="CQ96" s="47"/>
      <c r="CR96" s="14"/>
      <c r="CS96" s="106" t="s">
        <v>49</v>
      </c>
      <c r="CT96" s="27">
        <f>COUNTIFS(S30_stakeholder_category,"PP",Response_Q178_11,"&lt;&gt;0",Response_Q173_7,"&lt;&gt;0")</f>
        <v>0</v>
      </c>
      <c r="CU96" s="37">
        <f>COUNTIFS(S30_stakeholder_category,"PP",Response_Q178_11,1,Response_Q173_7,"&lt;&gt;0")</f>
        <v>0</v>
      </c>
      <c r="CV96" s="37">
        <f>COUNTIFS(S30_stakeholder_category,"PP",Response_Q178_11,2,Response_Q173_7,"&lt;&gt;0")</f>
        <v>0</v>
      </c>
      <c r="CW96" s="37">
        <f>COUNTIFS(S30_stakeholder_category,"PP",Response_Q178_11,3,Response_Q173_7,"&lt;&gt;0")</f>
        <v>0</v>
      </c>
      <c r="CX96" s="37">
        <f>IF(CT85=0,0,SUMPRODUCT(CU96:CW96,Rank_score)/CT$58)</f>
        <v>0</v>
      </c>
      <c r="CY96" s="43"/>
      <c r="CZ96" s="106" t="s">
        <v>49</v>
      </c>
      <c r="DA96" s="27">
        <f t="shared" ref="DA96:DF96" si="56">COUNTIFS(S30_stakeholder_category,"PP",Response_Q178_11,"&lt;&gt;0",Response_Q178_12,DA$63,Response_Q173_7,"&lt;&gt;0")</f>
        <v>0</v>
      </c>
      <c r="DB96" s="27">
        <f t="shared" si="56"/>
        <v>0</v>
      </c>
      <c r="DC96" s="27">
        <f t="shared" si="56"/>
        <v>0</v>
      </c>
      <c r="DD96" s="27">
        <f t="shared" si="56"/>
        <v>0</v>
      </c>
      <c r="DE96" s="27">
        <f t="shared" si="56"/>
        <v>0</v>
      </c>
      <c r="DF96" s="27">
        <f t="shared" si="56"/>
        <v>0</v>
      </c>
      <c r="DG96" s="141" t="str">
        <f t="shared" si="46"/>
        <v>Factor not ranked</v>
      </c>
      <c r="DH96" s="14"/>
      <c r="DI96" s="47"/>
      <c r="DJ96" s="14"/>
      <c r="DK96" s="14"/>
      <c r="DL96" s="19"/>
      <c r="DM96" s="59"/>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row>
    <row r="97" spans="1:142" x14ac:dyDescent="0.25">
      <c r="A97" s="14"/>
      <c r="B97" s="56"/>
      <c r="C97" s="19"/>
      <c r="D97" s="59"/>
      <c r="E97" s="14"/>
      <c r="F97" s="14"/>
      <c r="G97" s="14"/>
      <c r="H97" s="21"/>
      <c r="I97" s="21"/>
      <c r="J97" s="14"/>
      <c r="K97" s="14"/>
      <c r="L97" s="14"/>
      <c r="M97" s="14"/>
      <c r="N97" s="14"/>
      <c r="O97" s="14"/>
      <c r="P97" s="14"/>
      <c r="Q97" s="47"/>
      <c r="R97" s="19"/>
      <c r="S97" s="19"/>
      <c r="T97" s="19"/>
      <c r="U97" s="59"/>
      <c r="V97" s="14"/>
      <c r="W97" s="14"/>
      <c r="X97" s="14"/>
      <c r="Y97" s="14"/>
      <c r="Z97" s="14"/>
      <c r="AA97" s="14"/>
      <c r="AB97" s="14"/>
      <c r="AC97" s="14"/>
      <c r="AD97" s="65"/>
      <c r="AE97" s="63"/>
      <c r="AF97" s="47"/>
      <c r="AG97" s="19"/>
      <c r="AH97" s="19"/>
      <c r="AI97" s="19"/>
      <c r="AJ97" s="59"/>
      <c r="AK97" s="14"/>
      <c r="AL97" s="14"/>
      <c r="AM97" s="14"/>
      <c r="AN97" s="14"/>
      <c r="AO97" s="14"/>
      <c r="AP97" s="14"/>
      <c r="AQ97" s="14"/>
      <c r="AR97" s="14"/>
      <c r="AS97" s="65"/>
      <c r="AT97" s="63"/>
      <c r="AU97" s="47"/>
      <c r="AV97" s="14"/>
      <c r="AW97" s="19"/>
      <c r="AX97" s="19"/>
      <c r="AY97" s="59"/>
      <c r="AZ97" s="14"/>
      <c r="BA97" s="14"/>
      <c r="BB97" s="14"/>
      <c r="BC97" s="14"/>
      <c r="BD97" s="14"/>
      <c r="BE97" s="14"/>
      <c r="BF97" s="14"/>
      <c r="BG97" s="14"/>
      <c r="BH97" s="65"/>
      <c r="BI97" s="63"/>
      <c r="BJ97" s="352"/>
      <c r="BK97" s="19"/>
      <c r="BL97" s="19"/>
      <c r="BM97" s="19"/>
      <c r="BN97" s="59"/>
      <c r="BO97" s="14"/>
      <c r="BP97" s="14"/>
      <c r="BQ97" s="14"/>
      <c r="BR97" s="14"/>
      <c r="BS97" s="14"/>
      <c r="BT97" s="14"/>
      <c r="BU97" s="14"/>
      <c r="BV97" s="14"/>
      <c r="BW97" s="65"/>
      <c r="BX97" s="63"/>
      <c r="BY97" s="352"/>
      <c r="BZ97" s="14"/>
      <c r="CA97" s="107" t="s">
        <v>49</v>
      </c>
      <c r="CB97" s="27">
        <f>COUNTIFS(S30_stakeholder_category,"PP",Response_Q177_13,"&lt;&gt;0",Response_Q173_7,"&lt;&gt;0")</f>
        <v>0</v>
      </c>
      <c r="CC97" s="37">
        <f>COUNTIFS(S30_stakeholder_category,"PP",Response_Q177_13,1,Response_Q173_7,"&lt;&gt;0")</f>
        <v>0</v>
      </c>
      <c r="CD97" s="37">
        <f>COUNTIFS(S30_stakeholder_category,"PP",Response_Q177_13,2,Response_Q173_7,"&lt;&gt;0")</f>
        <v>0</v>
      </c>
      <c r="CE97" s="37">
        <f>COUNTIFS(S30_stakeholder_category,"PP",Response_Q177_13,3,Response_Q173_7,"&lt;&gt;0")</f>
        <v>0</v>
      </c>
      <c r="CF97" s="97">
        <f t="shared" si="42"/>
        <v>0</v>
      </c>
      <c r="CG97" s="29"/>
      <c r="CH97" s="107" t="s">
        <v>49</v>
      </c>
      <c r="CI97" s="27">
        <f t="shared" ref="CI97:CN97" si="57">COUNTIFS(S30_stakeholder_category,"PP",Response_Q177_13,"&lt;&gt;0",Response_Q177_14,CI$63,Response_Q173_7,"&lt;&gt;0")</f>
        <v>0</v>
      </c>
      <c r="CJ97" s="27">
        <f t="shared" si="57"/>
        <v>0</v>
      </c>
      <c r="CK97" s="27">
        <f t="shared" si="57"/>
        <v>0</v>
      </c>
      <c r="CL97" s="27">
        <f t="shared" si="57"/>
        <v>0</v>
      </c>
      <c r="CM97" s="27">
        <f t="shared" si="57"/>
        <v>0</v>
      </c>
      <c r="CN97" s="27">
        <f t="shared" si="57"/>
        <v>0</v>
      </c>
      <c r="CO97" s="141" t="str">
        <f t="shared" si="44"/>
        <v>Factor not ranked</v>
      </c>
      <c r="CP97" s="14"/>
      <c r="CQ97" s="47"/>
      <c r="CR97" s="14"/>
      <c r="CS97" s="107"/>
      <c r="CT97" s="27"/>
      <c r="CU97" s="37"/>
      <c r="CV97" s="37"/>
      <c r="CW97" s="37"/>
      <c r="CX97" s="37"/>
      <c r="CY97" s="29"/>
      <c r="CZ97" s="106"/>
      <c r="DA97" s="27"/>
      <c r="DB97" s="27"/>
      <c r="DC97" s="27"/>
      <c r="DD97" s="27"/>
      <c r="DE97" s="27"/>
      <c r="DF97" s="27"/>
      <c r="DG97" s="141" t="str">
        <f t="shared" si="46"/>
        <v/>
      </c>
      <c r="DH97" s="14"/>
      <c r="DI97" s="47"/>
      <c r="DJ97" s="14"/>
      <c r="DK97" s="62"/>
      <c r="DL97" s="19"/>
      <c r="DM97" s="59"/>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row>
    <row r="98" spans="1:142" x14ac:dyDescent="0.25">
      <c r="A98" s="14"/>
      <c r="B98" s="19"/>
      <c r="C98" s="19"/>
      <c r="D98" s="59"/>
      <c r="E98" s="14"/>
      <c r="F98" s="14"/>
      <c r="G98" s="109" t="s">
        <v>14</v>
      </c>
      <c r="H98" s="110" t="s">
        <v>6</v>
      </c>
      <c r="I98" s="110" t="s">
        <v>7</v>
      </c>
      <c r="J98" s="14"/>
      <c r="K98" s="14"/>
      <c r="L98" s="14"/>
      <c r="M98" s="14"/>
      <c r="N98" s="14"/>
      <c r="O98" s="14"/>
      <c r="P98" s="14"/>
      <c r="Q98" s="47"/>
      <c r="R98" s="19"/>
      <c r="S98" s="56"/>
      <c r="T98" s="29"/>
      <c r="U98" s="59"/>
      <c r="V98" s="14"/>
      <c r="W98" s="14"/>
      <c r="X98" s="109" t="s">
        <v>14</v>
      </c>
      <c r="Y98" s="110" t="s">
        <v>6</v>
      </c>
      <c r="Z98" s="110" t="s">
        <v>7</v>
      </c>
      <c r="AA98" s="14"/>
      <c r="AB98" s="14"/>
      <c r="AC98" s="14"/>
      <c r="AD98" s="65"/>
      <c r="AE98" s="63"/>
      <c r="AF98" s="47"/>
      <c r="AG98" s="19"/>
      <c r="AH98" s="56"/>
      <c r="AI98" s="29"/>
      <c r="AJ98" s="59"/>
      <c r="AK98" s="14"/>
      <c r="AL98" s="14"/>
      <c r="AM98" s="109" t="s">
        <v>14</v>
      </c>
      <c r="AN98" s="110" t="s">
        <v>6</v>
      </c>
      <c r="AO98" s="110" t="s">
        <v>7</v>
      </c>
      <c r="AP98" s="14"/>
      <c r="AQ98" s="14"/>
      <c r="AR98" s="14"/>
      <c r="AS98" s="65"/>
      <c r="AT98" s="63"/>
      <c r="AU98" s="47"/>
      <c r="AV98" s="14"/>
      <c r="AW98" s="56"/>
      <c r="AX98" s="29"/>
      <c r="AY98" s="59"/>
      <c r="AZ98" s="14"/>
      <c r="BA98" s="14"/>
      <c r="BB98" s="109" t="s">
        <v>14</v>
      </c>
      <c r="BC98" s="110" t="s">
        <v>6</v>
      </c>
      <c r="BD98" s="110" t="s">
        <v>7</v>
      </c>
      <c r="BE98" s="14"/>
      <c r="BF98" s="14"/>
      <c r="BG98" s="14"/>
      <c r="BH98" s="65"/>
      <c r="BI98" s="63"/>
      <c r="BJ98" s="352"/>
      <c r="BK98" s="19"/>
      <c r="BL98" s="56"/>
      <c r="BM98" s="29"/>
      <c r="BN98" s="59"/>
      <c r="BO98" s="14"/>
      <c r="BP98" s="14"/>
      <c r="BQ98" s="109" t="s">
        <v>14</v>
      </c>
      <c r="BR98" s="110" t="s">
        <v>6</v>
      </c>
      <c r="BS98" s="110" t="s">
        <v>7</v>
      </c>
      <c r="BT98" s="14"/>
      <c r="BU98" s="14"/>
      <c r="BV98" s="14"/>
      <c r="BW98" s="65"/>
      <c r="BX98" s="63"/>
      <c r="BY98" s="352"/>
      <c r="BZ98" s="14"/>
      <c r="CA98" s="86"/>
      <c r="CB98" s="111"/>
      <c r="CC98" s="111"/>
      <c r="CD98" s="179"/>
      <c r="CE98" s="179"/>
      <c r="CF98" s="108"/>
      <c r="CG98" s="29"/>
      <c r="CH98" s="109"/>
      <c r="CI98" s="109"/>
      <c r="CJ98" s="109"/>
      <c r="CK98" s="109"/>
      <c r="CL98" s="109"/>
      <c r="CM98" s="109"/>
      <c r="CN98" s="109"/>
      <c r="CO98" s="329"/>
      <c r="CP98" s="14"/>
      <c r="CQ98" s="47"/>
      <c r="CR98" s="14"/>
      <c r="CS98" s="107"/>
      <c r="CT98" s="27"/>
      <c r="CU98" s="37"/>
      <c r="CV98" s="37"/>
      <c r="CW98" s="37"/>
      <c r="CX98" s="37"/>
      <c r="CY98" s="29"/>
      <c r="CZ98" s="106"/>
      <c r="DA98" s="27"/>
      <c r="DB98" s="27"/>
      <c r="DC98" s="27"/>
      <c r="DD98" s="27"/>
      <c r="DE98" s="27"/>
      <c r="DF98" s="27"/>
      <c r="DG98" s="141" t="str">
        <f t="shared" si="46"/>
        <v/>
      </c>
      <c r="DH98" s="14"/>
      <c r="DI98" s="47"/>
      <c r="DJ98" s="14"/>
      <c r="DK98" s="62"/>
      <c r="DL98" s="19"/>
      <c r="DM98" s="59"/>
      <c r="DN98" s="14"/>
      <c r="DO98" s="14"/>
      <c r="DP98" s="109" t="s">
        <v>14</v>
      </c>
      <c r="DQ98" s="110" t="s">
        <v>6</v>
      </c>
      <c r="DR98" s="110" t="s">
        <v>7</v>
      </c>
      <c r="DS98" s="14"/>
      <c r="DT98" s="14"/>
      <c r="DU98" s="14"/>
      <c r="DV98" s="14"/>
      <c r="DW98" s="14"/>
      <c r="DX98" s="14"/>
      <c r="DY98" s="14"/>
      <c r="DZ98" s="14"/>
      <c r="EA98" s="14"/>
      <c r="EB98" s="14"/>
      <c r="EC98" s="14"/>
      <c r="ED98" s="14"/>
      <c r="EE98" s="14"/>
      <c r="EF98" s="14"/>
      <c r="EG98" s="14"/>
      <c r="EH98" s="14"/>
      <c r="EI98" s="14"/>
      <c r="EJ98" s="14"/>
      <c r="EK98" s="14"/>
      <c r="EL98" s="14"/>
    </row>
    <row r="99" spans="1:142" x14ac:dyDescent="0.25">
      <c r="A99" s="14"/>
      <c r="B99" s="19"/>
      <c r="C99" s="19"/>
      <c r="D99" s="59"/>
      <c r="E99" s="14"/>
      <c r="F99" s="14"/>
      <c r="G99" s="107" t="s">
        <v>34</v>
      </c>
      <c r="H99" s="27">
        <f>COUNTIFS(S30_stakeholder_category,"PP",Response_Q173_7,G99)</f>
        <v>0</v>
      </c>
      <c r="I99" s="41" t="str">
        <f>IFERROR(H99/H$104,"")</f>
        <v/>
      </c>
      <c r="J99" s="14"/>
      <c r="K99" s="14"/>
      <c r="L99" s="14"/>
      <c r="M99" s="14"/>
      <c r="N99" s="14"/>
      <c r="O99" s="14"/>
      <c r="P99" s="14"/>
      <c r="Q99" s="47"/>
      <c r="R99" s="19"/>
      <c r="S99" s="56"/>
      <c r="T99" s="19"/>
      <c r="U99" s="59"/>
      <c r="V99" s="14"/>
      <c r="W99" s="14"/>
      <c r="X99" s="107" t="s">
        <v>5</v>
      </c>
      <c r="Y99" s="27">
        <f t="shared" ref="Y99:Y105" si="58">COUNTIFS(S30_stakeholder_category,"PP",Response_Q176_4,X99)</f>
        <v>0</v>
      </c>
      <c r="Z99" s="41">
        <f t="shared" ref="Z99:Z106" si="59">IFERROR(Y99/Y$106,0)</f>
        <v>0</v>
      </c>
      <c r="AA99" s="14"/>
      <c r="AB99" s="14"/>
      <c r="AC99" s="14"/>
      <c r="AD99" s="65"/>
      <c r="AE99" s="63"/>
      <c r="AF99" s="47"/>
      <c r="AG99" s="19"/>
      <c r="AH99" s="56"/>
      <c r="AI99" s="19"/>
      <c r="AJ99" s="59"/>
      <c r="AK99" s="14"/>
      <c r="AL99" s="14"/>
      <c r="AM99" s="107" t="s">
        <v>5</v>
      </c>
      <c r="AN99" s="27">
        <f t="shared" ref="AN99:AN105" si="60">COUNTIFS(S30_stakeholder_category,"PP",Response_30d_CaseA,AM99)</f>
        <v>1</v>
      </c>
      <c r="AO99" s="41">
        <f>IFERROR(AN99/AN$106,0)</f>
        <v>1</v>
      </c>
      <c r="AP99" s="14"/>
      <c r="AQ99" s="14"/>
      <c r="AR99" s="14"/>
      <c r="AS99" s="65"/>
      <c r="AT99" s="63"/>
      <c r="AU99" s="47"/>
      <c r="AV99" s="14"/>
      <c r="AW99" s="56"/>
      <c r="AX99" s="19"/>
      <c r="AY99" s="59"/>
      <c r="AZ99" s="14"/>
      <c r="BA99" s="14"/>
      <c r="BB99" s="107" t="s">
        <v>5</v>
      </c>
      <c r="BC99" s="27">
        <f t="shared" ref="BC99:BC105" si="61">COUNTIFS(S30_stakeholder_category,"PP",Response_30d_CaseB,BB99)</f>
        <v>1</v>
      </c>
      <c r="BD99" s="41">
        <f>IFERROR(BC99/BC$106,0)</f>
        <v>1</v>
      </c>
      <c r="BE99" s="14"/>
      <c r="BF99" s="14"/>
      <c r="BG99" s="14"/>
      <c r="BH99" s="65"/>
      <c r="BI99" s="63"/>
      <c r="BJ99" s="352"/>
      <c r="BK99" s="19"/>
      <c r="BL99" s="56"/>
      <c r="BM99" s="19"/>
      <c r="BN99" s="59"/>
      <c r="BO99" s="14"/>
      <c r="BP99" s="14"/>
      <c r="BQ99" s="107" t="s">
        <v>5</v>
      </c>
      <c r="BR99" s="27">
        <f t="shared" ref="BR99:BR105" si="62">COUNTIFS(S30_stakeholder_category,"PP",Response_30d_CaseC,BQ99)</f>
        <v>1</v>
      </c>
      <c r="BS99" s="41">
        <f>IFERROR(BR99/BR$106,0)</f>
        <v>1</v>
      </c>
      <c r="BT99" s="14"/>
      <c r="BU99" s="14"/>
      <c r="BV99" s="14"/>
      <c r="BW99" s="65"/>
      <c r="BX99" s="63"/>
      <c r="BY99" s="352"/>
      <c r="BZ99" s="14"/>
      <c r="CA99" s="14"/>
      <c r="CB99" s="21"/>
      <c r="CC99" s="21"/>
      <c r="CD99" s="180"/>
      <c r="CE99" s="181"/>
      <c r="CF99" s="31"/>
      <c r="CG99" s="52"/>
      <c r="CH99" s="52"/>
      <c r="CI99" s="99"/>
      <c r="CJ99" s="14"/>
      <c r="CK99" s="14"/>
      <c r="CL99" s="14"/>
      <c r="CM99" s="14"/>
      <c r="CN99" s="14"/>
      <c r="CO99" s="129"/>
      <c r="CP99" s="14"/>
      <c r="CQ99" s="47"/>
      <c r="CR99" s="14"/>
      <c r="CS99" s="86"/>
      <c r="CT99" s="111"/>
      <c r="CU99" s="86"/>
      <c r="CV99" s="179"/>
      <c r="CW99" s="188"/>
      <c r="CX99" s="179"/>
      <c r="CY99" s="29"/>
      <c r="CZ99" s="109"/>
      <c r="DA99" s="109"/>
      <c r="DB99" s="109"/>
      <c r="DC99" s="109"/>
      <c r="DD99" s="109"/>
      <c r="DE99" s="109"/>
      <c r="DF99" s="109"/>
      <c r="DG99" s="329"/>
      <c r="DH99" s="14"/>
      <c r="DI99" s="47"/>
      <c r="DJ99" s="14"/>
      <c r="DK99" s="62"/>
      <c r="DL99" s="19"/>
      <c r="DM99" s="59"/>
      <c r="DN99" s="14"/>
      <c r="DO99" s="14"/>
      <c r="DP99" s="107" t="s">
        <v>34</v>
      </c>
      <c r="DQ99" s="27">
        <f>COUNTIFS(S30_stakeholder_category,"PP",Response_Q172_1,DP99,Response_Q173_7,"&lt;&gt;0")</f>
        <v>0</v>
      </c>
      <c r="DR99" s="41" t="str">
        <f>IF(DQ104=0,"",DQ99/DQ104)</f>
        <v/>
      </c>
      <c r="DS99" s="14"/>
      <c r="DT99" s="14"/>
      <c r="DU99" s="14"/>
      <c r="DV99" s="14"/>
      <c r="DW99" s="14"/>
      <c r="DX99" s="14"/>
      <c r="DY99" s="14"/>
      <c r="DZ99" s="14"/>
      <c r="EA99" s="14"/>
      <c r="EB99" s="14"/>
      <c r="EC99" s="14"/>
      <c r="ED99" s="14"/>
      <c r="EE99" s="14"/>
      <c r="EF99" s="14"/>
      <c r="EG99" s="14"/>
      <c r="EH99" s="14"/>
      <c r="EI99" s="14"/>
      <c r="EJ99" s="14"/>
      <c r="EK99" s="14"/>
      <c r="EL99" s="14"/>
    </row>
    <row r="100" spans="1:142" x14ac:dyDescent="0.25">
      <c r="A100" s="14"/>
      <c r="B100" s="14"/>
      <c r="C100" s="19"/>
      <c r="D100" s="59"/>
      <c r="E100" s="14"/>
      <c r="F100" s="14"/>
      <c r="G100" s="107" t="s">
        <v>35</v>
      </c>
      <c r="H100" s="27">
        <f>COUNTIFS(S30_stakeholder_category,"PP",Response_Q173_7,G100)</f>
        <v>0</v>
      </c>
      <c r="I100" s="41" t="str">
        <f t="shared" ref="I100:I104" si="63">IFERROR(H100/H$104,"")</f>
        <v/>
      </c>
      <c r="J100" s="14"/>
      <c r="K100" s="14"/>
      <c r="L100" s="14"/>
      <c r="M100" s="14"/>
      <c r="N100" s="14"/>
      <c r="O100" s="14"/>
      <c r="P100" s="14"/>
      <c r="Q100" s="47"/>
      <c r="R100" s="19"/>
      <c r="S100" s="19"/>
      <c r="T100" s="19"/>
      <c r="U100" s="59"/>
      <c r="V100" s="14"/>
      <c r="W100" s="14"/>
      <c r="X100" s="107" t="s">
        <v>4</v>
      </c>
      <c r="Y100" s="27">
        <f t="shared" si="58"/>
        <v>0</v>
      </c>
      <c r="Z100" s="41">
        <f t="shared" si="59"/>
        <v>0</v>
      </c>
      <c r="AA100" s="14"/>
      <c r="AB100" s="14"/>
      <c r="AC100" s="14"/>
      <c r="AD100" s="65"/>
      <c r="AE100" s="63"/>
      <c r="AF100" s="47"/>
      <c r="AG100" s="19"/>
      <c r="AH100" s="19"/>
      <c r="AI100" s="19"/>
      <c r="AJ100" s="59"/>
      <c r="AK100" s="14"/>
      <c r="AL100" s="14"/>
      <c r="AM100" s="107" t="s">
        <v>4</v>
      </c>
      <c r="AN100" s="27">
        <f t="shared" si="60"/>
        <v>0</v>
      </c>
      <c r="AO100" s="41">
        <f t="shared" ref="AO100:AO105" si="64">IFERROR(AN100/AN$106,0)</f>
        <v>0</v>
      </c>
      <c r="AP100" s="14"/>
      <c r="AQ100" s="14"/>
      <c r="AR100" s="14"/>
      <c r="AS100" s="65"/>
      <c r="AT100" s="63"/>
      <c r="AU100" s="47"/>
      <c r="AV100" s="14"/>
      <c r="AW100" s="19"/>
      <c r="AX100" s="19"/>
      <c r="AY100" s="59"/>
      <c r="AZ100" s="14"/>
      <c r="BA100" s="14"/>
      <c r="BB100" s="107" t="s">
        <v>4</v>
      </c>
      <c r="BC100" s="27">
        <f t="shared" si="61"/>
        <v>0</v>
      </c>
      <c r="BD100" s="41">
        <f t="shared" ref="BD100:BD105" si="65">IFERROR(BC100/BC$106,0)</f>
        <v>0</v>
      </c>
      <c r="BE100" s="14"/>
      <c r="BF100" s="14"/>
      <c r="BG100" s="14"/>
      <c r="BH100" s="65"/>
      <c r="BI100" s="63"/>
      <c r="BJ100" s="352"/>
      <c r="BK100" s="19"/>
      <c r="BL100" s="19"/>
      <c r="BM100" s="19"/>
      <c r="BN100" s="59"/>
      <c r="BO100" s="14"/>
      <c r="BP100" s="14"/>
      <c r="BQ100" s="107" t="s">
        <v>4</v>
      </c>
      <c r="BR100" s="27">
        <f t="shared" si="62"/>
        <v>0</v>
      </c>
      <c r="BS100" s="41">
        <f t="shared" ref="BS100:BS105" si="66">IFERROR(BR100/BR$106,0)</f>
        <v>0</v>
      </c>
      <c r="BT100" s="14"/>
      <c r="BU100" s="14"/>
      <c r="BV100" s="14"/>
      <c r="BW100" s="65"/>
      <c r="BX100" s="63"/>
      <c r="BY100" s="352"/>
      <c r="BZ100" s="14"/>
      <c r="CA100" s="14"/>
      <c r="CB100" s="21"/>
      <c r="CC100" s="21"/>
      <c r="CD100" s="180"/>
      <c r="CE100" s="181"/>
      <c r="CF100" s="31"/>
      <c r="CG100" s="52"/>
      <c r="CH100" s="52"/>
      <c r="CI100" s="99"/>
      <c r="CJ100" s="14"/>
      <c r="CK100" s="14"/>
      <c r="CL100" s="14"/>
      <c r="CM100" s="14"/>
      <c r="CN100" s="14"/>
      <c r="CO100" s="129"/>
      <c r="CP100" s="14"/>
      <c r="CQ100" s="47"/>
      <c r="CR100" s="14"/>
      <c r="CS100" s="14"/>
      <c r="CT100" s="14"/>
      <c r="CU100" s="14"/>
      <c r="CV100" s="180"/>
      <c r="CW100" s="190"/>
      <c r="CX100" s="191"/>
      <c r="CY100" s="52"/>
      <c r="CZ100" s="52"/>
      <c r="DA100" s="54"/>
      <c r="DB100" s="14"/>
      <c r="DC100" s="14"/>
      <c r="DD100" s="14"/>
      <c r="DE100" s="14"/>
      <c r="DF100" s="14"/>
      <c r="DG100" s="129"/>
      <c r="DH100" s="14"/>
      <c r="DI100" s="47"/>
      <c r="DJ100" s="14"/>
      <c r="DK100" s="62"/>
      <c r="DL100" s="19"/>
      <c r="DM100" s="59"/>
      <c r="DN100" s="14"/>
      <c r="DO100" s="14"/>
      <c r="DP100" s="107" t="s">
        <v>35</v>
      </c>
      <c r="DQ100" s="27">
        <f>COUNTIFS(S30_stakeholder_category,"PP",Response_Q172_1,DP100,Response_Q173_7,"&lt;&gt;0")</f>
        <v>0</v>
      </c>
      <c r="DR100" s="41" t="str">
        <f>IF(DQ104=0,"",DQ100/DQ104)</f>
        <v/>
      </c>
      <c r="DS100" s="14"/>
      <c r="DT100" s="14"/>
      <c r="DU100" s="14"/>
      <c r="DV100" s="14"/>
      <c r="DW100" s="14"/>
      <c r="DX100" s="14"/>
      <c r="DY100" s="14"/>
      <c r="DZ100" s="14"/>
      <c r="EA100" s="14"/>
      <c r="EB100" s="14"/>
      <c r="EC100" s="14"/>
      <c r="ED100" s="14"/>
      <c r="EE100" s="14"/>
      <c r="EF100" s="14"/>
      <c r="EG100" s="14"/>
      <c r="EH100" s="14"/>
      <c r="EI100" s="14"/>
      <c r="EJ100" s="14"/>
      <c r="EK100" s="14"/>
      <c r="EL100" s="14"/>
    </row>
    <row r="101" spans="1:142" x14ac:dyDescent="0.25">
      <c r="A101" s="14"/>
      <c r="B101" s="62"/>
      <c r="C101" s="19"/>
      <c r="D101" s="59"/>
      <c r="E101" s="14"/>
      <c r="F101" s="14"/>
      <c r="G101" s="107" t="s">
        <v>36</v>
      </c>
      <c r="H101" s="27">
        <f>COUNTIFS(S30_stakeholder_category,"PP",Response_Q173_7,G101)</f>
        <v>0</v>
      </c>
      <c r="I101" s="41" t="str">
        <f t="shared" si="63"/>
        <v/>
      </c>
      <c r="J101" s="14"/>
      <c r="K101" s="14"/>
      <c r="L101" s="14"/>
      <c r="M101" s="14"/>
      <c r="N101" s="14"/>
      <c r="O101" s="14"/>
      <c r="P101" s="14"/>
      <c r="Q101" s="47"/>
      <c r="R101" s="19"/>
      <c r="S101" s="14"/>
      <c r="T101" s="19"/>
      <c r="U101" s="59"/>
      <c r="V101" s="14"/>
      <c r="W101" s="14"/>
      <c r="X101" s="107" t="s">
        <v>33</v>
      </c>
      <c r="Y101" s="27">
        <f t="shared" si="58"/>
        <v>0</v>
      </c>
      <c r="Z101" s="41">
        <f t="shared" si="59"/>
        <v>0</v>
      </c>
      <c r="AA101" s="14"/>
      <c r="AB101" s="14"/>
      <c r="AC101" s="14"/>
      <c r="AD101" s="65"/>
      <c r="AE101" s="63"/>
      <c r="AF101" s="47"/>
      <c r="AG101" s="19"/>
      <c r="AH101" s="14"/>
      <c r="AI101" s="19"/>
      <c r="AJ101" s="59"/>
      <c r="AK101" s="14"/>
      <c r="AL101" s="14"/>
      <c r="AM101" s="107" t="s">
        <v>33</v>
      </c>
      <c r="AN101" s="27">
        <f t="shared" si="60"/>
        <v>0</v>
      </c>
      <c r="AO101" s="41">
        <f t="shared" si="64"/>
        <v>0</v>
      </c>
      <c r="AP101" s="14"/>
      <c r="AQ101" s="14"/>
      <c r="AR101" s="14"/>
      <c r="AS101" s="65"/>
      <c r="AT101" s="63"/>
      <c r="AU101" s="47"/>
      <c r="AV101" s="14"/>
      <c r="AW101" s="14"/>
      <c r="AX101" s="19"/>
      <c r="AY101" s="59"/>
      <c r="AZ101" s="14"/>
      <c r="BA101" s="14"/>
      <c r="BB101" s="107" t="s">
        <v>33</v>
      </c>
      <c r="BC101" s="27">
        <f t="shared" si="61"/>
        <v>0</v>
      </c>
      <c r="BD101" s="41">
        <f t="shared" si="65"/>
        <v>0</v>
      </c>
      <c r="BE101" s="14"/>
      <c r="BF101" s="14"/>
      <c r="BG101" s="14"/>
      <c r="BH101" s="65"/>
      <c r="BI101" s="63"/>
      <c r="BJ101" s="352"/>
      <c r="BK101" s="19"/>
      <c r="BL101" s="14"/>
      <c r="BM101" s="19"/>
      <c r="BN101" s="59"/>
      <c r="BO101" s="14"/>
      <c r="BP101" s="14"/>
      <c r="BQ101" s="107" t="s">
        <v>33</v>
      </c>
      <c r="BR101" s="27">
        <f t="shared" si="62"/>
        <v>0</v>
      </c>
      <c r="BS101" s="41">
        <f t="shared" si="66"/>
        <v>0</v>
      </c>
      <c r="BT101" s="14"/>
      <c r="BU101" s="14"/>
      <c r="BV101" s="14"/>
      <c r="BW101" s="65"/>
      <c r="BX101" s="63"/>
      <c r="BY101" s="352"/>
      <c r="BZ101" s="14"/>
      <c r="CA101" s="14"/>
      <c r="CB101" s="21"/>
      <c r="CC101" s="21"/>
      <c r="CD101" s="180"/>
      <c r="CE101" s="181"/>
      <c r="CF101" s="31"/>
      <c r="CG101" s="52"/>
      <c r="CH101" s="52"/>
      <c r="CI101" s="99"/>
      <c r="CJ101" s="14"/>
      <c r="CK101" s="14"/>
      <c r="CL101" s="14"/>
      <c r="CM101" s="14"/>
      <c r="CN101" s="14"/>
      <c r="CO101" s="129"/>
      <c r="CP101" s="14"/>
      <c r="CQ101" s="47"/>
      <c r="CR101" s="14"/>
      <c r="CS101" s="14"/>
      <c r="CT101" s="14"/>
      <c r="CU101" s="14"/>
      <c r="CV101" s="180"/>
      <c r="CW101" s="190"/>
      <c r="CX101" s="191"/>
      <c r="CY101" s="52"/>
      <c r="CZ101" s="52"/>
      <c r="DA101" s="54"/>
      <c r="DB101" s="14"/>
      <c r="DC101" s="14"/>
      <c r="DD101" s="14"/>
      <c r="DE101" s="14"/>
      <c r="DF101" s="14"/>
      <c r="DG101" s="129"/>
      <c r="DH101" s="14"/>
      <c r="DI101" s="47"/>
      <c r="DJ101" s="14"/>
      <c r="DK101" s="62"/>
      <c r="DL101" s="19"/>
      <c r="DM101" s="59"/>
      <c r="DN101" s="14"/>
      <c r="DO101" s="14"/>
      <c r="DP101" s="107" t="s">
        <v>36</v>
      </c>
      <c r="DQ101" s="27">
        <f>COUNTIFS(S30_stakeholder_category,"PP",Response_Q172_1,DP101,Response_Q173_7,"&lt;&gt;0")</f>
        <v>0</v>
      </c>
      <c r="DR101" s="41" t="str">
        <f>IF(DQ104=0,"",DQ101/DQ104)</f>
        <v/>
      </c>
      <c r="DS101" s="14"/>
      <c r="DT101" s="14"/>
      <c r="DU101" s="14"/>
      <c r="DV101" s="14"/>
      <c r="DW101" s="14"/>
      <c r="DX101" s="14"/>
      <c r="DY101" s="14"/>
      <c r="DZ101" s="14"/>
      <c r="EA101" s="14"/>
      <c r="EB101" s="14"/>
      <c r="EC101" s="14"/>
      <c r="ED101" s="14"/>
      <c r="EE101" s="14"/>
      <c r="EF101" s="14"/>
      <c r="EG101" s="14"/>
      <c r="EH101" s="14"/>
      <c r="EI101" s="14"/>
      <c r="EJ101" s="14"/>
      <c r="EK101" s="14"/>
      <c r="EL101" s="14"/>
    </row>
    <row r="102" spans="1:142" x14ac:dyDescent="0.25">
      <c r="A102" s="14"/>
      <c r="B102" s="62"/>
      <c r="C102" s="19"/>
      <c r="D102" s="59"/>
      <c r="E102" s="14"/>
      <c r="F102" s="14"/>
      <c r="G102" s="107" t="s">
        <v>38</v>
      </c>
      <c r="H102" s="27">
        <f>COUNTIFS(S30_stakeholder_category,"PP",Response_Q173_7,G102)</f>
        <v>0</v>
      </c>
      <c r="I102" s="41" t="str">
        <f t="shared" si="63"/>
        <v/>
      </c>
      <c r="J102" s="14"/>
      <c r="K102" s="14"/>
      <c r="L102" s="14"/>
      <c r="M102" s="14"/>
      <c r="N102" s="14"/>
      <c r="O102" s="14"/>
      <c r="P102" s="14"/>
      <c r="Q102" s="47"/>
      <c r="R102" s="19"/>
      <c r="S102" s="14"/>
      <c r="T102" s="19"/>
      <c r="U102" s="59"/>
      <c r="V102" s="14"/>
      <c r="W102" s="14"/>
      <c r="X102" s="107" t="s">
        <v>29</v>
      </c>
      <c r="Y102" s="27">
        <f t="shared" si="58"/>
        <v>0</v>
      </c>
      <c r="Z102" s="41">
        <f t="shared" si="59"/>
        <v>0</v>
      </c>
      <c r="AA102" s="14"/>
      <c r="AB102" s="14"/>
      <c r="AC102" s="14"/>
      <c r="AD102" s="65"/>
      <c r="AE102" s="63"/>
      <c r="AF102" s="47"/>
      <c r="AG102" s="19"/>
      <c r="AH102" s="14"/>
      <c r="AI102" s="19"/>
      <c r="AJ102" s="59"/>
      <c r="AK102" s="14"/>
      <c r="AL102" s="14"/>
      <c r="AM102" s="107" t="s">
        <v>29</v>
      </c>
      <c r="AN102" s="27">
        <f t="shared" si="60"/>
        <v>0</v>
      </c>
      <c r="AO102" s="41">
        <f t="shared" si="64"/>
        <v>0</v>
      </c>
      <c r="AP102" s="14"/>
      <c r="AQ102" s="14"/>
      <c r="AR102" s="14"/>
      <c r="AS102" s="65"/>
      <c r="AT102" s="63"/>
      <c r="AU102" s="47"/>
      <c r="AV102" s="14"/>
      <c r="AW102" s="14"/>
      <c r="AX102" s="19"/>
      <c r="AY102" s="59"/>
      <c r="AZ102" s="14"/>
      <c r="BA102" s="14"/>
      <c r="BB102" s="107" t="s">
        <v>29</v>
      </c>
      <c r="BC102" s="27">
        <f t="shared" si="61"/>
        <v>0</v>
      </c>
      <c r="BD102" s="41">
        <f t="shared" si="65"/>
        <v>0</v>
      </c>
      <c r="BE102" s="14"/>
      <c r="BF102" s="14"/>
      <c r="BG102" s="14"/>
      <c r="BH102" s="65"/>
      <c r="BI102" s="63"/>
      <c r="BJ102" s="352"/>
      <c r="BK102" s="19"/>
      <c r="BL102" s="14"/>
      <c r="BM102" s="19"/>
      <c r="BN102" s="59"/>
      <c r="BO102" s="14"/>
      <c r="BP102" s="14"/>
      <c r="BQ102" s="107" t="s">
        <v>29</v>
      </c>
      <c r="BR102" s="27">
        <f t="shared" si="62"/>
        <v>0</v>
      </c>
      <c r="BS102" s="41">
        <f t="shared" si="66"/>
        <v>0</v>
      </c>
      <c r="BT102" s="14"/>
      <c r="BU102" s="14"/>
      <c r="BV102" s="14"/>
      <c r="BW102" s="65"/>
      <c r="BX102" s="63"/>
      <c r="BY102" s="352"/>
      <c r="BZ102" s="14"/>
      <c r="CA102" s="14"/>
      <c r="CB102" s="21"/>
      <c r="CC102" s="21"/>
      <c r="CD102" s="180"/>
      <c r="CE102" s="181"/>
      <c r="CF102" s="31"/>
      <c r="CG102" s="52"/>
      <c r="CH102" s="52"/>
      <c r="CI102" s="99"/>
      <c r="CJ102" s="14"/>
      <c r="CK102" s="14"/>
      <c r="CL102" s="14"/>
      <c r="CM102" s="14"/>
      <c r="CN102" s="14"/>
      <c r="CO102" s="129"/>
      <c r="CP102" s="14"/>
      <c r="CQ102" s="47"/>
      <c r="CR102" s="14"/>
      <c r="CS102" s="14"/>
      <c r="CT102" s="14"/>
      <c r="CU102" s="14"/>
      <c r="CV102" s="180"/>
      <c r="CW102" s="190"/>
      <c r="CX102" s="191"/>
      <c r="CY102" s="52"/>
      <c r="CZ102" s="52"/>
      <c r="DA102" s="54"/>
      <c r="DB102" s="14"/>
      <c r="DC102" s="14"/>
      <c r="DD102" s="14"/>
      <c r="DE102" s="14"/>
      <c r="DF102" s="14"/>
      <c r="DG102" s="129"/>
      <c r="DH102" s="14"/>
      <c r="DI102" s="47"/>
      <c r="DJ102" s="14"/>
      <c r="DK102" s="62"/>
      <c r="DL102" s="19"/>
      <c r="DM102" s="59"/>
      <c r="DN102" s="14"/>
      <c r="DO102" s="14"/>
      <c r="DP102" s="107" t="s">
        <v>38</v>
      </c>
      <c r="DQ102" s="27">
        <f>COUNTIFS(S30_stakeholder_category,"PP",Response_Q172_1,DP102,Response_Q173_7,"&lt;&gt;0")</f>
        <v>0</v>
      </c>
      <c r="DR102" s="41" t="str">
        <f>IF(DQ104=0,"",DQ102/DQ104)</f>
        <v/>
      </c>
      <c r="DS102" s="14"/>
      <c r="DT102" s="14"/>
      <c r="DU102" s="14"/>
      <c r="DV102" s="14"/>
      <c r="DW102" s="14"/>
      <c r="DX102" s="14"/>
      <c r="DY102" s="14"/>
      <c r="DZ102" s="14"/>
      <c r="EA102" s="14"/>
      <c r="EB102" s="14"/>
      <c r="EC102" s="14"/>
      <c r="ED102" s="14"/>
      <c r="EE102" s="14"/>
      <c r="EF102" s="14"/>
      <c r="EG102" s="14"/>
      <c r="EH102" s="14"/>
      <c r="EI102" s="14"/>
      <c r="EJ102" s="14"/>
      <c r="EK102" s="14"/>
      <c r="EL102" s="14"/>
    </row>
    <row r="103" spans="1:142" x14ac:dyDescent="0.25">
      <c r="A103" s="14"/>
      <c r="B103" s="62"/>
      <c r="C103" s="19"/>
      <c r="D103" s="59"/>
      <c r="E103" s="14"/>
      <c r="F103" s="14"/>
      <c r="G103" s="107" t="s">
        <v>39</v>
      </c>
      <c r="H103" s="27">
        <f>COUNTIFS(S30_stakeholder_category,"PP",Response_Q173_7,G103)</f>
        <v>0</v>
      </c>
      <c r="I103" s="41" t="str">
        <f t="shared" si="63"/>
        <v/>
      </c>
      <c r="J103" s="14"/>
      <c r="K103" s="14"/>
      <c r="L103" s="14"/>
      <c r="M103" s="14"/>
      <c r="N103" s="14"/>
      <c r="O103" s="14"/>
      <c r="P103" s="14"/>
      <c r="Q103" s="47"/>
      <c r="R103" s="19"/>
      <c r="S103" s="62"/>
      <c r="T103" s="19"/>
      <c r="U103" s="59"/>
      <c r="V103" s="14"/>
      <c r="W103" s="14"/>
      <c r="X103" s="107" t="s">
        <v>3</v>
      </c>
      <c r="Y103" s="27">
        <f t="shared" si="58"/>
        <v>0</v>
      </c>
      <c r="Z103" s="41">
        <f t="shared" si="59"/>
        <v>0</v>
      </c>
      <c r="AA103" s="14"/>
      <c r="AB103" s="14"/>
      <c r="AC103" s="14"/>
      <c r="AD103" s="65"/>
      <c r="AE103" s="63"/>
      <c r="AF103" s="47"/>
      <c r="AG103" s="19"/>
      <c r="AH103" s="62"/>
      <c r="AI103" s="19"/>
      <c r="AJ103" s="59"/>
      <c r="AK103" s="14"/>
      <c r="AL103" s="14"/>
      <c r="AM103" s="107" t="s">
        <v>3</v>
      </c>
      <c r="AN103" s="27">
        <f t="shared" si="60"/>
        <v>0</v>
      </c>
      <c r="AO103" s="41">
        <f t="shared" si="64"/>
        <v>0</v>
      </c>
      <c r="AP103" s="14"/>
      <c r="AQ103" s="14"/>
      <c r="AR103" s="14"/>
      <c r="AS103" s="65"/>
      <c r="AT103" s="63"/>
      <c r="AU103" s="47"/>
      <c r="AV103" s="14"/>
      <c r="AW103" s="62"/>
      <c r="AX103" s="19"/>
      <c r="AY103" s="59"/>
      <c r="AZ103" s="14"/>
      <c r="BA103" s="14"/>
      <c r="BB103" s="107" t="s">
        <v>3</v>
      </c>
      <c r="BC103" s="27">
        <f t="shared" si="61"/>
        <v>0</v>
      </c>
      <c r="BD103" s="41">
        <f t="shared" si="65"/>
        <v>0</v>
      </c>
      <c r="BE103" s="14"/>
      <c r="BF103" s="14"/>
      <c r="BG103" s="14"/>
      <c r="BH103" s="65"/>
      <c r="BI103" s="63"/>
      <c r="BJ103" s="352"/>
      <c r="BK103" s="19"/>
      <c r="BL103" s="62"/>
      <c r="BM103" s="19"/>
      <c r="BN103" s="59"/>
      <c r="BO103" s="14"/>
      <c r="BP103" s="14"/>
      <c r="BQ103" s="107" t="s">
        <v>3</v>
      </c>
      <c r="BR103" s="27">
        <f t="shared" si="62"/>
        <v>0</v>
      </c>
      <c r="BS103" s="41">
        <f t="shared" si="66"/>
        <v>0</v>
      </c>
      <c r="BT103" s="14"/>
      <c r="BU103" s="14"/>
      <c r="BV103" s="14"/>
      <c r="BW103" s="65"/>
      <c r="BX103" s="63"/>
      <c r="BY103" s="352"/>
      <c r="BZ103" s="14"/>
      <c r="CA103" s="14"/>
      <c r="CB103" s="21"/>
      <c r="CC103" s="21"/>
      <c r="CD103" s="180"/>
      <c r="CE103" s="181"/>
      <c r="CF103" s="31"/>
      <c r="CG103" s="52"/>
      <c r="CH103" s="52"/>
      <c r="CI103" s="99"/>
      <c r="CJ103" s="14"/>
      <c r="CK103" s="14"/>
      <c r="CL103" s="14"/>
      <c r="CM103" s="14"/>
      <c r="CN103" s="14"/>
      <c r="CO103" s="129"/>
      <c r="CP103" s="14"/>
      <c r="CQ103" s="47"/>
      <c r="CR103" s="14"/>
      <c r="CS103" s="14"/>
      <c r="CT103" s="14"/>
      <c r="CU103" s="14"/>
      <c r="CV103" s="180"/>
      <c r="CW103" s="190"/>
      <c r="CX103" s="191"/>
      <c r="CY103" s="52"/>
      <c r="CZ103" s="52"/>
      <c r="DA103" s="54"/>
      <c r="DB103" s="14"/>
      <c r="DC103" s="14"/>
      <c r="DD103" s="14"/>
      <c r="DE103" s="14"/>
      <c r="DF103" s="14"/>
      <c r="DG103" s="129"/>
      <c r="DH103" s="14"/>
      <c r="DI103" s="47"/>
      <c r="DJ103" s="14"/>
      <c r="DK103" s="62"/>
      <c r="DL103" s="19"/>
      <c r="DM103" s="59"/>
      <c r="DN103" s="14"/>
      <c r="DO103" s="14"/>
      <c r="DP103" s="107" t="s">
        <v>39</v>
      </c>
      <c r="DQ103" s="27">
        <f>COUNTIFS(S30_stakeholder_category,"PP",Response_Q172_1,DP103,Response_Q173_7,"&lt;&gt;0")</f>
        <v>0</v>
      </c>
      <c r="DR103" s="41" t="str">
        <f>IF(DQ104=0,"",DQ103/DQ104)</f>
        <v/>
      </c>
      <c r="DS103" s="14"/>
      <c r="DT103" s="14"/>
      <c r="DU103" s="14"/>
      <c r="DV103" s="14"/>
      <c r="DW103" s="14"/>
      <c r="DX103" s="14"/>
      <c r="DY103" s="14"/>
      <c r="DZ103" s="14"/>
      <c r="EA103" s="14"/>
      <c r="EB103" s="14"/>
      <c r="EC103" s="14"/>
      <c r="ED103" s="14"/>
      <c r="EE103" s="14"/>
      <c r="EF103" s="14"/>
      <c r="EG103" s="14"/>
      <c r="EH103" s="14"/>
      <c r="EI103" s="14"/>
      <c r="EJ103" s="14"/>
      <c r="EK103" s="14"/>
      <c r="EL103" s="14"/>
    </row>
    <row r="104" spans="1:142" x14ac:dyDescent="0.25">
      <c r="A104" s="14"/>
      <c r="B104" s="62"/>
      <c r="C104" s="19"/>
      <c r="D104" s="59"/>
      <c r="E104" s="14"/>
      <c r="F104" s="14"/>
      <c r="G104" s="86" t="s">
        <v>145</v>
      </c>
      <c r="H104" s="111">
        <f>COUNTIFS(S30_stakeholder_category,"PP",Response_Q173_7,"&lt;&gt;0")</f>
        <v>0</v>
      </c>
      <c r="I104" s="119" t="str">
        <f t="shared" si="63"/>
        <v/>
      </c>
      <c r="J104" s="14"/>
      <c r="K104" s="14"/>
      <c r="L104" s="14"/>
      <c r="M104" s="14"/>
      <c r="N104" s="14"/>
      <c r="O104" s="14"/>
      <c r="P104" s="14"/>
      <c r="Q104" s="47"/>
      <c r="R104" s="19"/>
      <c r="S104" s="62"/>
      <c r="T104" s="19"/>
      <c r="U104" s="59"/>
      <c r="V104" s="14"/>
      <c r="W104" s="14"/>
      <c r="X104" s="107" t="s">
        <v>54</v>
      </c>
      <c r="Y104" s="27">
        <f t="shared" si="58"/>
        <v>0</v>
      </c>
      <c r="Z104" s="41">
        <f t="shared" si="59"/>
        <v>0</v>
      </c>
      <c r="AA104" s="14"/>
      <c r="AB104" s="14"/>
      <c r="AC104" s="14"/>
      <c r="AD104" s="65"/>
      <c r="AE104" s="63"/>
      <c r="AF104" s="47"/>
      <c r="AG104" s="19"/>
      <c r="AH104" s="62"/>
      <c r="AI104" s="19"/>
      <c r="AJ104" s="59"/>
      <c r="AK104" s="14"/>
      <c r="AL104" s="14"/>
      <c r="AM104" s="107" t="s">
        <v>54</v>
      </c>
      <c r="AN104" s="27">
        <f t="shared" si="60"/>
        <v>0</v>
      </c>
      <c r="AO104" s="41">
        <f t="shared" si="64"/>
        <v>0</v>
      </c>
      <c r="AP104" s="14"/>
      <c r="AQ104" s="14"/>
      <c r="AR104" s="14"/>
      <c r="AS104" s="65"/>
      <c r="AT104" s="63"/>
      <c r="AU104" s="47"/>
      <c r="AV104" s="14"/>
      <c r="AW104" s="62"/>
      <c r="AX104" s="19"/>
      <c r="AY104" s="59"/>
      <c r="AZ104" s="14"/>
      <c r="BA104" s="14"/>
      <c r="BB104" s="107" t="s">
        <v>54</v>
      </c>
      <c r="BC104" s="27">
        <f t="shared" si="61"/>
        <v>0</v>
      </c>
      <c r="BD104" s="41">
        <f t="shared" si="65"/>
        <v>0</v>
      </c>
      <c r="BE104" s="14"/>
      <c r="BF104" s="14"/>
      <c r="BG104" s="14"/>
      <c r="BH104" s="65"/>
      <c r="BI104" s="63"/>
      <c r="BJ104" s="352"/>
      <c r="BK104" s="19"/>
      <c r="BL104" s="62"/>
      <c r="BM104" s="19"/>
      <c r="BN104" s="59"/>
      <c r="BO104" s="14"/>
      <c r="BP104" s="14"/>
      <c r="BQ104" s="107" t="s">
        <v>54</v>
      </c>
      <c r="BR104" s="27">
        <f t="shared" si="62"/>
        <v>0</v>
      </c>
      <c r="BS104" s="41">
        <f t="shared" si="66"/>
        <v>0</v>
      </c>
      <c r="BT104" s="14"/>
      <c r="BU104" s="14"/>
      <c r="BV104" s="14"/>
      <c r="BW104" s="65"/>
      <c r="BX104" s="63"/>
      <c r="BY104" s="352"/>
      <c r="BZ104" s="14"/>
      <c r="CA104" s="14"/>
      <c r="CB104" s="21"/>
      <c r="CC104" s="21"/>
      <c r="CD104" s="180"/>
      <c r="CE104" s="181"/>
      <c r="CF104" s="31"/>
      <c r="CG104" s="52"/>
      <c r="CH104" s="52"/>
      <c r="CI104" s="99"/>
      <c r="CJ104" s="14"/>
      <c r="CK104" s="14"/>
      <c r="CL104" s="14"/>
      <c r="CM104" s="14"/>
      <c r="CN104" s="14"/>
      <c r="CO104" s="129"/>
      <c r="CP104" s="14"/>
      <c r="CQ104" s="47"/>
      <c r="CR104" s="14"/>
      <c r="CS104" s="14"/>
      <c r="CT104" s="14"/>
      <c r="CU104" s="14"/>
      <c r="CV104" s="180"/>
      <c r="CW104" s="190"/>
      <c r="CX104" s="191"/>
      <c r="CY104" s="52"/>
      <c r="CZ104" s="52"/>
      <c r="DA104" s="54"/>
      <c r="DB104" s="14"/>
      <c r="DC104" s="14"/>
      <c r="DD104" s="14"/>
      <c r="DE104" s="14"/>
      <c r="DF104" s="14"/>
      <c r="DG104" s="129"/>
      <c r="DH104" s="14"/>
      <c r="DI104" s="47"/>
      <c r="DJ104" s="14"/>
      <c r="DK104" s="62"/>
      <c r="DL104" s="19"/>
      <c r="DM104" s="59"/>
      <c r="DN104" s="14"/>
      <c r="DO104" s="14"/>
      <c r="DP104" s="86" t="s">
        <v>145</v>
      </c>
      <c r="DQ104" s="111">
        <f>COUNTIFS(S30_stakeholder_category,"PP",Response_Q172_1,"&lt;&gt;0",Response_Q173_7,"&lt;&gt;0")</f>
        <v>0</v>
      </c>
      <c r="DR104" s="119" t="str">
        <f>IF(DQ104=0,"",DQ104/DQ104)</f>
        <v/>
      </c>
      <c r="DS104" s="14"/>
      <c r="DT104" s="14"/>
      <c r="DU104" s="14"/>
      <c r="DV104" s="14"/>
      <c r="DW104" s="14"/>
      <c r="DX104" s="14"/>
      <c r="DY104" s="14"/>
      <c r="DZ104" s="14"/>
      <c r="EA104" s="14"/>
      <c r="EB104" s="14"/>
      <c r="EC104" s="14"/>
      <c r="ED104" s="14"/>
      <c r="EE104" s="14"/>
      <c r="EF104" s="14"/>
      <c r="EG104" s="14"/>
      <c r="EH104" s="14"/>
      <c r="EI104" s="14"/>
      <c r="EJ104" s="14"/>
      <c r="EK104" s="14"/>
      <c r="EL104" s="14"/>
    </row>
    <row r="105" spans="1:142" x14ac:dyDescent="0.25">
      <c r="A105" s="14"/>
      <c r="B105" s="62"/>
      <c r="C105" s="19"/>
      <c r="D105" s="59"/>
      <c r="E105" s="14"/>
      <c r="F105" s="14"/>
      <c r="G105" s="14"/>
      <c r="H105" s="21"/>
      <c r="I105" s="21"/>
      <c r="J105" s="14"/>
      <c r="K105" s="14"/>
      <c r="L105" s="14"/>
      <c r="M105" s="14"/>
      <c r="N105" s="14"/>
      <c r="O105" s="14"/>
      <c r="P105" s="14"/>
      <c r="Q105" s="47"/>
      <c r="R105" s="19"/>
      <c r="S105" s="62"/>
      <c r="T105" s="19"/>
      <c r="U105" s="59"/>
      <c r="V105" s="14"/>
      <c r="W105" s="14"/>
      <c r="X105" s="107" t="s">
        <v>39</v>
      </c>
      <c r="Y105" s="27">
        <f t="shared" si="58"/>
        <v>0</v>
      </c>
      <c r="Z105" s="41">
        <f t="shared" si="59"/>
        <v>0</v>
      </c>
      <c r="AA105" s="14"/>
      <c r="AB105" s="14"/>
      <c r="AC105" s="14"/>
      <c r="AD105" s="65"/>
      <c r="AE105" s="63"/>
      <c r="AF105" s="47"/>
      <c r="AG105" s="19"/>
      <c r="AH105" s="62"/>
      <c r="AI105" s="19"/>
      <c r="AJ105" s="59"/>
      <c r="AK105" s="14"/>
      <c r="AL105" s="14"/>
      <c r="AM105" s="107" t="s">
        <v>39</v>
      </c>
      <c r="AN105" s="27">
        <f t="shared" si="60"/>
        <v>0</v>
      </c>
      <c r="AO105" s="41">
        <f t="shared" si="64"/>
        <v>0</v>
      </c>
      <c r="AP105" s="14"/>
      <c r="AQ105" s="14"/>
      <c r="AR105" s="14"/>
      <c r="AS105" s="65"/>
      <c r="AT105" s="63"/>
      <c r="AU105" s="47"/>
      <c r="AV105" s="14"/>
      <c r="AW105" s="62"/>
      <c r="AX105" s="19"/>
      <c r="AY105" s="59"/>
      <c r="AZ105" s="14"/>
      <c r="BA105" s="14"/>
      <c r="BB105" s="107" t="s">
        <v>39</v>
      </c>
      <c r="BC105" s="27">
        <f t="shared" si="61"/>
        <v>0</v>
      </c>
      <c r="BD105" s="41">
        <f t="shared" si="65"/>
        <v>0</v>
      </c>
      <c r="BE105" s="14"/>
      <c r="BF105" s="14"/>
      <c r="BG105" s="14"/>
      <c r="BH105" s="65"/>
      <c r="BI105" s="63"/>
      <c r="BJ105" s="352"/>
      <c r="BK105" s="19"/>
      <c r="BL105" s="62"/>
      <c r="BM105" s="19"/>
      <c r="BN105" s="59"/>
      <c r="BO105" s="14"/>
      <c r="BP105" s="14"/>
      <c r="BQ105" s="107" t="s">
        <v>39</v>
      </c>
      <c r="BR105" s="27">
        <f t="shared" si="62"/>
        <v>0</v>
      </c>
      <c r="BS105" s="41">
        <f t="shared" si="66"/>
        <v>0</v>
      </c>
      <c r="BT105" s="14"/>
      <c r="BU105" s="14"/>
      <c r="BV105" s="14"/>
      <c r="BW105" s="65"/>
      <c r="BX105" s="63"/>
      <c r="BY105" s="352"/>
      <c r="BZ105" s="14"/>
      <c r="CA105" s="14"/>
      <c r="CB105" s="21"/>
      <c r="CC105" s="21"/>
      <c r="CD105" s="180"/>
      <c r="CE105" s="181"/>
      <c r="CF105" s="31"/>
      <c r="CG105" s="52"/>
      <c r="CH105" s="52"/>
      <c r="CI105" s="99"/>
      <c r="CJ105" s="14"/>
      <c r="CK105" s="14"/>
      <c r="CL105" s="14"/>
      <c r="CM105" s="14"/>
      <c r="CN105" s="14"/>
      <c r="CO105" s="129"/>
      <c r="CP105" s="14"/>
      <c r="CQ105" s="47"/>
      <c r="CR105" s="14"/>
      <c r="CS105" s="14"/>
      <c r="CT105" s="14"/>
      <c r="CU105" s="14"/>
      <c r="CV105" s="180"/>
      <c r="CW105" s="190"/>
      <c r="CX105" s="191"/>
      <c r="CY105" s="52"/>
      <c r="CZ105" s="52"/>
      <c r="DA105" s="54"/>
      <c r="DB105" s="14"/>
      <c r="DC105" s="14"/>
      <c r="DD105" s="14"/>
      <c r="DE105" s="14"/>
      <c r="DF105" s="14"/>
      <c r="DG105" s="129"/>
      <c r="DH105" s="14"/>
      <c r="DI105" s="47"/>
      <c r="DJ105" s="14"/>
      <c r="DK105" s="62"/>
      <c r="DL105" s="19"/>
      <c r="DM105" s="59"/>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row>
    <row r="106" spans="1:142" x14ac:dyDescent="0.25">
      <c r="A106" s="14"/>
      <c r="B106" s="62"/>
      <c r="C106" s="19"/>
      <c r="D106" s="59"/>
      <c r="E106" s="14"/>
      <c r="F106" s="14"/>
      <c r="G106" s="14"/>
      <c r="H106" s="21"/>
      <c r="I106" s="21"/>
      <c r="J106" s="14"/>
      <c r="K106" s="14"/>
      <c r="L106" s="14"/>
      <c r="M106" s="14"/>
      <c r="N106" s="14"/>
      <c r="O106" s="14"/>
      <c r="P106" s="14"/>
      <c r="Q106" s="47"/>
      <c r="R106" s="19"/>
      <c r="S106" s="62"/>
      <c r="T106" s="19"/>
      <c r="U106" s="59"/>
      <c r="V106" s="14"/>
      <c r="W106" s="14"/>
      <c r="X106" s="86" t="s">
        <v>145</v>
      </c>
      <c r="Y106" s="111">
        <f>COUNTIFS(S30_stakeholder_category,"PP",Response_Q176_4,"&lt;&gt;0")</f>
        <v>0</v>
      </c>
      <c r="Z106" s="119">
        <f t="shared" si="59"/>
        <v>0</v>
      </c>
      <c r="AA106" s="14"/>
      <c r="AB106" s="14"/>
      <c r="AC106" s="14"/>
      <c r="AD106" s="65"/>
      <c r="AE106" s="63"/>
      <c r="AF106" s="47"/>
      <c r="AG106" s="19"/>
      <c r="AH106" s="62"/>
      <c r="AI106" s="19"/>
      <c r="AJ106" s="59"/>
      <c r="AK106" s="14"/>
      <c r="AL106" s="14"/>
      <c r="AM106" s="86" t="s">
        <v>145</v>
      </c>
      <c r="AN106" s="111">
        <f>COUNTIFS(S30_stakeholder_category,"PP",Response_30d_CaseA,"&lt;&gt;0")</f>
        <v>1</v>
      </c>
      <c r="AO106" s="119">
        <f>IFERROR(AN106/AN$106,0)</f>
        <v>1</v>
      </c>
      <c r="AP106" s="14"/>
      <c r="AQ106" s="14"/>
      <c r="AR106" s="14"/>
      <c r="AS106" s="65"/>
      <c r="AT106" s="63"/>
      <c r="AU106" s="47"/>
      <c r="AV106" s="14"/>
      <c r="AW106" s="62"/>
      <c r="AX106" s="19"/>
      <c r="AY106" s="59"/>
      <c r="AZ106" s="14"/>
      <c r="BA106" s="14"/>
      <c r="BB106" s="86" t="s">
        <v>145</v>
      </c>
      <c r="BC106" s="111">
        <f>COUNTIFS(S30_stakeholder_category,"PP",Response_30d_CaseB,"&lt;&gt;0")</f>
        <v>1</v>
      </c>
      <c r="BD106" s="119">
        <f>IFERROR(BC106/BC$106,0)</f>
        <v>1</v>
      </c>
      <c r="BE106" s="14"/>
      <c r="BF106" s="14"/>
      <c r="BG106" s="14"/>
      <c r="BH106" s="65"/>
      <c r="BI106" s="63"/>
      <c r="BJ106" s="352"/>
      <c r="BK106" s="19"/>
      <c r="BL106" s="62"/>
      <c r="BM106" s="19"/>
      <c r="BN106" s="59"/>
      <c r="BO106" s="14"/>
      <c r="BP106" s="14"/>
      <c r="BQ106" s="86" t="s">
        <v>145</v>
      </c>
      <c r="BR106" s="111">
        <f>COUNTIFS(S30_stakeholder_category,"PP",Response_30d_CaseC,"&lt;&gt;0")</f>
        <v>1</v>
      </c>
      <c r="BS106" s="119">
        <f>IFERROR(BR106/BR$106,0)</f>
        <v>1</v>
      </c>
      <c r="BT106" s="14"/>
      <c r="BU106" s="14"/>
      <c r="BV106" s="14"/>
      <c r="BW106" s="65"/>
      <c r="BX106" s="63"/>
      <c r="BY106" s="352"/>
      <c r="BZ106" s="14"/>
      <c r="CA106" s="14"/>
      <c r="CB106" s="21"/>
      <c r="CC106" s="21"/>
      <c r="CD106" s="180"/>
      <c r="CE106" s="181"/>
      <c r="CF106" s="31"/>
      <c r="CG106" s="52"/>
      <c r="CH106" s="52"/>
      <c r="CI106" s="99"/>
      <c r="CJ106" s="14"/>
      <c r="CK106" s="14"/>
      <c r="CL106" s="14"/>
      <c r="CM106" s="14"/>
      <c r="CN106" s="14"/>
      <c r="CO106" s="129"/>
      <c r="CP106" s="14"/>
      <c r="CQ106" s="47"/>
      <c r="CR106" s="14"/>
      <c r="CS106" s="14"/>
      <c r="CT106" s="14"/>
      <c r="CU106" s="14"/>
      <c r="CV106" s="180"/>
      <c r="CW106" s="190"/>
      <c r="CX106" s="191"/>
      <c r="CY106" s="52"/>
      <c r="CZ106" s="52"/>
      <c r="DA106" s="54"/>
      <c r="DB106" s="14"/>
      <c r="DC106" s="14"/>
      <c r="DD106" s="14"/>
      <c r="DE106" s="14"/>
      <c r="DF106" s="14"/>
      <c r="DG106" s="129"/>
      <c r="DH106" s="14"/>
      <c r="DI106" s="47"/>
      <c r="DJ106" s="14"/>
      <c r="DK106" s="62"/>
      <c r="DL106" s="19"/>
      <c r="DM106" s="59"/>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row>
    <row r="107" spans="1:142" s="135" customFormat="1" ht="16.5" customHeight="1" x14ac:dyDescent="0.25">
      <c r="A107" s="14"/>
      <c r="B107" s="13"/>
      <c r="C107" s="13"/>
      <c r="D107" s="21"/>
      <c r="E107" s="14"/>
      <c r="F107" s="14"/>
      <c r="G107" s="14"/>
      <c r="H107" s="21"/>
      <c r="I107" s="21"/>
      <c r="J107" s="14"/>
      <c r="K107" s="14"/>
      <c r="L107" s="14"/>
      <c r="M107" s="14"/>
      <c r="N107" s="14"/>
      <c r="O107" s="14"/>
      <c r="P107" s="14"/>
      <c r="Q107" s="47"/>
      <c r="R107" s="19"/>
      <c r="S107" s="13"/>
      <c r="T107" s="13"/>
      <c r="U107" s="21"/>
      <c r="V107" s="14"/>
      <c r="W107" s="14"/>
      <c r="X107" s="14"/>
      <c r="Y107" s="14"/>
      <c r="Z107" s="14"/>
      <c r="AA107" s="14"/>
      <c r="AB107" s="14"/>
      <c r="AC107" s="14"/>
      <c r="AD107" s="65"/>
      <c r="AE107" s="63"/>
      <c r="AF107" s="47"/>
      <c r="AG107" s="19"/>
      <c r="AH107" s="13"/>
      <c r="AI107" s="13"/>
      <c r="AJ107" s="21"/>
      <c r="AK107" s="14"/>
      <c r="AL107" s="14"/>
      <c r="AM107" s="14"/>
      <c r="AN107" s="14"/>
      <c r="AO107" s="14"/>
      <c r="AP107" s="14"/>
      <c r="AQ107" s="14"/>
      <c r="AR107" s="14"/>
      <c r="AS107" s="65"/>
      <c r="AT107" s="63"/>
      <c r="AU107" s="47"/>
      <c r="AV107" s="14"/>
      <c r="AW107" s="13"/>
      <c r="AX107" s="13"/>
      <c r="AY107" s="21"/>
      <c r="AZ107" s="14"/>
      <c r="BA107" s="14"/>
      <c r="BB107" s="14"/>
      <c r="BC107" s="14"/>
      <c r="BD107" s="14"/>
      <c r="BE107" s="14"/>
      <c r="BF107" s="14"/>
      <c r="BG107" s="14"/>
      <c r="BH107" s="65"/>
      <c r="BI107" s="63"/>
      <c r="BJ107" s="352"/>
      <c r="BK107" s="19"/>
      <c r="BL107" s="13"/>
      <c r="BM107" s="13"/>
      <c r="BN107" s="21"/>
      <c r="BO107" s="14"/>
      <c r="BP107" s="14"/>
      <c r="BQ107" s="14"/>
      <c r="BR107" s="14"/>
      <c r="BS107" s="14"/>
      <c r="BT107" s="14"/>
      <c r="BU107" s="14"/>
      <c r="BV107" s="14"/>
      <c r="BW107" s="65"/>
      <c r="BX107" s="63"/>
      <c r="BY107" s="352"/>
      <c r="BZ107" s="14"/>
      <c r="CA107" s="14"/>
      <c r="CB107" s="98"/>
      <c r="CC107" s="21"/>
      <c r="CD107" s="180"/>
      <c r="CE107" s="181"/>
      <c r="CF107" s="31"/>
      <c r="CG107" s="31"/>
      <c r="CH107" s="31"/>
      <c r="CI107" s="14"/>
      <c r="CJ107" s="14"/>
      <c r="CK107" s="14"/>
      <c r="CL107" s="14"/>
      <c r="CM107" s="14"/>
      <c r="CN107" s="14"/>
      <c r="CO107" s="129"/>
      <c r="CP107" s="14"/>
      <c r="CQ107" s="47"/>
      <c r="CR107" s="14"/>
      <c r="CS107" s="14"/>
      <c r="CT107" s="14"/>
      <c r="CU107" s="14"/>
      <c r="CV107" s="180"/>
      <c r="CW107" s="190"/>
      <c r="CX107" s="191"/>
      <c r="CY107" s="31"/>
      <c r="CZ107" s="31"/>
      <c r="DA107" s="14"/>
      <c r="DB107" s="14"/>
      <c r="DC107" s="14"/>
      <c r="DD107" s="14"/>
      <c r="DE107" s="14"/>
      <c r="DF107" s="14"/>
      <c r="DG107" s="129"/>
      <c r="DH107" s="14"/>
      <c r="DI107" s="47"/>
      <c r="DJ107" s="14"/>
      <c r="DK107" s="13"/>
      <c r="DL107" s="13"/>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row>
    <row r="108" spans="1:142" s="131" customFormat="1" x14ac:dyDescent="0.25">
      <c r="A108" s="78"/>
      <c r="B108" s="78" t="s">
        <v>22</v>
      </c>
      <c r="C108" s="78" t="s">
        <v>136</v>
      </c>
      <c r="D108" s="79"/>
      <c r="E108" s="78"/>
      <c r="F108" s="78"/>
      <c r="G108" s="78"/>
      <c r="H108" s="79"/>
      <c r="I108" s="79"/>
      <c r="J108" s="78"/>
      <c r="K108" s="78"/>
      <c r="L108" s="78"/>
      <c r="M108" s="78"/>
      <c r="N108" s="78"/>
      <c r="O108" s="78"/>
      <c r="P108" s="78"/>
      <c r="Q108" s="82"/>
      <c r="R108" s="83"/>
      <c r="S108" s="78" t="str">
        <f>$B108</f>
        <v>Pellet users</v>
      </c>
      <c r="T108" s="78"/>
      <c r="U108" s="78"/>
      <c r="V108" s="78"/>
      <c r="W108" s="78"/>
      <c r="X108" s="78"/>
      <c r="Y108" s="78"/>
      <c r="Z108" s="78"/>
      <c r="AA108" s="78"/>
      <c r="AB108" s="78"/>
      <c r="AC108" s="78"/>
      <c r="AD108" s="80"/>
      <c r="AE108" s="81"/>
      <c r="AF108" s="82"/>
      <c r="AG108" s="83"/>
      <c r="AH108" s="78" t="str">
        <f>$B108</f>
        <v>Pellet users</v>
      </c>
      <c r="AI108" s="78"/>
      <c r="AJ108" s="78"/>
      <c r="AK108" s="78"/>
      <c r="AL108" s="78"/>
      <c r="AM108" s="78"/>
      <c r="AN108" s="78"/>
      <c r="AO108" s="78"/>
      <c r="AP108" s="78"/>
      <c r="AQ108" s="78"/>
      <c r="AR108" s="78"/>
      <c r="AS108" s="80"/>
      <c r="AT108" s="81"/>
      <c r="AU108" s="82"/>
      <c r="AV108" s="78"/>
      <c r="AW108" s="78" t="str">
        <f>$B108</f>
        <v>Pellet users</v>
      </c>
      <c r="AX108" s="78"/>
      <c r="AY108" s="78"/>
      <c r="AZ108" s="78"/>
      <c r="BA108" s="78"/>
      <c r="BB108" s="78"/>
      <c r="BC108" s="78"/>
      <c r="BD108" s="78"/>
      <c r="BE108" s="78"/>
      <c r="BF108" s="78"/>
      <c r="BG108" s="78"/>
      <c r="BH108" s="80"/>
      <c r="BI108" s="81"/>
      <c r="BJ108" s="373"/>
      <c r="BK108" s="83"/>
      <c r="BL108" s="78" t="str">
        <f>$B108</f>
        <v>Pellet users</v>
      </c>
      <c r="BM108" s="78"/>
      <c r="BN108" s="78"/>
      <c r="BO108" s="78"/>
      <c r="BP108" s="78"/>
      <c r="BQ108" s="78"/>
      <c r="BR108" s="78"/>
      <c r="BS108" s="78"/>
      <c r="BT108" s="78"/>
      <c r="BU108" s="78"/>
      <c r="BV108" s="78"/>
      <c r="BW108" s="80"/>
      <c r="BX108" s="81"/>
      <c r="BY108" s="373"/>
      <c r="BZ108" s="78"/>
      <c r="CA108" s="78" t="str">
        <f>$B108</f>
        <v>Pellet users</v>
      </c>
      <c r="CB108" s="79"/>
      <c r="CC108" s="79"/>
      <c r="CD108" s="182"/>
      <c r="CE108" s="182"/>
      <c r="CF108" s="79"/>
      <c r="CG108" s="78"/>
      <c r="CH108" s="78"/>
      <c r="CI108" s="78"/>
      <c r="CJ108" s="78"/>
      <c r="CK108" s="78"/>
      <c r="CL108" s="78"/>
      <c r="CM108" s="78"/>
      <c r="CN108" s="78"/>
      <c r="CO108" s="78"/>
      <c r="CP108" s="78"/>
      <c r="CQ108" s="82"/>
      <c r="CR108" s="78"/>
      <c r="CS108" s="78" t="str">
        <f>$B108</f>
        <v>Pellet users</v>
      </c>
      <c r="CT108" s="78"/>
      <c r="CU108" s="78"/>
      <c r="CV108" s="182"/>
      <c r="CW108" s="192"/>
      <c r="CX108" s="192"/>
      <c r="CY108" s="78"/>
      <c r="CZ108" s="78"/>
      <c r="DA108" s="78"/>
      <c r="DB108" s="78"/>
      <c r="DC108" s="78"/>
      <c r="DD108" s="78"/>
      <c r="DE108" s="78"/>
      <c r="DF108" s="78"/>
      <c r="DG108" s="78"/>
      <c r="DH108" s="78"/>
      <c r="DI108" s="82"/>
      <c r="DJ108" s="78"/>
      <c r="DK108" s="78" t="str">
        <f>$B108</f>
        <v>Pellet users</v>
      </c>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row>
    <row r="109" spans="1:142" x14ac:dyDescent="0.25">
      <c r="A109" s="14"/>
      <c r="B109" s="84" t="s">
        <v>301</v>
      </c>
      <c r="C109" s="84"/>
      <c r="D109" s="85"/>
      <c r="E109" s="84"/>
      <c r="F109" s="14"/>
      <c r="G109" s="14"/>
      <c r="H109" s="21"/>
      <c r="I109" s="21"/>
      <c r="J109" s="14"/>
      <c r="K109" s="14"/>
      <c r="L109" s="14"/>
      <c r="M109" s="14"/>
      <c r="N109" s="14"/>
      <c r="O109" s="14"/>
      <c r="P109" s="14"/>
      <c r="Q109" s="47"/>
      <c r="R109" s="19"/>
      <c r="S109" s="84" t="s">
        <v>322</v>
      </c>
      <c r="T109" s="84"/>
      <c r="U109" s="85"/>
      <c r="V109" s="84"/>
      <c r="W109" s="14"/>
      <c r="X109" s="14"/>
      <c r="Y109" s="14"/>
      <c r="Z109" s="14"/>
      <c r="AA109" s="14"/>
      <c r="AB109" s="14"/>
      <c r="AC109" s="14"/>
      <c r="AD109" s="65"/>
      <c r="AE109" s="63"/>
      <c r="AF109" s="47"/>
      <c r="AG109" s="19"/>
      <c r="AH109" s="84" t="s">
        <v>328</v>
      </c>
      <c r="AI109" s="84"/>
      <c r="AJ109" s="85"/>
      <c r="AK109" s="84"/>
      <c r="AL109" s="84"/>
      <c r="AM109" s="14"/>
      <c r="AN109" s="14"/>
      <c r="AO109" s="14"/>
      <c r="AP109" s="14"/>
      <c r="AQ109" s="14"/>
      <c r="AR109" s="14"/>
      <c r="AS109" s="65"/>
      <c r="AT109" s="63"/>
      <c r="AU109" s="47"/>
      <c r="AV109" s="14"/>
      <c r="AW109" s="84" t="s">
        <v>347</v>
      </c>
      <c r="AX109" s="84"/>
      <c r="AY109" s="85"/>
      <c r="AZ109" s="84"/>
      <c r="BA109" s="84"/>
      <c r="BB109" s="14"/>
      <c r="BC109" s="14"/>
      <c r="BD109" s="14"/>
      <c r="BE109" s="14"/>
      <c r="BF109" s="14"/>
      <c r="BG109" s="14"/>
      <c r="BH109" s="65"/>
      <c r="BI109" s="63"/>
      <c r="BJ109" s="352"/>
      <c r="BK109" s="19"/>
      <c r="BL109" s="84" t="s">
        <v>348</v>
      </c>
      <c r="BM109" s="84"/>
      <c r="BN109" s="85"/>
      <c r="BO109" s="84"/>
      <c r="BP109" s="84"/>
      <c r="BQ109" s="14"/>
      <c r="BR109" s="14"/>
      <c r="BS109" s="14"/>
      <c r="BT109" s="14"/>
      <c r="BU109" s="14"/>
      <c r="BV109" s="14"/>
      <c r="BW109" s="65"/>
      <c r="BX109" s="63"/>
      <c r="BY109" s="352"/>
      <c r="BZ109" s="14"/>
      <c r="CA109" s="148" t="s">
        <v>303</v>
      </c>
      <c r="CB109" s="85"/>
      <c r="CC109" s="85"/>
      <c r="CD109" s="185"/>
      <c r="CE109" s="185"/>
      <c r="CF109" s="152"/>
      <c r="CG109" s="14"/>
      <c r="CH109" s="14"/>
      <c r="CI109" s="14"/>
      <c r="CJ109" s="14"/>
      <c r="CK109" s="14"/>
      <c r="CL109" s="14"/>
      <c r="CM109" s="14"/>
      <c r="CN109" s="14"/>
      <c r="CO109" s="129"/>
      <c r="CP109" s="14"/>
      <c r="CQ109" s="47"/>
      <c r="CR109" s="14"/>
      <c r="CS109" s="148" t="s">
        <v>304</v>
      </c>
      <c r="CT109" s="84"/>
      <c r="CU109" s="85"/>
      <c r="CV109" s="186"/>
      <c r="CW109" s="193"/>
      <c r="CX109" s="193"/>
      <c r="CY109" s="14"/>
      <c r="CZ109" s="14"/>
      <c r="DA109" s="14"/>
      <c r="DB109" s="14"/>
      <c r="DC109" s="14"/>
      <c r="DD109" s="14"/>
      <c r="DE109" s="14"/>
      <c r="DF109" s="14"/>
      <c r="DG109" s="129"/>
      <c r="DH109" s="14"/>
      <c r="DI109" s="47"/>
      <c r="DJ109" s="14"/>
      <c r="DK109" s="84" t="s">
        <v>305</v>
      </c>
      <c r="DL109" s="84"/>
      <c r="DM109" s="85"/>
      <c r="DN109" s="8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row>
    <row r="110" spans="1:142" x14ac:dyDescent="0.25">
      <c r="A110" s="14"/>
      <c r="B110" s="14"/>
      <c r="C110" s="14"/>
      <c r="D110" s="15"/>
      <c r="E110" s="14"/>
      <c r="F110" s="14"/>
      <c r="G110" s="14"/>
      <c r="H110" s="21"/>
      <c r="I110" s="21"/>
      <c r="J110" s="14"/>
      <c r="K110" s="14"/>
      <c r="L110" s="14"/>
      <c r="M110" s="14"/>
      <c r="N110" s="14"/>
      <c r="O110" s="14"/>
      <c r="P110" s="14"/>
      <c r="Q110" s="47"/>
      <c r="R110" s="19"/>
      <c r="S110" s="14"/>
      <c r="T110" s="14"/>
      <c r="U110" s="15"/>
      <c r="V110" s="14"/>
      <c r="W110" s="14"/>
      <c r="X110" s="14"/>
      <c r="Y110" s="14"/>
      <c r="Z110" s="14"/>
      <c r="AA110" s="14"/>
      <c r="AB110" s="14"/>
      <c r="AC110" s="14"/>
      <c r="AD110" s="65"/>
      <c r="AE110" s="63"/>
      <c r="AF110" s="47"/>
      <c r="AG110" s="19"/>
      <c r="AH110" s="14"/>
      <c r="AI110" s="14"/>
      <c r="AJ110" s="15"/>
      <c r="AK110" s="14"/>
      <c r="AL110" s="14"/>
      <c r="AM110" s="14"/>
      <c r="AN110" s="14"/>
      <c r="AO110" s="14"/>
      <c r="AP110" s="14"/>
      <c r="AQ110" s="14"/>
      <c r="AR110" s="14"/>
      <c r="AS110" s="65"/>
      <c r="AT110" s="63"/>
      <c r="AU110" s="47"/>
      <c r="AV110" s="14"/>
      <c r="AW110" s="14"/>
      <c r="AX110" s="14"/>
      <c r="AY110" s="15"/>
      <c r="AZ110" s="14"/>
      <c r="BA110" s="14"/>
      <c r="BB110" s="14"/>
      <c r="BC110" s="14"/>
      <c r="BD110" s="14"/>
      <c r="BE110" s="14"/>
      <c r="BF110" s="14"/>
      <c r="BG110" s="14"/>
      <c r="BH110" s="65"/>
      <c r="BI110" s="63"/>
      <c r="BJ110" s="352"/>
      <c r="BK110" s="19"/>
      <c r="BL110" s="14"/>
      <c r="BM110" s="14"/>
      <c r="BN110" s="15"/>
      <c r="BO110" s="14"/>
      <c r="BP110" s="14"/>
      <c r="BQ110" s="14"/>
      <c r="BR110" s="14"/>
      <c r="BS110" s="14"/>
      <c r="BT110" s="14"/>
      <c r="BU110" s="14"/>
      <c r="BV110" s="14"/>
      <c r="BW110" s="65"/>
      <c r="BX110" s="63"/>
      <c r="BY110" s="352"/>
      <c r="BZ110" s="14"/>
      <c r="CA110" s="14"/>
      <c r="CB110" s="21"/>
      <c r="CC110" s="21"/>
      <c r="CD110" s="180"/>
      <c r="CE110" s="180"/>
      <c r="CF110" s="21"/>
      <c r="CG110" s="14"/>
      <c r="CH110" s="14"/>
      <c r="CI110" s="14"/>
      <c r="CJ110" s="14"/>
      <c r="CK110" s="14"/>
      <c r="CL110" s="14"/>
      <c r="CM110" s="14"/>
      <c r="CN110" s="14"/>
      <c r="CO110" s="129"/>
      <c r="CP110" s="14"/>
      <c r="CQ110" s="47"/>
      <c r="CR110" s="14"/>
      <c r="CS110" s="14"/>
      <c r="CT110" s="14"/>
      <c r="CU110" s="14"/>
      <c r="CV110" s="180"/>
      <c r="CW110" s="189"/>
      <c r="CX110" s="189"/>
      <c r="CY110" s="14"/>
      <c r="CZ110" s="14"/>
      <c r="DA110" s="14"/>
      <c r="DB110" s="14"/>
      <c r="DC110" s="14"/>
      <c r="DD110" s="14"/>
      <c r="DE110" s="14"/>
      <c r="DF110" s="14"/>
      <c r="DG110" s="129"/>
      <c r="DH110" s="14"/>
      <c r="DI110" s="47"/>
      <c r="DJ110" s="14"/>
      <c r="DK110" s="14"/>
      <c r="DL110" s="14"/>
      <c r="DM110" s="15"/>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row>
    <row r="111" spans="1:142" ht="27.6" x14ac:dyDescent="0.25">
      <c r="A111" s="14"/>
      <c r="B111" s="112" t="s">
        <v>23</v>
      </c>
      <c r="C111" s="113" t="s">
        <v>24</v>
      </c>
      <c r="D111" s="113" t="s">
        <v>145</v>
      </c>
      <c r="E111" s="113" t="s">
        <v>300</v>
      </c>
      <c r="F111" s="14"/>
      <c r="G111" s="14"/>
      <c r="H111" s="21"/>
      <c r="I111" s="21"/>
      <c r="J111" s="14"/>
      <c r="K111" s="19"/>
      <c r="L111" s="51"/>
      <c r="M111" s="51"/>
      <c r="N111" s="51"/>
      <c r="O111" s="51"/>
      <c r="P111" s="51"/>
      <c r="Q111" s="47"/>
      <c r="R111" s="19"/>
      <c r="S111" s="112" t="s">
        <v>23</v>
      </c>
      <c r="T111" s="113" t="s">
        <v>24</v>
      </c>
      <c r="U111" s="113" t="s">
        <v>145</v>
      </c>
      <c r="V111" s="113" t="s">
        <v>300</v>
      </c>
      <c r="W111" s="14"/>
      <c r="X111" s="14"/>
      <c r="Y111" s="14"/>
      <c r="Z111" s="14"/>
      <c r="AA111" s="56"/>
      <c r="AB111" s="56"/>
      <c r="AC111" s="56"/>
      <c r="AD111" s="65"/>
      <c r="AE111" s="63"/>
      <c r="AF111" s="47"/>
      <c r="AG111" s="19"/>
      <c r="AH111" s="112" t="s">
        <v>23</v>
      </c>
      <c r="AI111" s="113" t="s">
        <v>24</v>
      </c>
      <c r="AJ111" s="113" t="s">
        <v>145</v>
      </c>
      <c r="AK111" s="113" t="s">
        <v>300</v>
      </c>
      <c r="AL111" s="14"/>
      <c r="AM111" s="14"/>
      <c r="AN111" s="14"/>
      <c r="AO111" s="14"/>
      <c r="AP111" s="56"/>
      <c r="AQ111" s="56"/>
      <c r="AR111" s="56"/>
      <c r="AS111" s="65"/>
      <c r="AT111" s="63"/>
      <c r="AU111" s="47"/>
      <c r="AV111" s="14"/>
      <c r="AW111" s="112" t="s">
        <v>23</v>
      </c>
      <c r="AX111" s="113" t="s">
        <v>24</v>
      </c>
      <c r="AY111" s="113" t="s">
        <v>145</v>
      </c>
      <c r="AZ111" s="113" t="s">
        <v>300</v>
      </c>
      <c r="BA111" s="14"/>
      <c r="BB111" s="14"/>
      <c r="BC111" s="14"/>
      <c r="BD111" s="14"/>
      <c r="BE111" s="56"/>
      <c r="BF111" s="56"/>
      <c r="BG111" s="56"/>
      <c r="BH111" s="65"/>
      <c r="BI111" s="63"/>
      <c r="BJ111" s="352"/>
      <c r="BK111" s="19"/>
      <c r="BL111" s="112" t="s">
        <v>23</v>
      </c>
      <c r="BM111" s="113" t="s">
        <v>24</v>
      </c>
      <c r="BN111" s="113" t="s">
        <v>145</v>
      </c>
      <c r="BO111" s="113" t="s">
        <v>300</v>
      </c>
      <c r="BP111" s="14"/>
      <c r="BQ111" s="14"/>
      <c r="BR111" s="14"/>
      <c r="BS111" s="14"/>
      <c r="BT111" s="56"/>
      <c r="BU111" s="56"/>
      <c r="BV111" s="56"/>
      <c r="BW111" s="65"/>
      <c r="BX111" s="63"/>
      <c r="BY111" s="352"/>
      <c r="BZ111" s="14"/>
      <c r="CA111" s="112" t="s">
        <v>23</v>
      </c>
      <c r="CB111" s="113" t="s">
        <v>145</v>
      </c>
      <c r="CC111" s="21"/>
      <c r="CD111" s="180"/>
      <c r="CE111" s="180"/>
      <c r="CF111" s="21"/>
      <c r="CG111" s="14"/>
      <c r="CH111" s="14"/>
      <c r="CI111" s="14"/>
      <c r="CJ111" s="14"/>
      <c r="CK111" s="14"/>
      <c r="CL111" s="14"/>
      <c r="CM111" s="14"/>
      <c r="CN111" s="14"/>
      <c r="CO111" s="129"/>
      <c r="CP111" s="17"/>
      <c r="CQ111" s="47"/>
      <c r="CR111" s="14"/>
      <c r="CS111" s="112" t="s">
        <v>23</v>
      </c>
      <c r="CT111" s="113" t="s">
        <v>145</v>
      </c>
      <c r="CU111" s="14"/>
      <c r="CV111" s="180"/>
      <c r="CW111" s="189"/>
      <c r="CX111" s="189"/>
      <c r="CY111" s="14"/>
      <c r="CZ111" s="14"/>
      <c r="DA111" s="14"/>
      <c r="DB111" s="14"/>
      <c r="DC111" s="14"/>
      <c r="DD111" s="14"/>
      <c r="DE111" s="14"/>
      <c r="DF111" s="14"/>
      <c r="DG111" s="129"/>
      <c r="DH111" s="17"/>
      <c r="DI111" s="47"/>
      <c r="DJ111" s="17"/>
      <c r="DK111" s="112" t="s">
        <v>23</v>
      </c>
      <c r="DL111" s="113" t="s">
        <v>24</v>
      </c>
      <c r="DM111" s="113" t="s">
        <v>145</v>
      </c>
      <c r="DN111" s="113" t="s">
        <v>300</v>
      </c>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row>
    <row r="112" spans="1:142" x14ac:dyDescent="0.25">
      <c r="A112" s="14"/>
      <c r="B112" s="57" t="s">
        <v>22</v>
      </c>
      <c r="C112" s="121" t="str">
        <f>IF(H131=0,"na",IF(COUNTIF(H126:H130,MAX(H126:H130))&gt;COUNTIF(G126:G130,"&lt;&gt;""")/2,"No clear choice of the most common response",INDEX(G126:G130,MATCH(MAX(H126:H130),H126:H130,0),1)))</f>
        <v>Definitely not</v>
      </c>
      <c r="D112" s="58">
        <f>COUNTIFS(S30_stakeholder_category,"PU",Response_Q173_7,"&lt;&gt;0")</f>
        <v>2</v>
      </c>
      <c r="E112" s="121">
        <f>COUNTIFS(S30_stakeholder_category,"PU",Response_Q173_7,"I don’t know")</f>
        <v>0</v>
      </c>
      <c r="F112" s="14"/>
      <c r="G112" s="14"/>
      <c r="H112" s="21"/>
      <c r="I112" s="21"/>
      <c r="J112" s="14"/>
      <c r="K112" s="19"/>
      <c r="L112" s="40"/>
      <c r="M112" s="40"/>
      <c r="N112" s="40"/>
      <c r="O112" s="40"/>
      <c r="P112" s="40"/>
      <c r="Q112" s="47"/>
      <c r="R112" s="19"/>
      <c r="S112" s="34" t="s">
        <v>22</v>
      </c>
      <c r="T112" s="37" t="str">
        <f>IF(Y133=0,"na",IF(COUNTIF(Y126:Y132,MAX(Y126:Y132))&gt;COUNTIF(X126:X132,"&lt;&gt;""")/2,"No clear choice of the most common response",INDEX(X126:X132,MATCH(MAX(Y126:Y132),Y126:Y132,0),1)))</f>
        <v>Unlikely</v>
      </c>
      <c r="U112" s="33">
        <f>COUNTIFS(S30_stakeholder_category,"PU",Response_Q176_4,"&lt;&gt;0")</f>
        <v>2</v>
      </c>
      <c r="V112" s="37">
        <f>COUNTIFS(S30_stakeholder_category,"PU",Response_Q176_4,"I don’t know")</f>
        <v>0</v>
      </c>
      <c r="W112" s="14"/>
      <c r="X112" s="14"/>
      <c r="Y112" s="14"/>
      <c r="Z112" s="14"/>
      <c r="AA112" s="19"/>
      <c r="AB112" s="19"/>
      <c r="AC112" s="19"/>
      <c r="AD112" s="65"/>
      <c r="AE112" s="63"/>
      <c r="AF112" s="47"/>
      <c r="AG112" s="19"/>
      <c r="AH112" s="57" t="s">
        <v>22</v>
      </c>
      <c r="AI112" s="121" t="str">
        <f>IF(AN133=0,"na",IF(COUNTIF(AN126:AN132,MAX(AN126:AN132))&gt;COUNTIF(AM126:AM132,"&lt;&gt;""")/2,"No clear choice of the most common response",INDEX(AM126:AM132,MATCH(MAX(AN126:AN132),AN126:AN132,0),1)))</f>
        <v>Unlikely</v>
      </c>
      <c r="AJ112" s="58">
        <f>COUNTIFS(S30_stakeholder_category,"PU",Response_30d_CaseA,"&lt;&gt;0")</f>
        <v>1</v>
      </c>
      <c r="AK112" s="121">
        <f>COUNTIFS(S30_stakeholder_category,"PU",Response_30d_CaseA,"I don’t know")</f>
        <v>0</v>
      </c>
      <c r="AL112" s="14"/>
      <c r="AM112" s="14"/>
      <c r="AN112" s="14"/>
      <c r="AO112" s="14"/>
      <c r="AP112" s="19"/>
      <c r="AQ112" s="19"/>
      <c r="AR112" s="19"/>
      <c r="AS112" s="65"/>
      <c r="AT112" s="63"/>
      <c r="AU112" s="47"/>
      <c r="AV112" s="14"/>
      <c r="AW112" s="57" t="s">
        <v>22</v>
      </c>
      <c r="AX112" s="121" t="str">
        <f>IF(BC133=0,"na",IF(COUNTIF(BC126:BC132,MAX(BC126:BC132))&gt;COUNTIF(BB126:BB132,"&lt;&gt;""")/2,"No clear choice of the most common response",INDEX(BB126:BB132,MATCH(MAX(BC126:BC132),BC126:BC132,0),1)))</f>
        <v>Unlikely</v>
      </c>
      <c r="AY112" s="58">
        <f>COUNTIFS(S30_stakeholder_category,"PU",Response_30d_CaseB,"&lt;&gt;0")</f>
        <v>1</v>
      </c>
      <c r="AZ112" s="121">
        <f>COUNTIFS(S30_stakeholder_category,"PU",Response_30d_CaseB,"I don’t know")</f>
        <v>0</v>
      </c>
      <c r="BA112" s="14"/>
      <c r="BB112" s="14"/>
      <c r="BC112" s="14"/>
      <c r="BD112" s="14"/>
      <c r="BE112" s="19"/>
      <c r="BF112" s="19"/>
      <c r="BG112" s="19"/>
      <c r="BH112" s="65"/>
      <c r="BI112" s="63"/>
      <c r="BJ112" s="352"/>
      <c r="BK112" s="19"/>
      <c r="BL112" s="57" t="s">
        <v>22</v>
      </c>
      <c r="BM112" s="121" t="str">
        <f>IF(BR133=0,"na",IF(COUNTIF(BR126:BR132,MAX(BR126:BR132))&gt;COUNTIF(BQ126:BQ132,"&lt;&gt;""")/2,"No clear choice of the most common response",INDEX(BQ126:BQ132,MATCH(MAX(BR126:BR132),BR126:BR132,0),1)))</f>
        <v>Unlikely</v>
      </c>
      <c r="BN112" s="58">
        <f>COUNTIFS(S30_stakeholder_category,"PU",Response_30d_CaseC,"&lt;&gt;0")</f>
        <v>2</v>
      </c>
      <c r="BO112" s="121">
        <f>COUNTIFS(S30_stakeholder_category,"PU",Response_30d_CaseC,"I don’t know")</f>
        <v>0</v>
      </c>
      <c r="BP112" s="14"/>
      <c r="BQ112" s="14"/>
      <c r="BR112" s="14"/>
      <c r="BS112" s="14"/>
      <c r="BT112" s="19"/>
      <c r="BU112" s="19"/>
      <c r="BV112" s="19"/>
      <c r="BW112" s="65"/>
      <c r="BX112" s="63"/>
      <c r="BY112" s="352"/>
      <c r="BZ112" s="14"/>
      <c r="CA112" s="34" t="s">
        <v>22</v>
      </c>
      <c r="CB112" s="37">
        <f>MAX(SUM(CC118:CC124),SUM(CD118:CD124),SUM(CE118:CE124))</f>
        <v>2</v>
      </c>
      <c r="CC112" s="21"/>
      <c r="CD112" s="180"/>
      <c r="CE112" s="180"/>
      <c r="CF112" s="21"/>
      <c r="CG112" s="14"/>
      <c r="CH112" s="14"/>
      <c r="CI112" s="14"/>
      <c r="CJ112" s="14"/>
      <c r="CK112" s="14"/>
      <c r="CL112" s="14"/>
      <c r="CM112" s="14"/>
      <c r="CN112" s="14"/>
      <c r="CO112" s="129"/>
      <c r="CP112" s="29"/>
      <c r="CQ112" s="47"/>
      <c r="CR112" s="14"/>
      <c r="CS112" s="34" t="s">
        <v>22</v>
      </c>
      <c r="CT112" s="37">
        <f>MAX(SUM(CU118:CU124),SUM(CV118:CV124),SUM(CW118:CW124))</f>
        <v>1</v>
      </c>
      <c r="CU112" s="14"/>
      <c r="CV112" s="180"/>
      <c r="CW112" s="189"/>
      <c r="CX112" s="189"/>
      <c r="CY112" s="14"/>
      <c r="CZ112" s="14"/>
      <c r="DA112" s="14"/>
      <c r="DB112" s="14"/>
      <c r="DC112" s="14"/>
      <c r="DD112" s="14"/>
      <c r="DE112" s="14"/>
      <c r="DF112" s="14"/>
      <c r="DG112" s="129"/>
      <c r="DH112" s="29"/>
      <c r="DI112" s="47"/>
      <c r="DJ112" s="29"/>
      <c r="DK112" s="34" t="s">
        <v>22</v>
      </c>
      <c r="DL112" s="37" t="str">
        <f>IF(DQ131=0,"na",IF(COUNTIF(DQ126:DQ130,MAX(DQ126:DQ130))&gt;COUNTIF(DP126:DP130,"&lt;&gt;""")/2,"No clear choice of the most common response",INDEX(DP126:DP130,MATCH(MAX(DQ126:DQ130),DQ126:DQ130,0),1)))</f>
        <v>Sometimes</v>
      </c>
      <c r="DM112" s="33">
        <f>COUNTIFS(S30_stakeholder_category,"PU",Response_Q172_1,"&lt;&gt;0",Response_Q173_7,"&lt;&gt;0")</f>
        <v>2</v>
      </c>
      <c r="DN112" s="37">
        <f>DQ130</f>
        <v>0</v>
      </c>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row>
    <row r="113" spans="1:142" x14ac:dyDescent="0.25">
      <c r="A113" s="14"/>
      <c r="B113" s="57"/>
      <c r="C113" s="121" t="str">
        <f ca="1">IF(H131=0,"",IF(COUNTIF(H126:H130,MAX(H126:H130))=1,"",IF(COUNTIF(H126:H130,MAX(H126:H130))&gt;COUNTIF(G126:G130,"&lt;&gt;""")/2,"",INDEX(OFFSET(G126,MATCH(C112,G126:G131,0),0):G130,MATCH(MAX(H126:H130),OFFSET(H126,MATCH(C112,G126:G131,0),0):H130,0),1))))</f>
        <v/>
      </c>
      <c r="D113" s="58"/>
      <c r="E113" s="121"/>
      <c r="F113" s="14"/>
      <c r="G113" s="14"/>
      <c r="H113" s="21"/>
      <c r="I113" s="21"/>
      <c r="J113" s="14"/>
      <c r="K113" s="19"/>
      <c r="L113" s="40"/>
      <c r="M113" s="40"/>
      <c r="N113" s="40"/>
      <c r="O113" s="40"/>
      <c r="P113" s="40"/>
      <c r="Q113" s="47"/>
      <c r="R113" s="19"/>
      <c r="S113" s="34"/>
      <c r="T113" s="37" t="str">
        <f ca="1">IF(Y133=0,"",IF(COUNTIF(Y126:Y132,MAX(Y126:Y132))=1,"",IF(COUNTIF(Y126:Y132,MAX(Y126:Y132))&gt;COUNTIF(X126:X132,"&lt;&gt;""")/2,"",INDEX(OFFSET(X126,MATCH(T112,X126:X132,0),0):X132,MATCH(MAX(Y126:Y132),OFFSET(Y126,MATCH(T112,X126:X132,0),0):Y132,0),1))))</f>
        <v>Moderately likely</v>
      </c>
      <c r="U113" s="33"/>
      <c r="V113" s="37"/>
      <c r="W113" s="14"/>
      <c r="X113" s="14"/>
      <c r="Y113" s="14"/>
      <c r="Z113" s="14"/>
      <c r="AA113" s="19"/>
      <c r="AB113" s="19"/>
      <c r="AC113" s="19"/>
      <c r="AD113" s="65"/>
      <c r="AE113" s="63"/>
      <c r="AF113" s="47"/>
      <c r="AG113" s="19"/>
      <c r="AH113" s="57"/>
      <c r="AI113" s="121" t="str">
        <f ca="1">IF(AN133=0,"",IF(COUNTIF(AN126:AN132,MAX(AN126:AN132))=1,"",IF(COUNTIF(AN126:AN132,MAX(AN126:AN132))&gt;COUNTIF(AM126:AM132,"&lt;&gt;""")/2,"",INDEX(OFFSET(AM126,MATCH(AI112,AM126:AM132,0),0):AM132,MATCH(MAX(AN126:AN132),OFFSET(AN126,MATCH(AI112,AM126:AM132,0),0):AN132,0),1))))</f>
        <v/>
      </c>
      <c r="AJ113" s="58"/>
      <c r="AK113" s="121"/>
      <c r="AL113" s="14"/>
      <c r="AM113" s="14"/>
      <c r="AN113" s="14"/>
      <c r="AO113" s="14"/>
      <c r="AP113" s="19"/>
      <c r="AQ113" s="19"/>
      <c r="AR113" s="19"/>
      <c r="AS113" s="65"/>
      <c r="AT113" s="63"/>
      <c r="AU113" s="47"/>
      <c r="AV113" s="14"/>
      <c r="AW113" s="57"/>
      <c r="AX113" s="121" t="str">
        <f ca="1">IF(BC133=0,"",IF(COUNTIF(BC126:BC132,MAX(BC126:BC132))=1,"",IF(COUNTIF(BC126:BC132,MAX(BC126:BC132))&gt;COUNTIF(BB126:BB132,"&lt;&gt;""")/2,"",INDEX(OFFSET(BB126,MATCH(AX112,BB126:BB132,0),0):BB132,MATCH(MAX(BC126:BC132),OFFSET(BC126,MATCH(AX112,BB126:BB132,0),0):BC132,0),1))))</f>
        <v/>
      </c>
      <c r="AY113" s="58"/>
      <c r="AZ113" s="121"/>
      <c r="BA113" s="14"/>
      <c r="BB113" s="14"/>
      <c r="BC113" s="14"/>
      <c r="BD113" s="14"/>
      <c r="BE113" s="19"/>
      <c r="BF113" s="19"/>
      <c r="BG113" s="19"/>
      <c r="BH113" s="65"/>
      <c r="BI113" s="63"/>
      <c r="BJ113" s="352"/>
      <c r="BK113" s="19"/>
      <c r="BL113" s="57"/>
      <c r="BM113" s="121" t="str">
        <f ca="1">IF(BR133=0,"",IF(COUNTIF(BR126:BR132,MAX(BR126:BR132))=1,"",IF(COUNTIF(BR126:BR132,MAX(BR126:BR132))&gt;COUNTIF(BQ126:BQ132,"&lt;&gt;""")/2,"",INDEX(OFFSET(BQ126,MATCH(BM112,BQ126:BQ132,0),0):BQ132,MATCH(MAX(BR126:BR132),OFFSET(BR126,MATCH(BM112,BQ126:BQ132,0),0):BR132,0),1))))</f>
        <v>Moderately likely</v>
      </c>
      <c r="BN113" s="58"/>
      <c r="BO113" s="121"/>
      <c r="BP113" s="14"/>
      <c r="BQ113" s="14"/>
      <c r="BR113" s="14"/>
      <c r="BS113" s="14"/>
      <c r="BT113" s="19"/>
      <c r="BU113" s="19"/>
      <c r="BV113" s="19"/>
      <c r="BW113" s="65"/>
      <c r="BX113" s="63"/>
      <c r="BY113" s="352"/>
      <c r="BZ113" s="14"/>
      <c r="CA113" s="14"/>
      <c r="CB113" s="21"/>
      <c r="CC113" s="21"/>
      <c r="CD113" s="180"/>
      <c r="CE113" s="180"/>
      <c r="CF113" s="21"/>
      <c r="CG113" s="14"/>
      <c r="CH113" s="14"/>
      <c r="CI113" s="14"/>
      <c r="CJ113" s="14"/>
      <c r="CK113" s="14"/>
      <c r="CL113" s="14"/>
      <c r="CM113" s="14"/>
      <c r="CN113" s="14"/>
      <c r="CO113" s="129"/>
      <c r="CP113" s="29"/>
      <c r="CQ113" s="47"/>
      <c r="CR113" s="14"/>
      <c r="CS113" s="14"/>
      <c r="CT113" s="14"/>
      <c r="CU113" s="14"/>
      <c r="CV113" s="180"/>
      <c r="CW113" s="189"/>
      <c r="CX113" s="189"/>
      <c r="CY113" s="14"/>
      <c r="CZ113" s="14"/>
      <c r="DA113" s="14"/>
      <c r="DB113" s="14"/>
      <c r="DC113" s="14"/>
      <c r="DD113" s="14"/>
      <c r="DE113" s="14"/>
      <c r="DF113" s="14"/>
      <c r="DG113" s="129"/>
      <c r="DH113" s="29"/>
      <c r="DI113" s="47"/>
      <c r="DJ113" s="29"/>
      <c r="DK113" s="34"/>
      <c r="DL113" s="121" t="str">
        <f ca="1">IF(DQ131=0,"",IF(COUNTIF(DQ126:DQ130,MAX(DQ126:DQ130))=1,"",IF(COUNTIF(DQ126:DQ130,MAX(DQ126:DQ130))&gt;COUNTIF(DP126:DP130,"&lt;&gt;""")/2,"",INDEX(OFFSET(DP126,MATCH(DL112,DP126:DP131,0),0):DP130,MATCH(MAX(DQ126:DQ130),OFFSET(DQ126,MATCH(DL112,DP126:DP131,0),0):DQ130,0),1))))</f>
        <v>Yes, always</v>
      </c>
      <c r="DM113" s="33"/>
      <c r="DN113" s="37"/>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row>
    <row r="114" spans="1:142" x14ac:dyDescent="0.25">
      <c r="A114" s="14"/>
      <c r="B114" s="57"/>
      <c r="C114" s="121" t="str">
        <f ca="1" xml:space="preserve"> IF(H131=0,"", IF(COUNTIF(H126:H130,MAX(H126:H130))&lt;=2,"",IF(COUNTIF(H126:H130,MAX(H126:H130))&gt;COUNTIF(G126:G130,"&lt;&gt;""")/2,"", INDEX(OFFSET(G126,MATCH(C113,G126:G131,0),0):G130,         MATCH(MAX(H126:H130),        OFFSET(H126,MATCH(C113,G126:G131,0),0):H130,0),1))))</f>
        <v/>
      </c>
      <c r="D114" s="58"/>
      <c r="E114" s="121"/>
      <c r="F114" s="14"/>
      <c r="G114" s="14"/>
      <c r="H114" s="21"/>
      <c r="I114" s="21"/>
      <c r="J114" s="14"/>
      <c r="K114" s="19"/>
      <c r="L114" s="40"/>
      <c r="M114" s="40"/>
      <c r="N114" s="40"/>
      <c r="O114" s="40"/>
      <c r="P114" s="40"/>
      <c r="Q114" s="47"/>
      <c r="R114" s="19"/>
      <c r="S114" s="34"/>
      <c r="T114" s="121" t="str">
        <f ca="1" xml:space="preserve"> IF(Y133=0,"",IF(Y133=0,"", IF(COUNTIF(Y126:Y132,MAX(Y126:Y132))&lt;=2,"",IF(COUNTIF(Y126:Y132,MAX(Y126:Y132))&gt;COUNTIF(X126:X132,"&lt;&gt;""")/2,"", INDEX(OFFSET(X126,MATCH(T113,X126:X132,0),0):X132,         MATCH(MAX(Y126:Y132),        OFFSET(Y126,MATCH(T113,X126:X132,0),0):Y132,0),1)))))</f>
        <v/>
      </c>
      <c r="U114" s="33"/>
      <c r="V114" s="37"/>
      <c r="W114" s="14"/>
      <c r="X114" s="14"/>
      <c r="Y114" s="14"/>
      <c r="Z114" s="14"/>
      <c r="AA114" s="19"/>
      <c r="AB114" s="19"/>
      <c r="AC114" s="19"/>
      <c r="AD114" s="65"/>
      <c r="AE114" s="63"/>
      <c r="AF114" s="47"/>
      <c r="AG114" s="19"/>
      <c r="AH114" s="57"/>
      <c r="AI114" s="121" t="str">
        <f ca="1" xml:space="preserve"> IF(AN133=0,"",IF(AN133=0,"", IF(COUNTIF(AN126:AN132,MAX(AN126:AN132))&lt;=2,"",IF(COUNTIF(AN126:AN132,MAX(AN126:AN132))&gt;COUNTIF(AM126:AM132,"&lt;&gt;""")/2,"", INDEX(OFFSET(AM126,MATCH(AI113,AM126:AM132,0),0):AM132,         MATCH(MAX(AN126:AN132),        OFFSET(AN126,MATCH(AI113,AM126:AM132,0),0):AN132,0),1)))))</f>
        <v/>
      </c>
      <c r="AJ114" s="58"/>
      <c r="AK114" s="121"/>
      <c r="AL114" s="14"/>
      <c r="AM114" s="14"/>
      <c r="AN114" s="14"/>
      <c r="AO114" s="14"/>
      <c r="AP114" s="19"/>
      <c r="AQ114" s="19"/>
      <c r="AR114" s="19"/>
      <c r="AS114" s="65"/>
      <c r="AT114" s="63"/>
      <c r="AU114" s="47"/>
      <c r="AV114" s="14"/>
      <c r="AW114" s="57"/>
      <c r="AX114" s="121" t="str">
        <f ca="1" xml:space="preserve"> IF(BC133=0,"",IF(BC133=0,"", IF(COUNTIF(BC126:BC132,MAX(BC126:BC132))&lt;=2,"",IF(COUNTIF(BC126:BC132,MAX(BC126:BC132))&gt;COUNTIF(BB126:BB132,"&lt;&gt;""")/2,"", INDEX(OFFSET(BB126,MATCH(AX113,BB126:BB132,0),0):BB132,         MATCH(MAX(BC126:BC132),        OFFSET(BC126,MATCH(AX113,BB126:BB132,0),0):BC132,0),1)))))</f>
        <v/>
      </c>
      <c r="AY114" s="58"/>
      <c r="AZ114" s="121"/>
      <c r="BA114" s="14"/>
      <c r="BB114" s="14"/>
      <c r="BC114" s="14"/>
      <c r="BD114" s="14"/>
      <c r="BE114" s="19"/>
      <c r="BF114" s="19"/>
      <c r="BG114" s="19"/>
      <c r="BH114" s="65"/>
      <c r="BI114" s="63"/>
      <c r="BJ114" s="352"/>
      <c r="BK114" s="19"/>
      <c r="BL114" s="57"/>
      <c r="BM114" s="121" t="str">
        <f ca="1" xml:space="preserve"> IF(BR133=0,"",IF(BR133=0,"", IF(COUNTIF(BR126:BR132,MAX(BR126:BR132))&lt;=2,"",IF(COUNTIF(BR126:BR132,MAX(BR126:BR132))&gt;COUNTIF(BQ126:BQ132,"&lt;&gt;""")/2,"", INDEX(OFFSET(BQ126,MATCH(BM113,BQ126:BQ132,0),0):BQ132,         MATCH(MAX(BR126:BR132),        OFFSET(BR126,MATCH(BM113,BQ126:BQ132,0),0):BR132,0),1)))))</f>
        <v/>
      </c>
      <c r="BN114" s="58"/>
      <c r="BO114" s="121"/>
      <c r="BP114" s="14"/>
      <c r="BQ114" s="14"/>
      <c r="BR114" s="14"/>
      <c r="BS114" s="14"/>
      <c r="BT114" s="19"/>
      <c r="BU114" s="19"/>
      <c r="BV114" s="19"/>
      <c r="BW114" s="65"/>
      <c r="BX114" s="63"/>
      <c r="BY114" s="352"/>
      <c r="BZ114" s="14"/>
      <c r="CA114" s="14"/>
      <c r="CB114" s="21"/>
      <c r="CC114" s="21"/>
      <c r="CD114" s="180"/>
      <c r="CE114" s="180"/>
      <c r="CF114" s="21"/>
      <c r="CG114" s="14"/>
      <c r="CH114" s="14"/>
      <c r="CI114" s="14"/>
      <c r="CJ114" s="14"/>
      <c r="CK114" s="14"/>
      <c r="CL114" s="14"/>
      <c r="CM114" s="14"/>
      <c r="CN114" s="14"/>
      <c r="CO114" s="129"/>
      <c r="CP114" s="29"/>
      <c r="CQ114" s="47"/>
      <c r="CR114" s="14"/>
      <c r="CS114" s="14"/>
      <c r="CT114" s="14"/>
      <c r="CU114" s="14"/>
      <c r="CV114" s="180"/>
      <c r="CW114" s="189"/>
      <c r="CX114" s="189"/>
      <c r="CY114" s="14"/>
      <c r="CZ114" s="14"/>
      <c r="DA114" s="14"/>
      <c r="DB114" s="14"/>
      <c r="DC114" s="14"/>
      <c r="DD114" s="14"/>
      <c r="DE114" s="14"/>
      <c r="DF114" s="14"/>
      <c r="DG114" s="129"/>
      <c r="DH114" s="29"/>
      <c r="DI114" s="47"/>
      <c r="DJ114" s="29"/>
      <c r="DK114" s="34"/>
      <c r="DL114" s="121" t="str">
        <f ca="1" xml:space="preserve"> IF(DQ131=0,"",IF(DQ131=0,"", IF(COUNTIF(DQ126:DQ130,MAX(DQ126:DQ130))&lt;=2,"",IF(COUNTIF(DQ126:DQ130,MAX(DQ126:DQ130))&gt;COUNTIF(DP126:DP130,"&lt;&gt;""")/2,"", INDEX(OFFSET(DP126,MATCH(DL113,DP126:DP131,0),0):DP130,         MATCH(MAX(DQ126:DQ130),        OFFSET(DQ126,MATCH(DL113,DP126:DP131,0),0):DQ130,0),1)))))</f>
        <v/>
      </c>
      <c r="DM114" s="33"/>
      <c r="DN114" s="37"/>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row>
    <row r="115" spans="1:142" x14ac:dyDescent="0.25">
      <c r="A115" s="14"/>
      <c r="B115" s="14"/>
      <c r="C115" s="14"/>
      <c r="D115" s="27"/>
      <c r="E115" s="14"/>
      <c r="F115" s="14"/>
      <c r="G115" s="14"/>
      <c r="H115" s="21"/>
      <c r="I115" s="21"/>
      <c r="J115" s="14"/>
      <c r="K115" s="19"/>
      <c r="L115" s="40"/>
      <c r="M115" s="40"/>
      <c r="N115" s="40"/>
      <c r="O115" s="40"/>
      <c r="P115" s="40"/>
      <c r="Q115" s="47"/>
      <c r="R115" s="19"/>
      <c r="S115" s="19"/>
      <c r="T115" s="19"/>
      <c r="U115" s="14"/>
      <c r="V115" s="14"/>
      <c r="W115" s="14"/>
      <c r="X115" s="14"/>
      <c r="Y115" s="14"/>
      <c r="Z115" s="14"/>
      <c r="AA115" s="19"/>
      <c r="AB115" s="19"/>
      <c r="AC115" s="19"/>
      <c r="AD115" s="65"/>
      <c r="AE115" s="63"/>
      <c r="AF115" s="47"/>
      <c r="AG115" s="19"/>
      <c r="AH115" s="19"/>
      <c r="AI115" s="19"/>
      <c r="AJ115" s="14"/>
      <c r="AK115" s="14"/>
      <c r="AL115" s="14"/>
      <c r="AM115" s="14"/>
      <c r="AN115" s="14"/>
      <c r="AO115" s="14"/>
      <c r="AP115" s="19"/>
      <c r="AQ115" s="19"/>
      <c r="AR115" s="19"/>
      <c r="AS115" s="65"/>
      <c r="AT115" s="63"/>
      <c r="AU115" s="47"/>
      <c r="AV115" s="14"/>
      <c r="AW115" s="19"/>
      <c r="AX115" s="19"/>
      <c r="AY115" s="14"/>
      <c r="AZ115" s="14"/>
      <c r="BA115" s="14"/>
      <c r="BB115" s="14"/>
      <c r="BC115" s="14"/>
      <c r="BD115" s="14"/>
      <c r="BE115" s="19"/>
      <c r="BF115" s="19"/>
      <c r="BG115" s="19"/>
      <c r="BH115" s="65"/>
      <c r="BI115" s="63"/>
      <c r="BJ115" s="352"/>
      <c r="BK115" s="19"/>
      <c r="BL115" s="19"/>
      <c r="BM115" s="19"/>
      <c r="BN115" s="14"/>
      <c r="BO115" s="14"/>
      <c r="BP115" s="14"/>
      <c r="BQ115" s="14"/>
      <c r="BR115" s="14"/>
      <c r="BS115" s="14"/>
      <c r="BT115" s="19"/>
      <c r="BU115" s="19"/>
      <c r="BV115" s="19"/>
      <c r="BW115" s="65"/>
      <c r="BX115" s="63"/>
      <c r="BY115" s="352"/>
      <c r="BZ115" s="14"/>
      <c r="CA115" s="14"/>
      <c r="CB115" s="21"/>
      <c r="CC115" s="21"/>
      <c r="CD115" s="180"/>
      <c r="CE115" s="180"/>
      <c r="CF115" s="21"/>
      <c r="CG115" s="14"/>
      <c r="CH115" s="14"/>
      <c r="CI115" s="14"/>
      <c r="CJ115" s="14"/>
      <c r="CK115" s="14"/>
      <c r="CL115" s="14"/>
      <c r="CM115" s="14"/>
      <c r="CN115" s="14"/>
      <c r="CO115" s="129"/>
      <c r="CP115" s="29"/>
      <c r="CQ115" s="47"/>
      <c r="CR115" s="14"/>
      <c r="CS115" s="14"/>
      <c r="CT115" s="14"/>
      <c r="CU115" s="14"/>
      <c r="CV115" s="180"/>
      <c r="CW115" s="189"/>
      <c r="CX115" s="189"/>
      <c r="CY115" s="14"/>
      <c r="CZ115" s="14"/>
      <c r="DA115" s="14"/>
      <c r="DB115" s="14"/>
      <c r="DC115" s="14"/>
      <c r="DD115" s="14"/>
      <c r="DE115" s="14"/>
      <c r="DF115" s="14"/>
      <c r="DG115" s="129"/>
      <c r="DH115" s="29"/>
      <c r="DI115" s="47"/>
      <c r="DJ115" s="29"/>
      <c r="DK115" s="14"/>
      <c r="DL115" s="14"/>
      <c r="DM115" s="27"/>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row>
    <row r="116" spans="1:142" x14ac:dyDescent="0.25">
      <c r="A116" s="14"/>
      <c r="B116" s="14"/>
      <c r="C116" s="14"/>
      <c r="D116" s="27"/>
      <c r="E116" s="14"/>
      <c r="F116" s="14"/>
      <c r="G116" s="14"/>
      <c r="H116" s="21"/>
      <c r="I116" s="21"/>
      <c r="J116" s="14"/>
      <c r="K116" s="19"/>
      <c r="L116" s="40"/>
      <c r="M116" s="40"/>
      <c r="N116" s="40"/>
      <c r="O116" s="40"/>
      <c r="P116" s="40"/>
      <c r="Q116" s="47"/>
      <c r="R116" s="19"/>
      <c r="S116" s="19"/>
      <c r="T116" s="19"/>
      <c r="U116" s="14"/>
      <c r="V116" s="14"/>
      <c r="W116" s="14"/>
      <c r="X116" s="14"/>
      <c r="Y116" s="14"/>
      <c r="Z116" s="14"/>
      <c r="AA116" s="19"/>
      <c r="AB116" s="19"/>
      <c r="AC116" s="19"/>
      <c r="AD116" s="65"/>
      <c r="AE116" s="63"/>
      <c r="AF116" s="47"/>
      <c r="AG116" s="19"/>
      <c r="AH116" s="19"/>
      <c r="AI116" s="19"/>
      <c r="AJ116" s="14"/>
      <c r="AK116" s="14"/>
      <c r="AL116" s="14"/>
      <c r="AM116" s="14"/>
      <c r="AN116" s="14"/>
      <c r="AO116" s="14"/>
      <c r="AP116" s="19"/>
      <c r="AQ116" s="19"/>
      <c r="AR116" s="19"/>
      <c r="AS116" s="65"/>
      <c r="AT116" s="63"/>
      <c r="AU116" s="47"/>
      <c r="AV116" s="14"/>
      <c r="AW116" s="19"/>
      <c r="AX116" s="19"/>
      <c r="AY116" s="14"/>
      <c r="AZ116" s="14"/>
      <c r="BA116" s="14"/>
      <c r="BB116" s="14"/>
      <c r="BC116" s="14"/>
      <c r="BD116" s="14"/>
      <c r="BE116" s="19"/>
      <c r="BF116" s="19"/>
      <c r="BG116" s="19"/>
      <c r="BH116" s="65"/>
      <c r="BI116" s="63"/>
      <c r="BJ116" s="352"/>
      <c r="BK116" s="19"/>
      <c r="BL116" s="19"/>
      <c r="BM116" s="19"/>
      <c r="BN116" s="14"/>
      <c r="BO116" s="14"/>
      <c r="BP116" s="14"/>
      <c r="BQ116" s="14"/>
      <c r="BR116" s="14"/>
      <c r="BS116" s="14"/>
      <c r="BT116" s="19"/>
      <c r="BU116" s="19"/>
      <c r="BV116" s="19"/>
      <c r="BW116" s="65"/>
      <c r="BX116" s="63"/>
      <c r="BY116" s="352"/>
      <c r="BZ116" s="14"/>
      <c r="CA116" s="14"/>
      <c r="CB116" s="21"/>
      <c r="CC116" s="21"/>
      <c r="CD116" s="180"/>
      <c r="CE116" s="180"/>
      <c r="CF116" s="21"/>
      <c r="CG116" s="14"/>
      <c r="CH116" s="14"/>
      <c r="CI116" s="14"/>
      <c r="CJ116" s="14"/>
      <c r="CK116" s="14"/>
      <c r="CL116" s="14"/>
      <c r="CM116" s="14"/>
      <c r="CN116" s="14"/>
      <c r="CO116" s="129"/>
      <c r="CP116" s="29"/>
      <c r="CQ116" s="47"/>
      <c r="CR116" s="14"/>
      <c r="CS116" s="14"/>
      <c r="CT116" s="14"/>
      <c r="CU116" s="14"/>
      <c r="CV116" s="180"/>
      <c r="CW116" s="189"/>
      <c r="CX116" s="189"/>
      <c r="CY116" s="14"/>
      <c r="CZ116" s="14"/>
      <c r="DA116" s="14"/>
      <c r="DB116" s="14"/>
      <c r="DC116" s="14"/>
      <c r="DD116" s="14"/>
      <c r="DE116" s="14"/>
      <c r="DF116" s="14"/>
      <c r="DG116" s="129"/>
      <c r="DH116" s="29"/>
      <c r="DI116" s="47"/>
      <c r="DJ116" s="29"/>
      <c r="DK116" s="14"/>
      <c r="DL116" s="14"/>
      <c r="DM116" s="27"/>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row>
    <row r="117" spans="1:142" ht="27.6" x14ac:dyDescent="0.25">
      <c r="A117" s="14"/>
      <c r="B117" s="14"/>
      <c r="C117" s="14"/>
      <c r="D117" s="27"/>
      <c r="E117" s="14"/>
      <c r="F117" s="14"/>
      <c r="G117" s="14"/>
      <c r="H117" s="21"/>
      <c r="I117" s="21"/>
      <c r="J117" s="14"/>
      <c r="K117" s="19"/>
      <c r="L117" s="40"/>
      <c r="M117" s="40"/>
      <c r="N117" s="40"/>
      <c r="O117" s="40"/>
      <c r="P117" s="40"/>
      <c r="Q117" s="47"/>
      <c r="R117" s="19"/>
      <c r="S117" s="19"/>
      <c r="T117" s="19"/>
      <c r="U117" s="14"/>
      <c r="V117" s="14"/>
      <c r="W117" s="14"/>
      <c r="X117" s="14"/>
      <c r="Y117" s="14"/>
      <c r="Z117" s="14"/>
      <c r="AA117" s="19"/>
      <c r="AB117" s="19"/>
      <c r="AC117" s="19"/>
      <c r="AD117" s="65"/>
      <c r="AE117" s="63"/>
      <c r="AF117" s="47"/>
      <c r="AG117" s="19"/>
      <c r="AH117" s="19"/>
      <c r="AI117" s="19"/>
      <c r="AJ117" s="14"/>
      <c r="AK117" s="14"/>
      <c r="AL117" s="14"/>
      <c r="AM117" s="14"/>
      <c r="AN117" s="14"/>
      <c r="AO117" s="14"/>
      <c r="AP117" s="19"/>
      <c r="AQ117" s="19"/>
      <c r="AR117" s="19"/>
      <c r="AS117" s="65"/>
      <c r="AT117" s="63"/>
      <c r="AU117" s="47"/>
      <c r="AV117" s="14"/>
      <c r="AW117" s="19"/>
      <c r="AX117" s="19"/>
      <c r="AY117" s="14"/>
      <c r="AZ117" s="14"/>
      <c r="BA117" s="14"/>
      <c r="BB117" s="14"/>
      <c r="BC117" s="14"/>
      <c r="BD117" s="14"/>
      <c r="BE117" s="19"/>
      <c r="BF117" s="19"/>
      <c r="BG117" s="19"/>
      <c r="BH117" s="65"/>
      <c r="BI117" s="63"/>
      <c r="BJ117" s="352"/>
      <c r="BK117" s="19"/>
      <c r="BL117" s="19"/>
      <c r="BM117" s="19"/>
      <c r="BN117" s="14"/>
      <c r="BO117" s="14"/>
      <c r="BP117" s="14"/>
      <c r="BQ117" s="14"/>
      <c r="BR117" s="14"/>
      <c r="BS117" s="14"/>
      <c r="BT117" s="19"/>
      <c r="BU117" s="19"/>
      <c r="BV117" s="19"/>
      <c r="BW117" s="65"/>
      <c r="BX117" s="63"/>
      <c r="BY117" s="352"/>
      <c r="BZ117" s="14"/>
      <c r="CA117" s="109" t="s">
        <v>14</v>
      </c>
      <c r="CB117" s="110" t="s">
        <v>164</v>
      </c>
      <c r="CC117" s="110" t="s">
        <v>149</v>
      </c>
      <c r="CD117" s="184" t="s">
        <v>150</v>
      </c>
      <c r="CE117" s="184" t="s">
        <v>151</v>
      </c>
      <c r="CF117" s="110" t="s">
        <v>152</v>
      </c>
      <c r="CG117" s="14"/>
      <c r="CH117" s="109"/>
      <c r="CI117" s="110" t="s">
        <v>5</v>
      </c>
      <c r="CJ117" s="110" t="s">
        <v>4</v>
      </c>
      <c r="CK117" s="110" t="s">
        <v>33</v>
      </c>
      <c r="CL117" s="110" t="s">
        <v>29</v>
      </c>
      <c r="CM117" s="110" t="s">
        <v>3</v>
      </c>
      <c r="CN117" s="110" t="s">
        <v>54</v>
      </c>
      <c r="CO117" s="328" t="s">
        <v>160</v>
      </c>
      <c r="CP117" s="29"/>
      <c r="CQ117" s="47"/>
      <c r="CR117" s="14"/>
      <c r="CS117" s="109" t="s">
        <v>14</v>
      </c>
      <c r="CT117" s="110" t="s">
        <v>164</v>
      </c>
      <c r="CU117" s="110" t="s">
        <v>149</v>
      </c>
      <c r="CV117" s="184" t="s">
        <v>150</v>
      </c>
      <c r="CW117" s="184" t="s">
        <v>151</v>
      </c>
      <c r="CX117" s="194" t="s">
        <v>152</v>
      </c>
      <c r="CY117" s="14"/>
      <c r="CZ117" s="109" t="s">
        <v>14</v>
      </c>
      <c r="DA117" s="110" t="s">
        <v>5</v>
      </c>
      <c r="DB117" s="110" t="s">
        <v>4</v>
      </c>
      <c r="DC117" s="110" t="s">
        <v>33</v>
      </c>
      <c r="DD117" s="110" t="s">
        <v>29</v>
      </c>
      <c r="DE117" s="110" t="s">
        <v>3</v>
      </c>
      <c r="DF117" s="110" t="s">
        <v>54</v>
      </c>
      <c r="DG117" s="328" t="s">
        <v>160</v>
      </c>
      <c r="DH117" s="29"/>
      <c r="DI117" s="47"/>
      <c r="DJ117" s="29"/>
      <c r="DK117" s="19"/>
      <c r="DL117" s="19"/>
      <c r="DM117" s="27"/>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row>
    <row r="118" spans="1:142" x14ac:dyDescent="0.25">
      <c r="A118" s="14"/>
      <c r="B118" s="14"/>
      <c r="C118" s="14"/>
      <c r="D118" s="21"/>
      <c r="E118" s="14"/>
      <c r="F118" s="14"/>
      <c r="G118" s="14"/>
      <c r="H118" s="21"/>
      <c r="I118" s="15"/>
      <c r="J118" s="13"/>
      <c r="K118" s="14"/>
      <c r="L118" s="14"/>
      <c r="M118" s="14"/>
      <c r="N118" s="14"/>
      <c r="O118" s="14"/>
      <c r="P118" s="14"/>
      <c r="Q118" s="47"/>
      <c r="R118" s="19"/>
      <c r="S118" s="19"/>
      <c r="T118" s="19"/>
      <c r="U118" s="14"/>
      <c r="V118" s="14"/>
      <c r="W118" s="14"/>
      <c r="X118" s="14"/>
      <c r="Y118" s="14"/>
      <c r="Z118" s="14"/>
      <c r="AA118" s="19"/>
      <c r="AB118" s="19"/>
      <c r="AC118" s="19"/>
      <c r="AD118" s="65"/>
      <c r="AE118" s="63"/>
      <c r="AF118" s="47"/>
      <c r="AG118" s="19"/>
      <c r="AH118" s="19"/>
      <c r="AI118" s="19"/>
      <c r="AJ118" s="14"/>
      <c r="AK118" s="14"/>
      <c r="AL118" s="14"/>
      <c r="AM118" s="14"/>
      <c r="AN118" s="14"/>
      <c r="AO118" s="14"/>
      <c r="AP118" s="19"/>
      <c r="AQ118" s="19"/>
      <c r="AR118" s="19"/>
      <c r="AS118" s="65"/>
      <c r="AT118" s="63"/>
      <c r="AU118" s="47"/>
      <c r="AV118" s="14"/>
      <c r="AW118" s="19"/>
      <c r="AX118" s="19"/>
      <c r="AY118" s="14"/>
      <c r="AZ118" s="14"/>
      <c r="BA118" s="14"/>
      <c r="BB118" s="14"/>
      <c r="BC118" s="14"/>
      <c r="BD118" s="14"/>
      <c r="BE118" s="19"/>
      <c r="BF118" s="19"/>
      <c r="BG118" s="19"/>
      <c r="BH118" s="65"/>
      <c r="BI118" s="63"/>
      <c r="BJ118" s="352"/>
      <c r="BK118" s="19"/>
      <c r="BL118" s="19"/>
      <c r="BM118" s="19"/>
      <c r="BN118" s="14"/>
      <c r="BO118" s="14"/>
      <c r="BP118" s="14"/>
      <c r="BQ118" s="14"/>
      <c r="BR118" s="14"/>
      <c r="BS118" s="14"/>
      <c r="BT118" s="19"/>
      <c r="BU118" s="19"/>
      <c r="BV118" s="19"/>
      <c r="BW118" s="65"/>
      <c r="BX118" s="63"/>
      <c r="BY118" s="352"/>
      <c r="BZ118" s="14"/>
      <c r="CA118" s="140" t="s">
        <v>701</v>
      </c>
      <c r="CB118" s="27">
        <f>COUNTIFS(S30_stakeholder_category,"PU",Response_Q177_1,"&lt;&gt;0",Response_Q173_7,"&lt;&gt;0")</f>
        <v>1</v>
      </c>
      <c r="CC118" s="37">
        <f>COUNTIFS(S30_stakeholder_category,"PU",Response_Q177_1,1,Response_Q173_7,"&lt;&gt;""0")</f>
        <v>1</v>
      </c>
      <c r="CD118" s="37">
        <f>COUNTIFS(S30_stakeholder_category,"PU",Response_Q177_1,2,Response_Q173_7,"&lt;&gt;""0")</f>
        <v>1</v>
      </c>
      <c r="CE118" s="37">
        <f>COUNTIFS(S30_stakeholder_category,"PU",Response_Q177_1,3,Response_Q173_7,"&lt;&gt;""0")</f>
        <v>0</v>
      </c>
      <c r="CF118" s="97">
        <f>IF(CB112=0,0,SUMPRODUCT(CC118:CE118,Rank_score)/$CB112)</f>
        <v>2.5</v>
      </c>
      <c r="CG118" s="14"/>
      <c r="CH118" s="140" t="s">
        <v>701</v>
      </c>
      <c r="CI118" s="27">
        <f t="shared" ref="CI118:CN118" si="67">COUNTIFS(S30_stakeholder_category,"PU",Response_Q177_1,"&lt;&gt;0",Response_Q177_2,CI$63,Response_Q173_7,"&lt;&gt;0")</f>
        <v>0</v>
      </c>
      <c r="CJ118" s="27">
        <f t="shared" si="67"/>
        <v>0</v>
      </c>
      <c r="CK118" s="27">
        <f t="shared" si="67"/>
        <v>0</v>
      </c>
      <c r="CL118" s="27">
        <f t="shared" si="67"/>
        <v>1</v>
      </c>
      <c r="CM118" s="27">
        <f t="shared" si="67"/>
        <v>0</v>
      </c>
      <c r="CN118" s="27">
        <f t="shared" si="67"/>
        <v>0</v>
      </c>
      <c r="CO118" s="141">
        <f t="shared" ref="CO118:CO124" si="68">IF(ISBLANK(CH118),"",IF(CF118=0,not_ranked,IF(SUM(CI118:CN118)=0,not_estimated,IFERROR(SUMPRODUCT(CI118:CN118,Likekihood_score)/SUM(CI118:CN118),0))))</f>
        <v>4</v>
      </c>
      <c r="CP118" s="29"/>
      <c r="CQ118" s="47"/>
      <c r="CR118" s="14"/>
      <c r="CS118" s="140" t="s">
        <v>373</v>
      </c>
      <c r="CT118" s="27">
        <f>COUNTIFS(S30_stakeholder_category,"PU",Response_Q178_1,"&lt;&gt;0",Response_Q173_7,"&lt;&gt;0")</f>
        <v>1</v>
      </c>
      <c r="CU118" s="37">
        <f>COUNTIFS(S30_stakeholder_category,"PU",Response_Q178_1,1,Response_Q173_7,"&lt;&gt;0")</f>
        <v>0</v>
      </c>
      <c r="CV118" s="37">
        <f>COUNTIFS(S30_stakeholder_category,"PU",Response_Q178_1,2,Response_Q173_7,"&lt;&gt;0")</f>
        <v>0</v>
      </c>
      <c r="CW118" s="37">
        <f>COUNTIFS(S30_stakeholder_category,"PU",Response_Q178_1,3,Response_Q173_7,"&lt;&gt;0")</f>
        <v>1</v>
      </c>
      <c r="CX118" s="37">
        <f>IF(CT112=0,0,SUMPRODUCT(CU118:CW118,Rank_score)/CT$58)</f>
        <v>0.33333333333333331</v>
      </c>
      <c r="CY118" s="14"/>
      <c r="CZ118" s="140" t="s">
        <v>373</v>
      </c>
      <c r="DA118" s="27">
        <f t="shared" ref="DA118:DF118" si="69">COUNTIFS(S30_stakeholder_category,"PU",Response_Q178_1,"&lt;&gt;0",Response_Q178_2,DA$63,Response_Q173_7,"&lt;&gt;0")</f>
        <v>0</v>
      </c>
      <c r="DB118" s="27">
        <f t="shared" si="69"/>
        <v>0</v>
      </c>
      <c r="DC118" s="27">
        <f t="shared" si="69"/>
        <v>0</v>
      </c>
      <c r="DD118" s="27">
        <f t="shared" si="69"/>
        <v>0</v>
      </c>
      <c r="DE118" s="27">
        <f t="shared" si="69"/>
        <v>0</v>
      </c>
      <c r="DF118" s="27">
        <f t="shared" si="69"/>
        <v>0</v>
      </c>
      <c r="DG118" s="141" t="str">
        <f t="shared" ref="DG118:DG125" si="70">IF(ISBLANK(CZ118),"",IF(CX118=0,not_ranked,IF(SUM(DA118:DF118)=0,not_estimated,IFERROR(SUMPRODUCT(DA118:DF118,Likekihood_score)/SUM(DA118:DF118),0))))</f>
        <v>Ranked, but likelihood not estimated</v>
      </c>
      <c r="DH118" s="29"/>
      <c r="DI118" s="47"/>
      <c r="DJ118" s="29"/>
      <c r="DK118" s="19"/>
      <c r="DL118" s="19"/>
      <c r="DM118" s="14"/>
      <c r="DN118" s="14"/>
      <c r="DO118" s="14"/>
      <c r="DP118" s="14"/>
      <c r="DQ118" s="14"/>
      <c r="DR118" s="13"/>
      <c r="DS118" s="13"/>
      <c r="DT118" s="14"/>
      <c r="DU118" s="14"/>
      <c r="DV118" s="14"/>
      <c r="DW118" s="14"/>
      <c r="DX118" s="14"/>
      <c r="DY118" s="14"/>
      <c r="DZ118" s="14"/>
      <c r="EA118" s="14"/>
      <c r="EB118" s="14"/>
      <c r="EC118" s="14"/>
      <c r="ED118" s="14"/>
      <c r="EE118" s="14"/>
      <c r="EF118" s="14"/>
      <c r="EG118" s="14"/>
      <c r="EH118" s="14"/>
      <c r="EI118" s="14"/>
      <c r="EJ118" s="14"/>
      <c r="EK118" s="14"/>
      <c r="EL118" s="14"/>
    </row>
    <row r="119" spans="1:142" ht="14.4" x14ac:dyDescent="0.25">
      <c r="A119" s="14"/>
      <c r="B119" s="60"/>
      <c r="C119" s="19"/>
      <c r="D119" s="59"/>
      <c r="E119" s="14"/>
      <c r="F119" s="14"/>
      <c r="G119" s="14"/>
      <c r="H119" s="21"/>
      <c r="I119" s="21"/>
      <c r="J119" s="14"/>
      <c r="K119" s="14"/>
      <c r="L119" s="14"/>
      <c r="M119" s="14"/>
      <c r="N119" s="14"/>
      <c r="O119" s="14"/>
      <c r="P119" s="14"/>
      <c r="Q119" s="47"/>
      <c r="R119" s="19"/>
      <c r="S119" s="19"/>
      <c r="T119" s="19"/>
      <c r="U119" s="14"/>
      <c r="V119" s="14"/>
      <c r="W119" s="14"/>
      <c r="X119" s="14"/>
      <c r="Y119" s="14"/>
      <c r="Z119" s="14"/>
      <c r="AA119" s="19"/>
      <c r="AB119" s="19"/>
      <c r="AC119" s="19"/>
      <c r="AD119" s="65"/>
      <c r="AE119" s="63"/>
      <c r="AF119" s="47"/>
      <c r="AG119" s="19"/>
      <c r="AH119" s="19"/>
      <c r="AI119" s="19"/>
      <c r="AJ119" s="14"/>
      <c r="AK119" s="14"/>
      <c r="AL119" s="14"/>
      <c r="AM119" s="14"/>
      <c r="AN119" s="14"/>
      <c r="AO119" s="14"/>
      <c r="AP119" s="19"/>
      <c r="AQ119" s="19"/>
      <c r="AR119" s="19"/>
      <c r="AS119" s="65"/>
      <c r="AT119" s="63"/>
      <c r="AU119" s="47"/>
      <c r="AV119" s="14"/>
      <c r="AW119" s="19"/>
      <c r="AX119" s="19"/>
      <c r="AY119" s="14"/>
      <c r="AZ119" s="14"/>
      <c r="BA119" s="14"/>
      <c r="BB119" s="14"/>
      <c r="BC119" s="14"/>
      <c r="BD119" s="14"/>
      <c r="BE119" s="19"/>
      <c r="BF119" s="19"/>
      <c r="BG119" s="19"/>
      <c r="BH119" s="65"/>
      <c r="BI119" s="63"/>
      <c r="BJ119" s="352"/>
      <c r="BK119" s="19"/>
      <c r="BL119" s="19"/>
      <c r="BM119" s="19"/>
      <c r="BN119" s="14"/>
      <c r="BO119" s="14"/>
      <c r="BP119" s="14"/>
      <c r="BQ119" s="14"/>
      <c r="BR119" s="14"/>
      <c r="BS119" s="14"/>
      <c r="BT119" s="19"/>
      <c r="BU119" s="19"/>
      <c r="BV119" s="19"/>
      <c r="BW119" s="65"/>
      <c r="BX119" s="63"/>
      <c r="BY119" s="352"/>
      <c r="BZ119" s="14"/>
      <c r="CA119" s="140" t="s">
        <v>344</v>
      </c>
      <c r="CB119" s="27">
        <f>COUNTIFS(S30_stakeholder_category,"PU",Response_Q177_3,"&lt;&gt;0",Response_Q173_7,"&lt;&gt;0")</f>
        <v>1</v>
      </c>
      <c r="CC119" s="37">
        <f>COUNTIFS(S30_stakeholder_category,"PU",Response_Q177_3,1,Response_Q173_7,"&lt;&gt;0")</f>
        <v>1</v>
      </c>
      <c r="CD119" s="37">
        <f>COUNTIFS(S30_stakeholder_category,"PU",Response_Q177_3,2,Response_Q173_7,"&lt;&gt;0")</f>
        <v>0</v>
      </c>
      <c r="CE119" s="37">
        <f>COUNTIFS(S30_stakeholder_category,"PU",Response_Q177_3,3,Response_Q173_7,"&lt;&gt;0")</f>
        <v>0</v>
      </c>
      <c r="CF119" s="97">
        <f>IF(CB112=0,0,SUMPRODUCT(CC119:CE119,Rank_score)/$CB112)</f>
        <v>1.5</v>
      </c>
      <c r="CG119" s="14"/>
      <c r="CH119" s="140" t="s">
        <v>344</v>
      </c>
      <c r="CI119" s="27">
        <f t="shared" ref="CI119:CN119" si="71">COUNTIFS(S30_stakeholder_category,"PU",Response_Q177_3,"&lt;&gt;0",Response_Q177_4,CI$63,Response_Q173_7,"&lt;&gt;0")</f>
        <v>0</v>
      </c>
      <c r="CJ119" s="27">
        <f t="shared" si="71"/>
        <v>0</v>
      </c>
      <c r="CK119" s="27">
        <f t="shared" si="71"/>
        <v>0</v>
      </c>
      <c r="CL119" s="27">
        <f t="shared" si="71"/>
        <v>1</v>
      </c>
      <c r="CM119" s="27">
        <f t="shared" si="71"/>
        <v>0</v>
      </c>
      <c r="CN119" s="27">
        <f t="shared" si="71"/>
        <v>0</v>
      </c>
      <c r="CO119" s="141">
        <f t="shared" si="68"/>
        <v>4</v>
      </c>
      <c r="CP119" s="14"/>
      <c r="CQ119" s="47"/>
      <c r="CR119" s="14"/>
      <c r="CS119" s="140" t="s">
        <v>338</v>
      </c>
      <c r="CT119" s="27">
        <f>COUNTIFS(S30_stakeholder_category,"PU",Response_Q178_3,"&lt;&gt;0",Response_Q173_7,"&lt;&gt;0")</f>
        <v>1</v>
      </c>
      <c r="CU119" s="37">
        <f>COUNTIFS(S30_stakeholder_category,"PU",Response_Q178_3,1,Response_Q173_7,"&lt;&gt;0")</f>
        <v>1</v>
      </c>
      <c r="CV119" s="37">
        <f>COUNTIFS(S30_stakeholder_category,"PU",Response_Q178_3,2,Response_Q173_7,"&lt;&gt;0")</f>
        <v>0</v>
      </c>
      <c r="CW119" s="37">
        <f>COUNTIFS(S30_stakeholder_category,"PU",Response_Q178_3,3,Response_Q173_7,"&lt;&gt;0")</f>
        <v>0</v>
      </c>
      <c r="CX119" s="37">
        <f>IF(CT112=0,0,SUMPRODUCT(CU119:CW119,Rank_score)/CT$58)</f>
        <v>1</v>
      </c>
      <c r="CY119" s="14"/>
      <c r="CZ119" s="140" t="s">
        <v>338</v>
      </c>
      <c r="DA119" s="27">
        <f t="shared" ref="DA119:DF119" si="72">COUNTIFS(S30_stakeholder_category,"PU",Response_Q178_3,"&lt;&gt;0",Response_Q178_4,DA$63,Response_Q173_7,"&lt;&gt;0")</f>
        <v>0</v>
      </c>
      <c r="DB119" s="27">
        <f t="shared" si="72"/>
        <v>0</v>
      </c>
      <c r="DC119" s="27">
        <f t="shared" si="72"/>
        <v>0</v>
      </c>
      <c r="DD119" s="27">
        <f t="shared" si="72"/>
        <v>0</v>
      </c>
      <c r="DE119" s="27">
        <f t="shared" si="72"/>
        <v>0</v>
      </c>
      <c r="DF119" s="27">
        <f t="shared" si="72"/>
        <v>0</v>
      </c>
      <c r="DG119" s="141" t="str">
        <f t="shared" si="70"/>
        <v>Ranked, but likelihood not estimated</v>
      </c>
      <c r="DH119" s="14"/>
      <c r="DI119" s="47"/>
      <c r="DJ119" s="14"/>
      <c r="DK119" s="56"/>
      <c r="DL119" s="29"/>
      <c r="DM119" s="59"/>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row>
    <row r="120" spans="1:142" x14ac:dyDescent="0.25">
      <c r="A120" s="14"/>
      <c r="B120" s="62"/>
      <c r="C120" s="19"/>
      <c r="D120" s="59"/>
      <c r="E120" s="14"/>
      <c r="F120" s="14"/>
      <c r="G120" s="14"/>
      <c r="H120" s="21"/>
      <c r="I120" s="21"/>
      <c r="J120" s="14"/>
      <c r="K120" s="14"/>
      <c r="L120" s="14"/>
      <c r="M120" s="14"/>
      <c r="N120" s="14"/>
      <c r="O120" s="14"/>
      <c r="P120" s="14"/>
      <c r="Q120" s="47"/>
      <c r="R120" s="19"/>
      <c r="S120" s="19"/>
      <c r="T120" s="19"/>
      <c r="U120" s="14"/>
      <c r="V120" s="14"/>
      <c r="W120" s="14"/>
      <c r="X120" s="14"/>
      <c r="Y120" s="14"/>
      <c r="Z120" s="13"/>
      <c r="AA120" s="13"/>
      <c r="AB120" s="13"/>
      <c r="AC120" s="13"/>
      <c r="AD120" s="65"/>
      <c r="AE120" s="63"/>
      <c r="AF120" s="47"/>
      <c r="AG120" s="19"/>
      <c r="AH120" s="19"/>
      <c r="AI120" s="19"/>
      <c r="AJ120" s="14"/>
      <c r="AK120" s="14"/>
      <c r="AL120" s="14"/>
      <c r="AM120" s="14"/>
      <c r="AN120" s="14"/>
      <c r="AO120" s="13"/>
      <c r="AP120" s="13"/>
      <c r="AQ120" s="13"/>
      <c r="AR120" s="13"/>
      <c r="AS120" s="65"/>
      <c r="AT120" s="63"/>
      <c r="AU120" s="47"/>
      <c r="AV120" s="14"/>
      <c r="AW120" s="19"/>
      <c r="AX120" s="19"/>
      <c r="AY120" s="14"/>
      <c r="AZ120" s="14"/>
      <c r="BA120" s="14"/>
      <c r="BB120" s="14"/>
      <c r="BC120" s="14"/>
      <c r="BD120" s="13"/>
      <c r="BE120" s="13"/>
      <c r="BF120" s="13"/>
      <c r="BG120" s="13"/>
      <c r="BH120" s="65"/>
      <c r="BI120" s="63"/>
      <c r="BJ120" s="352"/>
      <c r="BK120" s="19"/>
      <c r="BL120" s="19"/>
      <c r="BM120" s="19"/>
      <c r="BN120" s="14"/>
      <c r="BO120" s="14"/>
      <c r="BP120" s="14"/>
      <c r="BQ120" s="14"/>
      <c r="BR120" s="14"/>
      <c r="BS120" s="13"/>
      <c r="BT120" s="13"/>
      <c r="BU120" s="13"/>
      <c r="BV120" s="13"/>
      <c r="BW120" s="65"/>
      <c r="BX120" s="63"/>
      <c r="BY120" s="352"/>
      <c r="BZ120" s="14"/>
      <c r="CA120" s="140" t="s">
        <v>146</v>
      </c>
      <c r="CB120" s="27">
        <f>COUNTIFS(S30_stakeholder_category,"PU",Response_Q177_5,"&lt;&gt;0",Response_Q173_7,"&lt;&gt;0")</f>
        <v>1</v>
      </c>
      <c r="CC120" s="37">
        <f>COUNTIFS(S30_stakeholder_category,"PU",Response_Q177_5,1,Response_Q173_7,"&lt;&gt;0")</f>
        <v>0</v>
      </c>
      <c r="CD120" s="37">
        <f>COUNTIFS(S30_stakeholder_category,"PU",Response_Q177_5,2,Response_Q173_7,"&lt;&gt;0")</f>
        <v>0</v>
      </c>
      <c r="CE120" s="37">
        <f>COUNTIFS(S30_stakeholder_category,"PU",Response_Q177_5,3,Response_Q173_7,"&lt;&gt;0")</f>
        <v>1</v>
      </c>
      <c r="CF120" s="97">
        <f>IF(CB112=0,0,SUMPRODUCT(CC120:CE120,Rank_score)/$CB112)</f>
        <v>0.5</v>
      </c>
      <c r="CG120" s="14"/>
      <c r="CH120" s="140" t="s">
        <v>146</v>
      </c>
      <c r="CI120" s="27">
        <f t="shared" ref="CI120:CN120" si="73">COUNTIFS(S30_stakeholder_category,"PU",Response_Q177_5,"&lt;&gt;0",Response_Q177_6,CI$63,Response_Q173_7,"&lt;&gt;0")</f>
        <v>0</v>
      </c>
      <c r="CJ120" s="27">
        <f t="shared" si="73"/>
        <v>0</v>
      </c>
      <c r="CK120" s="27">
        <f t="shared" si="73"/>
        <v>0</v>
      </c>
      <c r="CL120" s="27">
        <f t="shared" si="73"/>
        <v>0</v>
      </c>
      <c r="CM120" s="27">
        <f t="shared" si="73"/>
        <v>1</v>
      </c>
      <c r="CN120" s="27">
        <f t="shared" si="73"/>
        <v>0</v>
      </c>
      <c r="CO120" s="141">
        <f t="shared" si="68"/>
        <v>5</v>
      </c>
      <c r="CP120" s="14"/>
      <c r="CQ120" s="47"/>
      <c r="CR120" s="14"/>
      <c r="CS120" s="106" t="s">
        <v>339</v>
      </c>
      <c r="CT120" s="27">
        <f>COUNTIFS(S30_stakeholder_category,"PU",Response_Q178_5,"&lt;&gt;0",Response_Q173_7,"&lt;&gt;0")</f>
        <v>0</v>
      </c>
      <c r="CU120" s="37">
        <f>COUNTIFS(S30_stakeholder_category,"PU",Response_Q178_5,1,Response_Q173_7,"&lt;&gt;0")</f>
        <v>0</v>
      </c>
      <c r="CV120" s="37">
        <f>COUNTIFS(S30_stakeholder_category,"PU",Response_Q178_5,2,Response_Q173_7,"&lt;&gt;0")</f>
        <v>0</v>
      </c>
      <c r="CW120" s="37">
        <f>COUNTIFS(S30_stakeholder_category,"PU",Response_Q178_5,3,Response_Q173_7,"&lt;&gt;0")</f>
        <v>0</v>
      </c>
      <c r="CX120" s="37">
        <f>IF(CT112=0,0,SUMPRODUCT(CU120:CW120,Rank_score)/CT$58)</f>
        <v>0</v>
      </c>
      <c r="CY120" s="14"/>
      <c r="CZ120" s="106" t="s">
        <v>339</v>
      </c>
      <c r="DA120" s="27">
        <f t="shared" ref="DA120:DF120" si="74">COUNTIFS(S30_stakeholder_category,"PU",Response_Q178_5,"&lt;&gt;0",Response_Q178_6,DA$63,Response_Q173_7,"&lt;&gt;0")</f>
        <v>0</v>
      </c>
      <c r="DB120" s="27">
        <f t="shared" si="74"/>
        <v>0</v>
      </c>
      <c r="DC120" s="27">
        <f t="shared" si="74"/>
        <v>0</v>
      </c>
      <c r="DD120" s="27">
        <f t="shared" si="74"/>
        <v>0</v>
      </c>
      <c r="DE120" s="27">
        <f t="shared" si="74"/>
        <v>0</v>
      </c>
      <c r="DF120" s="27">
        <f t="shared" si="74"/>
        <v>0</v>
      </c>
      <c r="DG120" s="141" t="str">
        <f t="shared" si="70"/>
        <v>Factor not ranked</v>
      </c>
      <c r="DH120" s="14"/>
      <c r="DI120" s="47"/>
      <c r="DJ120" s="14"/>
      <c r="DK120" s="56"/>
      <c r="DL120" s="19"/>
      <c r="DM120" s="59"/>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row>
    <row r="121" spans="1:142" x14ac:dyDescent="0.25">
      <c r="A121" s="14"/>
      <c r="B121" s="62"/>
      <c r="C121" s="19"/>
      <c r="D121" s="59"/>
      <c r="E121" s="14"/>
      <c r="F121" s="14"/>
      <c r="G121" s="14"/>
      <c r="H121" s="21"/>
      <c r="I121" s="21"/>
      <c r="J121" s="14"/>
      <c r="K121" s="14"/>
      <c r="L121" s="14"/>
      <c r="M121" s="14"/>
      <c r="N121" s="14"/>
      <c r="O121" s="14"/>
      <c r="P121" s="14"/>
      <c r="Q121" s="47"/>
      <c r="R121" s="19"/>
      <c r="S121" s="19"/>
      <c r="T121" s="19"/>
      <c r="U121" s="19"/>
      <c r="V121" s="19"/>
      <c r="W121" s="14"/>
      <c r="X121" s="14"/>
      <c r="Y121" s="14"/>
      <c r="Z121" s="14"/>
      <c r="AA121" s="14"/>
      <c r="AB121" s="14"/>
      <c r="AC121" s="14"/>
      <c r="AD121" s="65"/>
      <c r="AE121" s="63"/>
      <c r="AF121" s="47"/>
      <c r="AG121" s="19"/>
      <c r="AH121" s="19"/>
      <c r="AI121" s="19"/>
      <c r="AJ121" s="19"/>
      <c r="AK121" s="19"/>
      <c r="AL121" s="14"/>
      <c r="AM121" s="14"/>
      <c r="AN121" s="14"/>
      <c r="AO121" s="14"/>
      <c r="AP121" s="14"/>
      <c r="AQ121" s="14"/>
      <c r="AR121" s="14"/>
      <c r="AS121" s="65"/>
      <c r="AT121" s="63"/>
      <c r="AU121" s="47"/>
      <c r="AV121" s="14"/>
      <c r="AW121" s="19"/>
      <c r="AX121" s="19"/>
      <c r="AY121" s="19"/>
      <c r="AZ121" s="19"/>
      <c r="BA121" s="14"/>
      <c r="BB121" s="14"/>
      <c r="BC121" s="14"/>
      <c r="BD121" s="14"/>
      <c r="BE121" s="14"/>
      <c r="BF121" s="14"/>
      <c r="BG121" s="14"/>
      <c r="BH121" s="65"/>
      <c r="BI121" s="63"/>
      <c r="BJ121" s="352"/>
      <c r="BK121" s="19"/>
      <c r="BL121" s="19"/>
      <c r="BM121" s="19"/>
      <c r="BN121" s="19"/>
      <c r="BO121" s="19"/>
      <c r="BP121" s="14"/>
      <c r="BQ121" s="14"/>
      <c r="BR121" s="14"/>
      <c r="BS121" s="14"/>
      <c r="BT121" s="14"/>
      <c r="BU121" s="14"/>
      <c r="BV121" s="14"/>
      <c r="BW121" s="65"/>
      <c r="BX121" s="63"/>
      <c r="BY121" s="352"/>
      <c r="BZ121" s="14"/>
      <c r="CA121" s="140" t="s">
        <v>147</v>
      </c>
      <c r="CB121" s="27">
        <f>COUNTIFS(S30_stakeholder_category,"PU",Response_Q177_7,"&lt;&gt;0",Response_Q173_7,"&lt;&gt;0")</f>
        <v>0</v>
      </c>
      <c r="CC121" s="37">
        <f>COUNTIFS(S30_stakeholder_category,"PU",Response_Q177_7,1,Response_Q173_7,"&lt;&gt;0")</f>
        <v>0</v>
      </c>
      <c r="CD121" s="37">
        <f>COUNTIFS(S30_stakeholder_category,"PU",Response_Q177_7,2,Response_Q173_7,"&lt;&gt;0")</f>
        <v>0</v>
      </c>
      <c r="CE121" s="37">
        <f>COUNTIFS(S30_stakeholder_category,"PU",Response_Q177_7,3,Response_Q173_7,"&lt;&gt;0")</f>
        <v>0</v>
      </c>
      <c r="CF121" s="97">
        <f>IF(CB112=0,0,SUMPRODUCT(CC121:CE121,Rank_score)/$CB112)</f>
        <v>0</v>
      </c>
      <c r="CG121" s="14"/>
      <c r="CH121" s="140" t="s">
        <v>147</v>
      </c>
      <c r="CI121" s="27">
        <f t="shared" ref="CI121:CN121" si="75">COUNTIFS(S30_stakeholder_category,"PU",Response_Q177_7,"&lt;&gt;0",Response_Q177_8,CI$63,Response_Q173_7,"&lt;&gt;0")</f>
        <v>0</v>
      </c>
      <c r="CJ121" s="27">
        <f t="shared" si="75"/>
        <v>0</v>
      </c>
      <c r="CK121" s="27">
        <f t="shared" si="75"/>
        <v>0</v>
      </c>
      <c r="CL121" s="27">
        <f t="shared" si="75"/>
        <v>0</v>
      </c>
      <c r="CM121" s="27">
        <f t="shared" si="75"/>
        <v>0</v>
      </c>
      <c r="CN121" s="27">
        <f t="shared" si="75"/>
        <v>0</v>
      </c>
      <c r="CO121" s="141" t="str">
        <f t="shared" si="68"/>
        <v>Factor not ranked</v>
      </c>
      <c r="CP121" s="14"/>
      <c r="CQ121" s="47"/>
      <c r="CR121" s="14"/>
      <c r="CS121" s="106" t="s">
        <v>345</v>
      </c>
      <c r="CT121" s="27">
        <f>COUNTIFS(S30_stakeholder_category,"PU",Response_Q178_7,"&lt;&gt;0",Response_Q173_7,"&lt;&gt;0")</f>
        <v>1</v>
      </c>
      <c r="CU121" s="37">
        <f>COUNTIFS(S30_stakeholder_category,"PU",Response_Q178_7,1,Response_Q173_7,"&lt;&gt;0")</f>
        <v>0</v>
      </c>
      <c r="CV121" s="37">
        <f>COUNTIFS(S30_stakeholder_category,"PU",Response_Q178_7,2,Response_Q173_7,"&lt;&gt;0")</f>
        <v>1</v>
      </c>
      <c r="CW121" s="37">
        <f>COUNTIFS(S30_stakeholder_category,"PU",Response_Q178_7,3,Response_Q173_7,"&lt;&gt;0")</f>
        <v>0</v>
      </c>
      <c r="CX121" s="37">
        <f>IF(CT112=0,0,SUMPRODUCT(CU121:CW121,Rank_score)/CT$58)</f>
        <v>0.66666666666666663</v>
      </c>
      <c r="CY121" s="14"/>
      <c r="CZ121" s="106" t="s">
        <v>345</v>
      </c>
      <c r="DA121" s="27">
        <f t="shared" ref="DA121:DF121" si="76">COUNTIFS(S30_stakeholder_category,"PU",Response_Q178_7,"&lt;&gt;0",Response_Q178_8,DA$63,Response_Q173_7,"&lt;&gt;0")</f>
        <v>0</v>
      </c>
      <c r="DB121" s="27">
        <f t="shared" si="76"/>
        <v>0</v>
      </c>
      <c r="DC121" s="27">
        <f t="shared" si="76"/>
        <v>0</v>
      </c>
      <c r="DD121" s="27">
        <f t="shared" si="76"/>
        <v>0</v>
      </c>
      <c r="DE121" s="27">
        <f t="shared" si="76"/>
        <v>0</v>
      </c>
      <c r="DF121" s="27">
        <f t="shared" si="76"/>
        <v>0</v>
      </c>
      <c r="DG121" s="141" t="str">
        <f t="shared" si="70"/>
        <v>Ranked, but likelihood not estimated</v>
      </c>
      <c r="DH121" s="14"/>
      <c r="DI121" s="47"/>
      <c r="DJ121" s="14"/>
      <c r="DK121" s="14"/>
      <c r="DL121" s="19"/>
      <c r="DM121" s="59"/>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row>
    <row r="122" spans="1:142" x14ac:dyDescent="0.25">
      <c r="A122" s="14"/>
      <c r="B122" s="62"/>
      <c r="C122" s="19"/>
      <c r="D122" s="59"/>
      <c r="E122" s="14"/>
      <c r="F122" s="14"/>
      <c r="G122" s="14"/>
      <c r="H122" s="21"/>
      <c r="I122" s="21"/>
      <c r="J122" s="14"/>
      <c r="K122" s="14"/>
      <c r="L122" s="14"/>
      <c r="M122" s="14"/>
      <c r="N122" s="14"/>
      <c r="O122" s="14"/>
      <c r="P122" s="14"/>
      <c r="Q122" s="47"/>
      <c r="R122" s="19"/>
      <c r="S122" s="19"/>
      <c r="T122" s="19"/>
      <c r="U122" s="59"/>
      <c r="V122" s="19"/>
      <c r="W122" s="14"/>
      <c r="X122" s="14"/>
      <c r="Y122" s="14"/>
      <c r="Z122" s="14"/>
      <c r="AA122" s="14"/>
      <c r="AB122" s="14"/>
      <c r="AC122" s="14"/>
      <c r="AD122" s="65"/>
      <c r="AE122" s="63"/>
      <c r="AF122" s="47"/>
      <c r="AG122" s="19"/>
      <c r="AH122" s="19"/>
      <c r="AI122" s="19"/>
      <c r="AJ122" s="59"/>
      <c r="AK122" s="19"/>
      <c r="AL122" s="14"/>
      <c r="AM122" s="14"/>
      <c r="AN122" s="14"/>
      <c r="AO122" s="14"/>
      <c r="AP122" s="14"/>
      <c r="AQ122" s="14"/>
      <c r="AR122" s="14"/>
      <c r="AS122" s="65"/>
      <c r="AT122" s="63"/>
      <c r="AU122" s="47"/>
      <c r="AV122" s="14"/>
      <c r="AW122" s="19"/>
      <c r="AX122" s="19"/>
      <c r="AY122" s="59"/>
      <c r="AZ122" s="19"/>
      <c r="BA122" s="14"/>
      <c r="BB122" s="14"/>
      <c r="BC122" s="14"/>
      <c r="BD122" s="14"/>
      <c r="BE122" s="14"/>
      <c r="BF122" s="14"/>
      <c r="BG122" s="14"/>
      <c r="BH122" s="65"/>
      <c r="BI122" s="63"/>
      <c r="BJ122" s="352"/>
      <c r="BK122" s="19"/>
      <c r="BL122" s="19"/>
      <c r="BM122" s="19"/>
      <c r="BN122" s="59"/>
      <c r="BO122" s="19"/>
      <c r="BP122" s="14"/>
      <c r="BQ122" s="14"/>
      <c r="BR122" s="14"/>
      <c r="BS122" s="14"/>
      <c r="BT122" s="14"/>
      <c r="BU122" s="14"/>
      <c r="BV122" s="14"/>
      <c r="BW122" s="65"/>
      <c r="BX122" s="63"/>
      <c r="BY122" s="352"/>
      <c r="BZ122" s="14"/>
      <c r="CA122" s="140" t="s">
        <v>341</v>
      </c>
      <c r="CB122" s="27">
        <f>COUNTIFS(S30_stakeholder_category,"PU",Response_Q177_9,"&lt;&gt;0",Response_Q173_7,"&lt;&gt;0")</f>
        <v>0</v>
      </c>
      <c r="CC122" s="37">
        <f>COUNTIFS(S30_stakeholder_category,"PU",Response_Q177_9,1,Response_Q173_7,"&lt;&gt;0")</f>
        <v>0</v>
      </c>
      <c r="CD122" s="37">
        <f>COUNTIFS(S30_stakeholder_category,"PU",Response_Q177_9,2,Response_Q173_7,"&lt;&gt;0")</f>
        <v>0</v>
      </c>
      <c r="CE122" s="37">
        <f>COUNTIFS(S30_stakeholder_category,"PU",Response_Q177_9,3,Response_Q173_7,"&lt;&gt;0")</f>
        <v>0</v>
      </c>
      <c r="CF122" s="97">
        <f>IF(CB112=0,0,SUMPRODUCT(CC122:CE122,Rank_score)/$CB112)</f>
        <v>0</v>
      </c>
      <c r="CG122" s="14"/>
      <c r="CH122" s="140" t="s">
        <v>341</v>
      </c>
      <c r="CI122" s="27">
        <f t="shared" ref="CI122:CN122" si="77">COUNTIFS(S30_stakeholder_category,"PU",Response_Q177_9,"&lt;&gt;0",Response_Q177_10,CI$63,Response_Q173_7,"&lt;&gt;0")</f>
        <v>0</v>
      </c>
      <c r="CJ122" s="27">
        <f t="shared" si="77"/>
        <v>0</v>
      </c>
      <c r="CK122" s="27">
        <f t="shared" si="77"/>
        <v>0</v>
      </c>
      <c r="CL122" s="27">
        <f t="shared" si="77"/>
        <v>0</v>
      </c>
      <c r="CM122" s="27">
        <f t="shared" si="77"/>
        <v>0</v>
      </c>
      <c r="CN122" s="27">
        <f t="shared" si="77"/>
        <v>0</v>
      </c>
      <c r="CO122" s="141" t="str">
        <f t="shared" si="68"/>
        <v>Factor not ranked</v>
      </c>
      <c r="CP122" s="14"/>
      <c r="CQ122" s="47"/>
      <c r="CR122" s="14"/>
      <c r="CS122" s="106" t="s">
        <v>561</v>
      </c>
      <c r="CT122" s="27">
        <f>COUNTIFS(S30_stakeholder_category,"PU",Response_Q178_9,"&lt;&gt;0",Response_Q173_7,"&lt;&gt;0")</f>
        <v>0</v>
      </c>
      <c r="CU122" s="37">
        <f>COUNTIFS(S30_stakeholder_category,"PU",Response_Q178_9,1,Response_Q173_7,"&lt;&gt;0")</f>
        <v>0</v>
      </c>
      <c r="CV122" s="37">
        <f>COUNTIFS(S30_stakeholder_category,"PU",Response_Q178_9,2,Response_Q173_7,"&lt;&gt;0")</f>
        <v>0</v>
      </c>
      <c r="CW122" s="37">
        <f>COUNTIFS(S30_stakeholder_category,"PU",Response_Q178_9,3,Response_Q173_7,"&lt;&gt;0")</f>
        <v>0</v>
      </c>
      <c r="CX122" s="37">
        <f>IF(CT112=0,0,SUMPRODUCT(CU122:CW122,Rank_score)/CT$58)</f>
        <v>0</v>
      </c>
      <c r="CY122" s="14"/>
      <c r="CZ122" s="106" t="s">
        <v>561</v>
      </c>
      <c r="DA122" s="27">
        <f t="shared" ref="DA122:DF122" si="78">COUNTIFS(S30_stakeholder_category,"PU",Response_Q178_9,"&lt;&gt;0",Response_Q178_10,DA$63,Response_Q173_7,"&lt;&gt;0")</f>
        <v>0</v>
      </c>
      <c r="DB122" s="27">
        <f t="shared" si="78"/>
        <v>0</v>
      </c>
      <c r="DC122" s="27">
        <f t="shared" si="78"/>
        <v>0</v>
      </c>
      <c r="DD122" s="27">
        <f t="shared" si="78"/>
        <v>0</v>
      </c>
      <c r="DE122" s="27">
        <f t="shared" si="78"/>
        <v>0</v>
      </c>
      <c r="DF122" s="27">
        <f t="shared" si="78"/>
        <v>0</v>
      </c>
      <c r="DG122" s="141" t="str">
        <f t="shared" si="70"/>
        <v>Factor not ranked</v>
      </c>
      <c r="DH122" s="14"/>
      <c r="DI122" s="47"/>
      <c r="DJ122" s="14"/>
      <c r="DK122" s="14"/>
      <c r="DL122" s="19"/>
      <c r="DM122" s="59"/>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row>
    <row r="123" spans="1:142" x14ac:dyDescent="0.25">
      <c r="A123" s="14"/>
      <c r="B123" s="62"/>
      <c r="C123" s="19"/>
      <c r="D123" s="59"/>
      <c r="E123" s="14"/>
      <c r="F123" s="14"/>
      <c r="G123" s="14"/>
      <c r="H123" s="21"/>
      <c r="I123" s="21"/>
      <c r="J123" s="14"/>
      <c r="K123" s="14"/>
      <c r="L123" s="14"/>
      <c r="M123" s="14"/>
      <c r="N123" s="14"/>
      <c r="O123" s="14"/>
      <c r="P123" s="14"/>
      <c r="Q123" s="47"/>
      <c r="R123" s="19"/>
      <c r="S123" s="19"/>
      <c r="T123" s="19"/>
      <c r="U123" s="59"/>
      <c r="V123" s="19"/>
      <c r="W123" s="14"/>
      <c r="X123" s="14"/>
      <c r="Y123" s="14"/>
      <c r="Z123" s="14"/>
      <c r="AA123" s="14"/>
      <c r="AB123" s="14"/>
      <c r="AC123" s="14"/>
      <c r="AD123" s="65"/>
      <c r="AE123" s="63"/>
      <c r="AF123" s="47"/>
      <c r="AG123" s="19"/>
      <c r="AH123" s="19"/>
      <c r="AI123" s="19"/>
      <c r="AJ123" s="59"/>
      <c r="AK123" s="19"/>
      <c r="AL123" s="14"/>
      <c r="AM123" s="14"/>
      <c r="AN123" s="14"/>
      <c r="AO123" s="14"/>
      <c r="AP123" s="14"/>
      <c r="AQ123" s="14"/>
      <c r="AR123" s="14"/>
      <c r="AS123" s="65"/>
      <c r="AT123" s="63"/>
      <c r="AU123" s="47"/>
      <c r="AV123" s="14"/>
      <c r="AW123" s="19"/>
      <c r="AX123" s="19"/>
      <c r="AY123" s="59"/>
      <c r="AZ123" s="19"/>
      <c r="BA123" s="14"/>
      <c r="BB123" s="14"/>
      <c r="BC123" s="14"/>
      <c r="BD123" s="14"/>
      <c r="BE123" s="14"/>
      <c r="BF123" s="14"/>
      <c r="BG123" s="14"/>
      <c r="BH123" s="65"/>
      <c r="BI123" s="63"/>
      <c r="BJ123" s="352"/>
      <c r="BK123" s="19"/>
      <c r="BL123" s="19"/>
      <c r="BM123" s="19"/>
      <c r="BN123" s="59"/>
      <c r="BO123" s="19"/>
      <c r="BP123" s="14"/>
      <c r="BQ123" s="14"/>
      <c r="BR123" s="14"/>
      <c r="BS123" s="14"/>
      <c r="BT123" s="14"/>
      <c r="BU123" s="14"/>
      <c r="BV123" s="14"/>
      <c r="BW123" s="65"/>
      <c r="BX123" s="63"/>
      <c r="BY123" s="352"/>
      <c r="BZ123" s="14"/>
      <c r="CA123" s="106" t="s">
        <v>148</v>
      </c>
      <c r="CB123" s="27">
        <f>COUNTIFS(S30_stakeholder_category,"PU",Response_Q177_11,"&lt;&gt;0",Response_Q173_7,"&lt;&gt;0")</f>
        <v>0</v>
      </c>
      <c r="CC123" s="37">
        <f>COUNTIFS(S30_stakeholder_category,"PU",Response_Q177_11,1,Response_Q173_7,"&lt;&gt;0")</f>
        <v>0</v>
      </c>
      <c r="CD123" s="37">
        <f>COUNTIFS(S30_stakeholder_category,"PU",Response_Q177_11,2,Response_Q173_7,"&lt;&gt;0")</f>
        <v>0</v>
      </c>
      <c r="CE123" s="37">
        <f>COUNTIFS(S30_stakeholder_category,"PU",Response_Q177_11,3,Response_Q173_7,"&lt;&gt;0")</f>
        <v>0</v>
      </c>
      <c r="CF123" s="97">
        <f>IF(CB112=0,0,SUMPRODUCT(CC123:CE123,Rank_score)/$CB112)</f>
        <v>0</v>
      </c>
      <c r="CG123" s="43"/>
      <c r="CH123" s="106" t="s">
        <v>148</v>
      </c>
      <c r="CI123" s="27">
        <f t="shared" ref="CI123:CN123" si="79">COUNTIFS(S30_stakeholder_category,"PU",Response_Q177_11,"&lt;&gt;0",Response_Q177_12,CI$63,Response_Q173_7,"&lt;&gt;0")</f>
        <v>0</v>
      </c>
      <c r="CJ123" s="27">
        <f t="shared" si="79"/>
        <v>0</v>
      </c>
      <c r="CK123" s="27">
        <f t="shared" si="79"/>
        <v>0</v>
      </c>
      <c r="CL123" s="27">
        <f t="shared" si="79"/>
        <v>0</v>
      </c>
      <c r="CM123" s="27">
        <f t="shared" si="79"/>
        <v>0</v>
      </c>
      <c r="CN123" s="27">
        <f t="shared" si="79"/>
        <v>0</v>
      </c>
      <c r="CO123" s="141" t="str">
        <f t="shared" si="68"/>
        <v>Factor not ranked</v>
      </c>
      <c r="CP123" s="14"/>
      <c r="CQ123" s="47"/>
      <c r="CR123" s="14"/>
      <c r="CS123" s="106" t="s">
        <v>49</v>
      </c>
      <c r="CT123" s="27">
        <f>COUNTIFS(S30_stakeholder_category,"PU",Response_Q178_11,"&lt;&gt;0",Response_Q173_7,"&lt;&gt;0")</f>
        <v>0</v>
      </c>
      <c r="CU123" s="37">
        <f>COUNTIFS(S30_stakeholder_category,"PU",Response_Q178_11,1,Response_Q173_7,"&lt;&gt;0")</f>
        <v>0</v>
      </c>
      <c r="CV123" s="37">
        <f>COUNTIFS(S30_stakeholder_category,"PU",Response_Q178_11,2,Response_Q173_7,"&lt;&gt;0")</f>
        <v>0</v>
      </c>
      <c r="CW123" s="37">
        <f>COUNTIFS(S30_stakeholder_category,"PU",Response_Q178_11,3,Response_Q173_7,"&lt;&gt;0")</f>
        <v>0</v>
      </c>
      <c r="CX123" s="37">
        <f>IF(CT112=0,0,SUMPRODUCT(CU123:CW123,Rank_score)/CT$58)</f>
        <v>0</v>
      </c>
      <c r="CY123" s="43"/>
      <c r="CZ123" s="106" t="s">
        <v>49</v>
      </c>
      <c r="DA123" s="27">
        <f t="shared" ref="DA123:DF123" si="80">COUNTIFS(S30_stakeholder_category,"PU",Response_Q178_11,"&lt;&gt;0",Response_Q178_12,DA$63,Response_Q173_7,"&lt;&gt;0")</f>
        <v>0</v>
      </c>
      <c r="DB123" s="27">
        <f t="shared" si="80"/>
        <v>0</v>
      </c>
      <c r="DC123" s="27">
        <f t="shared" si="80"/>
        <v>0</v>
      </c>
      <c r="DD123" s="27">
        <f t="shared" si="80"/>
        <v>0</v>
      </c>
      <c r="DE123" s="27">
        <f t="shared" si="80"/>
        <v>0</v>
      </c>
      <c r="DF123" s="27">
        <f t="shared" si="80"/>
        <v>0</v>
      </c>
      <c r="DG123" s="141" t="str">
        <f t="shared" si="70"/>
        <v>Factor not ranked</v>
      </c>
      <c r="DH123" s="14"/>
      <c r="DI123" s="47"/>
      <c r="DJ123" s="14"/>
      <c r="DK123" s="14"/>
      <c r="DL123" s="19"/>
      <c r="DM123" s="59"/>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row>
    <row r="124" spans="1:142" x14ac:dyDescent="0.25">
      <c r="A124" s="14"/>
      <c r="B124" s="62"/>
      <c r="C124" s="19"/>
      <c r="D124" s="59"/>
      <c r="E124" s="14"/>
      <c r="F124" s="14"/>
      <c r="G124" s="14"/>
      <c r="H124" s="21"/>
      <c r="I124" s="21"/>
      <c r="J124" s="14"/>
      <c r="K124" s="14"/>
      <c r="L124" s="14"/>
      <c r="M124" s="14"/>
      <c r="N124" s="14"/>
      <c r="O124" s="14"/>
      <c r="P124" s="14"/>
      <c r="Q124" s="47"/>
      <c r="R124" s="19"/>
      <c r="S124" s="56"/>
      <c r="T124" s="29"/>
      <c r="U124" s="27"/>
      <c r="V124" s="19"/>
      <c r="W124" s="14"/>
      <c r="X124" s="14"/>
      <c r="Y124" s="14"/>
      <c r="Z124" s="14"/>
      <c r="AA124" s="14"/>
      <c r="AB124" s="14"/>
      <c r="AC124" s="14"/>
      <c r="AD124" s="65"/>
      <c r="AE124" s="63"/>
      <c r="AF124" s="47"/>
      <c r="AG124" s="19"/>
      <c r="AH124" s="56"/>
      <c r="AI124" s="29"/>
      <c r="AJ124" s="27"/>
      <c r="AK124" s="19"/>
      <c r="AL124" s="14"/>
      <c r="AM124" s="14"/>
      <c r="AN124" s="14"/>
      <c r="AO124" s="14"/>
      <c r="AP124" s="14"/>
      <c r="AQ124" s="14"/>
      <c r="AR124" s="14"/>
      <c r="AS124" s="65"/>
      <c r="AT124" s="63"/>
      <c r="AU124" s="47"/>
      <c r="AV124" s="14"/>
      <c r="AW124" s="56"/>
      <c r="AX124" s="29"/>
      <c r="AY124" s="27"/>
      <c r="AZ124" s="19"/>
      <c r="BA124" s="14"/>
      <c r="BB124" s="14"/>
      <c r="BC124" s="14"/>
      <c r="BD124" s="14"/>
      <c r="BE124" s="14"/>
      <c r="BF124" s="14"/>
      <c r="BG124" s="14"/>
      <c r="BH124" s="65"/>
      <c r="BI124" s="63"/>
      <c r="BJ124" s="352"/>
      <c r="BK124" s="19"/>
      <c r="BL124" s="56"/>
      <c r="BM124" s="29"/>
      <c r="BN124" s="27"/>
      <c r="BO124" s="19"/>
      <c r="BP124" s="14"/>
      <c r="BQ124" s="14"/>
      <c r="BR124" s="14"/>
      <c r="BS124" s="14"/>
      <c r="BT124" s="14"/>
      <c r="BU124" s="14"/>
      <c r="BV124" s="14"/>
      <c r="BW124" s="65"/>
      <c r="BX124" s="63"/>
      <c r="BY124" s="352"/>
      <c r="BZ124" s="14"/>
      <c r="CA124" s="107" t="s">
        <v>49</v>
      </c>
      <c r="CB124" s="27">
        <f>COUNTIFS(S30_stakeholder_category,"PU",Response_Q177_13,"&lt;&gt;0",Response_Q173_7,"&lt;&gt;0")</f>
        <v>0</v>
      </c>
      <c r="CC124" s="37">
        <f>COUNTIFS(S30_stakeholder_category,"PU",Response_Q177_13,1,Response_Q173_7,"&lt;&gt;0")</f>
        <v>0</v>
      </c>
      <c r="CD124" s="37">
        <f>COUNTIFS(S30_stakeholder_category,"PU",Response_Q177_13,2,Response_Q173_7,"&lt;&gt;0")</f>
        <v>0</v>
      </c>
      <c r="CE124" s="37">
        <f>COUNTIFS(S30_stakeholder_category,"PU",Response_Q177_13,3,Response_Q173_7,"&lt;&gt;0")</f>
        <v>0</v>
      </c>
      <c r="CF124" s="97">
        <f>IF(CB112=0,0,SUMPRODUCT(CC124:CE124,Rank_score)/$CB112)</f>
        <v>0</v>
      </c>
      <c r="CG124" s="29"/>
      <c r="CH124" s="107" t="s">
        <v>49</v>
      </c>
      <c r="CI124" s="27">
        <f t="shared" ref="CI124:CN124" si="81">COUNTIFS(S30_stakeholder_category,"PU",Response_Q177_13,"&lt;&gt;0",Response_Q177_14,CI$63,Response_Q173_7,"&lt;&gt;0")</f>
        <v>0</v>
      </c>
      <c r="CJ124" s="27">
        <f t="shared" si="81"/>
        <v>0</v>
      </c>
      <c r="CK124" s="27">
        <f t="shared" si="81"/>
        <v>0</v>
      </c>
      <c r="CL124" s="27">
        <f t="shared" si="81"/>
        <v>0</v>
      </c>
      <c r="CM124" s="27">
        <f t="shared" si="81"/>
        <v>0</v>
      </c>
      <c r="CN124" s="27">
        <f t="shared" si="81"/>
        <v>0</v>
      </c>
      <c r="CO124" s="141" t="str">
        <f t="shared" si="68"/>
        <v>Factor not ranked</v>
      </c>
      <c r="CP124" s="14"/>
      <c r="CQ124" s="47"/>
      <c r="CR124" s="14"/>
      <c r="CS124" s="107"/>
      <c r="CT124" s="27"/>
      <c r="CU124" s="37"/>
      <c r="CV124" s="37"/>
      <c r="CW124" s="37"/>
      <c r="CX124" s="37"/>
      <c r="CY124" s="29"/>
      <c r="CZ124" s="106"/>
      <c r="DA124" s="27"/>
      <c r="DB124" s="27"/>
      <c r="DC124" s="27"/>
      <c r="DD124" s="27"/>
      <c r="DE124" s="27"/>
      <c r="DF124" s="27"/>
      <c r="DG124" s="141" t="str">
        <f t="shared" si="70"/>
        <v/>
      </c>
      <c r="DH124" s="14"/>
      <c r="DI124" s="47"/>
      <c r="DJ124" s="14"/>
      <c r="DK124" s="62"/>
      <c r="DL124" s="19"/>
      <c r="DM124" s="59"/>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row>
    <row r="125" spans="1:142" x14ac:dyDescent="0.25">
      <c r="A125" s="14"/>
      <c r="B125" s="62"/>
      <c r="C125" s="19"/>
      <c r="D125" s="59"/>
      <c r="E125" s="14"/>
      <c r="F125" s="14"/>
      <c r="G125" s="109" t="s">
        <v>14</v>
      </c>
      <c r="H125" s="110" t="s">
        <v>6</v>
      </c>
      <c r="I125" s="110" t="s">
        <v>7</v>
      </c>
      <c r="J125" s="14"/>
      <c r="K125" s="14"/>
      <c r="L125" s="14"/>
      <c r="M125" s="14"/>
      <c r="N125" s="14"/>
      <c r="O125" s="14"/>
      <c r="P125" s="14"/>
      <c r="Q125" s="47"/>
      <c r="R125" s="19"/>
      <c r="S125" s="56"/>
      <c r="T125" s="19"/>
      <c r="U125" s="27"/>
      <c r="V125" s="19"/>
      <c r="W125" s="14"/>
      <c r="X125" s="109" t="s">
        <v>14</v>
      </c>
      <c r="Y125" s="110" t="s">
        <v>6</v>
      </c>
      <c r="Z125" s="110" t="s">
        <v>7</v>
      </c>
      <c r="AA125" s="14"/>
      <c r="AB125" s="14"/>
      <c r="AC125" s="14"/>
      <c r="AD125" s="65"/>
      <c r="AE125" s="63"/>
      <c r="AF125" s="47"/>
      <c r="AG125" s="19"/>
      <c r="AH125" s="56"/>
      <c r="AI125" s="19"/>
      <c r="AJ125" s="27"/>
      <c r="AK125" s="19"/>
      <c r="AL125" s="14"/>
      <c r="AM125" s="109" t="s">
        <v>14</v>
      </c>
      <c r="AN125" s="110" t="s">
        <v>6</v>
      </c>
      <c r="AO125" s="110" t="s">
        <v>7</v>
      </c>
      <c r="AP125" s="14"/>
      <c r="AQ125" s="14"/>
      <c r="AR125" s="14"/>
      <c r="AS125" s="65"/>
      <c r="AT125" s="63"/>
      <c r="AU125" s="47"/>
      <c r="AV125" s="14"/>
      <c r="AW125" s="56"/>
      <c r="AX125" s="19"/>
      <c r="AY125" s="27"/>
      <c r="AZ125" s="19"/>
      <c r="BA125" s="14"/>
      <c r="BB125" s="109" t="s">
        <v>14</v>
      </c>
      <c r="BC125" s="110" t="s">
        <v>6</v>
      </c>
      <c r="BD125" s="110" t="s">
        <v>7</v>
      </c>
      <c r="BE125" s="14"/>
      <c r="BF125" s="14"/>
      <c r="BG125" s="14"/>
      <c r="BH125" s="65"/>
      <c r="BI125" s="63"/>
      <c r="BJ125" s="352"/>
      <c r="BK125" s="19"/>
      <c r="BL125" s="56"/>
      <c r="BM125" s="19"/>
      <c r="BN125" s="27"/>
      <c r="BO125" s="19"/>
      <c r="BP125" s="14"/>
      <c r="BQ125" s="109" t="s">
        <v>14</v>
      </c>
      <c r="BR125" s="110" t="s">
        <v>6</v>
      </c>
      <c r="BS125" s="110" t="s">
        <v>7</v>
      </c>
      <c r="BT125" s="14"/>
      <c r="BU125" s="14"/>
      <c r="BV125" s="14"/>
      <c r="BW125" s="65"/>
      <c r="BX125" s="63"/>
      <c r="BY125" s="352"/>
      <c r="BZ125" s="14"/>
      <c r="CA125" s="86"/>
      <c r="CB125" s="111"/>
      <c r="CC125" s="111"/>
      <c r="CD125" s="179"/>
      <c r="CE125" s="179"/>
      <c r="CF125" s="108"/>
      <c r="CG125" s="29"/>
      <c r="CH125" s="109"/>
      <c r="CI125" s="109"/>
      <c r="CJ125" s="109"/>
      <c r="CK125" s="109"/>
      <c r="CL125" s="109"/>
      <c r="CM125" s="109"/>
      <c r="CN125" s="109"/>
      <c r="CO125" s="329"/>
      <c r="CP125" s="14"/>
      <c r="CQ125" s="47"/>
      <c r="CR125" s="14"/>
      <c r="CS125" s="107"/>
      <c r="CT125" s="27"/>
      <c r="CU125" s="37"/>
      <c r="CV125" s="37"/>
      <c r="CW125" s="37"/>
      <c r="CX125" s="37"/>
      <c r="CY125" s="29"/>
      <c r="CZ125" s="106"/>
      <c r="DA125" s="27"/>
      <c r="DB125" s="27"/>
      <c r="DC125" s="27"/>
      <c r="DD125" s="27"/>
      <c r="DE125" s="27"/>
      <c r="DF125" s="27"/>
      <c r="DG125" s="141" t="str">
        <f t="shared" si="70"/>
        <v/>
      </c>
      <c r="DH125" s="14"/>
      <c r="DI125" s="47"/>
      <c r="DJ125" s="14"/>
      <c r="DK125" s="62"/>
      <c r="DL125" s="19"/>
      <c r="DM125" s="59"/>
      <c r="DN125" s="14"/>
      <c r="DO125" s="14"/>
      <c r="DP125" s="109" t="s">
        <v>14</v>
      </c>
      <c r="DQ125" s="110" t="s">
        <v>6</v>
      </c>
      <c r="DR125" s="110" t="s">
        <v>7</v>
      </c>
      <c r="DS125" s="14"/>
      <c r="DT125" s="14"/>
      <c r="DU125" s="14"/>
      <c r="DV125" s="14"/>
      <c r="DW125" s="14"/>
      <c r="DX125" s="14"/>
      <c r="DY125" s="14"/>
      <c r="DZ125" s="14"/>
      <c r="EA125" s="14"/>
      <c r="EB125" s="14"/>
      <c r="EC125" s="14"/>
      <c r="ED125" s="14"/>
      <c r="EE125" s="14"/>
      <c r="EF125" s="14"/>
      <c r="EG125" s="14"/>
      <c r="EH125" s="14"/>
      <c r="EI125" s="14"/>
      <c r="EJ125" s="14"/>
      <c r="EK125" s="14"/>
      <c r="EL125" s="14"/>
    </row>
    <row r="126" spans="1:142" x14ac:dyDescent="0.25">
      <c r="A126" s="14"/>
      <c r="B126" s="19"/>
      <c r="C126" s="19"/>
      <c r="D126" s="59"/>
      <c r="E126" s="14"/>
      <c r="F126" s="14"/>
      <c r="G126" s="107" t="s">
        <v>34</v>
      </c>
      <c r="H126" s="27">
        <f>COUNTIFS(S30_stakeholder_category,"PU",Response_Q173_7,G126)</f>
        <v>2</v>
      </c>
      <c r="I126" s="41">
        <f>IFERROR(H126/H$131,"")</f>
        <v>1</v>
      </c>
      <c r="J126" s="14"/>
      <c r="K126" s="14"/>
      <c r="L126" s="14"/>
      <c r="M126" s="14"/>
      <c r="N126" s="14"/>
      <c r="O126" s="14"/>
      <c r="P126" s="14"/>
      <c r="Q126" s="47"/>
      <c r="R126" s="19"/>
      <c r="S126" s="19"/>
      <c r="T126" s="19"/>
      <c r="U126" s="27"/>
      <c r="V126" s="19"/>
      <c r="W126" s="14"/>
      <c r="X126" s="107" t="s">
        <v>5</v>
      </c>
      <c r="Y126" s="27">
        <f t="shared" ref="Y126:Y132" si="82">COUNTIFS(S30_stakeholder_category,"PU",Response_Q176_4,X126)</f>
        <v>0</v>
      </c>
      <c r="Z126" s="41">
        <f t="shared" ref="Z126:Z133" si="83">IFERROR(Y126/Y$133,0)</f>
        <v>0</v>
      </c>
      <c r="AA126" s="14"/>
      <c r="AB126" s="14"/>
      <c r="AC126" s="14"/>
      <c r="AD126" s="65"/>
      <c r="AE126" s="63"/>
      <c r="AF126" s="47"/>
      <c r="AG126" s="19"/>
      <c r="AH126" s="19"/>
      <c r="AI126" s="19"/>
      <c r="AJ126" s="27"/>
      <c r="AK126" s="19"/>
      <c r="AL126" s="14"/>
      <c r="AM126" s="107" t="s">
        <v>5</v>
      </c>
      <c r="AN126" s="27">
        <f t="shared" ref="AN126:AN132" si="84">COUNTIFS(S30_stakeholder_category,"PU",Response_30d_CaseA,AM126)</f>
        <v>0</v>
      </c>
      <c r="AO126" s="41">
        <f>IFERROR(AN126/AN$133,0)</f>
        <v>0</v>
      </c>
      <c r="AP126" s="14"/>
      <c r="AQ126" s="14"/>
      <c r="AR126" s="14"/>
      <c r="AS126" s="65"/>
      <c r="AT126" s="63"/>
      <c r="AU126" s="47"/>
      <c r="AV126" s="14"/>
      <c r="AW126" s="19"/>
      <c r="AX126" s="19"/>
      <c r="AY126" s="27"/>
      <c r="AZ126" s="19"/>
      <c r="BA126" s="14"/>
      <c r="BB126" s="107" t="s">
        <v>5</v>
      </c>
      <c r="BC126" s="27">
        <f t="shared" ref="BC126:BC132" si="85">COUNTIFS(S30_stakeholder_category,"PU",Response_30d_CaseB,BB126)</f>
        <v>0</v>
      </c>
      <c r="BD126" s="41">
        <f>IFERROR(BC126/BC$133,0)</f>
        <v>0</v>
      </c>
      <c r="BE126" s="14"/>
      <c r="BF126" s="14"/>
      <c r="BG126" s="14"/>
      <c r="BH126" s="65"/>
      <c r="BI126" s="63"/>
      <c r="BJ126" s="352"/>
      <c r="BK126" s="19"/>
      <c r="BL126" s="19"/>
      <c r="BM126" s="19"/>
      <c r="BN126" s="27"/>
      <c r="BO126" s="19"/>
      <c r="BP126" s="14"/>
      <c r="BQ126" s="107" t="s">
        <v>5</v>
      </c>
      <c r="BR126" s="27">
        <f t="shared" ref="BR126:BR132" si="86">COUNTIFS(S30_stakeholder_category,"PU",Response_30d_CaseC,BQ126)</f>
        <v>0</v>
      </c>
      <c r="BS126" s="41">
        <f>IFERROR(BR126/BR$133,0)</f>
        <v>0</v>
      </c>
      <c r="BT126" s="14"/>
      <c r="BU126" s="14"/>
      <c r="BV126" s="14"/>
      <c r="BW126" s="65"/>
      <c r="BX126" s="63"/>
      <c r="BY126" s="352"/>
      <c r="BZ126" s="14"/>
      <c r="CA126" s="19"/>
      <c r="CB126" s="27"/>
      <c r="CC126" s="27"/>
      <c r="CD126" s="37"/>
      <c r="CE126" s="181"/>
      <c r="CF126" s="31"/>
      <c r="CG126" s="52"/>
      <c r="CH126" s="52"/>
      <c r="CI126" s="99"/>
      <c r="CJ126" s="14"/>
      <c r="CK126" s="14"/>
      <c r="CL126" s="14"/>
      <c r="CM126" s="14"/>
      <c r="CN126" s="14"/>
      <c r="CO126" s="129"/>
      <c r="CP126" s="14"/>
      <c r="CQ126" s="47"/>
      <c r="CR126" s="14"/>
      <c r="CS126" s="86"/>
      <c r="CT126" s="111"/>
      <c r="CU126" s="86"/>
      <c r="CV126" s="179"/>
      <c r="CW126" s="188"/>
      <c r="CX126" s="179"/>
      <c r="CY126" s="29"/>
      <c r="CZ126" s="109"/>
      <c r="DA126" s="109"/>
      <c r="DB126" s="109"/>
      <c r="DC126" s="109"/>
      <c r="DD126" s="109"/>
      <c r="DE126" s="109"/>
      <c r="DF126" s="109"/>
      <c r="DG126" s="329"/>
      <c r="DH126" s="14"/>
      <c r="DI126" s="47"/>
      <c r="DJ126" s="14"/>
      <c r="DK126" s="62"/>
      <c r="DL126" s="19"/>
      <c r="DM126" s="59"/>
      <c r="DN126" s="14"/>
      <c r="DO126" s="14"/>
      <c r="DP126" s="107" t="s">
        <v>34</v>
      </c>
      <c r="DQ126" s="27">
        <f>COUNTIFS(S30_stakeholder_category,"PU",Response_Q172_1,DP126,Response_Q173_7,"&lt;&gt;0")</f>
        <v>0</v>
      </c>
      <c r="DR126" s="41">
        <f>IF(DQ131=0,"",DQ126/DQ131)</f>
        <v>0</v>
      </c>
      <c r="DS126" s="14"/>
      <c r="DT126" s="14"/>
      <c r="DU126" s="14"/>
      <c r="DV126" s="14"/>
      <c r="DW126" s="14"/>
      <c r="DX126" s="14"/>
      <c r="DY126" s="14"/>
      <c r="DZ126" s="14"/>
      <c r="EA126" s="14"/>
      <c r="EB126" s="14"/>
      <c r="EC126" s="14"/>
      <c r="ED126" s="14"/>
      <c r="EE126" s="14"/>
      <c r="EF126" s="14"/>
      <c r="EG126" s="14"/>
      <c r="EH126" s="14"/>
      <c r="EI126" s="14"/>
      <c r="EJ126" s="14"/>
      <c r="EK126" s="14"/>
      <c r="EL126" s="14"/>
    </row>
    <row r="127" spans="1:142" x14ac:dyDescent="0.25">
      <c r="A127" s="14"/>
      <c r="B127" s="19"/>
      <c r="C127" s="19"/>
      <c r="D127" s="59"/>
      <c r="E127" s="14"/>
      <c r="F127" s="14"/>
      <c r="G127" s="107" t="s">
        <v>35</v>
      </c>
      <c r="H127" s="27">
        <f>COUNTIFS(S30_stakeholder_category,"PU",Response_Q173_7,G127)</f>
        <v>0</v>
      </c>
      <c r="I127" s="41">
        <f t="shared" ref="I127:I131" si="87">IFERROR(H127/H$131,"")</f>
        <v>0</v>
      </c>
      <c r="J127" s="14"/>
      <c r="K127" s="14"/>
      <c r="L127" s="14"/>
      <c r="M127" s="14"/>
      <c r="N127" s="14"/>
      <c r="O127" s="14"/>
      <c r="P127" s="14"/>
      <c r="Q127" s="47"/>
      <c r="R127" s="19"/>
      <c r="S127" s="19"/>
      <c r="T127" s="19"/>
      <c r="U127" s="27"/>
      <c r="V127" s="19"/>
      <c r="W127" s="14"/>
      <c r="X127" s="107" t="s">
        <v>4</v>
      </c>
      <c r="Y127" s="27">
        <f t="shared" si="82"/>
        <v>1</v>
      </c>
      <c r="Z127" s="41">
        <f t="shared" si="83"/>
        <v>0.5</v>
      </c>
      <c r="AA127" s="14"/>
      <c r="AB127" s="14"/>
      <c r="AC127" s="14"/>
      <c r="AD127" s="65"/>
      <c r="AE127" s="63"/>
      <c r="AF127" s="47"/>
      <c r="AG127" s="19"/>
      <c r="AH127" s="19"/>
      <c r="AI127" s="19"/>
      <c r="AJ127" s="27"/>
      <c r="AK127" s="19"/>
      <c r="AL127" s="14"/>
      <c r="AM127" s="107" t="s">
        <v>4</v>
      </c>
      <c r="AN127" s="27">
        <f t="shared" si="84"/>
        <v>1</v>
      </c>
      <c r="AO127" s="41">
        <f t="shared" ref="AO127:AO133" si="88">IFERROR(AN127/AN$133,0)</f>
        <v>1</v>
      </c>
      <c r="AP127" s="14"/>
      <c r="AQ127" s="14"/>
      <c r="AR127" s="14"/>
      <c r="AS127" s="65"/>
      <c r="AT127" s="63"/>
      <c r="AU127" s="47"/>
      <c r="AV127" s="14"/>
      <c r="AW127" s="19"/>
      <c r="AX127" s="19"/>
      <c r="AY127" s="27"/>
      <c r="AZ127" s="19"/>
      <c r="BA127" s="14"/>
      <c r="BB127" s="107" t="s">
        <v>4</v>
      </c>
      <c r="BC127" s="27">
        <f t="shared" si="85"/>
        <v>1</v>
      </c>
      <c r="BD127" s="41">
        <f t="shared" ref="BD127:BD133" si="89">IFERROR(BC127/BC$133,0)</f>
        <v>1</v>
      </c>
      <c r="BE127" s="14"/>
      <c r="BF127" s="14"/>
      <c r="BG127" s="14"/>
      <c r="BH127" s="65"/>
      <c r="BI127" s="63"/>
      <c r="BJ127" s="352"/>
      <c r="BK127" s="19"/>
      <c r="BL127" s="19"/>
      <c r="BM127" s="19"/>
      <c r="BN127" s="27"/>
      <c r="BO127" s="19"/>
      <c r="BP127" s="14"/>
      <c r="BQ127" s="107" t="s">
        <v>4</v>
      </c>
      <c r="BR127" s="27">
        <f t="shared" si="86"/>
        <v>1</v>
      </c>
      <c r="BS127" s="41">
        <f t="shared" ref="BS127:BS133" si="90">IFERROR(BR127/BR$133,0)</f>
        <v>0.5</v>
      </c>
      <c r="BT127" s="14"/>
      <c r="BU127" s="14"/>
      <c r="BV127" s="14"/>
      <c r="BW127" s="65"/>
      <c r="BX127" s="63"/>
      <c r="BY127" s="352"/>
      <c r="BZ127" s="14"/>
      <c r="CA127" s="19"/>
      <c r="CB127" s="27"/>
      <c r="CC127" s="27"/>
      <c r="CD127" s="37"/>
      <c r="CE127" s="181"/>
      <c r="CF127" s="31"/>
      <c r="CG127" s="52"/>
      <c r="CH127" s="52"/>
      <c r="CI127" s="99"/>
      <c r="CJ127" s="14"/>
      <c r="CK127" s="14"/>
      <c r="CL127" s="14"/>
      <c r="CM127" s="14"/>
      <c r="CN127" s="14"/>
      <c r="CO127" s="129"/>
      <c r="CP127" s="14"/>
      <c r="CQ127" s="47"/>
      <c r="CR127" s="14"/>
      <c r="CS127" s="14"/>
      <c r="CT127" s="14"/>
      <c r="CU127" s="14"/>
      <c r="CV127" s="180"/>
      <c r="CW127" s="190"/>
      <c r="CX127" s="191"/>
      <c r="CY127" s="52"/>
      <c r="CZ127" s="52"/>
      <c r="DA127" s="54"/>
      <c r="DB127" s="14"/>
      <c r="DC127" s="14"/>
      <c r="DD127" s="14"/>
      <c r="DE127" s="14"/>
      <c r="DF127" s="14"/>
      <c r="DG127" s="129"/>
      <c r="DH127" s="14"/>
      <c r="DI127" s="47"/>
      <c r="DJ127" s="14"/>
      <c r="DK127" s="62"/>
      <c r="DL127" s="19"/>
      <c r="DM127" s="59"/>
      <c r="DN127" s="14"/>
      <c r="DO127" s="14"/>
      <c r="DP127" s="107" t="s">
        <v>35</v>
      </c>
      <c r="DQ127" s="27">
        <f>COUNTIFS(S30_stakeholder_category,"PU",Response_Q172_1,DP127,Response_Q173_7,"&lt;&gt;0")</f>
        <v>1</v>
      </c>
      <c r="DR127" s="41">
        <f>IF(DQ131=0,"",DQ127/DQ131)</f>
        <v>0.5</v>
      </c>
      <c r="DS127" s="14"/>
      <c r="DT127" s="14"/>
      <c r="DU127" s="14"/>
      <c r="DV127" s="14"/>
      <c r="DW127" s="14"/>
      <c r="DX127" s="14"/>
      <c r="DY127" s="14"/>
      <c r="DZ127" s="14"/>
      <c r="EA127" s="14"/>
      <c r="EB127" s="14"/>
      <c r="EC127" s="14"/>
      <c r="ED127" s="14"/>
      <c r="EE127" s="14"/>
      <c r="EF127" s="14"/>
      <c r="EG127" s="14"/>
      <c r="EH127" s="14"/>
      <c r="EI127" s="14"/>
      <c r="EJ127" s="14"/>
      <c r="EK127" s="14"/>
      <c r="EL127" s="14"/>
    </row>
    <row r="128" spans="1:142" x14ac:dyDescent="0.25">
      <c r="A128" s="14"/>
      <c r="B128" s="56"/>
      <c r="C128" s="29"/>
      <c r="D128" s="59"/>
      <c r="E128" s="14"/>
      <c r="F128" s="14"/>
      <c r="G128" s="107" t="s">
        <v>36</v>
      </c>
      <c r="H128" s="27">
        <f>COUNTIFS(S30_stakeholder_category,"PU",Response_Q173_7,G128)</f>
        <v>0</v>
      </c>
      <c r="I128" s="41">
        <f t="shared" si="87"/>
        <v>0</v>
      </c>
      <c r="J128" s="14"/>
      <c r="K128" s="14"/>
      <c r="L128" s="14"/>
      <c r="M128" s="14"/>
      <c r="N128" s="14"/>
      <c r="O128" s="14"/>
      <c r="P128" s="14"/>
      <c r="Q128" s="47"/>
      <c r="R128" s="19"/>
      <c r="S128" s="19"/>
      <c r="T128" s="19"/>
      <c r="U128" s="27"/>
      <c r="V128" s="19"/>
      <c r="W128" s="14"/>
      <c r="X128" s="107" t="s">
        <v>33</v>
      </c>
      <c r="Y128" s="27">
        <f t="shared" si="82"/>
        <v>0</v>
      </c>
      <c r="Z128" s="41">
        <f t="shared" si="83"/>
        <v>0</v>
      </c>
      <c r="AA128" s="14"/>
      <c r="AB128" s="14"/>
      <c r="AC128" s="14"/>
      <c r="AD128" s="65"/>
      <c r="AE128" s="63"/>
      <c r="AF128" s="47"/>
      <c r="AG128" s="19"/>
      <c r="AH128" s="19"/>
      <c r="AI128" s="19"/>
      <c r="AJ128" s="27"/>
      <c r="AK128" s="19"/>
      <c r="AL128" s="14"/>
      <c r="AM128" s="107" t="s">
        <v>33</v>
      </c>
      <c r="AN128" s="27">
        <f t="shared" si="84"/>
        <v>0</v>
      </c>
      <c r="AO128" s="41">
        <f t="shared" si="88"/>
        <v>0</v>
      </c>
      <c r="AP128" s="14"/>
      <c r="AQ128" s="14"/>
      <c r="AR128" s="14"/>
      <c r="AS128" s="65"/>
      <c r="AT128" s="63"/>
      <c r="AU128" s="47"/>
      <c r="AV128" s="14"/>
      <c r="AW128" s="19"/>
      <c r="AX128" s="19"/>
      <c r="AY128" s="27"/>
      <c r="AZ128" s="19"/>
      <c r="BA128" s="14"/>
      <c r="BB128" s="107" t="s">
        <v>33</v>
      </c>
      <c r="BC128" s="27">
        <f t="shared" si="85"/>
        <v>0</v>
      </c>
      <c r="BD128" s="41">
        <f t="shared" si="89"/>
        <v>0</v>
      </c>
      <c r="BE128" s="14"/>
      <c r="BF128" s="14"/>
      <c r="BG128" s="14"/>
      <c r="BH128" s="65"/>
      <c r="BI128" s="63"/>
      <c r="BJ128" s="352"/>
      <c r="BK128" s="19"/>
      <c r="BL128" s="19"/>
      <c r="BM128" s="19"/>
      <c r="BN128" s="27"/>
      <c r="BO128" s="19"/>
      <c r="BP128" s="14"/>
      <c r="BQ128" s="107" t="s">
        <v>33</v>
      </c>
      <c r="BR128" s="27">
        <f t="shared" si="86"/>
        <v>0</v>
      </c>
      <c r="BS128" s="41">
        <f t="shared" si="90"/>
        <v>0</v>
      </c>
      <c r="BT128" s="14"/>
      <c r="BU128" s="14"/>
      <c r="BV128" s="14"/>
      <c r="BW128" s="65"/>
      <c r="BX128" s="63"/>
      <c r="BY128" s="352"/>
      <c r="BZ128" s="14"/>
      <c r="CA128" s="19"/>
      <c r="CB128" s="27"/>
      <c r="CC128" s="27"/>
      <c r="CD128" s="37"/>
      <c r="CE128" s="181"/>
      <c r="CF128" s="31"/>
      <c r="CG128" s="52"/>
      <c r="CH128" s="52"/>
      <c r="CI128" s="99"/>
      <c r="CJ128" s="14"/>
      <c r="CK128" s="14"/>
      <c r="CL128" s="14"/>
      <c r="CM128" s="14"/>
      <c r="CN128" s="14"/>
      <c r="CO128" s="129"/>
      <c r="CP128" s="14"/>
      <c r="CQ128" s="47"/>
      <c r="CR128" s="14"/>
      <c r="CS128" s="14"/>
      <c r="CT128" s="14"/>
      <c r="CU128" s="14"/>
      <c r="CV128" s="180"/>
      <c r="CW128" s="190"/>
      <c r="CX128" s="191"/>
      <c r="CY128" s="52"/>
      <c r="CZ128" s="52"/>
      <c r="DA128" s="54"/>
      <c r="DB128" s="14"/>
      <c r="DC128" s="14"/>
      <c r="DD128" s="14"/>
      <c r="DE128" s="14"/>
      <c r="DF128" s="14"/>
      <c r="DG128" s="129"/>
      <c r="DH128" s="14"/>
      <c r="DI128" s="47"/>
      <c r="DJ128" s="14"/>
      <c r="DK128" s="62"/>
      <c r="DL128" s="19"/>
      <c r="DM128" s="59"/>
      <c r="DN128" s="14"/>
      <c r="DO128" s="14"/>
      <c r="DP128" s="107" t="s">
        <v>36</v>
      </c>
      <c r="DQ128" s="27">
        <f>COUNTIFS(S30_stakeholder_category,"PU",Response_Q172_1,DP128,Response_Q173_7,"&lt;&gt;0")</f>
        <v>0</v>
      </c>
      <c r="DR128" s="41">
        <f>IF(DQ131=0,"",DQ128/DQ131)</f>
        <v>0</v>
      </c>
      <c r="DS128" s="14"/>
      <c r="DT128" s="14"/>
      <c r="DU128" s="14"/>
      <c r="DV128" s="14"/>
      <c r="DW128" s="14"/>
      <c r="DX128" s="14"/>
      <c r="DY128" s="14"/>
      <c r="DZ128" s="14"/>
      <c r="EA128" s="14"/>
      <c r="EB128" s="14"/>
      <c r="EC128" s="14"/>
      <c r="ED128" s="14"/>
      <c r="EE128" s="14"/>
      <c r="EF128" s="14"/>
      <c r="EG128" s="14"/>
      <c r="EH128" s="14"/>
      <c r="EI128" s="14"/>
      <c r="EJ128" s="14"/>
      <c r="EK128" s="14"/>
      <c r="EL128" s="14"/>
    </row>
    <row r="129" spans="1:142" x14ac:dyDescent="0.25">
      <c r="A129" s="14"/>
      <c r="B129" s="56"/>
      <c r="C129" s="19"/>
      <c r="D129" s="59"/>
      <c r="E129" s="14"/>
      <c r="F129" s="14"/>
      <c r="G129" s="107" t="s">
        <v>38</v>
      </c>
      <c r="H129" s="27">
        <f>COUNTIFS(S30_stakeholder_category,"PU",Response_Q173_7,G129)</f>
        <v>0</v>
      </c>
      <c r="I129" s="41">
        <f t="shared" si="87"/>
        <v>0</v>
      </c>
      <c r="J129" s="14"/>
      <c r="K129" s="14"/>
      <c r="L129" s="14"/>
      <c r="M129" s="14"/>
      <c r="N129" s="14"/>
      <c r="O129" s="14"/>
      <c r="P129" s="14"/>
      <c r="Q129" s="47"/>
      <c r="R129" s="19"/>
      <c r="S129" s="19"/>
      <c r="T129" s="19"/>
      <c r="U129" s="27"/>
      <c r="V129" s="19"/>
      <c r="W129" s="14"/>
      <c r="X129" s="107" t="s">
        <v>29</v>
      </c>
      <c r="Y129" s="27">
        <f t="shared" si="82"/>
        <v>1</v>
      </c>
      <c r="Z129" s="41">
        <f t="shared" si="83"/>
        <v>0.5</v>
      </c>
      <c r="AA129" s="14"/>
      <c r="AB129" s="14"/>
      <c r="AC129" s="14"/>
      <c r="AD129" s="65"/>
      <c r="AE129" s="63"/>
      <c r="AF129" s="47"/>
      <c r="AG129" s="19"/>
      <c r="AH129" s="19"/>
      <c r="AI129" s="19"/>
      <c r="AJ129" s="27"/>
      <c r="AK129" s="19"/>
      <c r="AL129" s="14"/>
      <c r="AM129" s="107" t="s">
        <v>29</v>
      </c>
      <c r="AN129" s="27">
        <f t="shared" si="84"/>
        <v>0</v>
      </c>
      <c r="AO129" s="41">
        <f t="shared" si="88"/>
        <v>0</v>
      </c>
      <c r="AP129" s="14"/>
      <c r="AQ129" s="14"/>
      <c r="AR129" s="14"/>
      <c r="AS129" s="65"/>
      <c r="AT129" s="63"/>
      <c r="AU129" s="47"/>
      <c r="AV129" s="14"/>
      <c r="AW129" s="19"/>
      <c r="AX129" s="19"/>
      <c r="AY129" s="27"/>
      <c r="AZ129" s="19"/>
      <c r="BA129" s="14"/>
      <c r="BB129" s="107" t="s">
        <v>29</v>
      </c>
      <c r="BC129" s="27">
        <f t="shared" si="85"/>
        <v>0</v>
      </c>
      <c r="BD129" s="41">
        <f t="shared" si="89"/>
        <v>0</v>
      </c>
      <c r="BE129" s="14"/>
      <c r="BF129" s="14"/>
      <c r="BG129" s="14"/>
      <c r="BH129" s="65"/>
      <c r="BI129" s="63"/>
      <c r="BJ129" s="352"/>
      <c r="BK129" s="19"/>
      <c r="BL129" s="19"/>
      <c r="BM129" s="19"/>
      <c r="BN129" s="27"/>
      <c r="BO129" s="19"/>
      <c r="BP129" s="14"/>
      <c r="BQ129" s="107" t="s">
        <v>29</v>
      </c>
      <c r="BR129" s="27">
        <f t="shared" si="86"/>
        <v>1</v>
      </c>
      <c r="BS129" s="41">
        <f t="shared" si="90"/>
        <v>0.5</v>
      </c>
      <c r="BT129" s="14"/>
      <c r="BU129" s="14"/>
      <c r="BV129" s="14"/>
      <c r="BW129" s="65"/>
      <c r="BX129" s="63"/>
      <c r="BY129" s="352"/>
      <c r="BZ129" s="14"/>
      <c r="CA129" s="19"/>
      <c r="CB129" s="27"/>
      <c r="CC129" s="27"/>
      <c r="CD129" s="37"/>
      <c r="CE129" s="181"/>
      <c r="CF129" s="31"/>
      <c r="CG129" s="52"/>
      <c r="CH129" s="52"/>
      <c r="CI129" s="99"/>
      <c r="CJ129" s="14"/>
      <c r="CK129" s="14"/>
      <c r="CL129" s="14"/>
      <c r="CM129" s="14"/>
      <c r="CN129" s="14"/>
      <c r="CO129" s="129"/>
      <c r="CP129" s="14"/>
      <c r="CQ129" s="47"/>
      <c r="CR129" s="14"/>
      <c r="CS129" s="14"/>
      <c r="CT129" s="14"/>
      <c r="CU129" s="14"/>
      <c r="CV129" s="180"/>
      <c r="CW129" s="190"/>
      <c r="CX129" s="191"/>
      <c r="CY129" s="52"/>
      <c r="CZ129" s="52"/>
      <c r="DA129" s="54"/>
      <c r="DB129" s="14"/>
      <c r="DC129" s="14"/>
      <c r="DD129" s="14"/>
      <c r="DE129" s="14"/>
      <c r="DF129" s="14"/>
      <c r="DG129" s="129"/>
      <c r="DH129" s="14"/>
      <c r="DI129" s="47"/>
      <c r="DJ129" s="14"/>
      <c r="DK129" s="62"/>
      <c r="DL129" s="19"/>
      <c r="DM129" s="59"/>
      <c r="DN129" s="14"/>
      <c r="DO129" s="14"/>
      <c r="DP129" s="107" t="s">
        <v>38</v>
      </c>
      <c r="DQ129" s="27">
        <f>COUNTIFS(S30_stakeholder_category,"PU",Response_Q172_1,DP129,Response_Q173_7,"&lt;&gt;0")</f>
        <v>1</v>
      </c>
      <c r="DR129" s="41">
        <f>IF(DQ131=0,"",DQ129/DQ131)</f>
        <v>0.5</v>
      </c>
      <c r="DS129" s="14"/>
      <c r="DT129" s="14"/>
      <c r="DU129" s="14"/>
      <c r="DV129" s="14"/>
      <c r="DW129" s="14"/>
      <c r="DX129" s="14"/>
      <c r="DY129" s="14"/>
      <c r="DZ129" s="14"/>
      <c r="EA129" s="14"/>
      <c r="EB129" s="14"/>
      <c r="EC129" s="14"/>
      <c r="ED129" s="14"/>
      <c r="EE129" s="14"/>
      <c r="EF129" s="14"/>
      <c r="EG129" s="14"/>
      <c r="EH129" s="14"/>
      <c r="EI129" s="14"/>
      <c r="EJ129" s="14"/>
      <c r="EK129" s="14"/>
      <c r="EL129" s="14"/>
    </row>
    <row r="130" spans="1:142" ht="14.4" x14ac:dyDescent="0.25">
      <c r="A130" s="14"/>
      <c r="B130" s="14"/>
      <c r="C130" s="19"/>
      <c r="D130" s="15"/>
      <c r="E130" s="14"/>
      <c r="F130" s="14"/>
      <c r="G130" s="107" t="s">
        <v>39</v>
      </c>
      <c r="H130" s="27">
        <f>COUNTIFS(S30_stakeholder_category,"PU",Response_Q173_7,G130)</f>
        <v>0</v>
      </c>
      <c r="I130" s="41">
        <f t="shared" si="87"/>
        <v>0</v>
      </c>
      <c r="J130" s="14"/>
      <c r="K130" s="14"/>
      <c r="L130" s="14"/>
      <c r="M130" s="14"/>
      <c r="N130" s="14"/>
      <c r="O130" s="14"/>
      <c r="P130" s="14"/>
      <c r="Q130" s="47"/>
      <c r="R130" s="19"/>
      <c r="S130" s="60"/>
      <c r="T130" s="19"/>
      <c r="U130" s="59"/>
      <c r="V130" s="19"/>
      <c r="W130" s="14"/>
      <c r="X130" s="107" t="s">
        <v>3</v>
      </c>
      <c r="Y130" s="27">
        <f t="shared" si="82"/>
        <v>0</v>
      </c>
      <c r="Z130" s="41">
        <f t="shared" si="83"/>
        <v>0</v>
      </c>
      <c r="AA130" s="14"/>
      <c r="AB130" s="14"/>
      <c r="AC130" s="14"/>
      <c r="AD130" s="65"/>
      <c r="AE130" s="63"/>
      <c r="AF130" s="47"/>
      <c r="AG130" s="19"/>
      <c r="AH130" s="60"/>
      <c r="AI130" s="19"/>
      <c r="AJ130" s="59"/>
      <c r="AK130" s="19"/>
      <c r="AL130" s="14"/>
      <c r="AM130" s="107" t="s">
        <v>3</v>
      </c>
      <c r="AN130" s="27">
        <f t="shared" si="84"/>
        <v>0</v>
      </c>
      <c r="AO130" s="41">
        <f t="shared" si="88"/>
        <v>0</v>
      </c>
      <c r="AP130" s="14"/>
      <c r="AQ130" s="14"/>
      <c r="AR130" s="14"/>
      <c r="AS130" s="65"/>
      <c r="AT130" s="63"/>
      <c r="AU130" s="47"/>
      <c r="AV130" s="14"/>
      <c r="AW130" s="60"/>
      <c r="AX130" s="19"/>
      <c r="AY130" s="59"/>
      <c r="AZ130" s="19"/>
      <c r="BA130" s="14"/>
      <c r="BB130" s="107" t="s">
        <v>3</v>
      </c>
      <c r="BC130" s="27">
        <f t="shared" si="85"/>
        <v>0</v>
      </c>
      <c r="BD130" s="41">
        <f t="shared" si="89"/>
        <v>0</v>
      </c>
      <c r="BE130" s="14"/>
      <c r="BF130" s="14"/>
      <c r="BG130" s="14"/>
      <c r="BH130" s="65"/>
      <c r="BI130" s="63"/>
      <c r="BJ130" s="352"/>
      <c r="BK130" s="19"/>
      <c r="BL130" s="60"/>
      <c r="BM130" s="19"/>
      <c r="BN130" s="59"/>
      <c r="BO130" s="19"/>
      <c r="BP130" s="14"/>
      <c r="BQ130" s="107" t="s">
        <v>3</v>
      </c>
      <c r="BR130" s="27">
        <f t="shared" si="86"/>
        <v>0</v>
      </c>
      <c r="BS130" s="41">
        <f t="shared" si="90"/>
        <v>0</v>
      </c>
      <c r="BT130" s="14"/>
      <c r="BU130" s="14"/>
      <c r="BV130" s="14"/>
      <c r="BW130" s="65"/>
      <c r="BX130" s="63"/>
      <c r="BY130" s="352"/>
      <c r="BZ130" s="14"/>
      <c r="CA130" s="19"/>
      <c r="CB130" s="27"/>
      <c r="CC130" s="27"/>
      <c r="CD130" s="37"/>
      <c r="CE130" s="181"/>
      <c r="CF130" s="31"/>
      <c r="CG130" s="52"/>
      <c r="CH130" s="52"/>
      <c r="CI130" s="99"/>
      <c r="CJ130" s="14"/>
      <c r="CK130" s="14"/>
      <c r="CL130" s="14"/>
      <c r="CM130" s="14"/>
      <c r="CN130" s="14"/>
      <c r="CO130" s="129"/>
      <c r="CP130" s="14"/>
      <c r="CQ130" s="47"/>
      <c r="CR130" s="14"/>
      <c r="CS130" s="14"/>
      <c r="CT130" s="14"/>
      <c r="CU130" s="14"/>
      <c r="CV130" s="180"/>
      <c r="CW130" s="190"/>
      <c r="CX130" s="191"/>
      <c r="CY130" s="52"/>
      <c r="CZ130" s="52"/>
      <c r="DA130" s="54"/>
      <c r="DB130" s="14"/>
      <c r="DC130" s="14"/>
      <c r="DD130" s="14"/>
      <c r="DE130" s="14"/>
      <c r="DF130" s="14"/>
      <c r="DG130" s="129"/>
      <c r="DH130" s="14"/>
      <c r="DI130" s="47"/>
      <c r="DJ130" s="14"/>
      <c r="DK130" s="62"/>
      <c r="DL130" s="19"/>
      <c r="DM130" s="59"/>
      <c r="DN130" s="14"/>
      <c r="DO130" s="14"/>
      <c r="DP130" s="107" t="s">
        <v>39</v>
      </c>
      <c r="DQ130" s="27">
        <f>COUNTIFS(S30_stakeholder_category,"PU",Response_Q172_1,DP130,Response_Q173_7,"&lt;&gt;0")</f>
        <v>0</v>
      </c>
      <c r="DR130" s="41">
        <f>IF(DQ131=0,"",DQ130/DQ131)</f>
        <v>0</v>
      </c>
      <c r="DS130" s="14"/>
      <c r="DT130" s="14"/>
      <c r="DU130" s="14"/>
      <c r="DV130" s="14"/>
      <c r="DW130" s="14"/>
      <c r="DX130" s="14"/>
      <c r="DY130" s="14"/>
      <c r="DZ130" s="14"/>
      <c r="EA130" s="14"/>
      <c r="EB130" s="14"/>
      <c r="EC130" s="14"/>
      <c r="ED130" s="14"/>
      <c r="EE130" s="14"/>
      <c r="EF130" s="14"/>
      <c r="EG130" s="14"/>
      <c r="EH130" s="14"/>
      <c r="EI130" s="14"/>
      <c r="EJ130" s="14"/>
      <c r="EK130" s="14"/>
      <c r="EL130" s="14"/>
    </row>
    <row r="131" spans="1:142" ht="14.4" x14ac:dyDescent="0.25">
      <c r="A131" s="14"/>
      <c r="B131" s="14"/>
      <c r="C131" s="19"/>
      <c r="D131" s="15"/>
      <c r="E131" s="14"/>
      <c r="F131" s="14"/>
      <c r="G131" s="86" t="s">
        <v>145</v>
      </c>
      <c r="H131" s="111">
        <f>COUNTIFS(S30_stakeholder_category,"PU",Response_Q173_7,"&lt;&gt;0")</f>
        <v>2</v>
      </c>
      <c r="I131" s="119">
        <f t="shared" si="87"/>
        <v>1</v>
      </c>
      <c r="J131" s="14"/>
      <c r="K131" s="14"/>
      <c r="L131" s="14"/>
      <c r="M131" s="14"/>
      <c r="N131" s="14"/>
      <c r="O131" s="14"/>
      <c r="P131" s="14"/>
      <c r="Q131" s="47"/>
      <c r="R131" s="19"/>
      <c r="S131" s="61"/>
      <c r="T131" s="19"/>
      <c r="U131" s="59"/>
      <c r="V131" s="19"/>
      <c r="W131" s="14"/>
      <c r="X131" s="107" t="s">
        <v>54</v>
      </c>
      <c r="Y131" s="27">
        <f t="shared" si="82"/>
        <v>0</v>
      </c>
      <c r="Z131" s="41">
        <f t="shared" si="83"/>
        <v>0</v>
      </c>
      <c r="AA131" s="14"/>
      <c r="AB131" s="14"/>
      <c r="AC131" s="14"/>
      <c r="AD131" s="65"/>
      <c r="AE131" s="63"/>
      <c r="AF131" s="47"/>
      <c r="AG131" s="19"/>
      <c r="AH131" s="61"/>
      <c r="AI131" s="19"/>
      <c r="AJ131" s="59"/>
      <c r="AK131" s="19"/>
      <c r="AL131" s="14"/>
      <c r="AM131" s="107" t="s">
        <v>54</v>
      </c>
      <c r="AN131" s="27">
        <f t="shared" si="84"/>
        <v>0</v>
      </c>
      <c r="AO131" s="41">
        <f t="shared" si="88"/>
        <v>0</v>
      </c>
      <c r="AP131" s="14"/>
      <c r="AQ131" s="14"/>
      <c r="AR131" s="14"/>
      <c r="AS131" s="65"/>
      <c r="AT131" s="63"/>
      <c r="AU131" s="47"/>
      <c r="AV131" s="14"/>
      <c r="AW131" s="61"/>
      <c r="AX131" s="19"/>
      <c r="AY131" s="59"/>
      <c r="AZ131" s="19"/>
      <c r="BA131" s="14"/>
      <c r="BB131" s="107" t="s">
        <v>54</v>
      </c>
      <c r="BC131" s="27">
        <f t="shared" si="85"/>
        <v>0</v>
      </c>
      <c r="BD131" s="41">
        <f t="shared" si="89"/>
        <v>0</v>
      </c>
      <c r="BE131" s="14"/>
      <c r="BF131" s="14"/>
      <c r="BG131" s="14"/>
      <c r="BH131" s="65"/>
      <c r="BI131" s="63"/>
      <c r="BJ131" s="352"/>
      <c r="BK131" s="19"/>
      <c r="BL131" s="61"/>
      <c r="BM131" s="19"/>
      <c r="BN131" s="59"/>
      <c r="BO131" s="19"/>
      <c r="BP131" s="14"/>
      <c r="BQ131" s="107" t="s">
        <v>54</v>
      </c>
      <c r="BR131" s="27">
        <f t="shared" si="86"/>
        <v>0</v>
      </c>
      <c r="BS131" s="41">
        <f t="shared" si="90"/>
        <v>0</v>
      </c>
      <c r="BT131" s="14"/>
      <c r="BU131" s="14"/>
      <c r="BV131" s="14"/>
      <c r="BW131" s="65"/>
      <c r="BX131" s="63"/>
      <c r="BY131" s="352"/>
      <c r="BZ131" s="14"/>
      <c r="CA131" s="19"/>
      <c r="CB131" s="27"/>
      <c r="CC131" s="27"/>
      <c r="CD131" s="37"/>
      <c r="CE131" s="181"/>
      <c r="CF131" s="31"/>
      <c r="CG131" s="52"/>
      <c r="CH131" s="52"/>
      <c r="CI131" s="99"/>
      <c r="CJ131" s="14"/>
      <c r="CK131" s="14"/>
      <c r="CL131" s="14"/>
      <c r="CM131" s="14"/>
      <c r="CN131" s="14"/>
      <c r="CO131" s="129"/>
      <c r="CP131" s="14"/>
      <c r="CQ131" s="47"/>
      <c r="CR131" s="14"/>
      <c r="CS131" s="14"/>
      <c r="CT131" s="14"/>
      <c r="CU131" s="14"/>
      <c r="CV131" s="180"/>
      <c r="CW131" s="190"/>
      <c r="CX131" s="191"/>
      <c r="CY131" s="52"/>
      <c r="CZ131" s="52"/>
      <c r="DA131" s="54"/>
      <c r="DB131" s="14"/>
      <c r="DC131" s="14"/>
      <c r="DD131" s="14"/>
      <c r="DE131" s="14"/>
      <c r="DF131" s="14"/>
      <c r="DG131" s="129"/>
      <c r="DH131" s="14"/>
      <c r="DI131" s="47"/>
      <c r="DJ131" s="14"/>
      <c r="DK131" s="62"/>
      <c r="DL131" s="19"/>
      <c r="DM131" s="59"/>
      <c r="DN131" s="14"/>
      <c r="DO131" s="14"/>
      <c r="DP131" s="86" t="s">
        <v>145</v>
      </c>
      <c r="DQ131" s="111">
        <f>COUNTIFS(S30_stakeholder_category,"PU",Response_Q172_1,"&lt;&gt;0",Response_Q173_7,"&lt;&gt;0")</f>
        <v>2</v>
      </c>
      <c r="DR131" s="119">
        <f>IF(DQ131=0,"",DQ131/DQ131)</f>
        <v>1</v>
      </c>
      <c r="DS131" s="14"/>
      <c r="DT131" s="14"/>
      <c r="DU131" s="14"/>
      <c r="DV131" s="14"/>
      <c r="DW131" s="14"/>
      <c r="DX131" s="14"/>
      <c r="DY131" s="14"/>
      <c r="DZ131" s="14"/>
      <c r="EA131" s="14"/>
      <c r="EB131" s="14"/>
      <c r="EC131" s="14"/>
      <c r="ED131" s="14"/>
      <c r="EE131" s="14"/>
      <c r="EF131" s="14"/>
      <c r="EG131" s="14"/>
      <c r="EH131" s="14"/>
      <c r="EI131" s="14"/>
      <c r="EJ131" s="14"/>
      <c r="EK131" s="14"/>
      <c r="EL131" s="14"/>
    </row>
    <row r="132" spans="1:142" x14ac:dyDescent="0.25">
      <c r="A132" s="14"/>
      <c r="B132" s="14"/>
      <c r="C132" s="19"/>
      <c r="D132" s="15"/>
      <c r="E132" s="14"/>
      <c r="F132" s="14"/>
      <c r="G132" s="14"/>
      <c r="H132" s="21"/>
      <c r="I132" s="21"/>
      <c r="J132" s="14"/>
      <c r="K132" s="14"/>
      <c r="L132" s="14"/>
      <c r="M132" s="14"/>
      <c r="N132" s="14"/>
      <c r="O132" s="14"/>
      <c r="P132" s="14"/>
      <c r="Q132" s="47"/>
      <c r="R132" s="19"/>
      <c r="S132" s="62"/>
      <c r="T132" s="19"/>
      <c r="U132" s="59"/>
      <c r="V132" s="19"/>
      <c r="W132" s="14"/>
      <c r="X132" s="107" t="s">
        <v>39</v>
      </c>
      <c r="Y132" s="27">
        <f t="shared" si="82"/>
        <v>0</v>
      </c>
      <c r="Z132" s="41">
        <f t="shared" si="83"/>
        <v>0</v>
      </c>
      <c r="AA132" s="14"/>
      <c r="AB132" s="14"/>
      <c r="AC132" s="14"/>
      <c r="AD132" s="65"/>
      <c r="AE132" s="63"/>
      <c r="AF132" s="47"/>
      <c r="AG132" s="19"/>
      <c r="AH132" s="62"/>
      <c r="AI132" s="19"/>
      <c r="AJ132" s="59"/>
      <c r="AK132" s="19"/>
      <c r="AL132" s="14"/>
      <c r="AM132" s="107" t="s">
        <v>39</v>
      </c>
      <c r="AN132" s="27">
        <f t="shared" si="84"/>
        <v>0</v>
      </c>
      <c r="AO132" s="41">
        <f t="shared" si="88"/>
        <v>0</v>
      </c>
      <c r="AP132" s="14"/>
      <c r="AQ132" s="14"/>
      <c r="AR132" s="14"/>
      <c r="AS132" s="65"/>
      <c r="AT132" s="63"/>
      <c r="AU132" s="47"/>
      <c r="AV132" s="14"/>
      <c r="AW132" s="62"/>
      <c r="AX132" s="19"/>
      <c r="AY132" s="59"/>
      <c r="AZ132" s="19"/>
      <c r="BA132" s="14"/>
      <c r="BB132" s="107" t="s">
        <v>39</v>
      </c>
      <c r="BC132" s="27">
        <f t="shared" si="85"/>
        <v>0</v>
      </c>
      <c r="BD132" s="41">
        <f t="shared" si="89"/>
        <v>0</v>
      </c>
      <c r="BE132" s="14"/>
      <c r="BF132" s="14"/>
      <c r="BG132" s="14"/>
      <c r="BH132" s="65"/>
      <c r="BI132" s="63"/>
      <c r="BJ132" s="352"/>
      <c r="BK132" s="19"/>
      <c r="BL132" s="62"/>
      <c r="BM132" s="19"/>
      <c r="BN132" s="59"/>
      <c r="BO132" s="19"/>
      <c r="BP132" s="14"/>
      <c r="BQ132" s="107" t="s">
        <v>39</v>
      </c>
      <c r="BR132" s="27">
        <f t="shared" si="86"/>
        <v>0</v>
      </c>
      <c r="BS132" s="41">
        <f t="shared" si="90"/>
        <v>0</v>
      </c>
      <c r="BT132" s="14"/>
      <c r="BU132" s="14"/>
      <c r="BV132" s="14"/>
      <c r="BW132" s="65"/>
      <c r="BX132" s="63"/>
      <c r="BY132" s="352"/>
      <c r="BZ132" s="14"/>
      <c r="CA132" s="19"/>
      <c r="CB132" s="27"/>
      <c r="CC132" s="27"/>
      <c r="CD132" s="37"/>
      <c r="CE132" s="181"/>
      <c r="CF132" s="31"/>
      <c r="CG132" s="52"/>
      <c r="CH132" s="52"/>
      <c r="CI132" s="99"/>
      <c r="CJ132" s="14"/>
      <c r="CK132" s="14"/>
      <c r="CL132" s="14"/>
      <c r="CM132" s="14"/>
      <c r="CN132" s="14"/>
      <c r="CO132" s="129"/>
      <c r="CP132" s="14"/>
      <c r="CQ132" s="47"/>
      <c r="CR132" s="14"/>
      <c r="CS132" s="14"/>
      <c r="CT132" s="14"/>
      <c r="CU132" s="14"/>
      <c r="CV132" s="180"/>
      <c r="CW132" s="190"/>
      <c r="CX132" s="191"/>
      <c r="CY132" s="52"/>
      <c r="CZ132" s="52"/>
      <c r="DA132" s="54"/>
      <c r="DB132" s="14"/>
      <c r="DC132" s="14"/>
      <c r="DD132" s="14"/>
      <c r="DE132" s="14"/>
      <c r="DF132" s="14"/>
      <c r="DG132" s="129"/>
      <c r="DH132" s="14"/>
      <c r="DI132" s="47"/>
      <c r="DJ132" s="14"/>
      <c r="DK132" s="62"/>
      <c r="DL132" s="19"/>
      <c r="DM132" s="59"/>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row>
    <row r="133" spans="1:142" x14ac:dyDescent="0.25">
      <c r="A133" s="14"/>
      <c r="B133" s="69"/>
      <c r="C133" s="70"/>
      <c r="D133" s="15"/>
      <c r="E133" s="14"/>
      <c r="F133" s="14"/>
      <c r="G133" s="14"/>
      <c r="H133" s="21"/>
      <c r="I133" s="21"/>
      <c r="J133" s="14"/>
      <c r="K133" s="14"/>
      <c r="L133" s="14"/>
      <c r="M133" s="14"/>
      <c r="N133" s="14"/>
      <c r="O133" s="14"/>
      <c r="P133" s="14"/>
      <c r="Q133" s="47"/>
      <c r="R133" s="19"/>
      <c r="S133" s="62"/>
      <c r="T133" s="19"/>
      <c r="U133" s="59"/>
      <c r="V133" s="19"/>
      <c r="W133" s="14"/>
      <c r="X133" s="86" t="s">
        <v>145</v>
      </c>
      <c r="Y133" s="111">
        <f>COUNTIFS(S30_stakeholder_category,"PU",Response_Q176_4,"&lt;&gt;0")</f>
        <v>2</v>
      </c>
      <c r="Z133" s="119">
        <f t="shared" si="83"/>
        <v>1</v>
      </c>
      <c r="AA133" s="14"/>
      <c r="AB133" s="14"/>
      <c r="AC133" s="14"/>
      <c r="AD133" s="65"/>
      <c r="AE133" s="63"/>
      <c r="AF133" s="47"/>
      <c r="AG133" s="19"/>
      <c r="AH133" s="62"/>
      <c r="AI133" s="19"/>
      <c r="AJ133" s="59"/>
      <c r="AK133" s="19"/>
      <c r="AL133" s="14"/>
      <c r="AM133" s="86" t="s">
        <v>145</v>
      </c>
      <c r="AN133" s="111">
        <f>COUNTIFS(S30_stakeholder_category,"PU",Response_30d_CaseA,"&lt;&gt;0")</f>
        <v>1</v>
      </c>
      <c r="AO133" s="119">
        <f t="shared" si="88"/>
        <v>1</v>
      </c>
      <c r="AP133" s="14"/>
      <c r="AQ133" s="14"/>
      <c r="AR133" s="14"/>
      <c r="AS133" s="65"/>
      <c r="AT133" s="63"/>
      <c r="AU133" s="47"/>
      <c r="AV133" s="14"/>
      <c r="AW133" s="62"/>
      <c r="AX133" s="19"/>
      <c r="AY133" s="59"/>
      <c r="AZ133" s="19"/>
      <c r="BA133" s="14"/>
      <c r="BB133" s="86" t="s">
        <v>145</v>
      </c>
      <c r="BC133" s="111">
        <f>COUNTIFS(S30_stakeholder_category,"PU",Response_30d_CaseB,"&lt;&gt;0")</f>
        <v>1</v>
      </c>
      <c r="BD133" s="119">
        <f t="shared" si="89"/>
        <v>1</v>
      </c>
      <c r="BE133" s="14"/>
      <c r="BF133" s="14"/>
      <c r="BG133" s="14"/>
      <c r="BH133" s="65"/>
      <c r="BI133" s="63"/>
      <c r="BJ133" s="352"/>
      <c r="BK133" s="19"/>
      <c r="BL133" s="62"/>
      <c r="BM133" s="19"/>
      <c r="BN133" s="59"/>
      <c r="BO133" s="19"/>
      <c r="BP133" s="14"/>
      <c r="BQ133" s="86" t="s">
        <v>145</v>
      </c>
      <c r="BR133" s="111">
        <f>COUNTIFS(S30_stakeholder_category,"PU",Response_30d_CaseC,"&lt;&gt;0")</f>
        <v>2</v>
      </c>
      <c r="BS133" s="119">
        <f t="shared" si="90"/>
        <v>1</v>
      </c>
      <c r="BT133" s="14"/>
      <c r="BU133" s="14"/>
      <c r="BV133" s="14"/>
      <c r="BW133" s="65"/>
      <c r="BX133" s="63"/>
      <c r="BY133" s="352"/>
      <c r="BZ133" s="14"/>
      <c r="CA133" s="19"/>
      <c r="CB133" s="27"/>
      <c r="CC133" s="27"/>
      <c r="CD133" s="37"/>
      <c r="CE133" s="181"/>
      <c r="CF133" s="31"/>
      <c r="CG133" s="52"/>
      <c r="CH133" s="52"/>
      <c r="CI133" s="99"/>
      <c r="CJ133" s="14"/>
      <c r="CK133" s="14"/>
      <c r="CL133" s="14"/>
      <c r="CM133" s="14"/>
      <c r="CN133" s="14"/>
      <c r="CO133" s="129"/>
      <c r="CP133" s="14"/>
      <c r="CQ133" s="47"/>
      <c r="CR133" s="14"/>
      <c r="CS133" s="14"/>
      <c r="CT133" s="14"/>
      <c r="CU133" s="14"/>
      <c r="CV133" s="180"/>
      <c r="CW133" s="190"/>
      <c r="CX133" s="191"/>
      <c r="CY133" s="52"/>
      <c r="CZ133" s="52"/>
      <c r="DA133" s="54"/>
      <c r="DB133" s="14"/>
      <c r="DC133" s="14"/>
      <c r="DD133" s="14"/>
      <c r="DE133" s="14"/>
      <c r="DF133" s="14"/>
      <c r="DG133" s="129"/>
      <c r="DH133" s="14"/>
      <c r="DI133" s="47"/>
      <c r="DJ133" s="14"/>
      <c r="DK133" s="62"/>
      <c r="DL133" s="19"/>
      <c r="DM133" s="59"/>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row>
    <row r="134" spans="1:142" s="135" customFormat="1" ht="15.75" customHeight="1" x14ac:dyDescent="0.25">
      <c r="A134" s="14"/>
      <c r="B134" s="13"/>
      <c r="C134" s="13"/>
      <c r="D134" s="21"/>
      <c r="E134" s="14"/>
      <c r="F134" s="14"/>
      <c r="G134" s="14"/>
      <c r="H134" s="21"/>
      <c r="I134" s="21"/>
      <c r="J134" s="14"/>
      <c r="K134" s="14"/>
      <c r="L134" s="14"/>
      <c r="M134" s="14"/>
      <c r="N134" s="14"/>
      <c r="O134" s="14"/>
      <c r="P134" s="14"/>
      <c r="Q134" s="47"/>
      <c r="R134" s="19"/>
      <c r="S134" s="13"/>
      <c r="T134" s="13"/>
      <c r="U134" s="21"/>
      <c r="V134" s="14"/>
      <c r="W134" s="14"/>
      <c r="X134" s="14"/>
      <c r="Y134" s="14"/>
      <c r="Z134" s="14"/>
      <c r="AA134" s="14"/>
      <c r="AB134" s="14"/>
      <c r="AC134" s="14"/>
      <c r="AD134" s="65"/>
      <c r="AE134" s="63"/>
      <c r="AF134" s="47"/>
      <c r="AG134" s="19"/>
      <c r="AH134" s="13"/>
      <c r="AI134" s="13"/>
      <c r="AJ134" s="21"/>
      <c r="AK134" s="14"/>
      <c r="AL134" s="14"/>
      <c r="AM134" s="14"/>
      <c r="AN134" s="14"/>
      <c r="AO134" s="14"/>
      <c r="AP134" s="14"/>
      <c r="AQ134" s="14"/>
      <c r="AR134" s="14"/>
      <c r="AS134" s="65"/>
      <c r="AT134" s="63"/>
      <c r="AU134" s="47"/>
      <c r="AV134" s="14"/>
      <c r="AW134" s="13"/>
      <c r="AX134" s="13"/>
      <c r="AY134" s="21"/>
      <c r="AZ134" s="14"/>
      <c r="BA134" s="14"/>
      <c r="BB134" s="14"/>
      <c r="BC134" s="14"/>
      <c r="BD134" s="14"/>
      <c r="BE134" s="14"/>
      <c r="BF134" s="14"/>
      <c r="BG134" s="14"/>
      <c r="BH134" s="65"/>
      <c r="BI134" s="63"/>
      <c r="BJ134" s="352"/>
      <c r="BK134" s="19"/>
      <c r="BL134" s="13"/>
      <c r="BM134" s="13"/>
      <c r="BN134" s="21"/>
      <c r="BO134" s="14"/>
      <c r="BP134" s="14"/>
      <c r="BQ134" s="14"/>
      <c r="BR134" s="14"/>
      <c r="BS134" s="14"/>
      <c r="BT134" s="14"/>
      <c r="BU134" s="14"/>
      <c r="BV134" s="14"/>
      <c r="BW134" s="65"/>
      <c r="BX134" s="63"/>
      <c r="BY134" s="352"/>
      <c r="BZ134" s="14"/>
      <c r="CA134" s="19"/>
      <c r="CB134" s="27"/>
      <c r="CC134" s="27"/>
      <c r="CD134" s="37"/>
      <c r="CE134" s="181"/>
      <c r="CF134" s="31"/>
      <c r="CG134" s="31"/>
      <c r="CH134" s="31"/>
      <c r="CI134" s="14"/>
      <c r="CJ134" s="14"/>
      <c r="CK134" s="14"/>
      <c r="CL134" s="14"/>
      <c r="CM134" s="14"/>
      <c r="CN134" s="14"/>
      <c r="CO134" s="129"/>
      <c r="CP134" s="14"/>
      <c r="CQ134" s="47"/>
      <c r="CR134" s="14"/>
      <c r="CS134" s="14"/>
      <c r="CT134" s="14"/>
      <c r="CU134" s="14"/>
      <c r="CV134" s="180"/>
      <c r="CW134" s="190"/>
      <c r="CX134" s="191"/>
      <c r="CY134" s="31"/>
      <c r="CZ134" s="31"/>
      <c r="DA134" s="14"/>
      <c r="DB134" s="14"/>
      <c r="DC134" s="14"/>
      <c r="DD134" s="14"/>
      <c r="DE134" s="14"/>
      <c r="DF134" s="14"/>
      <c r="DG134" s="129"/>
      <c r="DH134" s="14"/>
      <c r="DI134" s="47"/>
      <c r="DJ134" s="14"/>
      <c r="DK134" s="13"/>
      <c r="DL134" s="13"/>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row>
    <row r="135" spans="1:142" s="131" customFormat="1" x14ac:dyDescent="0.25">
      <c r="A135" s="78"/>
      <c r="B135" s="78" t="s">
        <v>32</v>
      </c>
      <c r="C135" s="78" t="s">
        <v>138</v>
      </c>
      <c r="D135" s="79"/>
      <c r="E135" s="78"/>
      <c r="F135" s="78"/>
      <c r="G135" s="78"/>
      <c r="H135" s="79"/>
      <c r="I135" s="79"/>
      <c r="J135" s="78"/>
      <c r="K135" s="78"/>
      <c r="L135" s="78"/>
      <c r="M135" s="78"/>
      <c r="N135" s="78"/>
      <c r="O135" s="78"/>
      <c r="P135" s="78"/>
      <c r="Q135" s="82"/>
      <c r="R135" s="83"/>
      <c r="S135" s="78" t="str">
        <f>$B135</f>
        <v>Non-bioenergy wood users</v>
      </c>
      <c r="T135" s="78"/>
      <c r="U135" s="78"/>
      <c r="V135" s="78"/>
      <c r="W135" s="78"/>
      <c r="X135" s="78"/>
      <c r="Y135" s="78"/>
      <c r="Z135" s="78"/>
      <c r="AA135" s="78"/>
      <c r="AB135" s="78"/>
      <c r="AC135" s="78"/>
      <c r="AD135" s="80"/>
      <c r="AE135" s="81"/>
      <c r="AF135" s="82"/>
      <c r="AG135" s="83"/>
      <c r="AH135" s="78" t="str">
        <f>$B135</f>
        <v>Non-bioenergy wood users</v>
      </c>
      <c r="AI135" s="78"/>
      <c r="AJ135" s="78"/>
      <c r="AK135" s="78"/>
      <c r="AL135" s="78"/>
      <c r="AM135" s="78"/>
      <c r="AN135" s="78"/>
      <c r="AO135" s="78"/>
      <c r="AP135" s="78"/>
      <c r="AQ135" s="78"/>
      <c r="AR135" s="78"/>
      <c r="AS135" s="80"/>
      <c r="AT135" s="81"/>
      <c r="AU135" s="82"/>
      <c r="AV135" s="78"/>
      <c r="AW135" s="78" t="str">
        <f>$B135</f>
        <v>Non-bioenergy wood users</v>
      </c>
      <c r="AX135" s="78"/>
      <c r="AY135" s="78"/>
      <c r="AZ135" s="78"/>
      <c r="BA135" s="78"/>
      <c r="BB135" s="78"/>
      <c r="BC135" s="78"/>
      <c r="BD135" s="78"/>
      <c r="BE135" s="78"/>
      <c r="BF135" s="78"/>
      <c r="BG135" s="78"/>
      <c r="BH135" s="80"/>
      <c r="BI135" s="81"/>
      <c r="BJ135" s="373"/>
      <c r="BK135" s="83"/>
      <c r="BL135" s="78" t="str">
        <f>$B135</f>
        <v>Non-bioenergy wood users</v>
      </c>
      <c r="BM135" s="78"/>
      <c r="BN135" s="78"/>
      <c r="BO135" s="78"/>
      <c r="BP135" s="78"/>
      <c r="BQ135" s="78"/>
      <c r="BR135" s="78"/>
      <c r="BS135" s="78"/>
      <c r="BT135" s="78"/>
      <c r="BU135" s="78"/>
      <c r="BV135" s="78"/>
      <c r="BW135" s="80"/>
      <c r="BX135" s="81"/>
      <c r="BY135" s="373"/>
      <c r="BZ135" s="78"/>
      <c r="CA135" s="78" t="str">
        <f>$B135</f>
        <v>Non-bioenergy wood users</v>
      </c>
      <c r="CB135" s="79"/>
      <c r="CC135" s="79"/>
      <c r="CD135" s="182"/>
      <c r="CE135" s="182"/>
      <c r="CF135" s="79"/>
      <c r="CG135" s="78"/>
      <c r="CH135" s="78"/>
      <c r="CI135" s="78"/>
      <c r="CJ135" s="78"/>
      <c r="CK135" s="78"/>
      <c r="CL135" s="78"/>
      <c r="CM135" s="78"/>
      <c r="CN135" s="78"/>
      <c r="CO135" s="78"/>
      <c r="CP135" s="78"/>
      <c r="CQ135" s="82"/>
      <c r="CR135" s="78"/>
      <c r="CS135" s="78" t="str">
        <f>$B135</f>
        <v>Non-bioenergy wood users</v>
      </c>
      <c r="CT135" s="78"/>
      <c r="CU135" s="78"/>
      <c r="CV135" s="182"/>
      <c r="CW135" s="192"/>
      <c r="CX135" s="192"/>
      <c r="CY135" s="78"/>
      <c r="CZ135" s="78"/>
      <c r="DA135" s="78"/>
      <c r="DB135" s="78"/>
      <c r="DC135" s="78"/>
      <c r="DD135" s="78"/>
      <c r="DE135" s="78"/>
      <c r="DF135" s="78"/>
      <c r="DG135" s="78"/>
      <c r="DH135" s="78"/>
      <c r="DI135" s="82"/>
      <c r="DJ135" s="78"/>
      <c r="DK135" s="78" t="str">
        <f>$B135</f>
        <v>Non-bioenergy wood users</v>
      </c>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row>
    <row r="136" spans="1:142" ht="15" customHeight="1" x14ac:dyDescent="0.25">
      <c r="A136" s="14"/>
      <c r="B136" s="84" t="s">
        <v>301</v>
      </c>
      <c r="C136" s="84"/>
      <c r="D136" s="85"/>
      <c r="E136" s="84"/>
      <c r="F136" s="14"/>
      <c r="G136" s="14"/>
      <c r="H136" s="21"/>
      <c r="I136" s="21"/>
      <c r="J136" s="14"/>
      <c r="K136" s="14"/>
      <c r="L136" s="14"/>
      <c r="M136" s="14"/>
      <c r="N136" s="14"/>
      <c r="O136" s="14"/>
      <c r="P136" s="14"/>
      <c r="Q136" s="47"/>
      <c r="R136" s="19"/>
      <c r="S136" s="84" t="s">
        <v>322</v>
      </c>
      <c r="T136" s="84"/>
      <c r="U136" s="85"/>
      <c r="V136" s="84"/>
      <c r="W136" s="14"/>
      <c r="X136" s="14"/>
      <c r="Y136" s="14"/>
      <c r="Z136" s="14"/>
      <c r="AA136" s="14"/>
      <c r="AB136" s="14"/>
      <c r="AC136" s="14"/>
      <c r="AD136" s="65"/>
      <c r="AE136" s="63"/>
      <c r="AF136" s="47"/>
      <c r="AG136" s="19"/>
      <c r="AH136" s="84" t="s">
        <v>328</v>
      </c>
      <c r="AI136" s="84"/>
      <c r="AJ136" s="85"/>
      <c r="AK136" s="84"/>
      <c r="AL136" s="84"/>
      <c r="AM136" s="14"/>
      <c r="AN136" s="14"/>
      <c r="AO136" s="14"/>
      <c r="AP136" s="14"/>
      <c r="AQ136" s="14"/>
      <c r="AR136" s="14"/>
      <c r="AS136" s="65"/>
      <c r="AT136" s="63"/>
      <c r="AU136" s="47"/>
      <c r="AV136" s="14"/>
      <c r="AW136" s="84" t="s">
        <v>347</v>
      </c>
      <c r="AX136" s="84"/>
      <c r="AY136" s="85"/>
      <c r="AZ136" s="84"/>
      <c r="BA136" s="84"/>
      <c r="BB136" s="14"/>
      <c r="BC136" s="14"/>
      <c r="BD136" s="14"/>
      <c r="BE136" s="14"/>
      <c r="BF136" s="14"/>
      <c r="BG136" s="14"/>
      <c r="BH136" s="65"/>
      <c r="BI136" s="63"/>
      <c r="BJ136" s="352"/>
      <c r="BK136" s="19"/>
      <c r="BL136" s="84" t="s">
        <v>348</v>
      </c>
      <c r="BM136" s="84"/>
      <c r="BN136" s="85"/>
      <c r="BO136" s="84"/>
      <c r="BP136" s="84"/>
      <c r="BQ136" s="14"/>
      <c r="BR136" s="14"/>
      <c r="BS136" s="14"/>
      <c r="BT136" s="14"/>
      <c r="BU136" s="14"/>
      <c r="BV136" s="14"/>
      <c r="BW136" s="65"/>
      <c r="BX136" s="63"/>
      <c r="BY136" s="352"/>
      <c r="BZ136" s="14"/>
      <c r="CA136" s="148" t="s">
        <v>303</v>
      </c>
      <c r="CB136" s="85"/>
      <c r="CC136" s="85"/>
      <c r="CD136" s="185"/>
      <c r="CE136" s="185"/>
      <c r="CF136" s="147"/>
      <c r="CG136" s="17"/>
      <c r="CH136" s="14"/>
      <c r="CI136" s="14"/>
      <c r="CJ136" s="14"/>
      <c r="CK136" s="14"/>
      <c r="CL136" s="14"/>
      <c r="CM136" s="14"/>
      <c r="CN136" s="14"/>
      <c r="CO136" s="129"/>
      <c r="CP136" s="14"/>
      <c r="CQ136" s="47"/>
      <c r="CR136" s="14"/>
      <c r="CS136" s="148" t="s">
        <v>304</v>
      </c>
      <c r="CT136" s="84"/>
      <c r="CU136" s="85"/>
      <c r="CV136" s="186"/>
      <c r="CW136" s="193"/>
      <c r="CX136" s="193"/>
      <c r="CY136" s="14"/>
      <c r="CZ136" s="14"/>
      <c r="DA136" s="14"/>
      <c r="DB136" s="14"/>
      <c r="DC136" s="14"/>
      <c r="DD136" s="14"/>
      <c r="DE136" s="14"/>
      <c r="DF136" s="14"/>
      <c r="DG136" s="129"/>
      <c r="DH136" s="14"/>
      <c r="DI136" s="47"/>
      <c r="DJ136" s="14"/>
      <c r="DK136" s="84" t="s">
        <v>305</v>
      </c>
      <c r="DL136" s="84"/>
      <c r="DM136" s="85"/>
      <c r="DN136" s="8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row>
    <row r="137" spans="1:142" x14ac:dyDescent="0.25">
      <c r="A137" s="14"/>
      <c r="B137" s="14"/>
      <c r="C137" s="14"/>
      <c r="D137" s="15"/>
      <c r="E137" s="14"/>
      <c r="F137" s="14"/>
      <c r="G137" s="14"/>
      <c r="H137" s="21"/>
      <c r="I137" s="21"/>
      <c r="J137" s="14"/>
      <c r="K137" s="14"/>
      <c r="L137" s="14"/>
      <c r="M137" s="14"/>
      <c r="N137" s="14"/>
      <c r="O137" s="14"/>
      <c r="P137" s="14"/>
      <c r="Q137" s="47"/>
      <c r="R137" s="19"/>
      <c r="S137" s="14"/>
      <c r="T137" s="14"/>
      <c r="U137" s="15"/>
      <c r="V137" s="14"/>
      <c r="W137" s="14"/>
      <c r="X137" s="14"/>
      <c r="Y137" s="14"/>
      <c r="Z137" s="14"/>
      <c r="AA137" s="14"/>
      <c r="AB137" s="14"/>
      <c r="AC137" s="14"/>
      <c r="AD137" s="65"/>
      <c r="AE137" s="63"/>
      <c r="AF137" s="47"/>
      <c r="AG137" s="19"/>
      <c r="AH137" s="14"/>
      <c r="AI137" s="14"/>
      <c r="AJ137" s="15"/>
      <c r="AK137" s="14"/>
      <c r="AL137" s="14"/>
      <c r="AM137" s="14"/>
      <c r="AN137" s="14"/>
      <c r="AO137" s="14"/>
      <c r="AP137" s="14"/>
      <c r="AQ137" s="14"/>
      <c r="AR137" s="14"/>
      <c r="AS137" s="65"/>
      <c r="AT137" s="63"/>
      <c r="AU137" s="47"/>
      <c r="AV137" s="14"/>
      <c r="AW137" s="14"/>
      <c r="AX137" s="14"/>
      <c r="AY137" s="15"/>
      <c r="AZ137" s="14"/>
      <c r="BA137" s="14"/>
      <c r="BB137" s="14"/>
      <c r="BC137" s="14"/>
      <c r="BD137" s="14"/>
      <c r="BE137" s="14"/>
      <c r="BF137" s="14"/>
      <c r="BG137" s="14"/>
      <c r="BH137" s="65"/>
      <c r="BI137" s="63"/>
      <c r="BJ137" s="352"/>
      <c r="BK137" s="19"/>
      <c r="BL137" s="14"/>
      <c r="BM137" s="14"/>
      <c r="BN137" s="15"/>
      <c r="BO137" s="14"/>
      <c r="BP137" s="14"/>
      <c r="BQ137" s="14"/>
      <c r="BR137" s="14"/>
      <c r="BS137" s="14"/>
      <c r="BT137" s="14"/>
      <c r="BU137" s="14"/>
      <c r="BV137" s="14"/>
      <c r="BW137" s="65"/>
      <c r="BX137" s="63"/>
      <c r="BY137" s="352"/>
      <c r="BZ137" s="14"/>
      <c r="CA137" s="14"/>
      <c r="CB137" s="21"/>
      <c r="CC137" s="21"/>
      <c r="CD137" s="180"/>
      <c r="CE137" s="180"/>
      <c r="CF137" s="21"/>
      <c r="CG137" s="14"/>
      <c r="CH137" s="14"/>
      <c r="CI137" s="14"/>
      <c r="CJ137" s="14"/>
      <c r="CK137" s="14"/>
      <c r="CL137" s="14"/>
      <c r="CM137" s="14"/>
      <c r="CN137" s="14"/>
      <c r="CO137" s="129"/>
      <c r="CP137" s="14"/>
      <c r="CQ137" s="47"/>
      <c r="CR137" s="14"/>
      <c r="CS137" s="14"/>
      <c r="CT137" s="14"/>
      <c r="CU137" s="14"/>
      <c r="CV137" s="180"/>
      <c r="CW137" s="189"/>
      <c r="CX137" s="189"/>
      <c r="CY137" s="14"/>
      <c r="CZ137" s="14"/>
      <c r="DA137" s="14"/>
      <c r="DB137" s="14"/>
      <c r="DC137" s="14"/>
      <c r="DD137" s="14"/>
      <c r="DE137" s="14"/>
      <c r="DF137" s="14"/>
      <c r="DG137" s="129"/>
      <c r="DH137" s="14"/>
      <c r="DI137" s="47"/>
      <c r="DJ137" s="14"/>
      <c r="DK137" s="14"/>
      <c r="DL137" s="14"/>
      <c r="DM137" s="15"/>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row>
    <row r="138" spans="1:142" ht="27.6" x14ac:dyDescent="0.25">
      <c r="A138" s="14"/>
      <c r="B138" s="112" t="s">
        <v>23</v>
      </c>
      <c r="C138" s="113" t="s">
        <v>24</v>
      </c>
      <c r="D138" s="113" t="s">
        <v>145</v>
      </c>
      <c r="E138" s="113" t="s">
        <v>300</v>
      </c>
      <c r="F138" s="14"/>
      <c r="G138" s="14"/>
      <c r="H138" s="21"/>
      <c r="I138" s="21"/>
      <c r="J138" s="14"/>
      <c r="K138" s="19"/>
      <c r="L138" s="51"/>
      <c r="M138" s="51"/>
      <c r="N138" s="51"/>
      <c r="O138" s="51"/>
      <c r="P138" s="51"/>
      <c r="Q138" s="47"/>
      <c r="R138" s="19"/>
      <c r="S138" s="112" t="s">
        <v>23</v>
      </c>
      <c r="T138" s="113" t="s">
        <v>24</v>
      </c>
      <c r="U138" s="113" t="s">
        <v>145</v>
      </c>
      <c r="V138" s="113" t="s">
        <v>300</v>
      </c>
      <c r="W138" s="14"/>
      <c r="X138" s="14"/>
      <c r="Y138" s="14"/>
      <c r="Z138" s="14"/>
      <c r="AA138" s="56"/>
      <c r="AB138" s="56"/>
      <c r="AC138" s="56"/>
      <c r="AD138" s="65"/>
      <c r="AE138" s="63"/>
      <c r="AF138" s="47"/>
      <c r="AG138" s="19"/>
      <c r="AH138" s="112" t="s">
        <v>23</v>
      </c>
      <c r="AI138" s="113" t="s">
        <v>24</v>
      </c>
      <c r="AJ138" s="113" t="s">
        <v>145</v>
      </c>
      <c r="AK138" s="113" t="s">
        <v>300</v>
      </c>
      <c r="AL138" s="14"/>
      <c r="AM138" s="14"/>
      <c r="AN138" s="14"/>
      <c r="AO138" s="14"/>
      <c r="AP138" s="56"/>
      <c r="AQ138" s="56"/>
      <c r="AR138" s="56"/>
      <c r="AS138" s="65"/>
      <c r="AT138" s="63"/>
      <c r="AU138" s="47"/>
      <c r="AV138" s="14"/>
      <c r="AW138" s="112" t="s">
        <v>23</v>
      </c>
      <c r="AX138" s="113" t="s">
        <v>24</v>
      </c>
      <c r="AY138" s="113" t="s">
        <v>145</v>
      </c>
      <c r="AZ138" s="113" t="s">
        <v>300</v>
      </c>
      <c r="BA138" s="14"/>
      <c r="BB138" s="14"/>
      <c r="BC138" s="14"/>
      <c r="BD138" s="14"/>
      <c r="BE138" s="56"/>
      <c r="BF138" s="56"/>
      <c r="BG138" s="56"/>
      <c r="BH138" s="65"/>
      <c r="BI138" s="63"/>
      <c r="BJ138" s="352"/>
      <c r="BK138" s="19"/>
      <c r="BL138" s="112" t="s">
        <v>23</v>
      </c>
      <c r="BM138" s="113" t="s">
        <v>24</v>
      </c>
      <c r="BN138" s="113" t="s">
        <v>145</v>
      </c>
      <c r="BO138" s="113" t="s">
        <v>300</v>
      </c>
      <c r="BP138" s="14"/>
      <c r="BQ138" s="14"/>
      <c r="BR138" s="14"/>
      <c r="BS138" s="14"/>
      <c r="BT138" s="56"/>
      <c r="BU138" s="56"/>
      <c r="BV138" s="56"/>
      <c r="BW138" s="65"/>
      <c r="BX138" s="63"/>
      <c r="BY138" s="352"/>
      <c r="BZ138" s="14"/>
      <c r="CA138" s="112" t="s">
        <v>23</v>
      </c>
      <c r="CB138" s="113" t="s">
        <v>145</v>
      </c>
      <c r="CC138" s="21"/>
      <c r="CD138" s="180"/>
      <c r="CE138" s="180"/>
      <c r="CF138" s="21"/>
      <c r="CG138" s="14"/>
      <c r="CH138" s="14"/>
      <c r="CI138" s="14"/>
      <c r="CJ138" s="14"/>
      <c r="CK138" s="14"/>
      <c r="CL138" s="14"/>
      <c r="CM138" s="14"/>
      <c r="CN138" s="14"/>
      <c r="CO138" s="129"/>
      <c r="CP138" s="17"/>
      <c r="CQ138" s="47"/>
      <c r="CR138" s="14"/>
      <c r="CS138" s="112" t="s">
        <v>23</v>
      </c>
      <c r="CT138" s="113" t="s">
        <v>145</v>
      </c>
      <c r="CU138" s="14"/>
      <c r="CV138" s="180"/>
      <c r="CW138" s="189"/>
      <c r="CX138" s="189"/>
      <c r="CY138" s="14"/>
      <c r="CZ138" s="14"/>
      <c r="DA138" s="14"/>
      <c r="DB138" s="14"/>
      <c r="DC138" s="14"/>
      <c r="DD138" s="14"/>
      <c r="DE138" s="14"/>
      <c r="DF138" s="14"/>
      <c r="DG138" s="129"/>
      <c r="DH138" s="17"/>
      <c r="DI138" s="47"/>
      <c r="DJ138" s="17"/>
      <c r="DK138" s="112" t="s">
        <v>23</v>
      </c>
      <c r="DL138" s="113" t="s">
        <v>24</v>
      </c>
      <c r="DM138" s="113" t="s">
        <v>145</v>
      </c>
      <c r="DN138" s="113" t="s">
        <v>300</v>
      </c>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row>
    <row r="139" spans="1:142" x14ac:dyDescent="0.25">
      <c r="A139" s="14"/>
      <c r="B139" s="57" t="s">
        <v>32</v>
      </c>
      <c r="C139" s="121" t="str">
        <f>IF(H158=0,"na",IF(COUNTIF(H153:H157,MAX(H153:H157))&gt;COUNTIF(G153:G157,"&lt;&gt;""")/2,"No clear choice of the most common response",INDEX(G153:G157,MATCH(MAX(H153:H157),H153:H157,0),1)))</f>
        <v>I don’t know</v>
      </c>
      <c r="D139" s="58">
        <f>COUNTIFS(S30_stakeholder_category,"NB",Response_Q173_7,"&lt;&gt;0")</f>
        <v>1</v>
      </c>
      <c r="E139" s="121">
        <f>COUNTIFS(S30_stakeholder_category,"NB",Response_Q173_7,"I don’t know")</f>
        <v>1</v>
      </c>
      <c r="F139" s="14"/>
      <c r="G139" s="14"/>
      <c r="H139" s="21"/>
      <c r="I139" s="21"/>
      <c r="J139" s="14"/>
      <c r="K139" s="19"/>
      <c r="L139" s="40"/>
      <c r="M139" s="40"/>
      <c r="N139" s="40"/>
      <c r="O139" s="40"/>
      <c r="P139" s="40"/>
      <c r="Q139" s="47"/>
      <c r="R139" s="19"/>
      <c r="S139" s="34" t="s">
        <v>32</v>
      </c>
      <c r="T139" s="37" t="str">
        <f>IF(Y160=0,"na",IF(COUNTIF(Y153:Y159,MAX(Y153:Y159))&gt;COUNTIF(X153:X159,"&lt;&gt;""")/2,"No clear choice of the most common response",INDEX(X153:X159,MATCH(MAX(Y153:Y159),Y153:Y159,0),1)))</f>
        <v>Unlikely</v>
      </c>
      <c r="U139" s="33">
        <f>COUNTIFS(S30_stakeholder_category,"NB",Response_Q176_4,"&lt;&gt;0")</f>
        <v>1</v>
      </c>
      <c r="V139" s="37">
        <f>COUNTIFS(S30_stakeholder_category,"NB",Response_Q176_4,"I don’t know")</f>
        <v>0</v>
      </c>
      <c r="W139" s="14"/>
      <c r="X139" s="14"/>
      <c r="Y139" s="14"/>
      <c r="Z139" s="14"/>
      <c r="AA139" s="19"/>
      <c r="AB139" s="19"/>
      <c r="AC139" s="19"/>
      <c r="AD139" s="65"/>
      <c r="AE139" s="63"/>
      <c r="AF139" s="47"/>
      <c r="AG139" s="19"/>
      <c r="AH139" s="57" t="s">
        <v>32</v>
      </c>
      <c r="AI139" s="121" t="str">
        <f>IF(AN160=0,"na",IF(COUNTIF(AN153:AN159,MAX(AN153:AN159))&gt;COUNTIF(AM153:AM159,"&lt;&gt;""")/2,"No clear choice of the most common response",INDEX(AM153:AM159,MATCH(MAX(AN153:AN159),AN153:AN159,0),1)))</f>
        <v>Very unlikely</v>
      </c>
      <c r="AJ139" s="58">
        <f>COUNTIFS(S30_stakeholder_category,"NB",Response_30d_CaseA,"&lt;&gt;0")</f>
        <v>1</v>
      </c>
      <c r="AK139" s="121">
        <f>COUNTIFS(S30_stakeholder_category,"NB",Response_30d_CaseA,"I don’t know")</f>
        <v>0</v>
      </c>
      <c r="AL139" s="14"/>
      <c r="AM139" s="14"/>
      <c r="AN139" s="14"/>
      <c r="AO139" s="14"/>
      <c r="AP139" s="19"/>
      <c r="AQ139" s="19"/>
      <c r="AR139" s="19"/>
      <c r="AS139" s="65"/>
      <c r="AT139" s="63"/>
      <c r="AU139" s="47"/>
      <c r="AV139" s="14"/>
      <c r="AW139" s="57" t="s">
        <v>32</v>
      </c>
      <c r="AX139" s="121" t="str">
        <f>IF(BC160=0,"na",IF(COUNTIF(BC153:BC159,MAX(BC153:BC159))&gt;COUNTIF(BB153:BB159,"&lt;&gt;""")/2,"No clear choice of the most common response",INDEX(BB153:BB159,MATCH(MAX(BC153:BC159),BC153:BC159,0),1)))</f>
        <v>Very unlikely</v>
      </c>
      <c r="AY139" s="58">
        <f>COUNTIFS(S30_stakeholder_category,"NB",Response_30d_CaseB,"&lt;&gt;0")</f>
        <v>1</v>
      </c>
      <c r="AZ139" s="121">
        <f>COUNTIFS(S30_stakeholder_category,"NB",Response_30d_CaseB,"I don’t know")</f>
        <v>0</v>
      </c>
      <c r="BA139" s="14"/>
      <c r="BB139" s="14"/>
      <c r="BC139" s="14"/>
      <c r="BD139" s="14"/>
      <c r="BE139" s="19"/>
      <c r="BF139" s="19"/>
      <c r="BG139" s="19"/>
      <c r="BH139" s="65"/>
      <c r="BI139" s="63"/>
      <c r="BJ139" s="352"/>
      <c r="BK139" s="19"/>
      <c r="BL139" s="57" t="s">
        <v>32</v>
      </c>
      <c r="BM139" s="121" t="str">
        <f>IF(BR160=0,"na",IF(COUNTIF(BR153:BR159,MAX(BR153:BR159))&gt;COUNTIF(BQ153:BQ159,"&lt;&gt;""")/2,"No clear choice of the most common response",INDEX(BQ153:BQ159,MATCH(MAX(BR153:BR159),BR153:BR159,0),1)))</f>
        <v>Unlikely</v>
      </c>
      <c r="BN139" s="58">
        <f>COUNTIFS(S30_stakeholder_category,"NB",Response_30d_CaseC,"&lt;&gt;0")</f>
        <v>1</v>
      </c>
      <c r="BO139" s="121">
        <f>COUNTIFS(S30_stakeholder_category,"NB",Response_30d_CaseC,"I don’t know")</f>
        <v>0</v>
      </c>
      <c r="BP139" s="14"/>
      <c r="BQ139" s="14"/>
      <c r="BR139" s="14"/>
      <c r="BS139" s="14"/>
      <c r="BT139" s="19"/>
      <c r="BU139" s="19"/>
      <c r="BV139" s="19"/>
      <c r="BW139" s="65"/>
      <c r="BX139" s="63"/>
      <c r="BY139" s="352"/>
      <c r="BZ139" s="14"/>
      <c r="CA139" s="34" t="s">
        <v>32</v>
      </c>
      <c r="CB139" s="37">
        <f>MAX(SUM(CC145:CC151),SUM(CD145:CD151),SUM(CE145:CE151))</f>
        <v>1</v>
      </c>
      <c r="CC139" s="21"/>
      <c r="CD139" s="180"/>
      <c r="CE139" s="180"/>
      <c r="CF139" s="21"/>
      <c r="CG139" s="14"/>
      <c r="CH139" s="14"/>
      <c r="CI139" s="14"/>
      <c r="CJ139" s="14"/>
      <c r="CK139" s="14"/>
      <c r="CL139" s="14"/>
      <c r="CM139" s="14"/>
      <c r="CN139" s="14"/>
      <c r="CO139" s="129"/>
      <c r="CP139" s="29"/>
      <c r="CQ139" s="47"/>
      <c r="CR139" s="14"/>
      <c r="CS139" s="34" t="s">
        <v>32</v>
      </c>
      <c r="CT139" s="37">
        <f>MAX(SUM(CU145:CU151),SUM(CV145:CV151),SUM(CW145:CW151))</f>
        <v>1</v>
      </c>
      <c r="CU139" s="14"/>
      <c r="CV139" s="180"/>
      <c r="CW139" s="189"/>
      <c r="CX139" s="189"/>
      <c r="CY139" s="14"/>
      <c r="CZ139" s="14"/>
      <c r="DA139" s="14"/>
      <c r="DB139" s="14"/>
      <c r="DC139" s="14"/>
      <c r="DD139" s="14"/>
      <c r="DE139" s="14"/>
      <c r="DF139" s="14"/>
      <c r="DG139" s="129"/>
      <c r="DH139" s="29"/>
      <c r="DI139" s="47"/>
      <c r="DJ139" s="29"/>
      <c r="DK139" s="34" t="s">
        <v>32</v>
      </c>
      <c r="DL139" s="37" t="str">
        <f>IF(DQ158=0,"na",IF(COUNTIF(DQ153:DQ157,MAX(DQ153:DQ157))&gt;COUNTIF(DP153:DP157,"&lt;&gt;""")/2,"No clear choice of the most common response",INDEX(DP153:DP157,MATCH(MAX(DQ153:DQ157),DQ153:DQ157,0),1)))</f>
        <v>Yes, always</v>
      </c>
      <c r="DM139" s="33">
        <f>COUNTIFS(S30_stakeholder_category,"NB",Response_Q172_1,"&lt;&gt;0",Response_Q173_7,"&lt;&gt;0")</f>
        <v>1</v>
      </c>
      <c r="DN139" s="37">
        <f>DQ157</f>
        <v>0</v>
      </c>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row>
    <row r="140" spans="1:142" x14ac:dyDescent="0.25">
      <c r="A140" s="14"/>
      <c r="B140" s="57"/>
      <c r="C140" s="121" t="str">
        <f ca="1">IF(H158=0,"",IF(COUNTIF(H153:H157,MAX(H153:H157))=1,"",IF(COUNTIF(H153:H157,MAX(H153:H157))&gt;COUNTIF(G153:G157,"&lt;&gt;""")/2,"",INDEX(OFFSET(G153,MATCH(C139,G153:G158,0),0):G157,MATCH(MAX(H153:H157),OFFSET(H153,MATCH(C139,G153:G158,0),0):H157,0),1))))</f>
        <v/>
      </c>
      <c r="D140" s="58"/>
      <c r="E140" s="121"/>
      <c r="F140" s="14"/>
      <c r="G140" s="14"/>
      <c r="H140" s="21"/>
      <c r="I140" s="21"/>
      <c r="J140" s="14"/>
      <c r="K140" s="19"/>
      <c r="L140" s="40"/>
      <c r="M140" s="40"/>
      <c r="N140" s="40"/>
      <c r="O140" s="40"/>
      <c r="P140" s="40"/>
      <c r="Q140" s="47"/>
      <c r="R140" s="19"/>
      <c r="S140" s="34"/>
      <c r="T140" s="37" t="str">
        <f ca="1">IF(Y160=0,"",IF(COUNTIF(Y153:Y159,MAX(Y153:Y159))=1,"",IF(COUNTIF(Y153:Y159,MAX(Y153:Y159))&gt;COUNTIF(X153:X159,"&lt;&gt;""")/2,"",INDEX(OFFSET(X153,MATCH(T139,X153:X159,0),0):X159,MATCH(MAX(Y153:Y159),OFFSET(Y153,MATCH(T139,X153:X159,0),0):Y159,0),1))))</f>
        <v/>
      </c>
      <c r="U140" s="33"/>
      <c r="V140" s="37"/>
      <c r="W140" s="14"/>
      <c r="X140" s="14"/>
      <c r="Y140" s="14"/>
      <c r="Z140" s="14"/>
      <c r="AA140" s="19"/>
      <c r="AB140" s="19"/>
      <c r="AC140" s="19"/>
      <c r="AD140" s="65"/>
      <c r="AE140" s="63"/>
      <c r="AF140" s="47"/>
      <c r="AG140" s="19"/>
      <c r="AH140" s="57"/>
      <c r="AI140" s="121" t="str">
        <f ca="1">IF(AN160=0,"",IF(COUNTIF(AN153:AN159,MAX(AN153:AN159))=1,"",IF(COUNTIF(AN153:AN159,MAX(AN153:AN159))&gt;COUNTIF(AM153:AM159,"&lt;&gt;""")/2,"",INDEX(OFFSET(AM153,MATCH(AI139,AM153:AM159,0),0):AM159,MATCH(MAX(AN153:AN159),OFFSET(AN153,MATCH(AI139,AM153:AM159,0),0):AN159,0),1))))</f>
        <v/>
      </c>
      <c r="AJ140" s="58"/>
      <c r="AK140" s="121"/>
      <c r="AL140" s="14"/>
      <c r="AM140" s="14"/>
      <c r="AN140" s="14"/>
      <c r="AO140" s="14"/>
      <c r="AP140" s="19"/>
      <c r="AQ140" s="19"/>
      <c r="AR140" s="19"/>
      <c r="AS140" s="65"/>
      <c r="AT140" s="63"/>
      <c r="AU140" s="47"/>
      <c r="AV140" s="14"/>
      <c r="AW140" s="57"/>
      <c r="AX140" s="121" t="str">
        <f ca="1">IF(BC160=0,"",IF(COUNTIF(BC153:BC159,MAX(BC153:BC159))=1,"",IF(COUNTIF(BC153:BC159,MAX(BC153:BC159))&gt;COUNTIF(BB153:BB159,"&lt;&gt;""")/2,"",INDEX(OFFSET(BB153,MATCH(AX139,BB153:BB159,0),0):BB159,MATCH(MAX(BC153:BC159),OFFSET(BC153,MATCH(AX139,BB153:BB159,0),0):BC159,0),1))))</f>
        <v/>
      </c>
      <c r="AY140" s="58"/>
      <c r="AZ140" s="121"/>
      <c r="BA140" s="14"/>
      <c r="BB140" s="14"/>
      <c r="BC140" s="14"/>
      <c r="BD140" s="14"/>
      <c r="BE140" s="19"/>
      <c r="BF140" s="19"/>
      <c r="BG140" s="19"/>
      <c r="BH140" s="65"/>
      <c r="BI140" s="63"/>
      <c r="BJ140" s="352"/>
      <c r="BK140" s="19"/>
      <c r="BL140" s="57"/>
      <c r="BM140" s="121" t="str">
        <f ca="1">IF(BR160=0,"",IF(COUNTIF(BR153:BR159,MAX(BR153:BR159))=1,"",IF(COUNTIF(BR153:BR159,MAX(BR153:BR159))&gt;COUNTIF(BQ153:BQ159,"&lt;&gt;""")/2,"",INDEX(OFFSET(BQ153,MATCH(BM139,BQ153:BQ159,0),0):BQ159,MATCH(MAX(BR153:BR159),OFFSET(BR153,MATCH(BM139,BQ153:BQ159,0),0):BR159,0),1))))</f>
        <v/>
      </c>
      <c r="BN140" s="58"/>
      <c r="BO140" s="121"/>
      <c r="BP140" s="14"/>
      <c r="BQ140" s="14"/>
      <c r="BR140" s="14"/>
      <c r="BS140" s="14"/>
      <c r="BT140" s="19"/>
      <c r="BU140" s="19"/>
      <c r="BV140" s="19"/>
      <c r="BW140" s="65"/>
      <c r="BX140" s="63"/>
      <c r="BY140" s="352"/>
      <c r="BZ140" s="14"/>
      <c r="CA140" s="14"/>
      <c r="CB140" s="21"/>
      <c r="CC140" s="21"/>
      <c r="CD140" s="180"/>
      <c r="CE140" s="180"/>
      <c r="CF140" s="21"/>
      <c r="CG140" s="14"/>
      <c r="CH140" s="14"/>
      <c r="CI140" s="14"/>
      <c r="CJ140" s="14"/>
      <c r="CK140" s="14"/>
      <c r="CL140" s="14"/>
      <c r="CM140" s="14"/>
      <c r="CN140" s="14"/>
      <c r="CO140" s="129"/>
      <c r="CP140" s="29"/>
      <c r="CQ140" s="47"/>
      <c r="CR140" s="14"/>
      <c r="CS140" s="14"/>
      <c r="CT140" s="14"/>
      <c r="CU140" s="14"/>
      <c r="CV140" s="180"/>
      <c r="CW140" s="189"/>
      <c r="CX140" s="189"/>
      <c r="CY140" s="14"/>
      <c r="CZ140" s="14"/>
      <c r="DA140" s="14"/>
      <c r="DB140" s="14"/>
      <c r="DC140" s="14"/>
      <c r="DD140" s="14"/>
      <c r="DE140" s="14"/>
      <c r="DF140" s="14"/>
      <c r="DG140" s="129"/>
      <c r="DH140" s="29"/>
      <c r="DI140" s="47"/>
      <c r="DJ140" s="29"/>
      <c r="DK140" s="34"/>
      <c r="DL140" s="37" t="str">
        <f ca="1">IF(DQ158=0,"",IF(COUNTIF(DQ153:DQ157,MAX(DQ153:DQ157))=1,"",IF(COUNTIF(DQ153:DQ157,MAX(DQ153:DQ157))&gt;COUNTIF(DP153:DP157,"&lt;&gt;""")/2,"",INDEX(OFFSET(DP153,MATCH(DL139,DP153:DP158,0),0):DP157,MATCH(MAX(DQ153:DQ157),OFFSET(DQ153,MATCH(DL139,DP153:DP158,0),0):DQ157,0),1))))</f>
        <v/>
      </c>
      <c r="DM140" s="33"/>
      <c r="DN140" s="37"/>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row>
    <row r="141" spans="1:142" x14ac:dyDescent="0.25">
      <c r="A141" s="14"/>
      <c r="B141" s="57"/>
      <c r="C141" s="121" t="str">
        <f ca="1" xml:space="preserve"> IF(H158=0,"", IF(COUNTIF(H153:H157,MAX(H153:H157))&lt;=2,"",IF(COUNTIF(H153:H157,MAX(H153:H157))&gt;COUNTIF(G153:G157,"&lt;&gt;""")/2,"", INDEX(OFFSET(G153,MATCH(C140,G153:G158,0),0):G157,         MATCH(MAX(H153:H157),        OFFSET(H153,MATCH(C140,G153:G158,0),0):H157,0),1))))</f>
        <v/>
      </c>
      <c r="D141" s="58"/>
      <c r="E141" s="121"/>
      <c r="F141" s="14"/>
      <c r="G141" s="14"/>
      <c r="H141" s="21"/>
      <c r="I141" s="21"/>
      <c r="J141" s="14"/>
      <c r="K141" s="19"/>
      <c r="L141" s="40"/>
      <c r="M141" s="40"/>
      <c r="N141" s="40"/>
      <c r="O141" s="40"/>
      <c r="P141" s="40"/>
      <c r="Q141" s="47"/>
      <c r="R141" s="19"/>
      <c r="S141" s="34"/>
      <c r="T141" s="121" t="str">
        <f ca="1" xml:space="preserve"> IF(Y160=0,"",IF(Y160=0,"", IF(COUNTIF(Y153:Y159,MAX(Y153:Y159))&lt;=2,"",IF(COUNTIF(Y153:Y159,MAX(Y153:Y159))&gt;COUNTIF(X153:X159,"&lt;&gt;""")/2,"", INDEX(OFFSET(X153,MATCH(T140,X153:X159,0),0):X159,         MATCH(MAX(Y153:Y159),        OFFSET(Y153,MATCH(T140,X153:X159,0),0):Y159,0),1)))))</f>
        <v/>
      </c>
      <c r="U141" s="33"/>
      <c r="V141" s="37"/>
      <c r="W141" s="14"/>
      <c r="X141" s="14"/>
      <c r="Y141" s="14"/>
      <c r="Z141" s="14"/>
      <c r="AA141" s="19"/>
      <c r="AB141" s="19"/>
      <c r="AC141" s="19"/>
      <c r="AD141" s="65"/>
      <c r="AE141" s="63"/>
      <c r="AF141" s="47"/>
      <c r="AG141" s="19"/>
      <c r="AH141" s="57"/>
      <c r="AI141" s="121" t="str">
        <f ca="1" xml:space="preserve"> IF(AN160=0,"",IF(AN160=0,"", IF(COUNTIF(AN153:AN159,MAX(AN153:AN159))&lt;=2,"",IF(COUNTIF(AN153:AN159,MAX(AN153:AN159))&gt;COUNTIF(AM153:AM159,"&lt;&gt;""")/2,"", INDEX(OFFSET(AM153,MATCH(AI140,AM153:AM159,0),0):AM159,         MATCH(MAX(AN153:AN159),        OFFSET(AN153,MATCH(AI140,AM153:AM159,0),0):AN159,0),1)))))</f>
        <v/>
      </c>
      <c r="AJ141" s="58"/>
      <c r="AK141" s="121"/>
      <c r="AL141" s="14"/>
      <c r="AM141" s="14"/>
      <c r="AN141" s="14"/>
      <c r="AO141" s="14"/>
      <c r="AP141" s="19"/>
      <c r="AQ141" s="19"/>
      <c r="AR141" s="19"/>
      <c r="AS141" s="65"/>
      <c r="AT141" s="63"/>
      <c r="AU141" s="47"/>
      <c r="AV141" s="14"/>
      <c r="AW141" s="57"/>
      <c r="AX141" s="121" t="str">
        <f ca="1" xml:space="preserve"> IF(BC160=0,"",IF(BC160=0,"", IF(COUNTIF(BC153:BC159,MAX(BC153:BC159))&lt;=2,"",IF(COUNTIF(BC153:BC159,MAX(BC153:BC159))&gt;COUNTIF(BB153:BB159,"&lt;&gt;""")/2,"", INDEX(OFFSET(BB153,MATCH(AX140,BB153:BB159,0),0):BB159,         MATCH(MAX(BC153:BC159),        OFFSET(BC153,MATCH(AX140,BB153:BB159,0),0):BC159,0),1)))))</f>
        <v/>
      </c>
      <c r="AY141" s="58"/>
      <c r="AZ141" s="121"/>
      <c r="BA141" s="14"/>
      <c r="BB141" s="14"/>
      <c r="BC141" s="14"/>
      <c r="BD141" s="14"/>
      <c r="BE141" s="19"/>
      <c r="BF141" s="19"/>
      <c r="BG141" s="19"/>
      <c r="BH141" s="65"/>
      <c r="BI141" s="63"/>
      <c r="BJ141" s="352"/>
      <c r="BK141" s="19"/>
      <c r="BL141" s="57"/>
      <c r="BM141" s="121" t="str">
        <f ca="1" xml:space="preserve"> IF(BR160=0,"",IF(BR160=0,"", IF(COUNTIF(BR153:BR159,MAX(BR153:BR159))&lt;=2,"",IF(COUNTIF(BR153:BR159,MAX(BR153:BR159))&gt;COUNTIF(BQ153:BQ159,"&lt;&gt;""")/2,"", INDEX(OFFSET(BQ153,MATCH(BM140,BQ153:BQ159,0),0):BQ159,         MATCH(MAX(BR153:BR159),        OFFSET(BR153,MATCH(BM140,BQ153:BQ159,0),0):BR159,0),1)))))</f>
        <v/>
      </c>
      <c r="BN141" s="58"/>
      <c r="BO141" s="121"/>
      <c r="BP141" s="14"/>
      <c r="BQ141" s="14"/>
      <c r="BR141" s="14"/>
      <c r="BS141" s="14"/>
      <c r="BT141" s="19"/>
      <c r="BU141" s="19"/>
      <c r="BV141" s="19"/>
      <c r="BW141" s="65"/>
      <c r="BX141" s="63"/>
      <c r="BY141" s="352"/>
      <c r="BZ141" s="14"/>
      <c r="CA141" s="14"/>
      <c r="CB141" s="21"/>
      <c r="CC141" s="21"/>
      <c r="CD141" s="180"/>
      <c r="CE141" s="180"/>
      <c r="CF141" s="21"/>
      <c r="CG141" s="14"/>
      <c r="CH141" s="14"/>
      <c r="CI141" s="14"/>
      <c r="CJ141" s="14"/>
      <c r="CK141" s="14"/>
      <c r="CL141" s="14"/>
      <c r="CM141" s="14"/>
      <c r="CN141" s="14"/>
      <c r="CO141" s="129"/>
      <c r="CP141" s="29"/>
      <c r="CQ141" s="47"/>
      <c r="CR141" s="14"/>
      <c r="CS141" s="14"/>
      <c r="CT141" s="14"/>
      <c r="CU141" s="14"/>
      <c r="CV141" s="180"/>
      <c r="CW141" s="189"/>
      <c r="CX141" s="189"/>
      <c r="CY141" s="14"/>
      <c r="CZ141" s="14"/>
      <c r="DA141" s="14"/>
      <c r="DB141" s="14"/>
      <c r="DC141" s="14"/>
      <c r="DD141" s="14"/>
      <c r="DE141" s="14"/>
      <c r="DF141" s="14"/>
      <c r="DG141" s="129"/>
      <c r="DH141" s="29"/>
      <c r="DI141" s="47"/>
      <c r="DJ141" s="29"/>
      <c r="DK141" s="34"/>
      <c r="DL141" s="37" t="str">
        <f ca="1">IF(DQ158=0,"",IF(COUNTIF(DQ153:DQ157,MAX(DQ153:DQ157))&lt;=2,"",IF(COUNTIF(DQ153:DQ157,MAX(DQ153:DQ157))&gt;COUNTIF(DP153:DP157,"&lt;&gt;""")/2,"",INDEX(OFFSET(DP153,MATCH(DL140,DP153:DP158,0),0):DP157,MATCH(MAX(DQ153:DQ157),OFFSET(DQ153,MATCH(DL140,DP153:DP158,0),0):DQ157,0),1))))</f>
        <v/>
      </c>
      <c r="DM141" s="33"/>
      <c r="DN141" s="37"/>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row>
    <row r="142" spans="1:142" x14ac:dyDescent="0.25">
      <c r="A142" s="14"/>
      <c r="B142" s="14"/>
      <c r="C142" s="14"/>
      <c r="D142" s="27"/>
      <c r="E142" s="14"/>
      <c r="F142" s="14"/>
      <c r="G142" s="14"/>
      <c r="H142" s="21"/>
      <c r="I142" s="21"/>
      <c r="J142" s="14"/>
      <c r="K142" s="19"/>
      <c r="L142" s="40"/>
      <c r="M142" s="40"/>
      <c r="N142" s="40"/>
      <c r="O142" s="40"/>
      <c r="P142" s="40"/>
      <c r="Q142" s="47"/>
      <c r="R142" s="19"/>
      <c r="S142" s="19"/>
      <c r="T142" s="19"/>
      <c r="U142" s="19"/>
      <c r="V142" s="19"/>
      <c r="W142" s="14"/>
      <c r="X142" s="14"/>
      <c r="Y142" s="14"/>
      <c r="Z142" s="14"/>
      <c r="AA142" s="19"/>
      <c r="AB142" s="19"/>
      <c r="AC142" s="19"/>
      <c r="AD142" s="65"/>
      <c r="AE142" s="63"/>
      <c r="AF142" s="47"/>
      <c r="AG142" s="19"/>
      <c r="AH142" s="19"/>
      <c r="AI142" s="19"/>
      <c r="AJ142" s="19"/>
      <c r="AK142" s="19"/>
      <c r="AL142" s="14"/>
      <c r="AM142" s="14"/>
      <c r="AN142" s="14"/>
      <c r="AO142" s="14"/>
      <c r="AP142" s="19"/>
      <c r="AQ142" s="19"/>
      <c r="AR142" s="19"/>
      <c r="AS142" s="65"/>
      <c r="AT142" s="63"/>
      <c r="AU142" s="47"/>
      <c r="AV142" s="14"/>
      <c r="AW142" s="19"/>
      <c r="AX142" s="19"/>
      <c r="AY142" s="19"/>
      <c r="AZ142" s="19"/>
      <c r="BA142" s="14"/>
      <c r="BB142" s="14"/>
      <c r="BC142" s="14"/>
      <c r="BD142" s="14"/>
      <c r="BE142" s="19"/>
      <c r="BF142" s="19"/>
      <c r="BG142" s="19"/>
      <c r="BH142" s="65"/>
      <c r="BI142" s="63"/>
      <c r="BJ142" s="352"/>
      <c r="BK142" s="19"/>
      <c r="BL142" s="19"/>
      <c r="BM142" s="19"/>
      <c r="BN142" s="19"/>
      <c r="BO142" s="19"/>
      <c r="BP142" s="14"/>
      <c r="BQ142" s="14"/>
      <c r="BR142" s="14"/>
      <c r="BS142" s="14"/>
      <c r="BT142" s="19"/>
      <c r="BU142" s="19"/>
      <c r="BV142" s="19"/>
      <c r="BW142" s="65"/>
      <c r="BX142" s="63"/>
      <c r="BY142" s="352"/>
      <c r="BZ142" s="14"/>
      <c r="CA142" s="14"/>
      <c r="CB142" s="21"/>
      <c r="CC142" s="21"/>
      <c r="CD142" s="180"/>
      <c r="CE142" s="180"/>
      <c r="CF142" s="21"/>
      <c r="CG142" s="14"/>
      <c r="CH142" s="14"/>
      <c r="CI142" s="14"/>
      <c r="CJ142" s="14"/>
      <c r="CK142" s="14"/>
      <c r="CL142" s="14"/>
      <c r="CM142" s="14"/>
      <c r="CN142" s="14"/>
      <c r="CO142" s="129"/>
      <c r="CP142" s="29"/>
      <c r="CQ142" s="47"/>
      <c r="CR142" s="14"/>
      <c r="CS142" s="14"/>
      <c r="CT142" s="14"/>
      <c r="CU142" s="14"/>
      <c r="CV142" s="180"/>
      <c r="CW142" s="189"/>
      <c r="CX142" s="189"/>
      <c r="CY142" s="14"/>
      <c r="CZ142" s="14"/>
      <c r="DA142" s="14"/>
      <c r="DB142" s="14"/>
      <c r="DC142" s="14"/>
      <c r="DD142" s="14"/>
      <c r="DE142" s="14"/>
      <c r="DF142" s="14"/>
      <c r="DG142" s="129"/>
      <c r="DH142" s="29"/>
      <c r="DI142" s="47"/>
      <c r="DJ142" s="29"/>
      <c r="DK142" s="14"/>
      <c r="DL142" s="14"/>
      <c r="DM142" s="27"/>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row>
    <row r="143" spans="1:142" x14ac:dyDescent="0.25">
      <c r="A143" s="14"/>
      <c r="B143" s="14"/>
      <c r="C143" s="14"/>
      <c r="D143" s="27"/>
      <c r="E143" s="14"/>
      <c r="F143" s="14"/>
      <c r="G143" s="14"/>
      <c r="H143" s="21"/>
      <c r="I143" s="21"/>
      <c r="J143" s="14"/>
      <c r="K143" s="19"/>
      <c r="L143" s="40"/>
      <c r="M143" s="40"/>
      <c r="N143" s="40"/>
      <c r="O143" s="40"/>
      <c r="P143" s="40"/>
      <c r="Q143" s="47"/>
      <c r="R143" s="19"/>
      <c r="S143" s="19"/>
      <c r="T143" s="19"/>
      <c r="U143" s="19"/>
      <c r="V143" s="19"/>
      <c r="W143" s="14"/>
      <c r="X143" s="14"/>
      <c r="Y143" s="14"/>
      <c r="Z143" s="14"/>
      <c r="AA143" s="19"/>
      <c r="AB143" s="19"/>
      <c r="AC143" s="19"/>
      <c r="AD143" s="65"/>
      <c r="AE143" s="63"/>
      <c r="AF143" s="47"/>
      <c r="AG143" s="19"/>
      <c r="AH143" s="19"/>
      <c r="AI143" s="19"/>
      <c r="AJ143" s="19"/>
      <c r="AK143" s="19"/>
      <c r="AL143" s="14"/>
      <c r="AM143" s="14"/>
      <c r="AN143" s="14"/>
      <c r="AO143" s="14"/>
      <c r="AP143" s="19"/>
      <c r="AQ143" s="19"/>
      <c r="AR143" s="19"/>
      <c r="AS143" s="65"/>
      <c r="AT143" s="63"/>
      <c r="AU143" s="47"/>
      <c r="AV143" s="14"/>
      <c r="AW143" s="19"/>
      <c r="AX143" s="19"/>
      <c r="AY143" s="19"/>
      <c r="AZ143" s="19"/>
      <c r="BA143" s="14"/>
      <c r="BB143" s="14"/>
      <c r="BC143" s="14"/>
      <c r="BD143" s="14"/>
      <c r="BE143" s="19"/>
      <c r="BF143" s="19"/>
      <c r="BG143" s="19"/>
      <c r="BH143" s="65"/>
      <c r="BI143" s="63"/>
      <c r="BJ143" s="352"/>
      <c r="BK143" s="19"/>
      <c r="BL143" s="19"/>
      <c r="BM143" s="19"/>
      <c r="BN143" s="19"/>
      <c r="BO143" s="19"/>
      <c r="BP143" s="14"/>
      <c r="BQ143" s="14"/>
      <c r="BR143" s="14"/>
      <c r="BS143" s="14"/>
      <c r="BT143" s="19"/>
      <c r="BU143" s="19"/>
      <c r="BV143" s="19"/>
      <c r="BW143" s="65"/>
      <c r="BX143" s="63"/>
      <c r="BY143" s="352"/>
      <c r="BZ143" s="14"/>
      <c r="CA143" s="14"/>
      <c r="CB143" s="21"/>
      <c r="CC143" s="21"/>
      <c r="CD143" s="180"/>
      <c r="CE143" s="180"/>
      <c r="CF143" s="21"/>
      <c r="CG143" s="14"/>
      <c r="CH143" s="14"/>
      <c r="CI143" s="14"/>
      <c r="CJ143" s="14"/>
      <c r="CK143" s="14"/>
      <c r="CL143" s="14"/>
      <c r="CM143" s="14"/>
      <c r="CN143" s="14"/>
      <c r="CO143" s="129"/>
      <c r="CP143" s="29"/>
      <c r="CQ143" s="47"/>
      <c r="CR143" s="14"/>
      <c r="CS143" s="14"/>
      <c r="CT143" s="14"/>
      <c r="CU143" s="14"/>
      <c r="CV143" s="180"/>
      <c r="CW143" s="189"/>
      <c r="CX143" s="189"/>
      <c r="CY143" s="14"/>
      <c r="CZ143" s="14"/>
      <c r="DA143" s="14"/>
      <c r="DB143" s="14"/>
      <c r="DC143" s="14"/>
      <c r="DD143" s="14"/>
      <c r="DE143" s="14"/>
      <c r="DF143" s="14"/>
      <c r="DG143" s="129"/>
      <c r="DH143" s="29"/>
      <c r="DI143" s="47"/>
      <c r="DJ143" s="29"/>
      <c r="DK143" s="14"/>
      <c r="DL143" s="14"/>
      <c r="DM143" s="27"/>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row>
    <row r="144" spans="1:142" ht="27.6" x14ac:dyDescent="0.25">
      <c r="A144" s="14"/>
      <c r="B144" s="14"/>
      <c r="C144" s="14"/>
      <c r="D144" s="27"/>
      <c r="E144" s="14"/>
      <c r="F144" s="14"/>
      <c r="G144" s="14"/>
      <c r="H144" s="21"/>
      <c r="I144" s="21"/>
      <c r="J144" s="14"/>
      <c r="K144" s="19"/>
      <c r="L144" s="40"/>
      <c r="M144" s="40"/>
      <c r="N144" s="40"/>
      <c r="O144" s="40"/>
      <c r="P144" s="40"/>
      <c r="Q144" s="47"/>
      <c r="R144" s="19"/>
      <c r="S144" s="19"/>
      <c r="T144" s="19"/>
      <c r="U144" s="19"/>
      <c r="V144" s="19"/>
      <c r="W144" s="14"/>
      <c r="X144" s="14"/>
      <c r="Y144" s="14"/>
      <c r="Z144" s="14"/>
      <c r="AA144" s="19"/>
      <c r="AB144" s="19"/>
      <c r="AC144" s="19"/>
      <c r="AD144" s="65"/>
      <c r="AE144" s="63"/>
      <c r="AF144" s="47"/>
      <c r="AG144" s="19"/>
      <c r="AH144" s="19"/>
      <c r="AI144" s="19"/>
      <c r="AJ144" s="19"/>
      <c r="AK144" s="19"/>
      <c r="AL144" s="14"/>
      <c r="AM144" s="14"/>
      <c r="AN144" s="14"/>
      <c r="AO144" s="14"/>
      <c r="AP144" s="19"/>
      <c r="AQ144" s="19"/>
      <c r="AR144" s="19"/>
      <c r="AS144" s="65"/>
      <c r="AT144" s="63"/>
      <c r="AU144" s="47"/>
      <c r="AV144" s="14"/>
      <c r="AW144" s="19"/>
      <c r="AX144" s="19"/>
      <c r="AY144" s="19"/>
      <c r="AZ144" s="19"/>
      <c r="BA144" s="14"/>
      <c r="BB144" s="14"/>
      <c r="BC144" s="14"/>
      <c r="BD144" s="14"/>
      <c r="BE144" s="19"/>
      <c r="BF144" s="19"/>
      <c r="BG144" s="19"/>
      <c r="BH144" s="65"/>
      <c r="BI144" s="63"/>
      <c r="BJ144" s="352"/>
      <c r="BK144" s="19"/>
      <c r="BL144" s="19"/>
      <c r="BM144" s="19"/>
      <c r="BN144" s="19"/>
      <c r="BO144" s="19"/>
      <c r="BP144" s="14"/>
      <c r="BQ144" s="14"/>
      <c r="BR144" s="14"/>
      <c r="BS144" s="14"/>
      <c r="BT144" s="19"/>
      <c r="BU144" s="19"/>
      <c r="BV144" s="19"/>
      <c r="BW144" s="65"/>
      <c r="BX144" s="63"/>
      <c r="BY144" s="352"/>
      <c r="BZ144" s="14"/>
      <c r="CA144" s="109" t="s">
        <v>14</v>
      </c>
      <c r="CB144" s="110" t="s">
        <v>164</v>
      </c>
      <c r="CC144" s="110" t="s">
        <v>149</v>
      </c>
      <c r="CD144" s="184" t="s">
        <v>150</v>
      </c>
      <c r="CE144" s="184" t="s">
        <v>151</v>
      </c>
      <c r="CF144" s="110" t="s">
        <v>152</v>
      </c>
      <c r="CG144" s="14"/>
      <c r="CH144" s="109"/>
      <c r="CI144" s="110" t="s">
        <v>5</v>
      </c>
      <c r="CJ144" s="110" t="s">
        <v>4</v>
      </c>
      <c r="CK144" s="110" t="s">
        <v>33</v>
      </c>
      <c r="CL144" s="110" t="s">
        <v>29</v>
      </c>
      <c r="CM144" s="110" t="s">
        <v>3</v>
      </c>
      <c r="CN144" s="110" t="s">
        <v>54</v>
      </c>
      <c r="CO144" s="328" t="s">
        <v>160</v>
      </c>
      <c r="CP144" s="29"/>
      <c r="CQ144" s="47"/>
      <c r="CR144" s="14"/>
      <c r="CS144" s="109" t="s">
        <v>14</v>
      </c>
      <c r="CT144" s="110" t="s">
        <v>164</v>
      </c>
      <c r="CU144" s="110" t="s">
        <v>149</v>
      </c>
      <c r="CV144" s="184" t="s">
        <v>150</v>
      </c>
      <c r="CW144" s="184" t="s">
        <v>151</v>
      </c>
      <c r="CX144" s="194" t="s">
        <v>152</v>
      </c>
      <c r="CY144" s="14"/>
      <c r="CZ144" s="109" t="s">
        <v>14</v>
      </c>
      <c r="DA144" s="110" t="s">
        <v>5</v>
      </c>
      <c r="DB144" s="110" t="s">
        <v>4</v>
      </c>
      <c r="DC144" s="110" t="s">
        <v>33</v>
      </c>
      <c r="DD144" s="110" t="s">
        <v>29</v>
      </c>
      <c r="DE144" s="110" t="s">
        <v>3</v>
      </c>
      <c r="DF144" s="110" t="s">
        <v>54</v>
      </c>
      <c r="DG144" s="328" t="s">
        <v>160</v>
      </c>
      <c r="DH144" s="29"/>
      <c r="DI144" s="47"/>
      <c r="DJ144" s="29"/>
      <c r="DK144" s="19"/>
      <c r="DL144" s="19"/>
      <c r="DM144" s="27"/>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row>
    <row r="145" spans="1:142" x14ac:dyDescent="0.25">
      <c r="A145" s="14"/>
      <c r="B145" s="14"/>
      <c r="C145" s="14"/>
      <c r="D145" s="21"/>
      <c r="E145" s="14"/>
      <c r="F145" s="14"/>
      <c r="G145" s="14"/>
      <c r="H145" s="21"/>
      <c r="I145" s="21"/>
      <c r="J145" s="14"/>
      <c r="K145" s="14"/>
      <c r="L145" s="14"/>
      <c r="M145" s="14"/>
      <c r="N145" s="14"/>
      <c r="O145" s="14"/>
      <c r="P145" s="14"/>
      <c r="Q145" s="47"/>
      <c r="R145" s="19"/>
      <c r="S145" s="19"/>
      <c r="T145" s="19"/>
      <c r="U145" s="19"/>
      <c r="V145" s="19"/>
      <c r="W145" s="14"/>
      <c r="X145" s="14"/>
      <c r="Y145" s="14"/>
      <c r="Z145" s="14"/>
      <c r="AA145" s="19"/>
      <c r="AB145" s="19"/>
      <c r="AC145" s="19"/>
      <c r="AD145" s="65"/>
      <c r="AE145" s="63"/>
      <c r="AF145" s="47"/>
      <c r="AG145" s="19"/>
      <c r="AH145" s="19"/>
      <c r="AI145" s="19"/>
      <c r="AJ145" s="19"/>
      <c r="AK145" s="19"/>
      <c r="AL145" s="14"/>
      <c r="AM145" s="14"/>
      <c r="AN145" s="14"/>
      <c r="AO145" s="14"/>
      <c r="AP145" s="19"/>
      <c r="AQ145" s="19"/>
      <c r="AR145" s="19"/>
      <c r="AS145" s="65"/>
      <c r="AT145" s="63"/>
      <c r="AU145" s="47"/>
      <c r="AV145" s="14"/>
      <c r="AW145" s="19"/>
      <c r="AX145" s="19"/>
      <c r="AY145" s="19"/>
      <c r="AZ145" s="19"/>
      <c r="BA145" s="14"/>
      <c r="BB145" s="14"/>
      <c r="BC145" s="14"/>
      <c r="BD145" s="14"/>
      <c r="BE145" s="19"/>
      <c r="BF145" s="19"/>
      <c r="BG145" s="19"/>
      <c r="BH145" s="65"/>
      <c r="BI145" s="63"/>
      <c r="BJ145" s="352"/>
      <c r="BK145" s="19"/>
      <c r="BL145" s="19"/>
      <c r="BM145" s="19"/>
      <c r="BN145" s="19"/>
      <c r="BO145" s="19"/>
      <c r="BP145" s="14"/>
      <c r="BQ145" s="14"/>
      <c r="BR145" s="14"/>
      <c r="BS145" s="14"/>
      <c r="BT145" s="19"/>
      <c r="BU145" s="19"/>
      <c r="BV145" s="19"/>
      <c r="BW145" s="65"/>
      <c r="BX145" s="63"/>
      <c r="BY145" s="352"/>
      <c r="BZ145" s="14"/>
      <c r="CA145" s="140" t="s">
        <v>701</v>
      </c>
      <c r="CB145" s="27">
        <f>COUNTIFS(S30_stakeholder_category,"NB",Response_Q177_1,"&lt;&gt;0",Response_Q173_7,"&lt;&gt;0")</f>
        <v>1</v>
      </c>
      <c r="CC145" s="37">
        <f>COUNTIFS(S30_stakeholder_category,"NB",Response_Q177_1,1,Response_Q173_7,"&lt;&gt;""0")</f>
        <v>1</v>
      </c>
      <c r="CD145" s="37">
        <f>COUNTIFS(S30_stakeholder_category,"NB",Response_Q177_1,2,Response_Q173_7,"&lt;&gt;""0")</f>
        <v>0</v>
      </c>
      <c r="CE145" s="37">
        <f>COUNTIFS(S30_stakeholder_category,"NB",Response_Q177_1,3,Response_Q173_7,"&lt;&gt;""0")</f>
        <v>0</v>
      </c>
      <c r="CF145" s="97">
        <f>IF(CB139=0,0,SUMPRODUCT(CC145:CE145,Rank_score)/$CB139)</f>
        <v>3</v>
      </c>
      <c r="CG145" s="14"/>
      <c r="CH145" s="140" t="s">
        <v>701</v>
      </c>
      <c r="CI145" s="27">
        <f t="shared" ref="CI145:CN145" si="91">COUNTIFS(S30_stakeholder_category,"NB",Response_Q177_1,"&lt;&gt;0",Response_Q177_2,CI$63,Response_Q173_7,"&lt;&gt;0")</f>
        <v>0</v>
      </c>
      <c r="CJ145" s="27">
        <f t="shared" si="91"/>
        <v>0</v>
      </c>
      <c r="CK145" s="27">
        <f t="shared" si="91"/>
        <v>0</v>
      </c>
      <c r="CL145" s="27">
        <f t="shared" si="91"/>
        <v>0</v>
      </c>
      <c r="CM145" s="27">
        <f t="shared" si="91"/>
        <v>0</v>
      </c>
      <c r="CN145" s="27">
        <f t="shared" si="91"/>
        <v>0</v>
      </c>
      <c r="CO145" s="141" t="str">
        <f t="shared" ref="CO145:CO151" si="92">IF(ISBLANK(CH145),"",IF(CF145=0,not_ranked,IF(SUM(CI145:CN145)=0,not_estimated,IFERROR(SUMPRODUCT(CI145:CN145,Likekihood_score)/SUM(CI145:CN145),0))))</f>
        <v>Ranked, but likelihood not estimated</v>
      </c>
      <c r="CP145" s="29"/>
      <c r="CQ145" s="47"/>
      <c r="CR145" s="14"/>
      <c r="CS145" s="140" t="s">
        <v>373</v>
      </c>
      <c r="CT145" s="27">
        <f>COUNTIFS(S30_stakeholder_category,"NB",Response_Q178_1,"&lt;&gt;0",Response_Q173_7,"&lt;&gt;0")</f>
        <v>1</v>
      </c>
      <c r="CU145" s="37">
        <f>COUNTIFS(S30_stakeholder_category,"NB",Response_Q178_1,1,Response_Q173_7,"&lt;&gt;0")</f>
        <v>1</v>
      </c>
      <c r="CV145" s="37">
        <f>COUNTIFS(S30_stakeholder_category,"NB",Response_Q178_1,2,Response_Q173_7,"&lt;&gt;0")</f>
        <v>0</v>
      </c>
      <c r="CW145" s="37">
        <f>COUNTIFS(S30_stakeholder_category,"NB",Response_Q178_1,3,Response_Q173_7,"&lt;&gt;0")</f>
        <v>0</v>
      </c>
      <c r="CX145" s="37">
        <f>IF(CT139=0,0,SUMPRODUCT(CU145:CW145,Rank_score)/CT$58)</f>
        <v>1</v>
      </c>
      <c r="CY145" s="14"/>
      <c r="CZ145" s="140" t="s">
        <v>373</v>
      </c>
      <c r="DA145" s="27">
        <f t="shared" ref="DA145:DF145" si="93">COUNTIFS(S30_stakeholder_category,"NB",Response_Q178_1,"&lt;&gt;0",Response_Q178_2,DA$63,Response_Q173_7,"&lt;&gt;0")</f>
        <v>0</v>
      </c>
      <c r="DB145" s="27">
        <f t="shared" si="93"/>
        <v>0</v>
      </c>
      <c r="DC145" s="27">
        <f t="shared" si="93"/>
        <v>0</v>
      </c>
      <c r="DD145" s="27">
        <f t="shared" si="93"/>
        <v>0</v>
      </c>
      <c r="DE145" s="27">
        <f t="shared" si="93"/>
        <v>0</v>
      </c>
      <c r="DF145" s="27">
        <f t="shared" si="93"/>
        <v>0</v>
      </c>
      <c r="DG145" s="141" t="str">
        <f t="shared" ref="DG145:DG152" si="94">IF(ISBLANK(CZ145),"",IF(CX145=0,not_ranked,IF(SUM(DA145:DF145)=0,not_estimated,IFERROR(SUMPRODUCT(DA145:DF145,Likekihood_score)/SUM(DA145:DF145),0))))</f>
        <v>Ranked, but likelihood not estimated</v>
      </c>
      <c r="DH145" s="29"/>
      <c r="DI145" s="47"/>
      <c r="DJ145" s="29"/>
      <c r="DK145" s="19"/>
      <c r="DL145" s="19"/>
      <c r="DM145" s="14"/>
      <c r="DN145" s="14"/>
      <c r="DO145" s="14"/>
      <c r="DP145" s="14"/>
      <c r="DQ145" s="14"/>
      <c r="DR145" s="13"/>
      <c r="DS145" s="13"/>
      <c r="DT145" s="14"/>
      <c r="DU145" s="14"/>
      <c r="DV145" s="14"/>
      <c r="DW145" s="14"/>
      <c r="DX145" s="14"/>
      <c r="DY145" s="14"/>
      <c r="DZ145" s="14"/>
      <c r="EA145" s="14"/>
      <c r="EB145" s="14"/>
      <c r="EC145" s="14"/>
      <c r="ED145" s="14"/>
      <c r="EE145" s="14"/>
      <c r="EF145" s="14"/>
      <c r="EG145" s="14"/>
      <c r="EH145" s="14"/>
      <c r="EI145" s="14"/>
      <c r="EJ145" s="14"/>
      <c r="EK145" s="14"/>
      <c r="EL145" s="14"/>
    </row>
    <row r="146" spans="1:142" ht="14.4" x14ac:dyDescent="0.25">
      <c r="A146" s="14"/>
      <c r="B146" s="60"/>
      <c r="C146" s="19"/>
      <c r="D146" s="59"/>
      <c r="E146" s="14"/>
      <c r="F146" s="14"/>
      <c r="G146" s="14"/>
      <c r="H146" s="21"/>
      <c r="I146" s="21"/>
      <c r="J146" s="14"/>
      <c r="K146" s="14"/>
      <c r="L146" s="14"/>
      <c r="M146" s="14"/>
      <c r="N146" s="14"/>
      <c r="O146" s="14"/>
      <c r="P146" s="14"/>
      <c r="Q146" s="47"/>
      <c r="R146" s="19"/>
      <c r="S146" s="19"/>
      <c r="T146" s="19"/>
      <c r="U146" s="19"/>
      <c r="V146" s="19"/>
      <c r="W146" s="14"/>
      <c r="X146" s="14"/>
      <c r="Y146" s="14"/>
      <c r="Z146" s="14"/>
      <c r="AA146" s="19"/>
      <c r="AB146" s="19"/>
      <c r="AC146" s="19"/>
      <c r="AD146" s="65"/>
      <c r="AE146" s="63"/>
      <c r="AF146" s="47"/>
      <c r="AG146" s="19"/>
      <c r="AH146" s="19"/>
      <c r="AI146" s="19"/>
      <c r="AJ146" s="19"/>
      <c r="AK146" s="19"/>
      <c r="AL146" s="14"/>
      <c r="AM146" s="14"/>
      <c r="AN146" s="14"/>
      <c r="AO146" s="14"/>
      <c r="AP146" s="19"/>
      <c r="AQ146" s="19"/>
      <c r="AR146" s="19"/>
      <c r="AS146" s="65"/>
      <c r="AT146" s="63"/>
      <c r="AU146" s="47"/>
      <c r="AV146" s="14"/>
      <c r="AW146" s="19"/>
      <c r="AX146" s="19"/>
      <c r="AY146" s="19"/>
      <c r="AZ146" s="19"/>
      <c r="BA146" s="14"/>
      <c r="BB146" s="14"/>
      <c r="BC146" s="14"/>
      <c r="BD146" s="14"/>
      <c r="BE146" s="19"/>
      <c r="BF146" s="19"/>
      <c r="BG146" s="19"/>
      <c r="BH146" s="65"/>
      <c r="BI146" s="63"/>
      <c r="BJ146" s="352"/>
      <c r="BK146" s="19"/>
      <c r="BL146" s="19"/>
      <c r="BM146" s="19"/>
      <c r="BN146" s="19"/>
      <c r="BO146" s="19"/>
      <c r="BP146" s="14"/>
      <c r="BQ146" s="14"/>
      <c r="BR146" s="14"/>
      <c r="BS146" s="14"/>
      <c r="BT146" s="19"/>
      <c r="BU146" s="19"/>
      <c r="BV146" s="19"/>
      <c r="BW146" s="65"/>
      <c r="BX146" s="63"/>
      <c r="BY146" s="352"/>
      <c r="BZ146" s="14"/>
      <c r="CA146" s="140" t="s">
        <v>344</v>
      </c>
      <c r="CB146" s="27">
        <f>COUNTIFS(S30_stakeholder_category,"NB",Response_Q177_3,"&lt;&gt;0",Response_Q173_7,"&lt;&gt;0")</f>
        <v>0</v>
      </c>
      <c r="CC146" s="37">
        <f>COUNTIFS(S30_stakeholder_category,"NB",Response_Q177_3,1,Response_Q173_7,"&lt;&gt;0")</f>
        <v>0</v>
      </c>
      <c r="CD146" s="37">
        <f>COUNTIFS(S30_stakeholder_category,"NB",Response_Q177_3,2,Response_Q173_7,"&lt;&gt;0")</f>
        <v>0</v>
      </c>
      <c r="CE146" s="37">
        <f>COUNTIFS(S30_stakeholder_category,"NB",Response_Q177_3,3,Response_Q173_7,"&lt;&gt;0")</f>
        <v>0</v>
      </c>
      <c r="CF146" s="97">
        <f>IF(CB139=0,0,SUMPRODUCT(CC146:CE146,Rank_score)/$CB139)</f>
        <v>0</v>
      </c>
      <c r="CG146" s="14"/>
      <c r="CH146" s="140" t="s">
        <v>344</v>
      </c>
      <c r="CI146" s="27">
        <f t="shared" ref="CI146:CN146" si="95">COUNTIFS(S30_stakeholder_category,"NB",Response_Q177_3,"&lt;&gt;0",Response_Q177_4,CI$63,Response_Q173_7,"&lt;&gt;0")</f>
        <v>0</v>
      </c>
      <c r="CJ146" s="27">
        <f t="shared" si="95"/>
        <v>0</v>
      </c>
      <c r="CK146" s="27">
        <f t="shared" si="95"/>
        <v>0</v>
      </c>
      <c r="CL146" s="27">
        <f t="shared" si="95"/>
        <v>0</v>
      </c>
      <c r="CM146" s="27">
        <f t="shared" si="95"/>
        <v>0</v>
      </c>
      <c r="CN146" s="27">
        <f t="shared" si="95"/>
        <v>0</v>
      </c>
      <c r="CO146" s="141" t="str">
        <f t="shared" si="92"/>
        <v>Factor not ranked</v>
      </c>
      <c r="CP146" s="14"/>
      <c r="CQ146" s="47"/>
      <c r="CR146" s="14"/>
      <c r="CS146" s="140" t="s">
        <v>338</v>
      </c>
      <c r="CT146" s="27">
        <f>COUNTIFS(S30_stakeholder_category,"NB",Response_Q178_3,"&lt;&gt;0",Response_Q173_7,"&lt;&gt;0")</f>
        <v>0</v>
      </c>
      <c r="CU146" s="37">
        <f>COUNTIFS(S30_stakeholder_category,"NB",Response_Q178_3,1,Response_Q173_7,"&lt;&gt;0")</f>
        <v>0</v>
      </c>
      <c r="CV146" s="37">
        <f>COUNTIFS(S30_stakeholder_category,"NB",Response_Q178_3,2,Response_Q173_7,"&lt;&gt;0")</f>
        <v>0</v>
      </c>
      <c r="CW146" s="37">
        <f>COUNTIFS(S30_stakeholder_category,"NB",Response_Q178_3,3,Response_Q173_7,"&lt;&gt;0")</f>
        <v>0</v>
      </c>
      <c r="CX146" s="37">
        <f>IF(CT139=0,0,SUMPRODUCT(CU146:CW146,Rank_score)/CT$58)</f>
        <v>0</v>
      </c>
      <c r="CY146" s="14"/>
      <c r="CZ146" s="140" t="s">
        <v>338</v>
      </c>
      <c r="DA146" s="27">
        <f t="shared" ref="DA146:DF146" si="96">COUNTIFS(S30_stakeholder_category,"NB",Response_Q178_3,"&lt;&gt;0",Response_Q178_4,DA$63,Response_Q173_7,"&lt;&gt;0")</f>
        <v>0</v>
      </c>
      <c r="DB146" s="27">
        <f t="shared" si="96"/>
        <v>0</v>
      </c>
      <c r="DC146" s="27">
        <f t="shared" si="96"/>
        <v>0</v>
      </c>
      <c r="DD146" s="27">
        <f t="shared" si="96"/>
        <v>0</v>
      </c>
      <c r="DE146" s="27">
        <f t="shared" si="96"/>
        <v>0</v>
      </c>
      <c r="DF146" s="27">
        <f t="shared" si="96"/>
        <v>0</v>
      </c>
      <c r="DG146" s="141" t="str">
        <f t="shared" si="94"/>
        <v>Factor not ranked</v>
      </c>
      <c r="DH146" s="14"/>
      <c r="DI146" s="47"/>
      <c r="DJ146" s="14"/>
      <c r="DK146" s="56"/>
      <c r="DL146" s="29"/>
      <c r="DM146" s="59"/>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row>
    <row r="147" spans="1:142" x14ac:dyDescent="0.25">
      <c r="A147" s="14"/>
      <c r="B147" s="62"/>
      <c r="C147" s="19"/>
      <c r="D147" s="59"/>
      <c r="E147" s="14"/>
      <c r="F147" s="14"/>
      <c r="G147" s="14"/>
      <c r="H147" s="21"/>
      <c r="I147" s="21"/>
      <c r="J147" s="14"/>
      <c r="K147" s="14"/>
      <c r="L147" s="14"/>
      <c r="M147" s="14"/>
      <c r="N147" s="14"/>
      <c r="O147" s="14"/>
      <c r="P147" s="14"/>
      <c r="Q147" s="47"/>
      <c r="R147" s="19"/>
      <c r="S147" s="19"/>
      <c r="T147" s="19"/>
      <c r="U147" s="19"/>
      <c r="V147" s="19"/>
      <c r="W147" s="14"/>
      <c r="X147" s="14"/>
      <c r="Y147" s="14"/>
      <c r="Z147" s="13"/>
      <c r="AA147" s="13"/>
      <c r="AB147" s="13"/>
      <c r="AC147" s="13"/>
      <c r="AD147" s="65"/>
      <c r="AE147" s="63"/>
      <c r="AF147" s="47"/>
      <c r="AG147" s="19"/>
      <c r="AH147" s="19"/>
      <c r="AI147" s="19"/>
      <c r="AJ147" s="19"/>
      <c r="AK147" s="19"/>
      <c r="AL147" s="14"/>
      <c r="AM147" s="14"/>
      <c r="AN147" s="14"/>
      <c r="AO147" s="13"/>
      <c r="AP147" s="13"/>
      <c r="AQ147" s="13"/>
      <c r="AR147" s="13"/>
      <c r="AS147" s="65"/>
      <c r="AT147" s="63"/>
      <c r="AU147" s="47"/>
      <c r="AV147" s="14"/>
      <c r="AW147" s="19"/>
      <c r="AX147" s="19"/>
      <c r="AY147" s="19"/>
      <c r="AZ147" s="19"/>
      <c r="BA147" s="14"/>
      <c r="BB147" s="14"/>
      <c r="BC147" s="14"/>
      <c r="BD147" s="13"/>
      <c r="BE147" s="13"/>
      <c r="BF147" s="13"/>
      <c r="BG147" s="13"/>
      <c r="BH147" s="65"/>
      <c r="BI147" s="63"/>
      <c r="BJ147" s="352"/>
      <c r="BK147" s="19"/>
      <c r="BL147" s="19"/>
      <c r="BM147" s="19"/>
      <c r="BN147" s="19"/>
      <c r="BO147" s="19"/>
      <c r="BP147" s="14"/>
      <c r="BQ147" s="14"/>
      <c r="BR147" s="14"/>
      <c r="BS147" s="13"/>
      <c r="BT147" s="13"/>
      <c r="BU147" s="13"/>
      <c r="BV147" s="13"/>
      <c r="BW147" s="65"/>
      <c r="BX147" s="63"/>
      <c r="BY147" s="352"/>
      <c r="BZ147" s="14"/>
      <c r="CA147" s="140" t="s">
        <v>146</v>
      </c>
      <c r="CB147" s="27">
        <f>COUNTIFS(S30_stakeholder_category,"NB",Response_Q177_5,"&lt;&gt;0",Response_Q173_7,"&lt;&gt;0")</f>
        <v>0</v>
      </c>
      <c r="CC147" s="37">
        <f>COUNTIFS(S30_stakeholder_category,"NB",Response_Q177_5,1,Response_Q173_7,"&lt;&gt;0")</f>
        <v>0</v>
      </c>
      <c r="CD147" s="37">
        <f>COUNTIFS(S30_stakeholder_category,"NB",Response_Q177_5,2,Response_Q173_7,"&lt;&gt;0")</f>
        <v>0</v>
      </c>
      <c r="CE147" s="37">
        <f>COUNTIFS(S30_stakeholder_category,"NB",Response_Q177_5,3,Response_Q173_7,"&lt;&gt;0")</f>
        <v>0</v>
      </c>
      <c r="CF147" s="97">
        <f>IF(CB139=0,0,SUMPRODUCT(CC147:CE147,Rank_score)/$CB139)</f>
        <v>0</v>
      </c>
      <c r="CG147" s="14"/>
      <c r="CH147" s="140" t="s">
        <v>146</v>
      </c>
      <c r="CI147" s="27">
        <f t="shared" ref="CI147:CN147" si="97">COUNTIFS(S30_stakeholder_category,"NB",Response_Q177_5,"&lt;&gt;0",Response_Q177_6,CI$63,Response_Q173_7,"&lt;&gt;0")</f>
        <v>0</v>
      </c>
      <c r="CJ147" s="27">
        <f t="shared" si="97"/>
        <v>0</v>
      </c>
      <c r="CK147" s="27">
        <f t="shared" si="97"/>
        <v>0</v>
      </c>
      <c r="CL147" s="27">
        <f t="shared" si="97"/>
        <v>0</v>
      </c>
      <c r="CM147" s="27">
        <f t="shared" si="97"/>
        <v>0</v>
      </c>
      <c r="CN147" s="27">
        <f t="shared" si="97"/>
        <v>0</v>
      </c>
      <c r="CO147" s="141" t="str">
        <f t="shared" si="92"/>
        <v>Factor not ranked</v>
      </c>
      <c r="CP147" s="14"/>
      <c r="CQ147" s="47"/>
      <c r="CR147" s="14"/>
      <c r="CS147" s="106" t="s">
        <v>339</v>
      </c>
      <c r="CT147" s="27">
        <f>COUNTIFS(S30_stakeholder_category,"NB",Response_Q178_5,"&lt;&gt;0",Response_Q173_7,"&lt;&gt;0")</f>
        <v>0</v>
      </c>
      <c r="CU147" s="37">
        <f>COUNTIFS(S30_stakeholder_category,"NB",Response_Q178_5,1,Response_Q173_7,"&lt;&gt;0")</f>
        <v>0</v>
      </c>
      <c r="CV147" s="37">
        <f>COUNTIFS(S30_stakeholder_category,"NB",Response_Q178_5,2,Response_Q173_7,"&lt;&gt;0")</f>
        <v>0</v>
      </c>
      <c r="CW147" s="37">
        <f>COUNTIFS(S30_stakeholder_category,"NB",Response_Q178_5,3,Response_Q173_7,"&lt;&gt;0")</f>
        <v>0</v>
      </c>
      <c r="CX147" s="37">
        <f>IF(CT139=0,0,SUMPRODUCT(CU147:CW147,Rank_score)/CT$58)</f>
        <v>0</v>
      </c>
      <c r="CY147" s="14"/>
      <c r="CZ147" s="106" t="s">
        <v>339</v>
      </c>
      <c r="DA147" s="27">
        <f t="shared" ref="DA147:DF147" si="98">COUNTIFS(S30_stakeholder_category,"NB",Response_Q178_5,"&lt;&gt;0",Response_Q178_6,DA$63,Response_Q173_7,"&lt;&gt;0")</f>
        <v>0</v>
      </c>
      <c r="DB147" s="27">
        <f t="shared" si="98"/>
        <v>0</v>
      </c>
      <c r="DC147" s="27">
        <f t="shared" si="98"/>
        <v>0</v>
      </c>
      <c r="DD147" s="27">
        <f t="shared" si="98"/>
        <v>0</v>
      </c>
      <c r="DE147" s="27">
        <f t="shared" si="98"/>
        <v>0</v>
      </c>
      <c r="DF147" s="27">
        <f t="shared" si="98"/>
        <v>0</v>
      </c>
      <c r="DG147" s="141" t="str">
        <f t="shared" si="94"/>
        <v>Factor not ranked</v>
      </c>
      <c r="DH147" s="14"/>
      <c r="DI147" s="47"/>
      <c r="DJ147" s="14"/>
      <c r="DK147" s="56"/>
      <c r="DL147" s="19"/>
      <c r="DM147" s="59"/>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row>
    <row r="148" spans="1:142" x14ac:dyDescent="0.25">
      <c r="A148" s="14"/>
      <c r="B148" s="62"/>
      <c r="C148" s="19"/>
      <c r="D148" s="59"/>
      <c r="E148" s="14"/>
      <c r="F148" s="14"/>
      <c r="G148" s="14"/>
      <c r="H148" s="21"/>
      <c r="I148" s="21"/>
      <c r="J148" s="14"/>
      <c r="K148" s="14"/>
      <c r="L148" s="14"/>
      <c r="M148" s="14"/>
      <c r="N148" s="14"/>
      <c r="O148" s="14"/>
      <c r="P148" s="14"/>
      <c r="Q148" s="47"/>
      <c r="R148" s="19"/>
      <c r="S148" s="19"/>
      <c r="T148" s="14"/>
      <c r="U148" s="14"/>
      <c r="V148" s="14"/>
      <c r="W148" s="14"/>
      <c r="X148" s="14"/>
      <c r="Y148" s="14"/>
      <c r="Z148" s="14"/>
      <c r="AA148" s="14"/>
      <c r="AB148" s="14"/>
      <c r="AC148" s="14"/>
      <c r="AD148" s="65"/>
      <c r="AE148" s="63"/>
      <c r="AF148" s="47"/>
      <c r="AG148" s="19"/>
      <c r="AH148" s="19"/>
      <c r="AI148" s="14"/>
      <c r="AJ148" s="14"/>
      <c r="AK148" s="14"/>
      <c r="AL148" s="14"/>
      <c r="AM148" s="14"/>
      <c r="AN148" s="14"/>
      <c r="AO148" s="14"/>
      <c r="AP148" s="14"/>
      <c r="AQ148" s="14"/>
      <c r="AR148" s="14"/>
      <c r="AS148" s="65"/>
      <c r="AT148" s="63"/>
      <c r="AU148" s="47"/>
      <c r="AV148" s="14"/>
      <c r="AW148" s="19"/>
      <c r="AX148" s="14"/>
      <c r="AY148" s="14"/>
      <c r="AZ148" s="14"/>
      <c r="BA148" s="14"/>
      <c r="BB148" s="14"/>
      <c r="BC148" s="14"/>
      <c r="BD148" s="14"/>
      <c r="BE148" s="14"/>
      <c r="BF148" s="14"/>
      <c r="BG148" s="14"/>
      <c r="BH148" s="65"/>
      <c r="BI148" s="63"/>
      <c r="BJ148" s="352"/>
      <c r="BK148" s="19"/>
      <c r="BL148" s="19"/>
      <c r="BM148" s="14"/>
      <c r="BN148" s="14"/>
      <c r="BO148" s="14"/>
      <c r="BP148" s="14"/>
      <c r="BQ148" s="14"/>
      <c r="BR148" s="14"/>
      <c r="BS148" s="14"/>
      <c r="BT148" s="14"/>
      <c r="BU148" s="14"/>
      <c r="BV148" s="14"/>
      <c r="BW148" s="65"/>
      <c r="BX148" s="63"/>
      <c r="BY148" s="352"/>
      <c r="BZ148" s="14"/>
      <c r="CA148" s="140" t="s">
        <v>147</v>
      </c>
      <c r="CB148" s="27">
        <f>COUNTIFS(S30_stakeholder_category,"NB",Response_Q177_7,"&lt;&gt;0",Response_Q173_7,"&lt;&gt;0")</f>
        <v>1</v>
      </c>
      <c r="CC148" s="37">
        <f>COUNTIFS(S30_stakeholder_category,"NB",Response_Q177_7,1,Response_Q173_7,"&lt;&gt;0")</f>
        <v>0</v>
      </c>
      <c r="CD148" s="37">
        <f>COUNTIFS(S30_stakeholder_category,"NB",Response_Q177_7,2,Response_Q173_7,"&lt;&gt;0")</f>
        <v>1</v>
      </c>
      <c r="CE148" s="37">
        <f>COUNTIFS(S30_stakeholder_category,"NB",Response_Q177_7,3,Response_Q173_7,"&lt;&gt;0")</f>
        <v>0</v>
      </c>
      <c r="CF148" s="97">
        <f>IF(CB139=0,0,SUMPRODUCT(CC148:CE148,Rank_score)/$CB139)</f>
        <v>2</v>
      </c>
      <c r="CG148" s="14"/>
      <c r="CH148" s="140" t="s">
        <v>147</v>
      </c>
      <c r="CI148" s="27">
        <f t="shared" ref="CI148:CN148" si="99">COUNTIFS(S30_stakeholder_category,"NB",Response_Q177_7,"&lt;&gt;0",Response_Q177_8,CI$63,Response_Q173_7,"&lt;&gt;0")</f>
        <v>0</v>
      </c>
      <c r="CJ148" s="27">
        <f t="shared" si="99"/>
        <v>0</v>
      </c>
      <c r="CK148" s="27">
        <f t="shared" si="99"/>
        <v>0</v>
      </c>
      <c r="CL148" s="27">
        <f t="shared" si="99"/>
        <v>0</v>
      </c>
      <c r="CM148" s="27">
        <f t="shared" si="99"/>
        <v>0</v>
      </c>
      <c r="CN148" s="27">
        <f t="shared" si="99"/>
        <v>0</v>
      </c>
      <c r="CO148" s="141" t="str">
        <f t="shared" si="92"/>
        <v>Ranked, but likelihood not estimated</v>
      </c>
      <c r="CP148" s="14"/>
      <c r="CQ148" s="47"/>
      <c r="CR148" s="14"/>
      <c r="CS148" s="106" t="s">
        <v>345</v>
      </c>
      <c r="CT148" s="27">
        <f>COUNTIFS(S30_stakeholder_category,"NB",Response_Q178_7,"&lt;&gt;0",Response_Q173_7,"&lt;&gt;0")</f>
        <v>0</v>
      </c>
      <c r="CU148" s="37">
        <f>COUNTIFS(S30_stakeholder_category,"NB",Response_Q178_7,1,Response_Q173_7,"&lt;&gt;0")</f>
        <v>0</v>
      </c>
      <c r="CV148" s="37">
        <f>COUNTIFS(S30_stakeholder_category,"NB",Response_Q178_7,2,Response_Q173_7,"&lt;&gt;0")</f>
        <v>0</v>
      </c>
      <c r="CW148" s="37">
        <f>COUNTIFS(S30_stakeholder_category,"NB",Response_Q178_7,3,Response_Q173_7,"&lt;&gt;0")</f>
        <v>0</v>
      </c>
      <c r="CX148" s="37">
        <f>IF(CT139=0,0,SUMPRODUCT(CU148:CW148,Rank_score)/CT$58)</f>
        <v>0</v>
      </c>
      <c r="CY148" s="14"/>
      <c r="CZ148" s="106" t="s">
        <v>345</v>
      </c>
      <c r="DA148" s="27">
        <f t="shared" ref="DA148:DF148" si="100">COUNTIFS(S30_stakeholder_category,"NB",Response_Q178_7,"&lt;&gt;0",Response_Q178_8,DA$63,Response_Q173_7,"&lt;&gt;0")</f>
        <v>0</v>
      </c>
      <c r="DB148" s="27">
        <f t="shared" si="100"/>
        <v>0</v>
      </c>
      <c r="DC148" s="27">
        <f t="shared" si="100"/>
        <v>0</v>
      </c>
      <c r="DD148" s="27">
        <f t="shared" si="100"/>
        <v>0</v>
      </c>
      <c r="DE148" s="27">
        <f t="shared" si="100"/>
        <v>0</v>
      </c>
      <c r="DF148" s="27">
        <f t="shared" si="100"/>
        <v>0</v>
      </c>
      <c r="DG148" s="141" t="str">
        <f t="shared" si="94"/>
        <v>Factor not ranked</v>
      </c>
      <c r="DH148" s="14"/>
      <c r="DI148" s="47"/>
      <c r="DJ148" s="14"/>
      <c r="DK148" s="14"/>
      <c r="DL148" s="19"/>
      <c r="DM148" s="59"/>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row>
    <row r="149" spans="1:142" x14ac:dyDescent="0.25">
      <c r="A149" s="14"/>
      <c r="B149" s="19"/>
      <c r="C149" s="19"/>
      <c r="D149" s="59"/>
      <c r="E149" s="14"/>
      <c r="F149" s="14"/>
      <c r="G149" s="14"/>
      <c r="H149" s="21"/>
      <c r="I149" s="21"/>
      <c r="J149" s="14"/>
      <c r="K149" s="14"/>
      <c r="L149" s="14"/>
      <c r="M149" s="14"/>
      <c r="N149" s="14"/>
      <c r="O149" s="14"/>
      <c r="P149" s="14"/>
      <c r="Q149" s="47"/>
      <c r="R149" s="19"/>
      <c r="S149" s="19"/>
      <c r="T149" s="19"/>
      <c r="U149" s="15"/>
      <c r="V149" s="14"/>
      <c r="W149" s="14"/>
      <c r="X149" s="14"/>
      <c r="Y149" s="14"/>
      <c r="Z149" s="14"/>
      <c r="AA149" s="14"/>
      <c r="AB149" s="14"/>
      <c r="AC149" s="14"/>
      <c r="AD149" s="65"/>
      <c r="AE149" s="63"/>
      <c r="AF149" s="47"/>
      <c r="AG149" s="19"/>
      <c r="AH149" s="19"/>
      <c r="AI149" s="19"/>
      <c r="AJ149" s="15"/>
      <c r="AK149" s="14"/>
      <c r="AL149" s="14"/>
      <c r="AM149" s="14"/>
      <c r="AN149" s="14"/>
      <c r="AO149" s="14"/>
      <c r="AP149" s="14"/>
      <c r="AQ149" s="14"/>
      <c r="AR149" s="14"/>
      <c r="AS149" s="65"/>
      <c r="AT149" s="63"/>
      <c r="AU149" s="47"/>
      <c r="AV149" s="14"/>
      <c r="AW149" s="19"/>
      <c r="AX149" s="19"/>
      <c r="AY149" s="15"/>
      <c r="AZ149" s="14"/>
      <c r="BA149" s="14"/>
      <c r="BB149" s="14"/>
      <c r="BC149" s="14"/>
      <c r="BD149" s="14"/>
      <c r="BE149" s="14"/>
      <c r="BF149" s="14"/>
      <c r="BG149" s="14"/>
      <c r="BH149" s="65"/>
      <c r="BI149" s="63"/>
      <c r="BJ149" s="352"/>
      <c r="BK149" s="19"/>
      <c r="BL149" s="19"/>
      <c r="BM149" s="19"/>
      <c r="BN149" s="15"/>
      <c r="BO149" s="14"/>
      <c r="BP149" s="14"/>
      <c r="BQ149" s="14"/>
      <c r="BR149" s="14"/>
      <c r="BS149" s="14"/>
      <c r="BT149" s="14"/>
      <c r="BU149" s="14"/>
      <c r="BV149" s="14"/>
      <c r="BW149" s="65"/>
      <c r="BX149" s="63"/>
      <c r="BY149" s="352"/>
      <c r="BZ149" s="14"/>
      <c r="CA149" s="140" t="s">
        <v>341</v>
      </c>
      <c r="CB149" s="27">
        <f>COUNTIFS(S30_stakeholder_category,"NB",Response_Q177_9,"&lt;&gt;0",Response_Q173_7,"&lt;&gt;0")</f>
        <v>1</v>
      </c>
      <c r="CC149" s="37">
        <f>COUNTIFS(S30_stakeholder_category,"NB",Response_Q177_9,1,Response_Q173_7,"&lt;&gt;0")</f>
        <v>0</v>
      </c>
      <c r="CD149" s="37">
        <f>COUNTIFS(S30_stakeholder_category,"NB",Response_Q177_9,2,Response_Q173_7,"&lt;&gt;0")</f>
        <v>0</v>
      </c>
      <c r="CE149" s="37">
        <f>COUNTIFS(S30_stakeholder_category,"NB",Response_Q177_9,3,Response_Q173_7,"&lt;&gt;0")</f>
        <v>1</v>
      </c>
      <c r="CF149" s="97">
        <f>IF(CB139=0,0,SUMPRODUCT(CC149:CE149,Rank_score)/$CB139)</f>
        <v>1</v>
      </c>
      <c r="CG149" s="14"/>
      <c r="CH149" s="140" t="s">
        <v>341</v>
      </c>
      <c r="CI149" s="27">
        <f t="shared" ref="CI149:CN149" si="101">COUNTIFS(S30_stakeholder_category,"NB",Response_Q177_9,"&lt;&gt;0",Response_Q177_10,CI$63,Response_Q173_7,"&lt;&gt;0")</f>
        <v>0</v>
      </c>
      <c r="CJ149" s="27">
        <f t="shared" si="101"/>
        <v>0</v>
      </c>
      <c r="CK149" s="27">
        <f t="shared" si="101"/>
        <v>0</v>
      </c>
      <c r="CL149" s="27">
        <f t="shared" si="101"/>
        <v>0</v>
      </c>
      <c r="CM149" s="27">
        <f t="shared" si="101"/>
        <v>0</v>
      </c>
      <c r="CN149" s="27">
        <f t="shared" si="101"/>
        <v>0</v>
      </c>
      <c r="CO149" s="141" t="str">
        <f t="shared" si="92"/>
        <v>Ranked, but likelihood not estimated</v>
      </c>
      <c r="CP149" s="14"/>
      <c r="CQ149" s="47"/>
      <c r="CR149" s="14"/>
      <c r="CS149" s="106" t="s">
        <v>561</v>
      </c>
      <c r="CT149" s="27">
        <f>COUNTIFS(S30_stakeholder_category,"NB",Response_Q178_9,"&lt;&gt;0",Response_Q173_7,"&lt;&gt;0")</f>
        <v>1</v>
      </c>
      <c r="CU149" s="37">
        <f>COUNTIFS(S30_stakeholder_category,"NB",Response_Q178_9,1,Response_Q173_7,"&lt;&gt;0")</f>
        <v>0</v>
      </c>
      <c r="CV149" s="37">
        <f>COUNTIFS(S30_stakeholder_category,"NB",Response_Q178_9,2,Response_Q173_7,"&lt;&gt;0")</f>
        <v>1</v>
      </c>
      <c r="CW149" s="37">
        <f>COUNTIFS(S30_stakeholder_category,"NB",Response_Q178_9,3,Response_Q173_7,"&lt;&gt;0")</f>
        <v>0</v>
      </c>
      <c r="CX149" s="37">
        <f>IF(CT139=0,0,SUMPRODUCT(CU149:CW149,Rank_score)/CT$58)</f>
        <v>0.66666666666666663</v>
      </c>
      <c r="CY149" s="14"/>
      <c r="CZ149" s="106" t="s">
        <v>561</v>
      </c>
      <c r="DA149" s="27">
        <f t="shared" ref="DA149:DF149" si="102">COUNTIFS(S30_stakeholder_category,"NB",Response_Q178_9,"&lt;&gt;0",Response_Q178_10,DA$63,Response_Q173_7,"&lt;&gt;0")</f>
        <v>0</v>
      </c>
      <c r="DB149" s="27">
        <f t="shared" si="102"/>
        <v>0</v>
      </c>
      <c r="DC149" s="27">
        <f t="shared" si="102"/>
        <v>0</v>
      </c>
      <c r="DD149" s="27">
        <f t="shared" si="102"/>
        <v>0</v>
      </c>
      <c r="DE149" s="27">
        <f t="shared" si="102"/>
        <v>0</v>
      </c>
      <c r="DF149" s="27">
        <f t="shared" si="102"/>
        <v>0</v>
      </c>
      <c r="DG149" s="141" t="str">
        <f t="shared" si="94"/>
        <v>Ranked, but likelihood not estimated</v>
      </c>
      <c r="DH149" s="14"/>
      <c r="DI149" s="47"/>
      <c r="DJ149" s="14"/>
      <c r="DK149" s="14"/>
      <c r="DL149" s="19"/>
      <c r="DM149" s="59"/>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row>
    <row r="150" spans="1:142" x14ac:dyDescent="0.25">
      <c r="A150" s="14"/>
      <c r="B150" s="19"/>
      <c r="C150" s="19"/>
      <c r="D150" s="59"/>
      <c r="E150" s="14"/>
      <c r="F150" s="14"/>
      <c r="G150" s="14"/>
      <c r="H150" s="21"/>
      <c r="I150" s="21"/>
      <c r="J150" s="14"/>
      <c r="K150" s="14"/>
      <c r="L150" s="14"/>
      <c r="M150" s="14"/>
      <c r="N150" s="14"/>
      <c r="O150" s="14"/>
      <c r="P150" s="14"/>
      <c r="Q150" s="47"/>
      <c r="R150" s="19"/>
      <c r="S150" s="19"/>
      <c r="T150" s="19"/>
      <c r="U150" s="59"/>
      <c r="V150" s="14"/>
      <c r="W150" s="14"/>
      <c r="X150" s="14"/>
      <c r="Y150" s="14"/>
      <c r="Z150" s="14"/>
      <c r="AA150" s="14"/>
      <c r="AB150" s="14"/>
      <c r="AC150" s="14"/>
      <c r="AD150" s="65"/>
      <c r="AE150" s="63"/>
      <c r="AF150" s="47"/>
      <c r="AG150" s="19"/>
      <c r="AH150" s="19"/>
      <c r="AI150" s="19"/>
      <c r="AJ150" s="59"/>
      <c r="AK150" s="14"/>
      <c r="AL150" s="14"/>
      <c r="AM150" s="14"/>
      <c r="AN150" s="14"/>
      <c r="AO150" s="14"/>
      <c r="AP150" s="14"/>
      <c r="AQ150" s="14"/>
      <c r="AR150" s="14"/>
      <c r="AS150" s="65"/>
      <c r="AT150" s="63"/>
      <c r="AU150" s="47"/>
      <c r="AV150" s="14"/>
      <c r="AW150" s="19"/>
      <c r="AX150" s="19"/>
      <c r="AY150" s="59"/>
      <c r="AZ150" s="14"/>
      <c r="BA150" s="14"/>
      <c r="BB150" s="14"/>
      <c r="BC150" s="14"/>
      <c r="BD150" s="14"/>
      <c r="BE150" s="14"/>
      <c r="BF150" s="14"/>
      <c r="BG150" s="14"/>
      <c r="BH150" s="65"/>
      <c r="BI150" s="63"/>
      <c r="BJ150" s="352"/>
      <c r="BK150" s="19"/>
      <c r="BL150" s="19"/>
      <c r="BM150" s="19"/>
      <c r="BN150" s="59"/>
      <c r="BO150" s="14"/>
      <c r="BP150" s="14"/>
      <c r="BQ150" s="14"/>
      <c r="BR150" s="14"/>
      <c r="BS150" s="14"/>
      <c r="BT150" s="14"/>
      <c r="BU150" s="14"/>
      <c r="BV150" s="14"/>
      <c r="BW150" s="65"/>
      <c r="BX150" s="63"/>
      <c r="BY150" s="352"/>
      <c r="BZ150" s="14"/>
      <c r="CA150" s="106" t="s">
        <v>148</v>
      </c>
      <c r="CB150" s="27">
        <f>COUNTIFS(S30_stakeholder_category,"NB",Response_Q177_11,"&lt;&gt;0",Response_Q173_7,"&lt;&gt;0")</f>
        <v>0</v>
      </c>
      <c r="CC150" s="37">
        <f>COUNTIFS(S30_stakeholder_category,"NB",Response_Q177_11,1,Response_Q173_7,"&lt;&gt;0")</f>
        <v>0</v>
      </c>
      <c r="CD150" s="37">
        <f>COUNTIFS(S30_stakeholder_category,"NB",Response_Q177_11,2,Response_Q173_7,"&lt;&gt;0")</f>
        <v>0</v>
      </c>
      <c r="CE150" s="37">
        <f>COUNTIFS(S30_stakeholder_category,"NB",Response_Q177_11,3,Response_Q173_7,"&lt;&gt;0")</f>
        <v>0</v>
      </c>
      <c r="CF150" s="97">
        <f>IF(CB139=0,0,SUMPRODUCT(CC150:CE150,Rank_score)/$CB139)</f>
        <v>0</v>
      </c>
      <c r="CG150" s="43"/>
      <c r="CH150" s="106" t="s">
        <v>148</v>
      </c>
      <c r="CI150" s="27">
        <f t="shared" ref="CI150:CN150" si="103">COUNTIFS(S30_stakeholder_category,"NB",Response_Q177_11,"&lt;&gt;0",Response_Q177_12,CI$63,Response_Q173_7,"&lt;&gt;0")</f>
        <v>0</v>
      </c>
      <c r="CJ150" s="27">
        <f t="shared" si="103"/>
        <v>0</v>
      </c>
      <c r="CK150" s="27">
        <f t="shared" si="103"/>
        <v>0</v>
      </c>
      <c r="CL150" s="27">
        <f t="shared" si="103"/>
        <v>0</v>
      </c>
      <c r="CM150" s="27">
        <f t="shared" si="103"/>
        <v>0</v>
      </c>
      <c r="CN150" s="27">
        <f t="shared" si="103"/>
        <v>0</v>
      </c>
      <c r="CO150" s="141" t="str">
        <f t="shared" si="92"/>
        <v>Factor not ranked</v>
      </c>
      <c r="CP150" s="14"/>
      <c r="CQ150" s="47"/>
      <c r="CR150" s="14"/>
      <c r="CS150" s="106" t="s">
        <v>49</v>
      </c>
      <c r="CT150" s="27">
        <f>COUNTIFS(S30_stakeholder_category,"NB",Response_Q178_11,"&lt;&gt;0",Response_Q173_7,"&lt;&gt;0")</f>
        <v>0</v>
      </c>
      <c r="CU150" s="37">
        <f>COUNTIFS(S30_stakeholder_category,"NB",Response_Q178_11,1,Response_Q173_7,"&lt;&gt;0")</f>
        <v>0</v>
      </c>
      <c r="CV150" s="37">
        <f>COUNTIFS(S30_stakeholder_category,"NB",Response_Q178_11,2,Response_Q173_7,"&lt;&gt;0")</f>
        <v>0</v>
      </c>
      <c r="CW150" s="37">
        <f>COUNTIFS(S30_stakeholder_category,"NB",Response_Q178_11,3,Response_Q173_7,"&lt;&gt;0")</f>
        <v>0</v>
      </c>
      <c r="CX150" s="37">
        <f>IF(CT139=0,0,SUMPRODUCT(CU150:CW150,Rank_score)/CT$58)</f>
        <v>0</v>
      </c>
      <c r="CY150" s="43"/>
      <c r="CZ150" s="106" t="s">
        <v>49</v>
      </c>
      <c r="DA150" s="27">
        <f t="shared" ref="DA150:DF150" si="104">COUNTIFS(S30_stakeholder_category,"NB",Response_Q178_11,"&lt;&gt;0",Response_Q178_12,DA$63,Response_Q173_7,"&lt;&gt;0")</f>
        <v>0</v>
      </c>
      <c r="DB150" s="27">
        <f t="shared" si="104"/>
        <v>0</v>
      </c>
      <c r="DC150" s="27">
        <f t="shared" si="104"/>
        <v>0</v>
      </c>
      <c r="DD150" s="27">
        <f t="shared" si="104"/>
        <v>0</v>
      </c>
      <c r="DE150" s="27">
        <f t="shared" si="104"/>
        <v>0</v>
      </c>
      <c r="DF150" s="27">
        <f t="shared" si="104"/>
        <v>0</v>
      </c>
      <c r="DG150" s="141" t="str">
        <f t="shared" si="94"/>
        <v>Factor not ranked</v>
      </c>
      <c r="DH150" s="14"/>
      <c r="DI150" s="47"/>
      <c r="DJ150" s="14"/>
      <c r="DK150" s="14"/>
      <c r="DL150" s="19"/>
      <c r="DM150" s="59"/>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row>
    <row r="151" spans="1:142" x14ac:dyDescent="0.25">
      <c r="A151" s="14"/>
      <c r="B151" s="56"/>
      <c r="C151" s="29"/>
      <c r="D151" s="59"/>
      <c r="E151" s="14"/>
      <c r="F151" s="14"/>
      <c r="G151" s="14"/>
      <c r="H151" s="21"/>
      <c r="I151" s="21"/>
      <c r="J151" s="14"/>
      <c r="K151" s="14"/>
      <c r="L151" s="14"/>
      <c r="M151" s="14"/>
      <c r="N151" s="14"/>
      <c r="O151" s="14"/>
      <c r="P151" s="14"/>
      <c r="Q151" s="47"/>
      <c r="R151" s="19"/>
      <c r="S151" s="56"/>
      <c r="T151" s="29"/>
      <c r="U151" s="27"/>
      <c r="V151" s="14"/>
      <c r="W151" s="14"/>
      <c r="X151" s="14"/>
      <c r="Y151" s="14"/>
      <c r="Z151" s="14"/>
      <c r="AA151" s="14"/>
      <c r="AB151" s="14"/>
      <c r="AC151" s="14"/>
      <c r="AD151" s="65"/>
      <c r="AE151" s="63"/>
      <c r="AF151" s="47"/>
      <c r="AG151" s="19"/>
      <c r="AH151" s="56"/>
      <c r="AI151" s="29"/>
      <c r="AJ151" s="27"/>
      <c r="AK151" s="14"/>
      <c r="AL151" s="14"/>
      <c r="AM151" s="14"/>
      <c r="AN151" s="14"/>
      <c r="AO151" s="14"/>
      <c r="AP151" s="14"/>
      <c r="AQ151" s="14"/>
      <c r="AR151" s="14"/>
      <c r="AS151" s="65"/>
      <c r="AT151" s="63"/>
      <c r="AU151" s="47"/>
      <c r="AV151" s="14"/>
      <c r="AW151" s="56"/>
      <c r="AX151" s="29"/>
      <c r="AY151" s="27"/>
      <c r="AZ151" s="14"/>
      <c r="BA151" s="14"/>
      <c r="BB151" s="14"/>
      <c r="BC151" s="14"/>
      <c r="BD151" s="14"/>
      <c r="BE151" s="14"/>
      <c r="BF151" s="14"/>
      <c r="BG151" s="14"/>
      <c r="BH151" s="65"/>
      <c r="BI151" s="63"/>
      <c r="BJ151" s="352"/>
      <c r="BK151" s="19"/>
      <c r="BL151" s="56"/>
      <c r="BM151" s="29"/>
      <c r="BN151" s="27"/>
      <c r="BO151" s="14"/>
      <c r="BP151" s="14"/>
      <c r="BQ151" s="14"/>
      <c r="BR151" s="14"/>
      <c r="BS151" s="14"/>
      <c r="BT151" s="14"/>
      <c r="BU151" s="14"/>
      <c r="BV151" s="14"/>
      <c r="BW151" s="65"/>
      <c r="BX151" s="63"/>
      <c r="BY151" s="352"/>
      <c r="BZ151" s="14"/>
      <c r="CA151" s="107" t="s">
        <v>49</v>
      </c>
      <c r="CB151" s="27">
        <f>COUNTIFS(S30_stakeholder_category,"NB",Response_Q177_13,"&lt;&gt;0",Response_Q173_7,"&lt;&gt;0")</f>
        <v>0</v>
      </c>
      <c r="CC151" s="37">
        <f>COUNTIFS(S30_stakeholder_category,"NB",Response_Q177_13,1,Response_Q173_7,"&lt;&gt;0")</f>
        <v>0</v>
      </c>
      <c r="CD151" s="37">
        <f>COUNTIFS(S30_stakeholder_category,"NB",Response_Q177_13,2,Response_Q173_7,"&lt;&gt;0")</f>
        <v>0</v>
      </c>
      <c r="CE151" s="37">
        <f>COUNTIFS(S30_stakeholder_category,"NB",Response_Q177_13,3,Response_Q173_7,"&lt;&gt;0")</f>
        <v>0</v>
      </c>
      <c r="CF151" s="97">
        <f>IF(CB139=0,0,SUMPRODUCT(CC151:CE151,Rank_score)/$CB139)</f>
        <v>0</v>
      </c>
      <c r="CG151" s="29"/>
      <c r="CH151" s="107" t="s">
        <v>49</v>
      </c>
      <c r="CI151" s="27">
        <f t="shared" ref="CI151:CN151" si="105">COUNTIFS(S30_stakeholder_category,"NB",Response_Q177_13,"&lt;&gt;0",Response_Q177_14,CI$63,Response_Q173_7,"&lt;&gt;0")</f>
        <v>0</v>
      </c>
      <c r="CJ151" s="27">
        <f t="shared" si="105"/>
        <v>0</v>
      </c>
      <c r="CK151" s="27">
        <f t="shared" si="105"/>
        <v>0</v>
      </c>
      <c r="CL151" s="27">
        <f t="shared" si="105"/>
        <v>0</v>
      </c>
      <c r="CM151" s="27">
        <f t="shared" si="105"/>
        <v>0</v>
      </c>
      <c r="CN151" s="27">
        <f t="shared" si="105"/>
        <v>0</v>
      </c>
      <c r="CO151" s="141" t="str">
        <f t="shared" si="92"/>
        <v>Factor not ranked</v>
      </c>
      <c r="CP151" s="14"/>
      <c r="CQ151" s="47"/>
      <c r="CR151" s="14"/>
      <c r="CS151" s="107"/>
      <c r="CT151" s="27"/>
      <c r="CU151" s="37"/>
      <c r="CV151" s="37"/>
      <c r="CW151" s="37"/>
      <c r="CX151" s="37"/>
      <c r="CY151" s="29"/>
      <c r="CZ151" s="106"/>
      <c r="DA151" s="27"/>
      <c r="DB151" s="27"/>
      <c r="DC151" s="27"/>
      <c r="DD151" s="27"/>
      <c r="DE151" s="27"/>
      <c r="DF151" s="27"/>
      <c r="DG151" s="141" t="str">
        <f t="shared" si="94"/>
        <v/>
      </c>
      <c r="DH151" s="14"/>
      <c r="DI151" s="47"/>
      <c r="DJ151" s="14"/>
      <c r="DK151" s="62"/>
      <c r="DL151" s="19"/>
      <c r="DM151" s="59"/>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row>
    <row r="152" spans="1:142" x14ac:dyDescent="0.25">
      <c r="A152" s="14"/>
      <c r="B152" s="56"/>
      <c r="C152" s="19"/>
      <c r="D152" s="59"/>
      <c r="E152" s="14"/>
      <c r="F152" s="14"/>
      <c r="G152" s="109" t="s">
        <v>14</v>
      </c>
      <c r="H152" s="110" t="s">
        <v>6</v>
      </c>
      <c r="I152" s="110" t="s">
        <v>7</v>
      </c>
      <c r="J152" s="14"/>
      <c r="K152" s="14"/>
      <c r="L152" s="14"/>
      <c r="M152" s="14"/>
      <c r="N152" s="14"/>
      <c r="O152" s="14"/>
      <c r="P152" s="14"/>
      <c r="Q152" s="47"/>
      <c r="R152" s="19"/>
      <c r="S152" s="56"/>
      <c r="T152" s="19"/>
      <c r="U152" s="27"/>
      <c r="V152" s="14"/>
      <c r="W152" s="14"/>
      <c r="X152" s="109" t="s">
        <v>14</v>
      </c>
      <c r="Y152" s="110" t="s">
        <v>6</v>
      </c>
      <c r="Z152" s="110" t="s">
        <v>7</v>
      </c>
      <c r="AA152" s="14"/>
      <c r="AB152" s="14"/>
      <c r="AC152" s="14"/>
      <c r="AD152" s="65"/>
      <c r="AE152" s="63"/>
      <c r="AF152" s="47"/>
      <c r="AG152" s="19"/>
      <c r="AH152" s="56"/>
      <c r="AI152" s="19"/>
      <c r="AJ152" s="27"/>
      <c r="AK152" s="14"/>
      <c r="AL152" s="14"/>
      <c r="AM152" s="109" t="s">
        <v>14</v>
      </c>
      <c r="AN152" s="110" t="s">
        <v>6</v>
      </c>
      <c r="AO152" s="110" t="s">
        <v>7</v>
      </c>
      <c r="AP152" s="14"/>
      <c r="AQ152" s="14"/>
      <c r="AR152" s="14"/>
      <c r="AS152" s="65"/>
      <c r="AT152" s="63"/>
      <c r="AU152" s="47"/>
      <c r="AV152" s="14"/>
      <c r="AW152" s="56"/>
      <c r="AX152" s="19"/>
      <c r="AY152" s="27"/>
      <c r="AZ152" s="14"/>
      <c r="BA152" s="14"/>
      <c r="BB152" s="109" t="s">
        <v>14</v>
      </c>
      <c r="BC152" s="110" t="s">
        <v>6</v>
      </c>
      <c r="BD152" s="110" t="s">
        <v>7</v>
      </c>
      <c r="BE152" s="14"/>
      <c r="BF152" s="14"/>
      <c r="BG152" s="14"/>
      <c r="BH152" s="65"/>
      <c r="BI152" s="63"/>
      <c r="BJ152" s="352"/>
      <c r="BK152" s="19"/>
      <c r="BL152" s="56"/>
      <c r="BM152" s="19"/>
      <c r="BN152" s="27"/>
      <c r="BO152" s="14"/>
      <c r="BP152" s="14"/>
      <c r="BQ152" s="109" t="s">
        <v>14</v>
      </c>
      <c r="BR152" s="110" t="s">
        <v>6</v>
      </c>
      <c r="BS152" s="110" t="s">
        <v>7</v>
      </c>
      <c r="BT152" s="14"/>
      <c r="BU152" s="14"/>
      <c r="BV152" s="14"/>
      <c r="BW152" s="65"/>
      <c r="BX152" s="63"/>
      <c r="BY152" s="352"/>
      <c r="BZ152" s="14"/>
      <c r="CA152" s="86"/>
      <c r="CB152" s="111"/>
      <c r="CC152" s="111"/>
      <c r="CD152" s="179"/>
      <c r="CE152" s="179"/>
      <c r="CF152" s="108"/>
      <c r="CG152" s="29"/>
      <c r="CH152" s="109"/>
      <c r="CI152" s="109"/>
      <c r="CJ152" s="109"/>
      <c r="CK152" s="109"/>
      <c r="CL152" s="109"/>
      <c r="CM152" s="109"/>
      <c r="CN152" s="109"/>
      <c r="CO152" s="329"/>
      <c r="CP152" s="14"/>
      <c r="CQ152" s="47"/>
      <c r="CR152" s="14"/>
      <c r="CS152" s="107"/>
      <c r="CT152" s="27"/>
      <c r="CU152" s="37"/>
      <c r="CV152" s="37"/>
      <c r="CW152" s="37"/>
      <c r="CX152" s="37"/>
      <c r="CY152" s="29"/>
      <c r="CZ152" s="106"/>
      <c r="DA152" s="27"/>
      <c r="DB152" s="27"/>
      <c r="DC152" s="27"/>
      <c r="DD152" s="27"/>
      <c r="DE152" s="27"/>
      <c r="DF152" s="27"/>
      <c r="DG152" s="141" t="str">
        <f t="shared" si="94"/>
        <v/>
      </c>
      <c r="DH152" s="14"/>
      <c r="DI152" s="47"/>
      <c r="DJ152" s="14"/>
      <c r="DK152" s="62"/>
      <c r="DL152" s="19"/>
      <c r="DM152" s="59"/>
      <c r="DN152" s="14"/>
      <c r="DO152" s="14"/>
      <c r="DP152" s="109" t="s">
        <v>14</v>
      </c>
      <c r="DQ152" s="110" t="s">
        <v>6</v>
      </c>
      <c r="DR152" s="110" t="s">
        <v>7</v>
      </c>
      <c r="DS152" s="14"/>
      <c r="DT152" s="14"/>
      <c r="DU152" s="14"/>
      <c r="DV152" s="14"/>
      <c r="DW152" s="14"/>
      <c r="DX152" s="14"/>
      <c r="DY152" s="14"/>
      <c r="DZ152" s="14"/>
      <c r="EA152" s="14"/>
      <c r="EB152" s="14"/>
      <c r="EC152" s="14"/>
      <c r="ED152" s="14"/>
      <c r="EE152" s="14"/>
      <c r="EF152" s="14"/>
      <c r="EG152" s="14"/>
      <c r="EH152" s="14"/>
      <c r="EI152" s="14"/>
      <c r="EJ152" s="14"/>
      <c r="EK152" s="14"/>
      <c r="EL152" s="14"/>
    </row>
    <row r="153" spans="1:142" x14ac:dyDescent="0.25">
      <c r="A153" s="14"/>
      <c r="B153" s="14"/>
      <c r="C153" s="19"/>
      <c r="D153" s="59"/>
      <c r="E153" s="14"/>
      <c r="F153" s="14"/>
      <c r="G153" s="107" t="s">
        <v>34</v>
      </c>
      <c r="H153" s="27">
        <f>COUNTIFS(S30_stakeholder_category,"NB",Response_Q173_7,G153)</f>
        <v>0</v>
      </c>
      <c r="I153" s="41">
        <f>IFERROR(H153/H$158,"")</f>
        <v>0</v>
      </c>
      <c r="J153" s="14"/>
      <c r="K153" s="14"/>
      <c r="L153" s="14"/>
      <c r="M153" s="14"/>
      <c r="N153" s="14"/>
      <c r="O153" s="14"/>
      <c r="P153" s="14"/>
      <c r="Q153" s="47"/>
      <c r="R153" s="19"/>
      <c r="S153" s="19"/>
      <c r="T153" s="19"/>
      <c r="U153" s="27"/>
      <c r="V153" s="14"/>
      <c r="W153" s="14"/>
      <c r="X153" s="107" t="s">
        <v>5</v>
      </c>
      <c r="Y153" s="27">
        <f t="shared" ref="Y153:Y159" si="106">COUNTIFS(S30_stakeholder_category,"NB",Response_Q176_4,X153)</f>
        <v>0</v>
      </c>
      <c r="Z153" s="41">
        <f t="shared" ref="Z153:Z160" si="107">IFERROR(Y153/Y$160,0)</f>
        <v>0</v>
      </c>
      <c r="AA153" s="14"/>
      <c r="AB153" s="14"/>
      <c r="AC153" s="14"/>
      <c r="AD153" s="65"/>
      <c r="AE153" s="63"/>
      <c r="AF153" s="47"/>
      <c r="AG153" s="19"/>
      <c r="AH153" s="19"/>
      <c r="AI153" s="19"/>
      <c r="AJ153" s="27"/>
      <c r="AK153" s="14"/>
      <c r="AL153" s="14"/>
      <c r="AM153" s="107" t="s">
        <v>5</v>
      </c>
      <c r="AN153" s="27">
        <f t="shared" ref="AN153:AN159" si="108">COUNTIFS(S30_stakeholder_category,"NB",Response_30d_CaseA,AM153)</f>
        <v>1</v>
      </c>
      <c r="AO153" s="41">
        <f>IFERROR(AN153/AN$160,0)</f>
        <v>1</v>
      </c>
      <c r="AP153" s="14"/>
      <c r="AQ153" s="14"/>
      <c r="AR153" s="14"/>
      <c r="AS153" s="65"/>
      <c r="AT153" s="63"/>
      <c r="AU153" s="47"/>
      <c r="AV153" s="14"/>
      <c r="AW153" s="19"/>
      <c r="AX153" s="19"/>
      <c r="AY153" s="27"/>
      <c r="AZ153" s="14"/>
      <c r="BA153" s="14"/>
      <c r="BB153" s="107" t="s">
        <v>5</v>
      </c>
      <c r="BC153" s="27">
        <f t="shared" ref="BC153:BC159" si="109">COUNTIFS(S30_stakeholder_category,"NB",Response_30d_CaseB,BB153)</f>
        <v>1</v>
      </c>
      <c r="BD153" s="41">
        <f>IFERROR(BC153/BC$160,0)</f>
        <v>1</v>
      </c>
      <c r="BE153" s="14"/>
      <c r="BF153" s="14"/>
      <c r="BG153" s="14"/>
      <c r="BH153" s="65"/>
      <c r="BI153" s="63"/>
      <c r="BJ153" s="352"/>
      <c r="BK153" s="19"/>
      <c r="BL153" s="19"/>
      <c r="BM153" s="19"/>
      <c r="BN153" s="27"/>
      <c r="BO153" s="14"/>
      <c r="BP153" s="14"/>
      <c r="BQ153" s="107" t="s">
        <v>5</v>
      </c>
      <c r="BR153" s="27">
        <f t="shared" ref="BR153:BR159" si="110">COUNTIFS(S30_stakeholder_category,"NB",Response_30d_CaseC,BQ153)</f>
        <v>0</v>
      </c>
      <c r="BS153" s="41">
        <f>IFERROR(BR153/BR$160,0)</f>
        <v>0</v>
      </c>
      <c r="BT153" s="14"/>
      <c r="BU153" s="14"/>
      <c r="BV153" s="14"/>
      <c r="BW153" s="65"/>
      <c r="BX153" s="63"/>
      <c r="BY153" s="352"/>
      <c r="BZ153" s="14"/>
      <c r="CA153" s="14"/>
      <c r="CB153" s="21"/>
      <c r="CC153" s="21"/>
      <c r="CD153" s="180"/>
      <c r="CE153" s="181"/>
      <c r="CF153" s="31"/>
      <c r="CG153" s="52"/>
      <c r="CH153" s="52"/>
      <c r="CI153" s="99"/>
      <c r="CJ153" s="14"/>
      <c r="CK153" s="14"/>
      <c r="CL153" s="14"/>
      <c r="CM153" s="14"/>
      <c r="CN153" s="14"/>
      <c r="CO153" s="129"/>
      <c r="CP153" s="14"/>
      <c r="CQ153" s="47"/>
      <c r="CR153" s="14"/>
      <c r="CS153" s="86"/>
      <c r="CT153" s="111"/>
      <c r="CU153" s="86"/>
      <c r="CV153" s="179"/>
      <c r="CW153" s="188"/>
      <c r="CX153" s="179"/>
      <c r="CY153" s="29"/>
      <c r="CZ153" s="109"/>
      <c r="DA153" s="109"/>
      <c r="DB153" s="109"/>
      <c r="DC153" s="109"/>
      <c r="DD153" s="109"/>
      <c r="DE153" s="109"/>
      <c r="DF153" s="109"/>
      <c r="DG153" s="329"/>
      <c r="DH153" s="14"/>
      <c r="DI153" s="47"/>
      <c r="DJ153" s="14"/>
      <c r="DK153" s="62"/>
      <c r="DL153" s="19"/>
      <c r="DM153" s="59"/>
      <c r="DN153" s="14"/>
      <c r="DO153" s="14"/>
      <c r="DP153" s="107" t="s">
        <v>34</v>
      </c>
      <c r="DQ153" s="27">
        <f>COUNTIFS(S30_stakeholder_category,"NB",Response_Q172_1,DP153,Response_Q173_7,"&lt;&gt;0")</f>
        <v>0</v>
      </c>
      <c r="DR153" s="41">
        <f>IF(DQ158=0,"",DQ153/DQ158)</f>
        <v>0</v>
      </c>
      <c r="DS153" s="14"/>
      <c r="DT153" s="14"/>
      <c r="DU153" s="14"/>
      <c r="DV153" s="14"/>
      <c r="DW153" s="14"/>
      <c r="DX153" s="14"/>
      <c r="DY153" s="14"/>
      <c r="DZ153" s="14"/>
      <c r="EA153" s="14"/>
      <c r="EB153" s="14"/>
      <c r="EC153" s="14"/>
      <c r="ED153" s="14"/>
      <c r="EE153" s="14"/>
      <c r="EF153" s="14"/>
      <c r="EG153" s="14"/>
      <c r="EH153" s="14"/>
      <c r="EI153" s="14"/>
      <c r="EJ153" s="14"/>
      <c r="EK153" s="14"/>
      <c r="EL153" s="14"/>
    </row>
    <row r="154" spans="1:142" x14ac:dyDescent="0.25">
      <c r="A154" s="14"/>
      <c r="B154" s="14"/>
      <c r="C154" s="19"/>
      <c r="D154" s="59"/>
      <c r="E154" s="14"/>
      <c r="F154" s="14"/>
      <c r="G154" s="107" t="s">
        <v>35</v>
      </c>
      <c r="H154" s="27">
        <f>COUNTIFS(S30_stakeholder_category,"NB",Response_Q173_7,G154)</f>
        <v>0</v>
      </c>
      <c r="I154" s="41">
        <f t="shared" ref="I154:I158" si="111">IFERROR(H154/H$158,"")</f>
        <v>0</v>
      </c>
      <c r="J154" s="14"/>
      <c r="K154" s="14"/>
      <c r="L154" s="14"/>
      <c r="M154" s="14"/>
      <c r="N154" s="14"/>
      <c r="O154" s="14"/>
      <c r="P154" s="14"/>
      <c r="Q154" s="47"/>
      <c r="R154" s="19"/>
      <c r="S154" s="19"/>
      <c r="T154" s="19"/>
      <c r="U154" s="27"/>
      <c r="V154" s="14"/>
      <c r="W154" s="14"/>
      <c r="X154" s="107" t="s">
        <v>4</v>
      </c>
      <c r="Y154" s="27">
        <f t="shared" si="106"/>
        <v>1</v>
      </c>
      <c r="Z154" s="41">
        <f t="shared" si="107"/>
        <v>1</v>
      </c>
      <c r="AA154" s="14"/>
      <c r="AB154" s="14"/>
      <c r="AC154" s="14"/>
      <c r="AD154" s="65"/>
      <c r="AE154" s="63"/>
      <c r="AF154" s="47"/>
      <c r="AG154" s="19"/>
      <c r="AH154" s="19"/>
      <c r="AI154" s="19"/>
      <c r="AJ154" s="27"/>
      <c r="AK154" s="14"/>
      <c r="AL154" s="14"/>
      <c r="AM154" s="107" t="s">
        <v>4</v>
      </c>
      <c r="AN154" s="27">
        <f t="shared" si="108"/>
        <v>0</v>
      </c>
      <c r="AO154" s="41">
        <f t="shared" ref="AO154:AO160" si="112">IFERROR(AN154/AN$160,0)</f>
        <v>0</v>
      </c>
      <c r="AP154" s="14"/>
      <c r="AQ154" s="14"/>
      <c r="AR154" s="14"/>
      <c r="AS154" s="65"/>
      <c r="AT154" s="63"/>
      <c r="AU154" s="47"/>
      <c r="AV154" s="14"/>
      <c r="AW154" s="19"/>
      <c r="AX154" s="19"/>
      <c r="AY154" s="27"/>
      <c r="AZ154" s="14"/>
      <c r="BA154" s="14"/>
      <c r="BB154" s="107" t="s">
        <v>4</v>
      </c>
      <c r="BC154" s="27">
        <f t="shared" si="109"/>
        <v>0</v>
      </c>
      <c r="BD154" s="41">
        <f t="shared" ref="BD154:BD160" si="113">IFERROR(BC154/BC$160,0)</f>
        <v>0</v>
      </c>
      <c r="BE154" s="14"/>
      <c r="BF154" s="14"/>
      <c r="BG154" s="14"/>
      <c r="BH154" s="65"/>
      <c r="BI154" s="63"/>
      <c r="BJ154" s="352"/>
      <c r="BK154" s="19"/>
      <c r="BL154" s="19"/>
      <c r="BM154" s="19"/>
      <c r="BN154" s="27"/>
      <c r="BO154" s="14"/>
      <c r="BP154" s="14"/>
      <c r="BQ154" s="107" t="s">
        <v>4</v>
      </c>
      <c r="BR154" s="27">
        <f t="shared" si="110"/>
        <v>1</v>
      </c>
      <c r="BS154" s="41">
        <f t="shared" ref="BS154:BS160" si="114">IFERROR(BR154/BR$160,0)</f>
        <v>1</v>
      </c>
      <c r="BT154" s="14"/>
      <c r="BU154" s="14"/>
      <c r="BV154" s="14"/>
      <c r="BW154" s="65"/>
      <c r="BX154" s="63"/>
      <c r="BY154" s="352"/>
      <c r="BZ154" s="14"/>
      <c r="CA154" s="14"/>
      <c r="CB154" s="21"/>
      <c r="CC154" s="21"/>
      <c r="CD154" s="180"/>
      <c r="CE154" s="181"/>
      <c r="CF154" s="31"/>
      <c r="CG154" s="52"/>
      <c r="CH154" s="52"/>
      <c r="CI154" s="99"/>
      <c r="CJ154" s="14"/>
      <c r="CK154" s="14"/>
      <c r="CL154" s="14"/>
      <c r="CM154" s="14"/>
      <c r="CN154" s="14"/>
      <c r="CO154" s="129"/>
      <c r="CP154" s="14"/>
      <c r="CQ154" s="47"/>
      <c r="CR154" s="14"/>
      <c r="CS154" s="14"/>
      <c r="CT154" s="14"/>
      <c r="CU154" s="14"/>
      <c r="CV154" s="180"/>
      <c r="CW154" s="190"/>
      <c r="CX154" s="191"/>
      <c r="CY154" s="52"/>
      <c r="CZ154" s="52"/>
      <c r="DA154" s="54"/>
      <c r="DB154" s="14"/>
      <c r="DC154" s="14"/>
      <c r="DD154" s="14"/>
      <c r="DE154" s="14"/>
      <c r="DF154" s="14"/>
      <c r="DG154" s="129"/>
      <c r="DH154" s="14"/>
      <c r="DI154" s="47"/>
      <c r="DJ154" s="14"/>
      <c r="DK154" s="62"/>
      <c r="DL154" s="19"/>
      <c r="DM154" s="59"/>
      <c r="DN154" s="14"/>
      <c r="DO154" s="14"/>
      <c r="DP154" s="107" t="s">
        <v>35</v>
      </c>
      <c r="DQ154" s="27">
        <f>COUNTIFS(S30_stakeholder_category,"NB",Response_Q172_1,DP154,Response_Q173_7,"&lt;&gt;0")</f>
        <v>0</v>
      </c>
      <c r="DR154" s="41">
        <f>IF(DQ158=0,"",DQ154/DQ158)</f>
        <v>0</v>
      </c>
      <c r="DS154" s="14"/>
      <c r="DT154" s="14"/>
      <c r="DU154" s="14"/>
      <c r="DV154" s="14"/>
      <c r="DW154" s="14"/>
      <c r="DX154" s="14"/>
      <c r="DY154" s="14"/>
      <c r="DZ154" s="14"/>
      <c r="EA154" s="14"/>
      <c r="EB154" s="14"/>
      <c r="EC154" s="14"/>
      <c r="ED154" s="14"/>
      <c r="EE154" s="14"/>
      <c r="EF154" s="14"/>
      <c r="EG154" s="14"/>
      <c r="EH154" s="14"/>
      <c r="EI154" s="14"/>
      <c r="EJ154" s="14"/>
      <c r="EK154" s="14"/>
      <c r="EL154" s="14"/>
    </row>
    <row r="155" spans="1:142" x14ac:dyDescent="0.25">
      <c r="A155" s="14"/>
      <c r="B155" s="14"/>
      <c r="C155" s="19"/>
      <c r="D155" s="59"/>
      <c r="E155" s="14"/>
      <c r="F155" s="14"/>
      <c r="G155" s="107" t="s">
        <v>36</v>
      </c>
      <c r="H155" s="27">
        <f>COUNTIFS(S30_stakeholder_category,"NB",Response_Q173_7,G155)</f>
        <v>0</v>
      </c>
      <c r="I155" s="41">
        <f t="shared" si="111"/>
        <v>0</v>
      </c>
      <c r="J155" s="14"/>
      <c r="K155" s="14"/>
      <c r="L155" s="14"/>
      <c r="M155" s="14"/>
      <c r="N155" s="14"/>
      <c r="O155" s="14"/>
      <c r="P155" s="14"/>
      <c r="Q155" s="47"/>
      <c r="R155" s="19"/>
      <c r="S155" s="19"/>
      <c r="T155" s="19"/>
      <c r="U155" s="27"/>
      <c r="V155" s="14"/>
      <c r="W155" s="14"/>
      <c r="X155" s="107" t="s">
        <v>33</v>
      </c>
      <c r="Y155" s="27">
        <f t="shared" si="106"/>
        <v>0</v>
      </c>
      <c r="Z155" s="41">
        <f t="shared" si="107"/>
        <v>0</v>
      </c>
      <c r="AA155" s="14"/>
      <c r="AB155" s="14"/>
      <c r="AC155" s="14"/>
      <c r="AD155" s="65"/>
      <c r="AE155" s="63"/>
      <c r="AF155" s="47"/>
      <c r="AG155" s="19"/>
      <c r="AH155" s="19"/>
      <c r="AI155" s="19"/>
      <c r="AJ155" s="27"/>
      <c r="AK155" s="14"/>
      <c r="AL155" s="14"/>
      <c r="AM155" s="107" t="s">
        <v>33</v>
      </c>
      <c r="AN155" s="27">
        <f t="shared" si="108"/>
        <v>0</v>
      </c>
      <c r="AO155" s="41">
        <f t="shared" si="112"/>
        <v>0</v>
      </c>
      <c r="AP155" s="14"/>
      <c r="AQ155" s="14"/>
      <c r="AR155" s="14"/>
      <c r="AS155" s="65"/>
      <c r="AT155" s="63"/>
      <c r="AU155" s="47"/>
      <c r="AV155" s="14"/>
      <c r="AW155" s="19"/>
      <c r="AX155" s="19"/>
      <c r="AY155" s="27"/>
      <c r="AZ155" s="14"/>
      <c r="BA155" s="14"/>
      <c r="BB155" s="107" t="s">
        <v>33</v>
      </c>
      <c r="BC155" s="27">
        <f t="shared" si="109"/>
        <v>0</v>
      </c>
      <c r="BD155" s="41">
        <f t="shared" si="113"/>
        <v>0</v>
      </c>
      <c r="BE155" s="14"/>
      <c r="BF155" s="14"/>
      <c r="BG155" s="14"/>
      <c r="BH155" s="65"/>
      <c r="BI155" s="63"/>
      <c r="BJ155" s="352"/>
      <c r="BK155" s="19"/>
      <c r="BL155" s="19"/>
      <c r="BM155" s="19"/>
      <c r="BN155" s="27"/>
      <c r="BO155" s="14"/>
      <c r="BP155" s="14"/>
      <c r="BQ155" s="107" t="s">
        <v>33</v>
      </c>
      <c r="BR155" s="27">
        <f t="shared" si="110"/>
        <v>0</v>
      </c>
      <c r="BS155" s="41">
        <f t="shared" si="114"/>
        <v>0</v>
      </c>
      <c r="BT155" s="14"/>
      <c r="BU155" s="14"/>
      <c r="BV155" s="14"/>
      <c r="BW155" s="65"/>
      <c r="BX155" s="63"/>
      <c r="BY155" s="352"/>
      <c r="BZ155" s="14"/>
      <c r="CA155" s="14"/>
      <c r="CB155" s="21"/>
      <c r="CC155" s="21"/>
      <c r="CD155" s="180"/>
      <c r="CE155" s="181"/>
      <c r="CF155" s="31"/>
      <c r="CG155" s="52"/>
      <c r="CH155" s="52"/>
      <c r="CI155" s="99"/>
      <c r="CJ155" s="14"/>
      <c r="CK155" s="14"/>
      <c r="CL155" s="14"/>
      <c r="CM155" s="14"/>
      <c r="CN155" s="14"/>
      <c r="CO155" s="129"/>
      <c r="CP155" s="14"/>
      <c r="CQ155" s="47"/>
      <c r="CR155" s="14"/>
      <c r="CS155" s="14"/>
      <c r="CT155" s="14"/>
      <c r="CU155" s="14"/>
      <c r="CV155" s="180"/>
      <c r="CW155" s="190"/>
      <c r="CX155" s="191"/>
      <c r="CY155" s="52"/>
      <c r="CZ155" s="52"/>
      <c r="DA155" s="54"/>
      <c r="DB155" s="14"/>
      <c r="DC155" s="14"/>
      <c r="DD155" s="14"/>
      <c r="DE155" s="14"/>
      <c r="DF155" s="14"/>
      <c r="DG155" s="129"/>
      <c r="DH155" s="14"/>
      <c r="DI155" s="47"/>
      <c r="DJ155" s="14"/>
      <c r="DK155" s="62"/>
      <c r="DL155" s="19"/>
      <c r="DM155" s="59"/>
      <c r="DN155" s="14"/>
      <c r="DO155" s="14"/>
      <c r="DP155" s="107" t="s">
        <v>36</v>
      </c>
      <c r="DQ155" s="27">
        <f>COUNTIFS(S30_stakeholder_category,"NB",Response_Q172_1,DP155,Response_Q173_7,"&lt;&gt;0")</f>
        <v>0</v>
      </c>
      <c r="DR155" s="41">
        <f>IF(DQ158=0,"",DQ155/DQ158)</f>
        <v>0</v>
      </c>
      <c r="DS155" s="14"/>
      <c r="DT155" s="14"/>
      <c r="DU155" s="14"/>
      <c r="DV155" s="14"/>
      <c r="DW155" s="14"/>
      <c r="DX155" s="14"/>
      <c r="DY155" s="14"/>
      <c r="DZ155" s="14"/>
      <c r="EA155" s="14"/>
      <c r="EB155" s="14"/>
      <c r="EC155" s="14"/>
      <c r="ED155" s="14"/>
      <c r="EE155" s="14"/>
      <c r="EF155" s="14"/>
      <c r="EG155" s="14"/>
      <c r="EH155" s="14"/>
      <c r="EI155" s="14"/>
      <c r="EJ155" s="14"/>
      <c r="EK155" s="14"/>
      <c r="EL155" s="14"/>
    </row>
    <row r="156" spans="1:142" x14ac:dyDescent="0.25">
      <c r="A156" s="14"/>
      <c r="B156" s="62"/>
      <c r="C156" s="19"/>
      <c r="D156" s="59"/>
      <c r="E156" s="14"/>
      <c r="F156" s="14"/>
      <c r="G156" s="107" t="s">
        <v>38</v>
      </c>
      <c r="H156" s="27">
        <f>COUNTIFS(S30_stakeholder_category,"NB",Response_Q173_7,G156)</f>
        <v>0</v>
      </c>
      <c r="I156" s="41">
        <f t="shared" si="111"/>
        <v>0</v>
      </c>
      <c r="J156" s="14"/>
      <c r="K156" s="14"/>
      <c r="L156" s="14"/>
      <c r="M156" s="14"/>
      <c r="N156" s="14"/>
      <c r="O156" s="14"/>
      <c r="P156" s="14"/>
      <c r="Q156" s="47"/>
      <c r="R156" s="19"/>
      <c r="S156" s="19"/>
      <c r="T156" s="19"/>
      <c r="U156" s="27"/>
      <c r="V156" s="14"/>
      <c r="W156" s="14"/>
      <c r="X156" s="107" t="s">
        <v>29</v>
      </c>
      <c r="Y156" s="27">
        <f t="shared" si="106"/>
        <v>0</v>
      </c>
      <c r="Z156" s="41">
        <f t="shared" si="107"/>
        <v>0</v>
      </c>
      <c r="AA156" s="14"/>
      <c r="AB156" s="14"/>
      <c r="AC156" s="14"/>
      <c r="AD156" s="65"/>
      <c r="AE156" s="63"/>
      <c r="AF156" s="47"/>
      <c r="AG156" s="19"/>
      <c r="AH156" s="19"/>
      <c r="AI156" s="19"/>
      <c r="AJ156" s="27"/>
      <c r="AK156" s="14"/>
      <c r="AL156" s="14"/>
      <c r="AM156" s="107" t="s">
        <v>29</v>
      </c>
      <c r="AN156" s="27">
        <f t="shared" si="108"/>
        <v>0</v>
      </c>
      <c r="AO156" s="41">
        <f t="shared" si="112"/>
        <v>0</v>
      </c>
      <c r="AP156" s="14"/>
      <c r="AQ156" s="14"/>
      <c r="AR156" s="14"/>
      <c r="AS156" s="65"/>
      <c r="AT156" s="63"/>
      <c r="AU156" s="47"/>
      <c r="AV156" s="14"/>
      <c r="AW156" s="19"/>
      <c r="AX156" s="19"/>
      <c r="AY156" s="27"/>
      <c r="AZ156" s="14"/>
      <c r="BA156" s="14"/>
      <c r="BB156" s="107" t="s">
        <v>29</v>
      </c>
      <c r="BC156" s="27">
        <f t="shared" si="109"/>
        <v>0</v>
      </c>
      <c r="BD156" s="41">
        <f t="shared" si="113"/>
        <v>0</v>
      </c>
      <c r="BE156" s="14"/>
      <c r="BF156" s="14"/>
      <c r="BG156" s="14"/>
      <c r="BH156" s="65"/>
      <c r="BI156" s="63"/>
      <c r="BJ156" s="352"/>
      <c r="BK156" s="19"/>
      <c r="BL156" s="19"/>
      <c r="BM156" s="19"/>
      <c r="BN156" s="27"/>
      <c r="BO156" s="14"/>
      <c r="BP156" s="14"/>
      <c r="BQ156" s="107" t="s">
        <v>29</v>
      </c>
      <c r="BR156" s="27">
        <f t="shared" si="110"/>
        <v>0</v>
      </c>
      <c r="BS156" s="41">
        <f t="shared" si="114"/>
        <v>0</v>
      </c>
      <c r="BT156" s="14"/>
      <c r="BU156" s="14"/>
      <c r="BV156" s="14"/>
      <c r="BW156" s="65"/>
      <c r="BX156" s="63"/>
      <c r="BY156" s="352"/>
      <c r="BZ156" s="14"/>
      <c r="CA156" s="14"/>
      <c r="CB156" s="21"/>
      <c r="CC156" s="21"/>
      <c r="CD156" s="180"/>
      <c r="CE156" s="181"/>
      <c r="CF156" s="31"/>
      <c r="CG156" s="52"/>
      <c r="CH156" s="52"/>
      <c r="CI156" s="99"/>
      <c r="CJ156" s="14"/>
      <c r="CK156" s="14"/>
      <c r="CL156" s="14"/>
      <c r="CM156" s="14"/>
      <c r="CN156" s="14"/>
      <c r="CO156" s="129"/>
      <c r="CP156" s="14"/>
      <c r="CQ156" s="47"/>
      <c r="CR156" s="14"/>
      <c r="CS156" s="14"/>
      <c r="CT156" s="14"/>
      <c r="CU156" s="14"/>
      <c r="CV156" s="180"/>
      <c r="CW156" s="190"/>
      <c r="CX156" s="191"/>
      <c r="CY156" s="52"/>
      <c r="CZ156" s="52"/>
      <c r="DA156" s="54"/>
      <c r="DB156" s="14"/>
      <c r="DC156" s="14"/>
      <c r="DD156" s="14"/>
      <c r="DE156" s="14"/>
      <c r="DF156" s="14"/>
      <c r="DG156" s="129"/>
      <c r="DH156" s="14"/>
      <c r="DI156" s="47"/>
      <c r="DJ156" s="14"/>
      <c r="DK156" s="62"/>
      <c r="DL156" s="19"/>
      <c r="DM156" s="59"/>
      <c r="DN156" s="14"/>
      <c r="DO156" s="14"/>
      <c r="DP156" s="107" t="s">
        <v>38</v>
      </c>
      <c r="DQ156" s="27">
        <f>COUNTIFS(S30_stakeholder_category,"NB",Response_Q172_1,DP156,Response_Q173_7,"&lt;&gt;0")</f>
        <v>1</v>
      </c>
      <c r="DR156" s="41">
        <f>IF(DQ158=0,"",DQ156/DQ158)</f>
        <v>1</v>
      </c>
      <c r="DS156" s="14"/>
      <c r="DT156" s="14"/>
      <c r="DU156" s="14"/>
      <c r="DV156" s="14"/>
      <c r="DW156" s="14"/>
      <c r="DX156" s="14"/>
      <c r="DY156" s="14"/>
      <c r="DZ156" s="14"/>
      <c r="EA156" s="14"/>
      <c r="EB156" s="14"/>
      <c r="EC156" s="14"/>
      <c r="ED156" s="14"/>
      <c r="EE156" s="14"/>
      <c r="EF156" s="14"/>
      <c r="EG156" s="14"/>
      <c r="EH156" s="14"/>
      <c r="EI156" s="14"/>
      <c r="EJ156" s="14"/>
      <c r="EK156" s="14"/>
      <c r="EL156" s="14"/>
    </row>
    <row r="157" spans="1:142" ht="14.4" x14ac:dyDescent="0.25">
      <c r="A157" s="14"/>
      <c r="B157" s="62"/>
      <c r="C157" s="19"/>
      <c r="D157" s="59"/>
      <c r="E157" s="14"/>
      <c r="F157" s="14"/>
      <c r="G157" s="107" t="s">
        <v>39</v>
      </c>
      <c r="H157" s="27">
        <f>COUNTIFS(S30_stakeholder_category,"NB",Response_Q173_7,G157)</f>
        <v>1</v>
      </c>
      <c r="I157" s="41">
        <f t="shared" si="111"/>
        <v>1</v>
      </c>
      <c r="J157" s="14"/>
      <c r="K157" s="14"/>
      <c r="L157" s="14"/>
      <c r="M157" s="14"/>
      <c r="N157" s="14"/>
      <c r="O157" s="14"/>
      <c r="P157" s="14"/>
      <c r="Q157" s="47"/>
      <c r="R157" s="19"/>
      <c r="S157" s="60"/>
      <c r="T157" s="19"/>
      <c r="U157" s="59"/>
      <c r="V157" s="14"/>
      <c r="W157" s="14"/>
      <c r="X157" s="107" t="s">
        <v>3</v>
      </c>
      <c r="Y157" s="27">
        <f t="shared" si="106"/>
        <v>0</v>
      </c>
      <c r="Z157" s="41">
        <f t="shared" si="107"/>
        <v>0</v>
      </c>
      <c r="AA157" s="14"/>
      <c r="AB157" s="14"/>
      <c r="AC157" s="14"/>
      <c r="AD157" s="65"/>
      <c r="AE157" s="63"/>
      <c r="AF157" s="47"/>
      <c r="AG157" s="19"/>
      <c r="AH157" s="60"/>
      <c r="AI157" s="19"/>
      <c r="AJ157" s="59"/>
      <c r="AK157" s="14"/>
      <c r="AL157" s="14"/>
      <c r="AM157" s="107" t="s">
        <v>3</v>
      </c>
      <c r="AN157" s="27">
        <f t="shared" si="108"/>
        <v>0</v>
      </c>
      <c r="AO157" s="41">
        <f t="shared" si="112"/>
        <v>0</v>
      </c>
      <c r="AP157" s="14"/>
      <c r="AQ157" s="14"/>
      <c r="AR157" s="14"/>
      <c r="AS157" s="65"/>
      <c r="AT157" s="63"/>
      <c r="AU157" s="47"/>
      <c r="AV157" s="14"/>
      <c r="AW157" s="60"/>
      <c r="AX157" s="19"/>
      <c r="AY157" s="59"/>
      <c r="AZ157" s="14"/>
      <c r="BA157" s="14"/>
      <c r="BB157" s="107" t="s">
        <v>3</v>
      </c>
      <c r="BC157" s="27">
        <f t="shared" si="109"/>
        <v>0</v>
      </c>
      <c r="BD157" s="41">
        <f t="shared" si="113"/>
        <v>0</v>
      </c>
      <c r="BE157" s="14"/>
      <c r="BF157" s="14"/>
      <c r="BG157" s="14"/>
      <c r="BH157" s="65"/>
      <c r="BI157" s="63"/>
      <c r="BJ157" s="352"/>
      <c r="BK157" s="19"/>
      <c r="BL157" s="60"/>
      <c r="BM157" s="19"/>
      <c r="BN157" s="59"/>
      <c r="BO157" s="14"/>
      <c r="BP157" s="14"/>
      <c r="BQ157" s="107" t="s">
        <v>3</v>
      </c>
      <c r="BR157" s="27">
        <f t="shared" si="110"/>
        <v>0</v>
      </c>
      <c r="BS157" s="41">
        <f t="shared" si="114"/>
        <v>0</v>
      </c>
      <c r="BT157" s="14"/>
      <c r="BU157" s="14"/>
      <c r="BV157" s="14"/>
      <c r="BW157" s="65"/>
      <c r="BX157" s="63"/>
      <c r="BY157" s="352"/>
      <c r="BZ157" s="14"/>
      <c r="CA157" s="14"/>
      <c r="CB157" s="21"/>
      <c r="CC157" s="21"/>
      <c r="CD157" s="180"/>
      <c r="CE157" s="181"/>
      <c r="CF157" s="31"/>
      <c r="CG157" s="52"/>
      <c r="CH157" s="52"/>
      <c r="CI157" s="99"/>
      <c r="CJ157" s="14"/>
      <c r="CK157" s="14"/>
      <c r="CL157" s="14"/>
      <c r="CM157" s="14"/>
      <c r="CN157" s="14"/>
      <c r="CO157" s="129"/>
      <c r="CP157" s="14"/>
      <c r="CQ157" s="47"/>
      <c r="CR157" s="14"/>
      <c r="CS157" s="14"/>
      <c r="CT157" s="14"/>
      <c r="CU157" s="14"/>
      <c r="CV157" s="180"/>
      <c r="CW157" s="190"/>
      <c r="CX157" s="191"/>
      <c r="CY157" s="52"/>
      <c r="CZ157" s="52"/>
      <c r="DA157" s="54"/>
      <c r="DB157" s="14"/>
      <c r="DC157" s="14"/>
      <c r="DD157" s="14"/>
      <c r="DE157" s="14"/>
      <c r="DF157" s="14"/>
      <c r="DG157" s="129"/>
      <c r="DH157" s="14"/>
      <c r="DI157" s="47"/>
      <c r="DJ157" s="14"/>
      <c r="DK157" s="62"/>
      <c r="DL157" s="19"/>
      <c r="DM157" s="59"/>
      <c r="DN157" s="14"/>
      <c r="DO157" s="14"/>
      <c r="DP157" s="107" t="s">
        <v>39</v>
      </c>
      <c r="DQ157" s="27">
        <f>COUNTIFS(S30_stakeholder_category,"NB",Response_Q172_1,DP157,Response_Q173_7,"&lt;&gt;0")</f>
        <v>0</v>
      </c>
      <c r="DR157" s="41">
        <f>IF(DQ158=0,"",DQ157/DQ158)</f>
        <v>0</v>
      </c>
      <c r="DS157" s="14"/>
      <c r="DT157" s="14"/>
      <c r="DU157" s="14"/>
      <c r="DV157" s="14"/>
      <c r="DW157" s="14"/>
      <c r="DX157" s="14"/>
      <c r="DY157" s="14"/>
      <c r="DZ157" s="14"/>
      <c r="EA157" s="14"/>
      <c r="EB157" s="14"/>
      <c r="EC157" s="14"/>
      <c r="ED157" s="14"/>
      <c r="EE157" s="14"/>
      <c r="EF157" s="14"/>
      <c r="EG157" s="14"/>
      <c r="EH157" s="14"/>
      <c r="EI157" s="14"/>
      <c r="EJ157" s="14"/>
      <c r="EK157" s="14"/>
      <c r="EL157" s="14"/>
    </row>
    <row r="158" spans="1:142" ht="14.4" x14ac:dyDescent="0.25">
      <c r="A158" s="14"/>
      <c r="B158" s="62"/>
      <c r="C158" s="19"/>
      <c r="D158" s="59"/>
      <c r="E158" s="14"/>
      <c r="F158" s="14"/>
      <c r="G158" s="86" t="s">
        <v>145</v>
      </c>
      <c r="H158" s="111">
        <f>COUNTIFS(S30_stakeholder_category,"NB",Response_Q173_7,"&lt;&gt;0")</f>
        <v>1</v>
      </c>
      <c r="I158" s="119">
        <f t="shared" si="111"/>
        <v>1</v>
      </c>
      <c r="J158" s="14"/>
      <c r="K158" s="14"/>
      <c r="L158" s="14"/>
      <c r="M158" s="14"/>
      <c r="N158" s="14"/>
      <c r="O158" s="14"/>
      <c r="P158" s="14"/>
      <c r="Q158" s="47"/>
      <c r="R158" s="19"/>
      <c r="S158" s="61"/>
      <c r="T158" s="19"/>
      <c r="U158" s="59"/>
      <c r="V158" s="14"/>
      <c r="W158" s="14"/>
      <c r="X158" s="107" t="s">
        <v>54</v>
      </c>
      <c r="Y158" s="27">
        <f t="shared" si="106"/>
        <v>0</v>
      </c>
      <c r="Z158" s="41">
        <f t="shared" si="107"/>
        <v>0</v>
      </c>
      <c r="AA158" s="14"/>
      <c r="AB158" s="14"/>
      <c r="AC158" s="14"/>
      <c r="AD158" s="65"/>
      <c r="AE158" s="63"/>
      <c r="AF158" s="47"/>
      <c r="AG158" s="19"/>
      <c r="AH158" s="61"/>
      <c r="AI158" s="19"/>
      <c r="AJ158" s="59"/>
      <c r="AK158" s="14"/>
      <c r="AL158" s="14"/>
      <c r="AM158" s="107" t="s">
        <v>54</v>
      </c>
      <c r="AN158" s="27">
        <f t="shared" si="108"/>
        <v>0</v>
      </c>
      <c r="AO158" s="41">
        <f t="shared" si="112"/>
        <v>0</v>
      </c>
      <c r="AP158" s="14"/>
      <c r="AQ158" s="14"/>
      <c r="AR158" s="14"/>
      <c r="AS158" s="65"/>
      <c r="AT158" s="63"/>
      <c r="AU158" s="47"/>
      <c r="AV158" s="14"/>
      <c r="AW158" s="61"/>
      <c r="AX158" s="19"/>
      <c r="AY158" s="59"/>
      <c r="AZ158" s="14"/>
      <c r="BA158" s="14"/>
      <c r="BB158" s="107" t="s">
        <v>54</v>
      </c>
      <c r="BC158" s="27">
        <f t="shared" si="109"/>
        <v>0</v>
      </c>
      <c r="BD158" s="41">
        <f t="shared" si="113"/>
        <v>0</v>
      </c>
      <c r="BE158" s="14"/>
      <c r="BF158" s="14"/>
      <c r="BG158" s="14"/>
      <c r="BH158" s="65"/>
      <c r="BI158" s="63"/>
      <c r="BJ158" s="352"/>
      <c r="BK158" s="19"/>
      <c r="BL158" s="61"/>
      <c r="BM158" s="19"/>
      <c r="BN158" s="59"/>
      <c r="BO158" s="14"/>
      <c r="BP158" s="14"/>
      <c r="BQ158" s="107" t="s">
        <v>54</v>
      </c>
      <c r="BR158" s="27">
        <f t="shared" si="110"/>
        <v>0</v>
      </c>
      <c r="BS158" s="41">
        <f t="shared" si="114"/>
        <v>0</v>
      </c>
      <c r="BT158" s="14"/>
      <c r="BU158" s="14"/>
      <c r="BV158" s="14"/>
      <c r="BW158" s="65"/>
      <c r="BX158" s="63"/>
      <c r="BY158" s="352"/>
      <c r="BZ158" s="14"/>
      <c r="CA158" s="14"/>
      <c r="CB158" s="21"/>
      <c r="CC158" s="21"/>
      <c r="CD158" s="180"/>
      <c r="CE158" s="181"/>
      <c r="CF158" s="31"/>
      <c r="CG158" s="52"/>
      <c r="CH158" s="52"/>
      <c r="CI158" s="99"/>
      <c r="CJ158" s="14"/>
      <c r="CK158" s="14"/>
      <c r="CL158" s="14"/>
      <c r="CM158" s="14"/>
      <c r="CN158" s="14"/>
      <c r="CO158" s="129"/>
      <c r="CP158" s="14"/>
      <c r="CQ158" s="47"/>
      <c r="CR158" s="14"/>
      <c r="CS158" s="14"/>
      <c r="CT158" s="14"/>
      <c r="CU158" s="14"/>
      <c r="CV158" s="180"/>
      <c r="CW158" s="190"/>
      <c r="CX158" s="191"/>
      <c r="CY158" s="52"/>
      <c r="CZ158" s="52"/>
      <c r="DA158" s="54"/>
      <c r="DB158" s="14"/>
      <c r="DC158" s="14"/>
      <c r="DD158" s="14"/>
      <c r="DE158" s="14"/>
      <c r="DF158" s="14"/>
      <c r="DG158" s="129"/>
      <c r="DH158" s="14"/>
      <c r="DI158" s="47"/>
      <c r="DJ158" s="14"/>
      <c r="DK158" s="62"/>
      <c r="DL158" s="19"/>
      <c r="DM158" s="59"/>
      <c r="DN158" s="14"/>
      <c r="DO158" s="14"/>
      <c r="DP158" s="86" t="s">
        <v>145</v>
      </c>
      <c r="DQ158" s="111">
        <f>COUNTIFS(S30_stakeholder_category,"NB",Response_Q172_1,"&lt;&gt;0",Response_Q173_7,"&lt;&gt;0")</f>
        <v>1</v>
      </c>
      <c r="DR158" s="119">
        <f>IF(DQ158=0,"",DQ158/DQ158)</f>
        <v>1</v>
      </c>
      <c r="DS158" s="14"/>
      <c r="DT158" s="14"/>
      <c r="DU158" s="14"/>
      <c r="DV158" s="14"/>
      <c r="DW158" s="14"/>
      <c r="DX158" s="14"/>
      <c r="DY158" s="14"/>
      <c r="DZ158" s="14"/>
      <c r="EA158" s="14"/>
      <c r="EB158" s="14"/>
      <c r="EC158" s="14"/>
      <c r="ED158" s="14"/>
      <c r="EE158" s="14"/>
      <c r="EF158" s="14"/>
      <c r="EG158" s="14"/>
      <c r="EH158" s="14"/>
      <c r="EI158" s="14"/>
      <c r="EJ158" s="14"/>
      <c r="EK158" s="14"/>
      <c r="EL158" s="14"/>
    </row>
    <row r="159" spans="1:142" x14ac:dyDescent="0.25">
      <c r="A159" s="14"/>
      <c r="B159" s="62"/>
      <c r="C159" s="19"/>
      <c r="D159" s="59"/>
      <c r="E159" s="14"/>
      <c r="F159" s="14"/>
      <c r="G159" s="14"/>
      <c r="H159" s="21"/>
      <c r="I159" s="21"/>
      <c r="J159" s="14"/>
      <c r="K159" s="14"/>
      <c r="L159" s="14"/>
      <c r="M159" s="14"/>
      <c r="N159" s="14"/>
      <c r="O159" s="14"/>
      <c r="P159" s="14"/>
      <c r="Q159" s="47"/>
      <c r="R159" s="19"/>
      <c r="S159" s="62"/>
      <c r="T159" s="19"/>
      <c r="U159" s="59"/>
      <c r="V159" s="14"/>
      <c r="W159" s="14"/>
      <c r="X159" s="107" t="s">
        <v>39</v>
      </c>
      <c r="Y159" s="27">
        <f t="shared" si="106"/>
        <v>0</v>
      </c>
      <c r="Z159" s="41">
        <f t="shared" si="107"/>
        <v>0</v>
      </c>
      <c r="AA159" s="14"/>
      <c r="AB159" s="14"/>
      <c r="AC159" s="14"/>
      <c r="AD159" s="65"/>
      <c r="AE159" s="63"/>
      <c r="AF159" s="47"/>
      <c r="AG159" s="19"/>
      <c r="AH159" s="62"/>
      <c r="AI159" s="19"/>
      <c r="AJ159" s="59"/>
      <c r="AK159" s="14"/>
      <c r="AL159" s="14"/>
      <c r="AM159" s="107" t="s">
        <v>39</v>
      </c>
      <c r="AN159" s="27">
        <f t="shared" si="108"/>
        <v>0</v>
      </c>
      <c r="AO159" s="41">
        <f t="shared" si="112"/>
        <v>0</v>
      </c>
      <c r="AP159" s="14"/>
      <c r="AQ159" s="14"/>
      <c r="AR159" s="14"/>
      <c r="AS159" s="65"/>
      <c r="AT159" s="63"/>
      <c r="AU159" s="47"/>
      <c r="AV159" s="14"/>
      <c r="AW159" s="62"/>
      <c r="AX159" s="19"/>
      <c r="AY159" s="59"/>
      <c r="AZ159" s="14"/>
      <c r="BA159" s="14"/>
      <c r="BB159" s="107" t="s">
        <v>39</v>
      </c>
      <c r="BC159" s="27">
        <f t="shared" si="109"/>
        <v>0</v>
      </c>
      <c r="BD159" s="41">
        <f t="shared" si="113"/>
        <v>0</v>
      </c>
      <c r="BE159" s="14"/>
      <c r="BF159" s="14"/>
      <c r="BG159" s="14"/>
      <c r="BH159" s="65"/>
      <c r="BI159" s="63"/>
      <c r="BJ159" s="352"/>
      <c r="BK159" s="19"/>
      <c r="BL159" s="62"/>
      <c r="BM159" s="19"/>
      <c r="BN159" s="59"/>
      <c r="BO159" s="14"/>
      <c r="BP159" s="14"/>
      <c r="BQ159" s="107" t="s">
        <v>39</v>
      </c>
      <c r="BR159" s="27">
        <f t="shared" si="110"/>
        <v>0</v>
      </c>
      <c r="BS159" s="41">
        <f t="shared" si="114"/>
        <v>0</v>
      </c>
      <c r="BT159" s="14"/>
      <c r="BU159" s="14"/>
      <c r="BV159" s="14"/>
      <c r="BW159" s="65"/>
      <c r="BX159" s="63"/>
      <c r="BY159" s="352"/>
      <c r="BZ159" s="14"/>
      <c r="CA159" s="14"/>
      <c r="CB159" s="21"/>
      <c r="CC159" s="21"/>
      <c r="CD159" s="180"/>
      <c r="CE159" s="181"/>
      <c r="CF159" s="31"/>
      <c r="CG159" s="52"/>
      <c r="CH159" s="52"/>
      <c r="CI159" s="99"/>
      <c r="CJ159" s="14"/>
      <c r="CK159" s="14"/>
      <c r="CL159" s="14"/>
      <c r="CM159" s="14"/>
      <c r="CN159" s="14"/>
      <c r="CO159" s="129"/>
      <c r="CP159" s="14"/>
      <c r="CQ159" s="47"/>
      <c r="CR159" s="14"/>
      <c r="CS159" s="14"/>
      <c r="CT159" s="14"/>
      <c r="CU159" s="14"/>
      <c r="CV159" s="180"/>
      <c r="CW159" s="190"/>
      <c r="CX159" s="191"/>
      <c r="CY159" s="52"/>
      <c r="CZ159" s="52"/>
      <c r="DA159" s="54"/>
      <c r="DB159" s="14"/>
      <c r="DC159" s="14"/>
      <c r="DD159" s="14"/>
      <c r="DE159" s="14"/>
      <c r="DF159" s="14"/>
      <c r="DG159" s="129"/>
      <c r="DH159" s="14"/>
      <c r="DI159" s="47"/>
      <c r="DJ159" s="14"/>
      <c r="DK159" s="62"/>
      <c r="DL159" s="19"/>
      <c r="DM159" s="59"/>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row>
    <row r="160" spans="1:142" x14ac:dyDescent="0.25">
      <c r="A160" s="14"/>
      <c r="B160" s="62"/>
      <c r="C160" s="19"/>
      <c r="D160" s="59"/>
      <c r="E160" s="14"/>
      <c r="F160" s="14"/>
      <c r="G160" s="14"/>
      <c r="H160" s="21"/>
      <c r="I160" s="21"/>
      <c r="J160" s="14"/>
      <c r="K160" s="14"/>
      <c r="L160" s="14"/>
      <c r="M160" s="14"/>
      <c r="N160" s="14"/>
      <c r="O160" s="14"/>
      <c r="P160" s="14"/>
      <c r="Q160" s="47"/>
      <c r="R160" s="19"/>
      <c r="S160" s="62"/>
      <c r="T160" s="19"/>
      <c r="U160" s="59"/>
      <c r="V160" s="14"/>
      <c r="W160" s="14"/>
      <c r="X160" s="86" t="s">
        <v>145</v>
      </c>
      <c r="Y160" s="111">
        <f>COUNTIFS(S30_stakeholder_category,"NB",Response_Q176_4,"&lt;&gt;0")</f>
        <v>1</v>
      </c>
      <c r="Z160" s="119">
        <f t="shared" si="107"/>
        <v>1</v>
      </c>
      <c r="AA160" s="14"/>
      <c r="AB160" s="14"/>
      <c r="AC160" s="14"/>
      <c r="AD160" s="65"/>
      <c r="AE160" s="63"/>
      <c r="AF160" s="47"/>
      <c r="AG160" s="19"/>
      <c r="AH160" s="62"/>
      <c r="AI160" s="19"/>
      <c r="AJ160" s="59"/>
      <c r="AK160" s="14"/>
      <c r="AL160" s="14"/>
      <c r="AM160" s="86" t="s">
        <v>145</v>
      </c>
      <c r="AN160" s="111">
        <f>COUNTIFS(S30_stakeholder_category,"NB",Response_30d_CaseA,"&lt;&gt;0")</f>
        <v>1</v>
      </c>
      <c r="AO160" s="119">
        <f t="shared" si="112"/>
        <v>1</v>
      </c>
      <c r="AP160" s="14"/>
      <c r="AQ160" s="14"/>
      <c r="AR160" s="14"/>
      <c r="AS160" s="65"/>
      <c r="AT160" s="63"/>
      <c r="AU160" s="47"/>
      <c r="AV160" s="14"/>
      <c r="AW160" s="62"/>
      <c r="AX160" s="19"/>
      <c r="AY160" s="59"/>
      <c r="AZ160" s="14"/>
      <c r="BA160" s="14"/>
      <c r="BB160" s="86" t="s">
        <v>145</v>
      </c>
      <c r="BC160" s="111">
        <f>COUNTIFS(S30_stakeholder_category,"NB",Response_30d_CaseB,"&lt;&gt;0")</f>
        <v>1</v>
      </c>
      <c r="BD160" s="119">
        <f t="shared" si="113"/>
        <v>1</v>
      </c>
      <c r="BE160" s="14"/>
      <c r="BF160" s="14"/>
      <c r="BG160" s="14"/>
      <c r="BH160" s="65"/>
      <c r="BI160" s="63"/>
      <c r="BJ160" s="352"/>
      <c r="BK160" s="19"/>
      <c r="BL160" s="62"/>
      <c r="BM160" s="19"/>
      <c r="BN160" s="59"/>
      <c r="BO160" s="14"/>
      <c r="BP160" s="14"/>
      <c r="BQ160" s="86" t="s">
        <v>145</v>
      </c>
      <c r="BR160" s="111">
        <f>COUNTIFS(S30_stakeholder_category,"NB",Response_30d_CaseC,"&lt;&gt;0")</f>
        <v>1</v>
      </c>
      <c r="BS160" s="119">
        <f t="shared" si="114"/>
        <v>1</v>
      </c>
      <c r="BT160" s="14"/>
      <c r="BU160" s="14"/>
      <c r="BV160" s="14"/>
      <c r="BW160" s="65"/>
      <c r="BX160" s="63"/>
      <c r="BY160" s="352"/>
      <c r="BZ160" s="14"/>
      <c r="CA160" s="14"/>
      <c r="CB160" s="21"/>
      <c r="CC160" s="21"/>
      <c r="CD160" s="180"/>
      <c r="CE160" s="181"/>
      <c r="CF160" s="31"/>
      <c r="CG160" s="52"/>
      <c r="CH160" s="52"/>
      <c r="CI160" s="99"/>
      <c r="CJ160" s="14"/>
      <c r="CK160" s="14"/>
      <c r="CL160" s="14"/>
      <c r="CM160" s="14"/>
      <c r="CN160" s="14"/>
      <c r="CO160" s="129"/>
      <c r="CP160" s="14"/>
      <c r="CQ160" s="47"/>
      <c r="CR160" s="14"/>
      <c r="CS160" s="14"/>
      <c r="CT160" s="14"/>
      <c r="CU160" s="14"/>
      <c r="CV160" s="180"/>
      <c r="CW160" s="190"/>
      <c r="CX160" s="191"/>
      <c r="CY160" s="52"/>
      <c r="CZ160" s="52"/>
      <c r="DA160" s="54"/>
      <c r="DB160" s="14"/>
      <c r="DC160" s="14"/>
      <c r="DD160" s="14"/>
      <c r="DE160" s="14"/>
      <c r="DF160" s="14"/>
      <c r="DG160" s="129"/>
      <c r="DH160" s="14"/>
      <c r="DI160" s="47"/>
      <c r="DJ160" s="14"/>
      <c r="DK160" s="62"/>
      <c r="DL160" s="19"/>
      <c r="DM160" s="59"/>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row>
    <row r="161" spans="1:142" s="135" customFormat="1" ht="15" customHeight="1" x14ac:dyDescent="0.25">
      <c r="A161" s="14"/>
      <c r="B161" s="13"/>
      <c r="C161" s="13"/>
      <c r="D161" s="21"/>
      <c r="E161" s="14"/>
      <c r="F161" s="14"/>
      <c r="G161" s="14"/>
      <c r="H161" s="21"/>
      <c r="I161" s="21"/>
      <c r="J161" s="14"/>
      <c r="K161" s="14"/>
      <c r="L161" s="14"/>
      <c r="M161" s="14"/>
      <c r="N161" s="14"/>
      <c r="O161" s="14"/>
      <c r="P161" s="14"/>
      <c r="Q161" s="47"/>
      <c r="R161" s="19"/>
      <c r="S161" s="13"/>
      <c r="T161" s="13"/>
      <c r="U161" s="21"/>
      <c r="V161" s="14"/>
      <c r="W161" s="14"/>
      <c r="X161" s="14"/>
      <c r="Y161" s="14"/>
      <c r="Z161" s="14"/>
      <c r="AA161" s="14"/>
      <c r="AB161" s="14"/>
      <c r="AC161" s="14"/>
      <c r="AD161" s="65"/>
      <c r="AE161" s="63"/>
      <c r="AF161" s="47"/>
      <c r="AG161" s="19"/>
      <c r="AH161" s="13"/>
      <c r="AI161" s="13"/>
      <c r="AJ161" s="21"/>
      <c r="AK161" s="14"/>
      <c r="AL161" s="14"/>
      <c r="AM161" s="14"/>
      <c r="AN161" s="14"/>
      <c r="AO161" s="14"/>
      <c r="AP161" s="14"/>
      <c r="AQ161" s="14"/>
      <c r="AR161" s="14"/>
      <c r="AS161" s="65"/>
      <c r="AT161" s="63"/>
      <c r="AU161" s="47"/>
      <c r="AV161" s="14"/>
      <c r="AW161" s="13"/>
      <c r="AX161" s="13"/>
      <c r="AY161" s="21"/>
      <c r="AZ161" s="14"/>
      <c r="BA161" s="14"/>
      <c r="BB161" s="14"/>
      <c r="BC161" s="14"/>
      <c r="BD161" s="14"/>
      <c r="BE161" s="14"/>
      <c r="BF161" s="14"/>
      <c r="BG161" s="14"/>
      <c r="BH161" s="65"/>
      <c r="BI161" s="63"/>
      <c r="BJ161" s="352"/>
      <c r="BK161" s="19"/>
      <c r="BL161" s="13"/>
      <c r="BM161" s="13"/>
      <c r="BN161" s="21"/>
      <c r="BO161" s="14"/>
      <c r="BP161" s="14"/>
      <c r="BQ161" s="14"/>
      <c r="BR161" s="14"/>
      <c r="BS161" s="14"/>
      <c r="BT161" s="14"/>
      <c r="BU161" s="14"/>
      <c r="BV161" s="14"/>
      <c r="BW161" s="65"/>
      <c r="BX161" s="63"/>
      <c r="BY161" s="352"/>
      <c r="BZ161" s="14"/>
      <c r="CA161" s="14"/>
      <c r="CB161" s="21"/>
      <c r="CC161" s="21"/>
      <c r="CD161" s="180"/>
      <c r="CE161" s="181"/>
      <c r="CF161" s="31"/>
      <c r="CG161" s="31"/>
      <c r="CH161" s="31"/>
      <c r="CI161" s="14"/>
      <c r="CJ161" s="14"/>
      <c r="CK161" s="14"/>
      <c r="CL161" s="14"/>
      <c r="CM161" s="14"/>
      <c r="CN161" s="14"/>
      <c r="CO161" s="129"/>
      <c r="CP161" s="14"/>
      <c r="CQ161" s="47"/>
      <c r="CR161" s="14"/>
      <c r="CS161" s="14"/>
      <c r="CT161" s="14"/>
      <c r="CU161" s="14"/>
      <c r="CV161" s="180"/>
      <c r="CW161" s="190"/>
      <c r="CX161" s="191"/>
      <c r="CY161" s="31"/>
      <c r="CZ161" s="31"/>
      <c r="DA161" s="14"/>
      <c r="DB161" s="14"/>
      <c r="DC161" s="14"/>
      <c r="DD161" s="14"/>
      <c r="DE161" s="14"/>
      <c r="DF161" s="14"/>
      <c r="DG161" s="129"/>
      <c r="DH161" s="14"/>
      <c r="DI161" s="47"/>
      <c r="DJ161" s="14"/>
      <c r="DK161" s="13"/>
      <c r="DL161" s="13"/>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row>
    <row r="162" spans="1:142" s="131" customFormat="1" x14ac:dyDescent="0.25">
      <c r="A162" s="78"/>
      <c r="B162" s="78" t="s">
        <v>153</v>
      </c>
      <c r="C162" s="78" t="s">
        <v>137</v>
      </c>
      <c r="D162" s="79"/>
      <c r="E162" s="78"/>
      <c r="F162" s="78"/>
      <c r="G162" s="78"/>
      <c r="H162" s="79"/>
      <c r="I162" s="79"/>
      <c r="J162" s="78"/>
      <c r="K162" s="78"/>
      <c r="L162" s="78"/>
      <c r="M162" s="78"/>
      <c r="N162" s="78"/>
      <c r="O162" s="78"/>
      <c r="P162" s="78"/>
      <c r="Q162" s="82"/>
      <c r="R162" s="83"/>
      <c r="S162" s="78" t="str">
        <f>$B162</f>
        <v>Policy makers and academia</v>
      </c>
      <c r="T162" s="78"/>
      <c r="U162" s="78"/>
      <c r="V162" s="78"/>
      <c r="W162" s="78"/>
      <c r="X162" s="78"/>
      <c r="Y162" s="78"/>
      <c r="Z162" s="78"/>
      <c r="AA162" s="78"/>
      <c r="AB162" s="78"/>
      <c r="AC162" s="78"/>
      <c r="AD162" s="80"/>
      <c r="AE162" s="81"/>
      <c r="AF162" s="82"/>
      <c r="AG162" s="83"/>
      <c r="AH162" s="78" t="str">
        <f>$B162</f>
        <v>Policy makers and academia</v>
      </c>
      <c r="AI162" s="78"/>
      <c r="AJ162" s="78"/>
      <c r="AK162" s="78"/>
      <c r="AL162" s="78"/>
      <c r="AM162" s="78"/>
      <c r="AN162" s="78"/>
      <c r="AO162" s="78"/>
      <c r="AP162" s="78"/>
      <c r="AQ162" s="78"/>
      <c r="AR162" s="78"/>
      <c r="AS162" s="80"/>
      <c r="AT162" s="81"/>
      <c r="AU162" s="82"/>
      <c r="AV162" s="78"/>
      <c r="AW162" s="78" t="str">
        <f>$B162</f>
        <v>Policy makers and academia</v>
      </c>
      <c r="AX162" s="78"/>
      <c r="AY162" s="78"/>
      <c r="AZ162" s="78"/>
      <c r="BA162" s="78"/>
      <c r="BB162" s="78"/>
      <c r="BC162" s="78"/>
      <c r="BD162" s="78"/>
      <c r="BE162" s="78"/>
      <c r="BF162" s="78"/>
      <c r="BG162" s="78"/>
      <c r="BH162" s="80"/>
      <c r="BI162" s="81"/>
      <c r="BJ162" s="373"/>
      <c r="BK162" s="83"/>
      <c r="BL162" s="78" t="str">
        <f>$B162</f>
        <v>Policy makers and academia</v>
      </c>
      <c r="BM162" s="78"/>
      <c r="BN162" s="78"/>
      <c r="BO162" s="78"/>
      <c r="BP162" s="78"/>
      <c r="BQ162" s="78"/>
      <c r="BR162" s="78"/>
      <c r="BS162" s="78"/>
      <c r="BT162" s="78"/>
      <c r="BU162" s="78"/>
      <c r="BV162" s="78"/>
      <c r="BW162" s="80"/>
      <c r="BX162" s="81"/>
      <c r="BY162" s="373"/>
      <c r="BZ162" s="78"/>
      <c r="CA162" s="78" t="str">
        <f>$B162</f>
        <v>Policy makers and academia</v>
      </c>
      <c r="CB162" s="79"/>
      <c r="CC162" s="79"/>
      <c r="CD162" s="182"/>
      <c r="CE162" s="182"/>
      <c r="CF162" s="79"/>
      <c r="CG162" s="78"/>
      <c r="CH162" s="78"/>
      <c r="CI162" s="78"/>
      <c r="CJ162" s="78"/>
      <c r="CK162" s="78"/>
      <c r="CL162" s="78"/>
      <c r="CM162" s="78"/>
      <c r="CN162" s="78"/>
      <c r="CO162" s="78"/>
      <c r="CP162" s="78"/>
      <c r="CQ162" s="82"/>
      <c r="CR162" s="78"/>
      <c r="CS162" s="78" t="str">
        <f>$B162</f>
        <v>Policy makers and academia</v>
      </c>
      <c r="CT162" s="78"/>
      <c r="CU162" s="78"/>
      <c r="CV162" s="182"/>
      <c r="CW162" s="192"/>
      <c r="CX162" s="192"/>
      <c r="CY162" s="78"/>
      <c r="CZ162" s="78"/>
      <c r="DA162" s="78"/>
      <c r="DB162" s="78"/>
      <c r="DC162" s="78"/>
      <c r="DD162" s="78"/>
      <c r="DE162" s="78"/>
      <c r="DF162" s="78"/>
      <c r="DG162" s="78"/>
      <c r="DH162" s="78"/>
      <c r="DI162" s="82"/>
      <c r="DJ162" s="78"/>
      <c r="DK162" s="78" t="str">
        <f>$B162</f>
        <v>Policy makers and academia</v>
      </c>
      <c r="DL162" s="78"/>
      <c r="DM162" s="78"/>
      <c r="DN162" s="78"/>
      <c r="DO162" s="78"/>
      <c r="DP162" s="78"/>
      <c r="DQ162" s="78"/>
      <c r="DR162" s="78"/>
      <c r="DS162" s="78"/>
      <c r="DT162" s="78"/>
      <c r="DU162" s="78"/>
      <c r="DV162" s="78"/>
      <c r="DW162" s="78"/>
      <c r="DX162" s="78"/>
      <c r="DY162" s="78"/>
      <c r="DZ162" s="78"/>
      <c r="EA162" s="78"/>
      <c r="EB162" s="78"/>
      <c r="EC162" s="78"/>
      <c r="ED162" s="78"/>
      <c r="EE162" s="78"/>
      <c r="EF162" s="78"/>
      <c r="EG162" s="78"/>
      <c r="EH162" s="78"/>
      <c r="EI162" s="78"/>
      <c r="EJ162" s="78"/>
      <c r="EK162" s="78"/>
      <c r="EL162" s="78"/>
    </row>
    <row r="163" spans="1:142" x14ac:dyDescent="0.25">
      <c r="A163" s="14"/>
      <c r="B163" s="84" t="s">
        <v>301</v>
      </c>
      <c r="C163" s="84"/>
      <c r="D163" s="85"/>
      <c r="E163" s="84"/>
      <c r="F163" s="14"/>
      <c r="G163" s="14"/>
      <c r="H163" s="21"/>
      <c r="I163" s="21"/>
      <c r="J163" s="14"/>
      <c r="K163" s="14"/>
      <c r="L163" s="14"/>
      <c r="M163" s="14"/>
      <c r="N163" s="14"/>
      <c r="O163" s="14"/>
      <c r="P163" s="14"/>
      <c r="Q163" s="47"/>
      <c r="R163" s="19"/>
      <c r="S163" s="84" t="s">
        <v>322</v>
      </c>
      <c r="T163" s="84"/>
      <c r="U163" s="85"/>
      <c r="V163" s="84"/>
      <c r="W163" s="14"/>
      <c r="X163" s="14"/>
      <c r="Y163" s="14"/>
      <c r="Z163" s="14"/>
      <c r="AA163" s="14"/>
      <c r="AB163" s="14"/>
      <c r="AC163" s="14"/>
      <c r="AD163" s="65"/>
      <c r="AE163" s="63"/>
      <c r="AF163" s="47"/>
      <c r="AG163" s="19"/>
      <c r="AH163" s="84" t="s">
        <v>328</v>
      </c>
      <c r="AI163" s="84"/>
      <c r="AJ163" s="85"/>
      <c r="AK163" s="84"/>
      <c r="AL163" s="84"/>
      <c r="AM163" s="14"/>
      <c r="AN163" s="14"/>
      <c r="AO163" s="14"/>
      <c r="AP163" s="14"/>
      <c r="AQ163" s="14"/>
      <c r="AR163" s="14"/>
      <c r="AS163" s="65"/>
      <c r="AT163" s="63"/>
      <c r="AU163" s="47"/>
      <c r="AV163" s="14"/>
      <c r="AW163" s="84" t="s">
        <v>347</v>
      </c>
      <c r="AX163" s="84"/>
      <c r="AY163" s="85"/>
      <c r="AZ163" s="84"/>
      <c r="BA163" s="84"/>
      <c r="BB163" s="14"/>
      <c r="BC163" s="14"/>
      <c r="BD163" s="14"/>
      <c r="BE163" s="14"/>
      <c r="BF163" s="14"/>
      <c r="BG163" s="14"/>
      <c r="BH163" s="65"/>
      <c r="BI163" s="63"/>
      <c r="BJ163" s="352"/>
      <c r="BK163" s="19"/>
      <c r="BL163" s="84" t="s">
        <v>348</v>
      </c>
      <c r="BM163" s="84"/>
      <c r="BN163" s="85"/>
      <c r="BO163" s="84"/>
      <c r="BP163" s="84"/>
      <c r="BQ163" s="14"/>
      <c r="BR163" s="14"/>
      <c r="BS163" s="14"/>
      <c r="BT163" s="14"/>
      <c r="BU163" s="14"/>
      <c r="BV163" s="14"/>
      <c r="BW163" s="65"/>
      <c r="BX163" s="63"/>
      <c r="BY163" s="352"/>
      <c r="BZ163" s="14"/>
      <c r="CA163" s="148" t="s">
        <v>303</v>
      </c>
      <c r="CB163" s="85"/>
      <c r="CC163" s="85"/>
      <c r="CD163" s="186"/>
      <c r="CE163" s="185"/>
      <c r="CF163" s="147"/>
      <c r="CG163" s="14"/>
      <c r="CH163" s="14"/>
      <c r="CI163" s="14"/>
      <c r="CJ163" s="14"/>
      <c r="CK163" s="14"/>
      <c r="CL163" s="14"/>
      <c r="CM163" s="14"/>
      <c r="CN163" s="14"/>
      <c r="CO163" s="129"/>
      <c r="CP163" s="14"/>
      <c r="CQ163" s="47"/>
      <c r="CR163" s="14"/>
      <c r="CS163" s="148" t="s">
        <v>304</v>
      </c>
      <c r="CT163" s="84"/>
      <c r="CU163" s="85"/>
      <c r="CV163" s="186"/>
      <c r="CW163" s="193"/>
      <c r="CX163" s="193"/>
      <c r="CY163" s="14"/>
      <c r="CZ163" s="14"/>
      <c r="DA163" s="14"/>
      <c r="DB163" s="14"/>
      <c r="DC163" s="14"/>
      <c r="DD163" s="14"/>
      <c r="DE163" s="14"/>
      <c r="DF163" s="14"/>
      <c r="DG163" s="129"/>
      <c r="DH163" s="14"/>
      <c r="DI163" s="47"/>
      <c r="DJ163" s="14"/>
      <c r="DK163" s="84" t="s">
        <v>305</v>
      </c>
      <c r="DL163" s="84"/>
      <c r="DM163" s="85"/>
      <c r="DN163" s="8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row>
    <row r="164" spans="1:142" x14ac:dyDescent="0.25">
      <c r="A164" s="14"/>
      <c r="B164" s="14"/>
      <c r="C164" s="14"/>
      <c r="D164" s="15"/>
      <c r="E164" s="14"/>
      <c r="F164" s="14"/>
      <c r="G164" s="14"/>
      <c r="H164" s="21"/>
      <c r="I164" s="21"/>
      <c r="J164" s="14"/>
      <c r="K164" s="19"/>
      <c r="L164" s="14"/>
      <c r="M164" s="14"/>
      <c r="N164" s="14"/>
      <c r="O164" s="14"/>
      <c r="P164" s="14"/>
      <c r="Q164" s="47"/>
      <c r="R164" s="19"/>
      <c r="S164" s="14"/>
      <c r="T164" s="14"/>
      <c r="U164" s="15"/>
      <c r="V164" s="14"/>
      <c r="W164" s="14"/>
      <c r="X164" s="14"/>
      <c r="Y164" s="14"/>
      <c r="Z164" s="14"/>
      <c r="AA164" s="14"/>
      <c r="AB164" s="14"/>
      <c r="AC164" s="14"/>
      <c r="AD164" s="65"/>
      <c r="AE164" s="63"/>
      <c r="AF164" s="47"/>
      <c r="AG164" s="19"/>
      <c r="AH164" s="14"/>
      <c r="AI164" s="14"/>
      <c r="AJ164" s="15"/>
      <c r="AK164" s="14"/>
      <c r="AL164" s="14"/>
      <c r="AM164" s="14"/>
      <c r="AN164" s="14"/>
      <c r="AO164" s="14"/>
      <c r="AP164" s="14"/>
      <c r="AQ164" s="14"/>
      <c r="AR164" s="14"/>
      <c r="AS164" s="65"/>
      <c r="AT164" s="63"/>
      <c r="AU164" s="47"/>
      <c r="AV164" s="14"/>
      <c r="AW164" s="14"/>
      <c r="AX164" s="14"/>
      <c r="AY164" s="15"/>
      <c r="AZ164" s="14"/>
      <c r="BA164" s="14"/>
      <c r="BB164" s="14"/>
      <c r="BC164" s="14"/>
      <c r="BD164" s="14"/>
      <c r="BE164" s="14"/>
      <c r="BF164" s="14"/>
      <c r="BG164" s="14"/>
      <c r="BH164" s="65"/>
      <c r="BI164" s="63"/>
      <c r="BJ164" s="352"/>
      <c r="BK164" s="19"/>
      <c r="BL164" s="14"/>
      <c r="BM164" s="14"/>
      <c r="BN164" s="15"/>
      <c r="BO164" s="14"/>
      <c r="BP164" s="14"/>
      <c r="BQ164" s="14"/>
      <c r="BR164" s="14"/>
      <c r="BS164" s="14"/>
      <c r="BT164" s="14"/>
      <c r="BU164" s="14"/>
      <c r="BV164" s="14"/>
      <c r="BW164" s="65"/>
      <c r="BX164" s="63"/>
      <c r="BY164" s="352"/>
      <c r="BZ164" s="14"/>
      <c r="CA164" s="14"/>
      <c r="CB164" s="21"/>
      <c r="CC164" s="21"/>
      <c r="CD164" s="180"/>
      <c r="CE164" s="180"/>
      <c r="CF164" s="21"/>
      <c r="CG164" s="14"/>
      <c r="CH164" s="14"/>
      <c r="CI164" s="14"/>
      <c r="CJ164" s="14"/>
      <c r="CK164" s="14"/>
      <c r="CL164" s="14"/>
      <c r="CM164" s="14"/>
      <c r="CN164" s="14"/>
      <c r="CO164" s="129"/>
      <c r="CP164" s="14"/>
      <c r="CQ164" s="47"/>
      <c r="CR164" s="14"/>
      <c r="CS164" s="14"/>
      <c r="CT164" s="14"/>
      <c r="CU164" s="14"/>
      <c r="CV164" s="180"/>
      <c r="CW164" s="189"/>
      <c r="CX164" s="189"/>
      <c r="CY164" s="14"/>
      <c r="CZ164" s="14"/>
      <c r="DA164" s="14"/>
      <c r="DB164" s="14"/>
      <c r="DC164" s="14"/>
      <c r="DD164" s="14"/>
      <c r="DE164" s="14"/>
      <c r="DF164" s="14"/>
      <c r="DG164" s="129"/>
      <c r="DH164" s="14"/>
      <c r="DI164" s="47"/>
      <c r="DJ164" s="14"/>
      <c r="DK164" s="14"/>
      <c r="DL164" s="14"/>
      <c r="DM164" s="15"/>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row>
    <row r="165" spans="1:142" ht="27.6" x14ac:dyDescent="0.25">
      <c r="A165" s="14"/>
      <c r="B165" s="112" t="s">
        <v>23</v>
      </c>
      <c r="C165" s="113" t="s">
        <v>24</v>
      </c>
      <c r="D165" s="113" t="s">
        <v>145</v>
      </c>
      <c r="E165" s="113" t="s">
        <v>300</v>
      </c>
      <c r="F165" s="14"/>
      <c r="G165" s="14"/>
      <c r="H165" s="21"/>
      <c r="I165" s="21"/>
      <c r="J165" s="14"/>
      <c r="K165" s="19"/>
      <c r="L165" s="51"/>
      <c r="M165" s="51"/>
      <c r="N165" s="51"/>
      <c r="O165" s="51"/>
      <c r="P165" s="51"/>
      <c r="Q165" s="47"/>
      <c r="R165" s="19"/>
      <c r="S165" s="112" t="s">
        <v>23</v>
      </c>
      <c r="T165" s="113" t="s">
        <v>24</v>
      </c>
      <c r="U165" s="113" t="s">
        <v>145</v>
      </c>
      <c r="V165" s="113" t="s">
        <v>300</v>
      </c>
      <c r="W165" s="14"/>
      <c r="X165" s="14"/>
      <c r="Y165" s="14"/>
      <c r="Z165" s="14"/>
      <c r="AA165" s="56"/>
      <c r="AB165" s="56"/>
      <c r="AC165" s="56"/>
      <c r="AD165" s="65"/>
      <c r="AE165" s="63"/>
      <c r="AF165" s="47"/>
      <c r="AG165" s="19"/>
      <c r="AH165" s="112" t="s">
        <v>23</v>
      </c>
      <c r="AI165" s="113" t="s">
        <v>24</v>
      </c>
      <c r="AJ165" s="113" t="s">
        <v>145</v>
      </c>
      <c r="AK165" s="113" t="s">
        <v>300</v>
      </c>
      <c r="AL165" s="14"/>
      <c r="AM165" s="14"/>
      <c r="AN165" s="14"/>
      <c r="AO165" s="14"/>
      <c r="AP165" s="56"/>
      <c r="AQ165" s="56"/>
      <c r="AR165" s="56"/>
      <c r="AS165" s="65"/>
      <c r="AT165" s="63"/>
      <c r="AU165" s="47"/>
      <c r="AV165" s="14"/>
      <c r="AW165" s="112" t="s">
        <v>23</v>
      </c>
      <c r="AX165" s="113" t="s">
        <v>24</v>
      </c>
      <c r="AY165" s="113" t="s">
        <v>145</v>
      </c>
      <c r="AZ165" s="113" t="s">
        <v>300</v>
      </c>
      <c r="BA165" s="14"/>
      <c r="BB165" s="14"/>
      <c r="BC165" s="14"/>
      <c r="BD165" s="14"/>
      <c r="BE165" s="56"/>
      <c r="BF165" s="56"/>
      <c r="BG165" s="56"/>
      <c r="BH165" s="65"/>
      <c r="BI165" s="63"/>
      <c r="BJ165" s="352"/>
      <c r="BK165" s="19"/>
      <c r="BL165" s="112" t="s">
        <v>23</v>
      </c>
      <c r="BM165" s="113" t="s">
        <v>24</v>
      </c>
      <c r="BN165" s="113" t="s">
        <v>145</v>
      </c>
      <c r="BO165" s="113" t="s">
        <v>300</v>
      </c>
      <c r="BP165" s="14"/>
      <c r="BQ165" s="14"/>
      <c r="BR165" s="14"/>
      <c r="BS165" s="14"/>
      <c r="BT165" s="56"/>
      <c r="BU165" s="56"/>
      <c r="BV165" s="56"/>
      <c r="BW165" s="65"/>
      <c r="BX165" s="63"/>
      <c r="BY165" s="352"/>
      <c r="BZ165" s="14"/>
      <c r="CA165" s="112" t="s">
        <v>23</v>
      </c>
      <c r="CB165" s="113" t="s">
        <v>145</v>
      </c>
      <c r="CC165" s="21"/>
      <c r="CD165" s="180"/>
      <c r="CE165" s="180"/>
      <c r="CF165" s="21"/>
      <c r="CG165" s="14"/>
      <c r="CH165" s="14"/>
      <c r="CI165" s="14"/>
      <c r="CJ165" s="14"/>
      <c r="CK165" s="14"/>
      <c r="CL165" s="14"/>
      <c r="CM165" s="14"/>
      <c r="CN165" s="14"/>
      <c r="CO165" s="129"/>
      <c r="CP165" s="17"/>
      <c r="CQ165" s="47"/>
      <c r="CR165" s="14"/>
      <c r="CS165" s="112" t="s">
        <v>23</v>
      </c>
      <c r="CT165" s="113" t="s">
        <v>145</v>
      </c>
      <c r="CU165" s="14"/>
      <c r="CV165" s="180"/>
      <c r="CW165" s="189"/>
      <c r="CX165" s="189"/>
      <c r="CY165" s="14"/>
      <c r="CZ165" s="14"/>
      <c r="DA165" s="14"/>
      <c r="DB165" s="14"/>
      <c r="DC165" s="14"/>
      <c r="DD165" s="14"/>
      <c r="DE165" s="14"/>
      <c r="DF165" s="14"/>
      <c r="DG165" s="129"/>
      <c r="DH165" s="17"/>
      <c r="DI165" s="47"/>
      <c r="DJ165" s="17"/>
      <c r="DK165" s="112" t="s">
        <v>23</v>
      </c>
      <c r="DL165" s="113" t="s">
        <v>24</v>
      </c>
      <c r="DM165" s="113" t="s">
        <v>145</v>
      </c>
      <c r="DN165" s="113" t="s">
        <v>300</v>
      </c>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row>
    <row r="166" spans="1:142" x14ac:dyDescent="0.25">
      <c r="A166" s="14"/>
      <c r="B166" s="57" t="s">
        <v>153</v>
      </c>
      <c r="C166" s="121" t="str">
        <f>IF(H185=0,"na",IF(COUNTIF(H180:H184,MAX(H180:H184))&gt;COUNTIF(G180:G184,"&lt;&gt;""")/2,"No clear choice of the most common response",INDEX(G180:G184,MATCH(MAX(H180:H184),H180:H184,0),1)))</f>
        <v>Definitely not</v>
      </c>
      <c r="D166" s="58">
        <f>COUNTIFS(S30_stakeholder_category,"PO",Response_Q173_7,"&lt;&gt;0")</f>
        <v>2</v>
      </c>
      <c r="E166" s="121">
        <f>COUNTIFS(S30_stakeholder_category,"PO",Response_Q173_7,"I don’t know")</f>
        <v>0</v>
      </c>
      <c r="F166" s="14"/>
      <c r="G166" s="14"/>
      <c r="H166" s="21"/>
      <c r="I166" s="21"/>
      <c r="J166" s="14"/>
      <c r="K166" s="19"/>
      <c r="L166" s="40"/>
      <c r="M166" s="40"/>
      <c r="N166" s="40"/>
      <c r="O166" s="40"/>
      <c r="P166" s="40"/>
      <c r="Q166" s="47"/>
      <c r="R166" s="19"/>
      <c r="S166" s="34" t="s">
        <v>153</v>
      </c>
      <c r="T166" s="37" t="str">
        <f>IF(Y187=0,"na",IF(COUNTIF(Y180:Y186,MAX(Y180:Y186))&gt;COUNTIF(X180:X186,"&lt;&gt;""")/2,"No clear choice of the most common response",INDEX(X180:X186,MATCH(MAX(Y180:Y186),Y180:Y186,0),1)))</f>
        <v>Very unlikely</v>
      </c>
      <c r="U166" s="33">
        <f>COUNTIFS(S30_stakeholder_category,"PO",Response_Q176_4,"&lt;&gt;0")</f>
        <v>2</v>
      </c>
      <c r="V166" s="37">
        <f>COUNTIFS(S30_stakeholder_category,"PO",Response_Q176_4,"I don’t know")</f>
        <v>0</v>
      </c>
      <c r="W166" s="14"/>
      <c r="X166" s="14"/>
      <c r="Y166" s="14"/>
      <c r="Z166" s="14"/>
      <c r="AA166" s="19"/>
      <c r="AB166" s="19"/>
      <c r="AC166" s="19"/>
      <c r="AD166" s="65"/>
      <c r="AE166" s="63"/>
      <c r="AF166" s="47"/>
      <c r="AG166" s="19"/>
      <c r="AH166" s="57" t="s">
        <v>153</v>
      </c>
      <c r="AI166" s="121" t="str">
        <f>IF(AN187=0,"na",IF(COUNTIF(AN180:AN186,MAX(AN180:AN186))&gt;COUNTIF(AM180:AM186,"&lt;&gt;""")/2,"No clear choice of the most common response",INDEX(AM180:AM186,MATCH(MAX(AN180:AN186),AN180:AN186,0),1)))</f>
        <v>Very unlikely</v>
      </c>
      <c r="AJ166" s="58">
        <f>COUNTIFS(S30_stakeholder_category,"PO",Response_30d_CaseA,"&lt;&gt;0")</f>
        <v>1</v>
      </c>
      <c r="AK166" s="121">
        <f>COUNTIFS(S30_stakeholder_category,"PO",Response_30d_CaseA,"I don’t know")</f>
        <v>0</v>
      </c>
      <c r="AL166" s="14"/>
      <c r="AM166" s="14"/>
      <c r="AN166" s="14"/>
      <c r="AO166" s="14"/>
      <c r="AP166" s="19"/>
      <c r="AQ166" s="19"/>
      <c r="AR166" s="19"/>
      <c r="AS166" s="65"/>
      <c r="AT166" s="63"/>
      <c r="AU166" s="47"/>
      <c r="AV166" s="14"/>
      <c r="AW166" s="57" t="s">
        <v>153</v>
      </c>
      <c r="AX166" s="121" t="str">
        <f>IF(BC187=0,"na",IF(COUNTIF(BC180:BC186,MAX(BC180:BC186))&gt;COUNTIF(BB180:BB186,"&lt;&gt;""")/2,"No clear choice of the most common response",INDEX(BB180:BB186,MATCH(MAX(BC180:BC186),BC180:BC186,0),1)))</f>
        <v>Very unlikely</v>
      </c>
      <c r="AY166" s="58">
        <f>COUNTIFS(S30_stakeholder_category,"PO",Response_30d_CaseB,"&lt;&gt;0")</f>
        <v>1</v>
      </c>
      <c r="AZ166" s="121">
        <f>COUNTIFS(S30_stakeholder_category,"PO",Response_30d_CaseB,"I don’t know")</f>
        <v>0</v>
      </c>
      <c r="BA166" s="14"/>
      <c r="BB166" s="14"/>
      <c r="BC166" s="14"/>
      <c r="BD166" s="14"/>
      <c r="BE166" s="19"/>
      <c r="BF166" s="19"/>
      <c r="BG166" s="19"/>
      <c r="BH166" s="65"/>
      <c r="BI166" s="63"/>
      <c r="BJ166" s="352"/>
      <c r="BK166" s="19"/>
      <c r="BL166" s="57" t="s">
        <v>153</v>
      </c>
      <c r="BM166" s="121" t="str">
        <f>IF(BR187=0,"na",IF(COUNTIF(BR180:BR186,MAX(BR180:BR186))&gt;COUNTIF(BQ180:BQ186,"&lt;&gt;""")/2,"No clear choice of the most common response",INDEX(BQ180:BQ186,MATCH(MAX(BR180:BR186),BR180:BR186,0),1)))</f>
        <v>Likely</v>
      </c>
      <c r="BN166" s="58">
        <f>COUNTIFS(S30_stakeholder_category,"PO",Response_30d_CaseC,"&lt;&gt;0")</f>
        <v>1</v>
      </c>
      <c r="BO166" s="121">
        <f>COUNTIFS(S30_stakeholder_category,"PO",Response_30d_CaseC,"I don’t know")</f>
        <v>0</v>
      </c>
      <c r="BP166" s="14"/>
      <c r="BQ166" s="14"/>
      <c r="BR166" s="14"/>
      <c r="BS166" s="14"/>
      <c r="BT166" s="19"/>
      <c r="BU166" s="19"/>
      <c r="BV166" s="19"/>
      <c r="BW166" s="65"/>
      <c r="BX166" s="63"/>
      <c r="BY166" s="352"/>
      <c r="BZ166" s="14"/>
      <c r="CA166" s="34" t="s">
        <v>153</v>
      </c>
      <c r="CB166" s="37">
        <f>MAX(SUM(CC172:CC178),SUM(CD172:CD178),SUM(CE172:CE178))</f>
        <v>3</v>
      </c>
      <c r="CC166" s="21"/>
      <c r="CD166" s="180"/>
      <c r="CE166" s="180"/>
      <c r="CF166" s="21"/>
      <c r="CG166" s="14"/>
      <c r="CH166" s="14"/>
      <c r="CI166" s="14"/>
      <c r="CJ166" s="14"/>
      <c r="CK166" s="14"/>
      <c r="CL166" s="14"/>
      <c r="CM166" s="14"/>
      <c r="CN166" s="14"/>
      <c r="CO166" s="129"/>
      <c r="CP166" s="29"/>
      <c r="CQ166" s="47"/>
      <c r="CR166" s="14"/>
      <c r="CS166" s="34" t="s">
        <v>153</v>
      </c>
      <c r="CT166" s="37">
        <f>MAX(SUM(CU172:CU178),SUM(CV172:CV178),SUM(CW172:CW178))</f>
        <v>1</v>
      </c>
      <c r="CU166" s="14"/>
      <c r="CV166" s="180"/>
      <c r="CW166" s="189"/>
      <c r="CX166" s="189"/>
      <c r="CY166" s="14"/>
      <c r="CZ166" s="14"/>
      <c r="DA166" s="14"/>
      <c r="DB166" s="14"/>
      <c r="DC166" s="14"/>
      <c r="DD166" s="14"/>
      <c r="DE166" s="14"/>
      <c r="DF166" s="14"/>
      <c r="DG166" s="129"/>
      <c r="DH166" s="29"/>
      <c r="DI166" s="47"/>
      <c r="DJ166" s="29"/>
      <c r="DK166" s="34" t="s">
        <v>153</v>
      </c>
      <c r="DL166" s="37" t="str">
        <f>IF(DQ185=0,"na",IF(COUNTIF(DQ180:DQ184,MAX(DQ180:DQ184))&gt;COUNTIF(DP180:DP184,"&lt;&gt;""")/2,"No clear choice of the most common response",INDEX(DP180:DP184,MATCH(MAX(DQ180:DQ184),DQ180:DQ184,0),1)))</f>
        <v>Most of the time</v>
      </c>
      <c r="DM166" s="33">
        <f>COUNTIFS(S30_stakeholder_category,"PO",Response_Q172_1,"&lt;&gt;0",Response_Q173_7,"&lt;&gt;0")</f>
        <v>2</v>
      </c>
      <c r="DN166" s="37">
        <f>DQ184</f>
        <v>0</v>
      </c>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row>
    <row r="167" spans="1:142" x14ac:dyDescent="0.25">
      <c r="A167" s="14"/>
      <c r="B167" s="57"/>
      <c r="C167" s="121" t="str">
        <f ca="1">IF(H185=0,"",IF(COUNTIF(H180:H184,MAX(H180:H184))=1,"",IF(COUNTIF(H180:H184,MAX(H180:H184))&gt;COUNTIF(G180:G184,"&lt;&gt;""")/2,"",INDEX(OFFSET(G180,MATCH(C166,G180:G185,0),0):G184,MATCH(MAX(H180:H184),OFFSET(H180,MATCH(C166,G180:G185,0),0):H184,0),1))))</f>
        <v>Sometimes</v>
      </c>
      <c r="D167" s="58"/>
      <c r="E167" s="121"/>
      <c r="F167" s="14"/>
      <c r="G167" s="14"/>
      <c r="H167" s="21"/>
      <c r="I167" s="21"/>
      <c r="J167" s="14"/>
      <c r="K167" s="19"/>
      <c r="L167" s="40"/>
      <c r="M167" s="40"/>
      <c r="N167" s="40"/>
      <c r="O167" s="40"/>
      <c r="P167" s="40"/>
      <c r="Q167" s="47"/>
      <c r="R167" s="19"/>
      <c r="S167" s="34"/>
      <c r="T167" s="37" t="str">
        <f ca="1">IF(Y187=0,"",IF(COUNTIF(Y180:Y186,MAX(Y180:Y186))=1,"",IF(COUNTIF(Y180:Y186,MAX(Y180:Y186))&gt;COUNTIF(X180:X186,"&lt;&gt;""")/2,"",INDEX(OFFSET(X180,MATCH(T166,X180:X186,0),0):X186,MATCH(MAX(Y180:Y186),OFFSET(Y180,MATCH(T166,X180:X186,0),0):Y186,0),1))))</f>
        <v>Likely</v>
      </c>
      <c r="U167" s="33"/>
      <c r="V167" s="37"/>
      <c r="W167" s="14"/>
      <c r="X167" s="14"/>
      <c r="Y167" s="14"/>
      <c r="Z167" s="14"/>
      <c r="AA167" s="19"/>
      <c r="AB167" s="19"/>
      <c r="AC167" s="19"/>
      <c r="AD167" s="65"/>
      <c r="AE167" s="63"/>
      <c r="AF167" s="47"/>
      <c r="AG167" s="19"/>
      <c r="AH167" s="57"/>
      <c r="AI167" s="121" t="str">
        <f ca="1">IF(AN187=0,"",IF(COUNTIF(AN180:AN186,MAX(AN180:AN186))=1,"",IF(COUNTIF(AN180:AN186,MAX(AN180:AN186))&gt;COUNTIF(AM180:AM186,"&lt;&gt;""")/2,"",INDEX(OFFSET(AM180,MATCH(AI166,AM180:AM186,0),0):AM186,MATCH(MAX(AN180:AN186),OFFSET(AN180,MATCH(AI166,AM180:AM186,0),0):AN186,0),1))))</f>
        <v/>
      </c>
      <c r="AJ167" s="58"/>
      <c r="AK167" s="121"/>
      <c r="AL167" s="14"/>
      <c r="AM167" s="14"/>
      <c r="AN167" s="14"/>
      <c r="AO167" s="14"/>
      <c r="AP167" s="19"/>
      <c r="AQ167" s="19"/>
      <c r="AR167" s="19"/>
      <c r="AS167" s="65"/>
      <c r="AT167" s="63"/>
      <c r="AU167" s="47"/>
      <c r="AV167" s="14"/>
      <c r="AW167" s="57"/>
      <c r="AX167" s="121" t="str">
        <f ca="1">IF(BC187=0,"",IF(COUNTIF(BC180:BC186,MAX(BC180:BC186))=1,"",IF(COUNTIF(BC180:BC186,MAX(BC180:BC186))&gt;COUNTIF(BB180:BB186,"&lt;&gt;""")/2,"",INDEX(OFFSET(BB180,MATCH(AX166,BB180:BB186,0),0):BB186,MATCH(MAX(BC180:BC186),OFFSET(BC180,MATCH(AX166,BB180:BB186,0),0):BC186,0),1))))</f>
        <v/>
      </c>
      <c r="AY167" s="58"/>
      <c r="AZ167" s="121"/>
      <c r="BA167" s="14"/>
      <c r="BB167" s="14"/>
      <c r="BC167" s="14"/>
      <c r="BD167" s="14"/>
      <c r="BE167" s="19"/>
      <c r="BF167" s="19"/>
      <c r="BG167" s="19"/>
      <c r="BH167" s="65"/>
      <c r="BI167" s="63"/>
      <c r="BJ167" s="352"/>
      <c r="BK167" s="19"/>
      <c r="BL167" s="57"/>
      <c r="BM167" s="121" t="str">
        <f ca="1">IF(BR187=0,"",IF(COUNTIF(BR180:BR186,MAX(BR180:BR186))=1,"",IF(COUNTIF(BR180:BR186,MAX(BR180:BR186))&gt;COUNTIF(BQ180:BQ186,"&lt;&gt;""")/2,"",INDEX(OFFSET(BQ180,MATCH(BM166,BQ180:BQ186,0),0):BQ186,MATCH(MAX(BR180:BR186),OFFSET(BR180,MATCH(BM166,BQ180:BQ186,0),0):BR186,0),1))))</f>
        <v/>
      </c>
      <c r="BN167" s="58"/>
      <c r="BO167" s="121"/>
      <c r="BP167" s="14"/>
      <c r="BQ167" s="14"/>
      <c r="BR167" s="14"/>
      <c r="BS167" s="14"/>
      <c r="BT167" s="19"/>
      <c r="BU167" s="19"/>
      <c r="BV167" s="19"/>
      <c r="BW167" s="65"/>
      <c r="BX167" s="63"/>
      <c r="BY167" s="352"/>
      <c r="BZ167" s="14"/>
      <c r="CA167" s="14"/>
      <c r="CB167" s="21"/>
      <c r="CC167" s="21"/>
      <c r="CD167" s="180"/>
      <c r="CE167" s="180"/>
      <c r="CF167" s="21"/>
      <c r="CG167" s="14"/>
      <c r="CH167" s="14"/>
      <c r="CI167" s="14"/>
      <c r="CJ167" s="14"/>
      <c r="CK167" s="14"/>
      <c r="CL167" s="14"/>
      <c r="CM167" s="14"/>
      <c r="CN167" s="14"/>
      <c r="CO167" s="129"/>
      <c r="CP167" s="29"/>
      <c r="CQ167" s="47"/>
      <c r="CR167" s="14"/>
      <c r="CS167" s="14"/>
      <c r="CT167" s="14"/>
      <c r="CU167" s="14"/>
      <c r="CV167" s="180"/>
      <c r="CW167" s="189"/>
      <c r="CX167" s="189"/>
      <c r="CY167" s="14"/>
      <c r="CZ167" s="14"/>
      <c r="DA167" s="14"/>
      <c r="DB167" s="14"/>
      <c r="DC167" s="14"/>
      <c r="DD167" s="14"/>
      <c r="DE167" s="14"/>
      <c r="DF167" s="14"/>
      <c r="DG167" s="129"/>
      <c r="DH167" s="29"/>
      <c r="DI167" s="47"/>
      <c r="DJ167" s="29"/>
      <c r="DK167" s="34"/>
      <c r="DL167" s="37" t="str">
        <f ca="1">IF(DQ185=0,"",IF(COUNTIF(DQ180:DQ184,MAX(DQ180:DQ184))=1,"",IF(COUNTIF(DQ180:DQ184,MAX(DQ180:DQ184))&gt;COUNTIF(DP180:DP184,"&lt;&gt;""")/2,"",INDEX(OFFSET(DP180,MATCH(DL166,DP180:DP185,0),0):DP184,MATCH(MAX(DQ180:DQ184),OFFSET(DQ180,MATCH(DL166,DP180:DP185,0),0):DQ184,0),1))))</f>
        <v>Yes, always</v>
      </c>
      <c r="DM167" s="33"/>
      <c r="DN167" s="37"/>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row>
    <row r="168" spans="1:142" x14ac:dyDescent="0.25">
      <c r="A168" s="14"/>
      <c r="B168" s="57"/>
      <c r="C168" s="121" t="str">
        <f ca="1" xml:space="preserve"> IF(H185=0,"", IF(COUNTIF(H180:H184,MAX(H180:H184))&lt;=2,"",IF(COUNTIF(H180:H184,MAX(H180:H184))&gt;COUNTIF(G180:G184,"&lt;&gt;""")/2,"", INDEX(OFFSET(G180,MATCH(C167,G180:G185,0),0):G184,         MATCH(MAX(H180:H184),        OFFSET(H180,MATCH(C167,G180:G185,0),0):H184,0),1))))</f>
        <v/>
      </c>
      <c r="D168" s="58"/>
      <c r="E168" s="121"/>
      <c r="F168" s="14"/>
      <c r="G168" s="14"/>
      <c r="H168" s="21"/>
      <c r="I168" s="21"/>
      <c r="J168" s="14"/>
      <c r="K168" s="19"/>
      <c r="L168" s="40"/>
      <c r="M168" s="40"/>
      <c r="N168" s="40"/>
      <c r="O168" s="40"/>
      <c r="P168" s="40"/>
      <c r="Q168" s="47"/>
      <c r="R168" s="19"/>
      <c r="S168" s="34"/>
      <c r="T168" s="121" t="str">
        <f ca="1" xml:space="preserve"> IF(Y187=0,"",IF(Y187=0,"", IF(COUNTIF(Y180:Y186,MAX(Y180:Y186))&lt;=2,"",IF(COUNTIF(Y180:Y186,MAX(Y180:Y186))&gt;COUNTIF(X180:X186,"&lt;&gt;""")/2,"", INDEX(OFFSET(X180,MATCH(T167,X180:X186,0),0):X186,         MATCH(MAX(Y180:Y186),        OFFSET(Y180,MATCH(T167,X180:X186,0),0):Y186,0),1)))))</f>
        <v/>
      </c>
      <c r="U168" s="33"/>
      <c r="V168" s="37"/>
      <c r="W168" s="14"/>
      <c r="X168" s="14"/>
      <c r="Y168" s="14"/>
      <c r="Z168" s="14"/>
      <c r="AA168" s="19"/>
      <c r="AB168" s="19"/>
      <c r="AC168" s="19"/>
      <c r="AD168" s="65"/>
      <c r="AE168" s="63"/>
      <c r="AF168" s="47"/>
      <c r="AG168" s="19"/>
      <c r="AH168" s="57"/>
      <c r="AI168" s="121" t="str">
        <f ca="1" xml:space="preserve"> IF(AN187=0,"",IF(AN187=0,"", IF(COUNTIF(AN180:AN186,MAX(AN180:AN186))&lt;=2,"",IF(COUNTIF(AN180:AN186,MAX(AN180:AN186))&gt;COUNTIF(AM180:AM186,"&lt;&gt;""")/2,"", INDEX(OFFSET(AM180,MATCH(AI167,AM180:AM186,0),0):AM186,         MATCH(MAX(AN180:AN186),        OFFSET(AN180,MATCH(AI167,AM180:AM186,0),0):AN186,0),1)))))</f>
        <v/>
      </c>
      <c r="AJ168" s="58"/>
      <c r="AK168" s="121"/>
      <c r="AL168" s="14"/>
      <c r="AM168" s="14"/>
      <c r="AN168" s="14"/>
      <c r="AO168" s="14"/>
      <c r="AP168" s="19"/>
      <c r="AQ168" s="19"/>
      <c r="AR168" s="19"/>
      <c r="AS168" s="65"/>
      <c r="AT168" s="63"/>
      <c r="AU168" s="47"/>
      <c r="AV168" s="14"/>
      <c r="AW168" s="57"/>
      <c r="AX168" s="121" t="str">
        <f ca="1" xml:space="preserve"> IF(BC187=0,"",IF(BC187=0,"", IF(COUNTIF(BC180:BC186,MAX(BC180:BC186))&lt;=2,"",IF(COUNTIF(BC180:BC186,MAX(BC180:BC186))&gt;COUNTIF(BB180:BB186,"&lt;&gt;""")/2,"", INDEX(OFFSET(BB180,MATCH(AX167,BB180:BB186,0),0):BB186,         MATCH(MAX(BC180:BC186),        OFFSET(BC180,MATCH(AX167,BB180:BB186,0),0):BC186,0),1)))))</f>
        <v/>
      </c>
      <c r="AY168" s="58"/>
      <c r="AZ168" s="121"/>
      <c r="BA168" s="14"/>
      <c r="BB168" s="14"/>
      <c r="BC168" s="14"/>
      <c r="BD168" s="14"/>
      <c r="BE168" s="19"/>
      <c r="BF168" s="19"/>
      <c r="BG168" s="19"/>
      <c r="BH168" s="65"/>
      <c r="BI168" s="63"/>
      <c r="BJ168" s="352"/>
      <c r="BK168" s="19"/>
      <c r="BL168" s="57"/>
      <c r="BM168" s="121" t="str">
        <f ca="1" xml:space="preserve"> IF(BR187=0,"",IF(BR187=0,"", IF(COUNTIF(BR180:BR186,MAX(BR180:BR186))&lt;=2,"",IF(COUNTIF(BR180:BR186,MAX(BR180:BR186))&gt;COUNTIF(BQ180:BQ186,"&lt;&gt;""")/2,"", INDEX(OFFSET(BQ180,MATCH(BM167,BQ180:BQ186,0),0):BQ186,         MATCH(MAX(BR180:BR186),        OFFSET(BR180,MATCH(BM167,BQ180:BQ186,0),0):BR186,0),1)))))</f>
        <v/>
      </c>
      <c r="BN168" s="58"/>
      <c r="BO168" s="121"/>
      <c r="BP168" s="14"/>
      <c r="BQ168" s="14"/>
      <c r="BR168" s="14"/>
      <c r="BS168" s="14"/>
      <c r="BT168" s="19"/>
      <c r="BU168" s="19"/>
      <c r="BV168" s="19"/>
      <c r="BW168" s="65"/>
      <c r="BX168" s="63"/>
      <c r="BY168" s="352"/>
      <c r="BZ168" s="14"/>
      <c r="CA168" s="14"/>
      <c r="CB168" s="21"/>
      <c r="CC168" s="21"/>
      <c r="CD168" s="180"/>
      <c r="CE168" s="180"/>
      <c r="CF168" s="21"/>
      <c r="CG168" s="14"/>
      <c r="CH168" s="14"/>
      <c r="CI168" s="14"/>
      <c r="CJ168" s="14"/>
      <c r="CK168" s="14"/>
      <c r="CL168" s="14"/>
      <c r="CM168" s="14"/>
      <c r="CN168" s="14"/>
      <c r="CO168" s="129"/>
      <c r="CP168" s="29"/>
      <c r="CQ168" s="47"/>
      <c r="CR168" s="14"/>
      <c r="CS168" s="14"/>
      <c r="CT168" s="14"/>
      <c r="CU168" s="14"/>
      <c r="CV168" s="180"/>
      <c r="CW168" s="189"/>
      <c r="CX168" s="189"/>
      <c r="CY168" s="14"/>
      <c r="CZ168" s="14"/>
      <c r="DA168" s="14"/>
      <c r="DB168" s="14"/>
      <c r="DC168" s="14"/>
      <c r="DD168" s="14"/>
      <c r="DE168" s="14"/>
      <c r="DF168" s="14"/>
      <c r="DG168" s="129"/>
      <c r="DH168" s="29"/>
      <c r="DI168" s="47"/>
      <c r="DJ168" s="29"/>
      <c r="DK168" s="34"/>
      <c r="DL168" s="37" t="str">
        <f ca="1">IF(DQ185=0,"",IF(COUNTIF(DQ180:DQ184,MAX(DQ180:DQ184))&lt;=2,"",IF(COUNTIF(DQ180:DQ184,MAX(DQ180:DQ184))&gt;COUNTIF(DP180:DP184,"&lt;&gt;""")/2,"",INDEX(OFFSET(DP180,MATCH(DL167,DP180:DP185,0),0):DP184,MATCH(MAX(DQ180:DQ184),OFFSET(DQ180,MATCH(DL167,DP180:DP185,0),0):DQ184,0),1))))</f>
        <v/>
      </c>
      <c r="DM168" s="33"/>
      <c r="DN168" s="37"/>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row>
    <row r="169" spans="1:142" x14ac:dyDescent="0.25">
      <c r="A169" s="14"/>
      <c r="B169" s="14"/>
      <c r="C169" s="14"/>
      <c r="D169" s="27"/>
      <c r="E169" s="14"/>
      <c r="F169" s="14"/>
      <c r="G169" s="14"/>
      <c r="H169" s="21"/>
      <c r="I169" s="21"/>
      <c r="J169" s="14"/>
      <c r="K169" s="19"/>
      <c r="L169" s="40"/>
      <c r="M169" s="40"/>
      <c r="N169" s="40"/>
      <c r="O169" s="40"/>
      <c r="P169" s="40"/>
      <c r="Q169" s="47"/>
      <c r="R169" s="19"/>
      <c r="S169" s="19"/>
      <c r="T169" s="19"/>
      <c r="U169" s="19"/>
      <c r="V169" s="19"/>
      <c r="W169" s="14"/>
      <c r="X169" s="14"/>
      <c r="Y169" s="14"/>
      <c r="Z169" s="14"/>
      <c r="AA169" s="19"/>
      <c r="AB169" s="19"/>
      <c r="AC169" s="19"/>
      <c r="AD169" s="65"/>
      <c r="AE169" s="63"/>
      <c r="AF169" s="47"/>
      <c r="AG169" s="19"/>
      <c r="AH169" s="19"/>
      <c r="AI169" s="19"/>
      <c r="AJ169" s="19"/>
      <c r="AK169" s="19"/>
      <c r="AL169" s="14"/>
      <c r="AM169" s="14"/>
      <c r="AN169" s="14"/>
      <c r="AO169" s="14"/>
      <c r="AP169" s="19"/>
      <c r="AQ169" s="19"/>
      <c r="AR169" s="19"/>
      <c r="AS169" s="65"/>
      <c r="AT169" s="63"/>
      <c r="AU169" s="47"/>
      <c r="AV169" s="14"/>
      <c r="AW169" s="19"/>
      <c r="AX169" s="19"/>
      <c r="AY169" s="19"/>
      <c r="AZ169" s="19"/>
      <c r="BA169" s="14"/>
      <c r="BB169" s="14"/>
      <c r="BC169" s="14"/>
      <c r="BD169" s="14"/>
      <c r="BE169" s="19"/>
      <c r="BF169" s="19"/>
      <c r="BG169" s="19"/>
      <c r="BH169" s="65"/>
      <c r="BI169" s="63"/>
      <c r="BJ169" s="352"/>
      <c r="BK169" s="19"/>
      <c r="BL169" s="19"/>
      <c r="BM169" s="19"/>
      <c r="BN169" s="19"/>
      <c r="BO169" s="19"/>
      <c r="BP169" s="14"/>
      <c r="BQ169" s="14"/>
      <c r="BR169" s="14"/>
      <c r="BS169" s="14"/>
      <c r="BT169" s="19"/>
      <c r="BU169" s="19"/>
      <c r="BV169" s="19"/>
      <c r="BW169" s="65"/>
      <c r="BX169" s="63"/>
      <c r="BY169" s="352"/>
      <c r="BZ169" s="14"/>
      <c r="CA169" s="14"/>
      <c r="CB169" s="21"/>
      <c r="CC169" s="21"/>
      <c r="CD169" s="180"/>
      <c r="CE169" s="180"/>
      <c r="CF169" s="21"/>
      <c r="CG169" s="14"/>
      <c r="CH169" s="14"/>
      <c r="CI169" s="14"/>
      <c r="CJ169" s="14"/>
      <c r="CK169" s="14"/>
      <c r="CL169" s="14"/>
      <c r="CM169" s="14"/>
      <c r="CN169" s="14"/>
      <c r="CO169" s="129"/>
      <c r="CP169" s="29"/>
      <c r="CQ169" s="47"/>
      <c r="CR169" s="14"/>
      <c r="CS169" s="14"/>
      <c r="CT169" s="14"/>
      <c r="CU169" s="14"/>
      <c r="CV169" s="180"/>
      <c r="CW169" s="189"/>
      <c r="CX169" s="189"/>
      <c r="CY169" s="14"/>
      <c r="CZ169" s="14"/>
      <c r="DA169" s="14"/>
      <c r="DB169" s="14"/>
      <c r="DC169" s="14"/>
      <c r="DD169" s="14"/>
      <c r="DE169" s="14"/>
      <c r="DF169" s="14"/>
      <c r="DG169" s="129"/>
      <c r="DH169" s="29"/>
      <c r="DI169" s="47"/>
      <c r="DJ169" s="29"/>
      <c r="DK169" s="14"/>
      <c r="DL169" s="14"/>
      <c r="DM169" s="27"/>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row>
    <row r="170" spans="1:142" x14ac:dyDescent="0.25">
      <c r="A170" s="14"/>
      <c r="B170" s="14"/>
      <c r="C170" s="14"/>
      <c r="D170" s="27"/>
      <c r="E170" s="14"/>
      <c r="F170" s="14"/>
      <c r="G170" s="14"/>
      <c r="H170" s="21"/>
      <c r="I170" s="21"/>
      <c r="J170" s="14"/>
      <c r="K170" s="19"/>
      <c r="L170" s="40"/>
      <c r="M170" s="40"/>
      <c r="N170" s="40"/>
      <c r="O170" s="40"/>
      <c r="P170" s="40"/>
      <c r="Q170" s="47"/>
      <c r="R170" s="19"/>
      <c r="S170" s="19"/>
      <c r="T170" s="19"/>
      <c r="U170" s="19"/>
      <c r="V170" s="19"/>
      <c r="W170" s="14"/>
      <c r="X170" s="14"/>
      <c r="Y170" s="14"/>
      <c r="Z170" s="14"/>
      <c r="AA170" s="19"/>
      <c r="AB170" s="19"/>
      <c r="AC170" s="19"/>
      <c r="AD170" s="65"/>
      <c r="AE170" s="63"/>
      <c r="AF170" s="47"/>
      <c r="AG170" s="19"/>
      <c r="AH170" s="19"/>
      <c r="AI170" s="19"/>
      <c r="AJ170" s="19"/>
      <c r="AK170" s="19"/>
      <c r="AL170" s="14"/>
      <c r="AM170" s="14"/>
      <c r="AN170" s="14"/>
      <c r="AO170" s="14"/>
      <c r="AP170" s="19"/>
      <c r="AQ170" s="19"/>
      <c r="AR170" s="19"/>
      <c r="AS170" s="65"/>
      <c r="AT170" s="63"/>
      <c r="AU170" s="47"/>
      <c r="AV170" s="14"/>
      <c r="AW170" s="19"/>
      <c r="AX170" s="19"/>
      <c r="AY170" s="19"/>
      <c r="AZ170" s="19"/>
      <c r="BA170" s="14"/>
      <c r="BB170" s="14"/>
      <c r="BC170" s="14"/>
      <c r="BD170" s="14"/>
      <c r="BE170" s="19"/>
      <c r="BF170" s="19"/>
      <c r="BG170" s="19"/>
      <c r="BH170" s="65"/>
      <c r="BI170" s="63"/>
      <c r="BJ170" s="352"/>
      <c r="BK170" s="19"/>
      <c r="BL170" s="19"/>
      <c r="BM170" s="19"/>
      <c r="BN170" s="19"/>
      <c r="BO170" s="19"/>
      <c r="BP170" s="14"/>
      <c r="BQ170" s="14"/>
      <c r="BR170" s="14"/>
      <c r="BS170" s="14"/>
      <c r="BT170" s="19"/>
      <c r="BU170" s="19"/>
      <c r="BV170" s="19"/>
      <c r="BW170" s="65"/>
      <c r="BX170" s="63"/>
      <c r="BY170" s="352"/>
      <c r="BZ170" s="14"/>
      <c r="CA170" s="14"/>
      <c r="CB170" s="21"/>
      <c r="CC170" s="21"/>
      <c r="CD170" s="180"/>
      <c r="CE170" s="180"/>
      <c r="CF170" s="21"/>
      <c r="CG170" s="14"/>
      <c r="CH170" s="14"/>
      <c r="CI170" s="14"/>
      <c r="CJ170" s="14"/>
      <c r="CK170" s="14"/>
      <c r="CL170" s="14"/>
      <c r="CM170" s="14"/>
      <c r="CN170" s="14"/>
      <c r="CO170" s="129"/>
      <c r="CP170" s="29"/>
      <c r="CQ170" s="47"/>
      <c r="CR170" s="14"/>
      <c r="CS170" s="14"/>
      <c r="CT170" s="14"/>
      <c r="CU170" s="14"/>
      <c r="CV170" s="180"/>
      <c r="CW170" s="189"/>
      <c r="CX170" s="189"/>
      <c r="CY170" s="14"/>
      <c r="CZ170" s="14"/>
      <c r="DA170" s="14"/>
      <c r="DB170" s="14"/>
      <c r="DC170" s="14"/>
      <c r="DD170" s="14"/>
      <c r="DE170" s="14"/>
      <c r="DF170" s="14"/>
      <c r="DG170" s="129"/>
      <c r="DH170" s="29"/>
      <c r="DI170" s="47"/>
      <c r="DJ170" s="29"/>
      <c r="DK170" s="14"/>
      <c r="DL170" s="14"/>
      <c r="DM170" s="27"/>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row>
    <row r="171" spans="1:142" ht="27.6" x14ac:dyDescent="0.25">
      <c r="A171" s="14"/>
      <c r="B171" s="14"/>
      <c r="C171" s="14"/>
      <c r="D171" s="27"/>
      <c r="E171" s="14"/>
      <c r="F171" s="14"/>
      <c r="G171" s="14"/>
      <c r="H171" s="21"/>
      <c r="I171" s="21"/>
      <c r="J171" s="14"/>
      <c r="K171" s="19"/>
      <c r="L171" s="40"/>
      <c r="M171" s="40"/>
      <c r="N171" s="40"/>
      <c r="O171" s="40"/>
      <c r="P171" s="40"/>
      <c r="Q171" s="47"/>
      <c r="R171" s="19"/>
      <c r="S171" s="19"/>
      <c r="T171" s="19"/>
      <c r="U171" s="19"/>
      <c r="V171" s="19"/>
      <c r="W171" s="14"/>
      <c r="X171" s="14"/>
      <c r="Y171" s="14"/>
      <c r="Z171" s="14"/>
      <c r="AA171" s="19"/>
      <c r="AB171" s="19"/>
      <c r="AC171" s="19"/>
      <c r="AD171" s="65"/>
      <c r="AE171" s="63"/>
      <c r="AF171" s="47"/>
      <c r="AG171" s="19"/>
      <c r="AH171" s="19"/>
      <c r="AI171" s="19"/>
      <c r="AJ171" s="19"/>
      <c r="AK171" s="19"/>
      <c r="AL171" s="14"/>
      <c r="AM171" s="14"/>
      <c r="AN171" s="14"/>
      <c r="AO171" s="14"/>
      <c r="AP171" s="19"/>
      <c r="AQ171" s="19"/>
      <c r="AR171" s="19"/>
      <c r="AS171" s="65"/>
      <c r="AT171" s="63"/>
      <c r="AU171" s="47"/>
      <c r="AV171" s="14"/>
      <c r="AW171" s="19"/>
      <c r="AX171" s="19"/>
      <c r="AY171" s="19"/>
      <c r="AZ171" s="19"/>
      <c r="BA171" s="14"/>
      <c r="BB171" s="14"/>
      <c r="BC171" s="14"/>
      <c r="BD171" s="14"/>
      <c r="BE171" s="19"/>
      <c r="BF171" s="19"/>
      <c r="BG171" s="19"/>
      <c r="BH171" s="65"/>
      <c r="BI171" s="63"/>
      <c r="BJ171" s="352"/>
      <c r="BK171" s="19"/>
      <c r="BL171" s="19"/>
      <c r="BM171" s="19"/>
      <c r="BN171" s="19"/>
      <c r="BO171" s="19"/>
      <c r="BP171" s="14"/>
      <c r="BQ171" s="14"/>
      <c r="BR171" s="14"/>
      <c r="BS171" s="14"/>
      <c r="BT171" s="19"/>
      <c r="BU171" s="19"/>
      <c r="BV171" s="19"/>
      <c r="BW171" s="65"/>
      <c r="BX171" s="63"/>
      <c r="BY171" s="352"/>
      <c r="BZ171" s="14"/>
      <c r="CA171" s="109" t="s">
        <v>14</v>
      </c>
      <c r="CB171" s="110" t="s">
        <v>164</v>
      </c>
      <c r="CC171" s="110" t="s">
        <v>149</v>
      </c>
      <c r="CD171" s="184" t="s">
        <v>150</v>
      </c>
      <c r="CE171" s="184" t="s">
        <v>151</v>
      </c>
      <c r="CF171" s="110" t="s">
        <v>152</v>
      </c>
      <c r="CG171" s="14"/>
      <c r="CH171" s="109"/>
      <c r="CI171" s="110" t="s">
        <v>5</v>
      </c>
      <c r="CJ171" s="110" t="s">
        <v>4</v>
      </c>
      <c r="CK171" s="110" t="s">
        <v>33</v>
      </c>
      <c r="CL171" s="110" t="s">
        <v>29</v>
      </c>
      <c r="CM171" s="110" t="s">
        <v>3</v>
      </c>
      <c r="CN171" s="110" t="s">
        <v>54</v>
      </c>
      <c r="CO171" s="328" t="s">
        <v>160</v>
      </c>
      <c r="CP171" s="29"/>
      <c r="CQ171" s="47"/>
      <c r="CR171" s="14"/>
      <c r="CS171" s="109" t="s">
        <v>14</v>
      </c>
      <c r="CT171" s="110" t="s">
        <v>164</v>
      </c>
      <c r="CU171" s="110" t="s">
        <v>149</v>
      </c>
      <c r="CV171" s="184" t="s">
        <v>150</v>
      </c>
      <c r="CW171" s="184" t="s">
        <v>151</v>
      </c>
      <c r="CX171" s="194" t="s">
        <v>152</v>
      </c>
      <c r="CY171" s="14"/>
      <c r="CZ171" s="109" t="s">
        <v>14</v>
      </c>
      <c r="DA171" s="110" t="s">
        <v>5</v>
      </c>
      <c r="DB171" s="110" t="s">
        <v>4</v>
      </c>
      <c r="DC171" s="110" t="s">
        <v>33</v>
      </c>
      <c r="DD171" s="110" t="s">
        <v>29</v>
      </c>
      <c r="DE171" s="110" t="s">
        <v>3</v>
      </c>
      <c r="DF171" s="110" t="s">
        <v>54</v>
      </c>
      <c r="DG171" s="328" t="s">
        <v>160</v>
      </c>
      <c r="DH171" s="29"/>
      <c r="DI171" s="47"/>
      <c r="DJ171" s="29"/>
      <c r="DK171" s="19"/>
      <c r="DL171" s="19"/>
      <c r="DM171" s="27"/>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row>
    <row r="172" spans="1:142" x14ac:dyDescent="0.25">
      <c r="A172" s="14"/>
      <c r="B172" s="14"/>
      <c r="C172" s="14"/>
      <c r="D172" s="21"/>
      <c r="E172" s="14"/>
      <c r="F172" s="14"/>
      <c r="G172" s="14"/>
      <c r="H172" s="21"/>
      <c r="I172" s="21"/>
      <c r="J172" s="14"/>
      <c r="K172" s="19"/>
      <c r="L172" s="14"/>
      <c r="M172" s="14"/>
      <c r="N172" s="14"/>
      <c r="O172" s="14"/>
      <c r="P172" s="14"/>
      <c r="Q172" s="47"/>
      <c r="R172" s="19"/>
      <c r="S172" s="19"/>
      <c r="T172" s="19"/>
      <c r="U172" s="19"/>
      <c r="V172" s="19"/>
      <c r="W172" s="14"/>
      <c r="X172" s="14"/>
      <c r="Y172" s="14"/>
      <c r="Z172" s="14"/>
      <c r="AA172" s="19"/>
      <c r="AB172" s="19"/>
      <c r="AC172" s="19"/>
      <c r="AD172" s="65"/>
      <c r="AE172" s="63"/>
      <c r="AF172" s="47"/>
      <c r="AG172" s="19"/>
      <c r="AH172" s="19"/>
      <c r="AI172" s="19"/>
      <c r="AJ172" s="19"/>
      <c r="AK172" s="19"/>
      <c r="AL172" s="14"/>
      <c r="AM172" s="14"/>
      <c r="AN172" s="14"/>
      <c r="AO172" s="14"/>
      <c r="AP172" s="19"/>
      <c r="AQ172" s="19"/>
      <c r="AR172" s="19"/>
      <c r="AS172" s="65"/>
      <c r="AT172" s="63"/>
      <c r="AU172" s="47"/>
      <c r="AV172" s="14"/>
      <c r="AW172" s="19"/>
      <c r="AX172" s="19"/>
      <c r="AY172" s="19"/>
      <c r="AZ172" s="19"/>
      <c r="BA172" s="14"/>
      <c r="BB172" s="14"/>
      <c r="BC172" s="14"/>
      <c r="BD172" s="14"/>
      <c r="BE172" s="19"/>
      <c r="BF172" s="19"/>
      <c r="BG172" s="19"/>
      <c r="BH172" s="65"/>
      <c r="BI172" s="63"/>
      <c r="BJ172" s="352"/>
      <c r="BK172" s="19"/>
      <c r="BL172" s="19"/>
      <c r="BM172" s="19"/>
      <c r="BN172" s="19"/>
      <c r="BO172" s="19"/>
      <c r="BP172" s="14"/>
      <c r="BQ172" s="14"/>
      <c r="BR172" s="14"/>
      <c r="BS172" s="14"/>
      <c r="BT172" s="19"/>
      <c r="BU172" s="19"/>
      <c r="BV172" s="19"/>
      <c r="BW172" s="65"/>
      <c r="BX172" s="63"/>
      <c r="BY172" s="352"/>
      <c r="BZ172" s="14"/>
      <c r="CA172" s="140" t="s">
        <v>701</v>
      </c>
      <c r="CB172" s="27">
        <f>COUNTIFS(S30_stakeholder_category,"PO",Response_Q177_1,"&lt;&gt;0",Response_Q173_7,"&lt;&gt;0")</f>
        <v>2</v>
      </c>
      <c r="CC172" s="37">
        <f>COUNTIFS(S30_stakeholder_category,"PO",Response_Q177_1,1,Response_Q173_7,"&lt;&gt;""0")</f>
        <v>2</v>
      </c>
      <c r="CD172" s="37">
        <f>COUNTIFS(S30_stakeholder_category,"PO",Response_Q177_1,2,Response_Q173_7,"&lt;&gt;""0")</f>
        <v>1</v>
      </c>
      <c r="CE172" s="37">
        <f>COUNTIFS(S30_stakeholder_category,"PO",Response_Q177_1,3,Response_Q173_7,"&lt;&gt;""0")</f>
        <v>1</v>
      </c>
      <c r="CF172" s="97">
        <f>IF(CB166=0,0,SUMPRODUCT(CC172:CE172,Rank_score)/$CB166)</f>
        <v>3</v>
      </c>
      <c r="CG172" s="14"/>
      <c r="CH172" s="140" t="s">
        <v>701</v>
      </c>
      <c r="CI172" s="27">
        <f t="shared" ref="CI172:CN172" si="115">COUNTIFS(S30_stakeholder_category,"PO",Response_Q177_1,"&lt;&gt;0",Response_Q177_2,CI$63,Response_Q173_7,"&lt;&gt;0")</f>
        <v>0</v>
      </c>
      <c r="CJ172" s="27">
        <f t="shared" si="115"/>
        <v>1</v>
      </c>
      <c r="CK172" s="27">
        <f t="shared" si="115"/>
        <v>0</v>
      </c>
      <c r="CL172" s="27">
        <f t="shared" si="115"/>
        <v>0</v>
      </c>
      <c r="CM172" s="27">
        <f t="shared" si="115"/>
        <v>0</v>
      </c>
      <c r="CN172" s="27">
        <f t="shared" si="115"/>
        <v>0</v>
      </c>
      <c r="CO172" s="141">
        <f t="shared" ref="CO172:CO178" si="116">IF(ISBLANK(CH172),"",IF(CF172=0,not_ranked,IF(SUM(CI172:CN172)=0,not_estimated,IFERROR(SUMPRODUCT(CI172:CN172,Likekihood_score)/SUM(CI172:CN172),0))))</f>
        <v>2</v>
      </c>
      <c r="CP172" s="29"/>
      <c r="CQ172" s="47"/>
      <c r="CR172" s="14"/>
      <c r="CS172" s="140" t="s">
        <v>373</v>
      </c>
      <c r="CT172" s="27">
        <f>COUNTIFS(S30_stakeholder_category,"PO",Response_Q178_1,"&lt;&gt;0",Response_Q173_7,"&lt;&gt;0")</f>
        <v>1</v>
      </c>
      <c r="CU172" s="37">
        <f>COUNTIFS(S30_stakeholder_category,"PO",Response_Q178_1,1,Response_Q173_7,"&lt;&gt;0")</f>
        <v>1</v>
      </c>
      <c r="CV172" s="37">
        <f>COUNTIFS(S30_stakeholder_category,"PO",Response_Q178_1,2,Response_Q173_7,"&lt;&gt;0")</f>
        <v>0</v>
      </c>
      <c r="CW172" s="37">
        <f>COUNTIFS(S30_stakeholder_category,"PO",Response_Q178_1,3,Response_Q173_7,"&lt;&gt;0")</f>
        <v>0</v>
      </c>
      <c r="CX172" s="37">
        <f>IF(CT166=0,0,SUMPRODUCT(CU172:CW172,Rank_score)/CT$58)</f>
        <v>1</v>
      </c>
      <c r="CY172" s="14"/>
      <c r="CZ172" s="140" t="s">
        <v>373</v>
      </c>
      <c r="DA172" s="27">
        <f t="shared" ref="DA172:DF172" si="117">COUNTIFS(S30_stakeholder_category,"PO",Response_Q178_1,"&lt;&gt;0",Response_Q178_2,DA$63,Response_Q173_7,"&lt;&gt;0")</f>
        <v>0</v>
      </c>
      <c r="DB172" s="27">
        <f t="shared" si="117"/>
        <v>0</v>
      </c>
      <c r="DC172" s="27">
        <f t="shared" si="117"/>
        <v>0</v>
      </c>
      <c r="DD172" s="27">
        <f t="shared" si="117"/>
        <v>0</v>
      </c>
      <c r="DE172" s="27">
        <f t="shared" si="117"/>
        <v>1</v>
      </c>
      <c r="DF172" s="27">
        <f t="shared" si="117"/>
        <v>0</v>
      </c>
      <c r="DG172" s="141">
        <f t="shared" ref="DG172:DG179" si="118">IF(ISBLANK(CZ172),"",IF(CX172=0,not_ranked,IF(SUM(DA172:DF172)=0,not_estimated,IFERROR(SUMPRODUCT(DA172:DF172,Likekihood_score)/SUM(DA172:DF172),0))))</f>
        <v>5</v>
      </c>
      <c r="DH172" s="29"/>
      <c r="DI172" s="47"/>
      <c r="DJ172" s="29"/>
      <c r="DK172" s="19"/>
      <c r="DL172" s="19"/>
      <c r="DM172" s="14"/>
      <c r="DN172" s="14"/>
      <c r="DO172" s="14"/>
      <c r="DP172" s="14"/>
      <c r="DQ172" s="14"/>
      <c r="DR172" s="13"/>
      <c r="DS172" s="13"/>
      <c r="DT172" s="14"/>
      <c r="DU172" s="14"/>
      <c r="DV172" s="14"/>
      <c r="DW172" s="14"/>
      <c r="DX172" s="14"/>
      <c r="DY172" s="14"/>
      <c r="DZ172" s="14"/>
      <c r="EA172" s="14"/>
      <c r="EB172" s="14"/>
      <c r="EC172" s="14"/>
      <c r="ED172" s="14"/>
      <c r="EE172" s="14"/>
      <c r="EF172" s="14"/>
      <c r="EG172" s="14"/>
      <c r="EH172" s="14"/>
      <c r="EI172" s="14"/>
      <c r="EJ172" s="14"/>
      <c r="EK172" s="14"/>
      <c r="EL172" s="14"/>
    </row>
    <row r="173" spans="1:142" ht="14.4" x14ac:dyDescent="0.25">
      <c r="A173" s="14"/>
      <c r="B173" s="60"/>
      <c r="C173" s="19"/>
      <c r="D173" s="59"/>
      <c r="E173" s="14"/>
      <c r="F173" s="14"/>
      <c r="G173" s="14"/>
      <c r="H173" s="21"/>
      <c r="I173" s="21"/>
      <c r="J173" s="14"/>
      <c r="K173" s="14"/>
      <c r="L173" s="14"/>
      <c r="M173" s="14"/>
      <c r="N173" s="14"/>
      <c r="O173" s="14"/>
      <c r="P173" s="14"/>
      <c r="Q173" s="47"/>
      <c r="R173" s="19"/>
      <c r="S173" s="19"/>
      <c r="T173" s="19"/>
      <c r="U173" s="19"/>
      <c r="V173" s="19"/>
      <c r="W173" s="14"/>
      <c r="X173" s="14"/>
      <c r="Y173" s="14"/>
      <c r="Z173" s="14"/>
      <c r="AA173" s="19"/>
      <c r="AB173" s="19"/>
      <c r="AC173" s="19"/>
      <c r="AD173" s="65"/>
      <c r="AE173" s="63"/>
      <c r="AF173" s="47"/>
      <c r="AG173" s="19"/>
      <c r="AH173" s="19"/>
      <c r="AI173" s="19"/>
      <c r="AJ173" s="19"/>
      <c r="AK173" s="19"/>
      <c r="AL173" s="14"/>
      <c r="AM173" s="14"/>
      <c r="AN173" s="14"/>
      <c r="AO173" s="14"/>
      <c r="AP173" s="19"/>
      <c r="AQ173" s="19"/>
      <c r="AR173" s="19"/>
      <c r="AS173" s="65"/>
      <c r="AT173" s="63"/>
      <c r="AU173" s="47"/>
      <c r="AV173" s="14"/>
      <c r="AW173" s="19"/>
      <c r="AX173" s="19"/>
      <c r="AY173" s="19"/>
      <c r="AZ173" s="19"/>
      <c r="BA173" s="14"/>
      <c r="BB173" s="14"/>
      <c r="BC173" s="14"/>
      <c r="BD173" s="14"/>
      <c r="BE173" s="19"/>
      <c r="BF173" s="19"/>
      <c r="BG173" s="19"/>
      <c r="BH173" s="65"/>
      <c r="BI173" s="63"/>
      <c r="BJ173" s="352"/>
      <c r="BK173" s="19"/>
      <c r="BL173" s="19"/>
      <c r="BM173" s="19"/>
      <c r="BN173" s="19"/>
      <c r="BO173" s="19"/>
      <c r="BP173" s="14"/>
      <c r="BQ173" s="14"/>
      <c r="BR173" s="14"/>
      <c r="BS173" s="14"/>
      <c r="BT173" s="19"/>
      <c r="BU173" s="19"/>
      <c r="BV173" s="19"/>
      <c r="BW173" s="65"/>
      <c r="BX173" s="63"/>
      <c r="BY173" s="352"/>
      <c r="BZ173" s="14"/>
      <c r="CA173" s="140" t="s">
        <v>344</v>
      </c>
      <c r="CB173" s="27">
        <f>COUNTIFS(S30_stakeholder_category,"PO",Response_Q177_3,"&lt;&gt;0",Response_Q173_7,"&lt;&gt;0")</f>
        <v>1</v>
      </c>
      <c r="CC173" s="37">
        <f>COUNTIFS(S30_stakeholder_category,"PO",Response_Q177_3,1,Response_Q173_7,"&lt;&gt;0")</f>
        <v>0</v>
      </c>
      <c r="CD173" s="37">
        <f>COUNTIFS(S30_stakeholder_category,"PO",Response_Q177_3,2,Response_Q173_7,"&lt;&gt;0")</f>
        <v>1</v>
      </c>
      <c r="CE173" s="37">
        <f>COUNTIFS(S30_stakeholder_category,"PO",Response_Q177_3,3,Response_Q173_7,"&lt;&gt;0")</f>
        <v>0</v>
      </c>
      <c r="CF173" s="97">
        <f>IF(CB166=0,0,SUMPRODUCT(CC173:CE173,Rank_score)/$CB166)</f>
        <v>0.66666666666666663</v>
      </c>
      <c r="CG173" s="14"/>
      <c r="CH173" s="140" t="s">
        <v>344</v>
      </c>
      <c r="CI173" s="27">
        <f t="shared" ref="CI173:CN173" si="119">COUNTIFS(S30_stakeholder_category,"PO",Response_Q177_3,"&lt;&gt;0",Response_Q177_4,CI$63,Response_Q173_7,"&lt;&gt;0")</f>
        <v>0</v>
      </c>
      <c r="CJ173" s="27">
        <f t="shared" si="119"/>
        <v>0</v>
      </c>
      <c r="CK173" s="27">
        <f t="shared" si="119"/>
        <v>1</v>
      </c>
      <c r="CL173" s="27">
        <f t="shared" si="119"/>
        <v>0</v>
      </c>
      <c r="CM173" s="27">
        <f t="shared" si="119"/>
        <v>0</v>
      </c>
      <c r="CN173" s="27">
        <f t="shared" si="119"/>
        <v>0</v>
      </c>
      <c r="CO173" s="141">
        <f t="shared" si="116"/>
        <v>3</v>
      </c>
      <c r="CP173" s="14"/>
      <c r="CQ173" s="47"/>
      <c r="CR173" s="14"/>
      <c r="CS173" s="140" t="s">
        <v>338</v>
      </c>
      <c r="CT173" s="27">
        <f>COUNTIFS(S30_stakeholder_category,"PO",Response_Q178_3,"&lt;&gt;0",Response_Q173_7,"&lt;&gt;0")</f>
        <v>1</v>
      </c>
      <c r="CU173" s="37">
        <f>COUNTIFS(S30_stakeholder_category,"PO",Response_Q178_3,1,Response_Q173_7,"&lt;&gt;0")</f>
        <v>0</v>
      </c>
      <c r="CV173" s="37">
        <f>COUNTIFS(S30_stakeholder_category,"PO",Response_Q178_3,2,Response_Q173_7,"&lt;&gt;0")</f>
        <v>0</v>
      </c>
      <c r="CW173" s="37">
        <f>COUNTIFS(S30_stakeholder_category,"PO",Response_Q178_3,3,Response_Q173_7,"&lt;&gt;0")</f>
        <v>1</v>
      </c>
      <c r="CX173" s="37">
        <f>IF(CT166=0,0,SUMPRODUCT(CU173:CW173,Rank_score)/CT$58)</f>
        <v>0.33333333333333331</v>
      </c>
      <c r="CY173" s="14"/>
      <c r="CZ173" s="140" t="s">
        <v>338</v>
      </c>
      <c r="DA173" s="27">
        <f t="shared" ref="DA173:DF173" si="120">COUNTIFS(S30_stakeholder_category,"PO",Response_Q178_3,"&lt;&gt;0",Response_Q178_4,DA$63,Response_Q173_7,"&lt;&gt;0")</f>
        <v>1</v>
      </c>
      <c r="DB173" s="27">
        <f t="shared" si="120"/>
        <v>0</v>
      </c>
      <c r="DC173" s="27">
        <f t="shared" si="120"/>
        <v>0</v>
      </c>
      <c r="DD173" s="27">
        <f t="shared" si="120"/>
        <v>0</v>
      </c>
      <c r="DE173" s="27">
        <f t="shared" si="120"/>
        <v>0</v>
      </c>
      <c r="DF173" s="27">
        <f t="shared" si="120"/>
        <v>0</v>
      </c>
      <c r="DG173" s="141">
        <f t="shared" si="118"/>
        <v>1</v>
      </c>
      <c r="DH173" s="14"/>
      <c r="DI173" s="47"/>
      <c r="DJ173" s="14"/>
      <c r="DK173" s="56"/>
      <c r="DL173" s="29"/>
      <c r="DM173" s="59"/>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row>
    <row r="174" spans="1:142" x14ac:dyDescent="0.25">
      <c r="A174" s="14"/>
      <c r="B174" s="62"/>
      <c r="C174" s="19"/>
      <c r="D174" s="59"/>
      <c r="E174" s="14"/>
      <c r="F174" s="14"/>
      <c r="G174" s="14"/>
      <c r="H174" s="21"/>
      <c r="I174" s="21"/>
      <c r="J174" s="14"/>
      <c r="K174" s="14"/>
      <c r="L174" s="14"/>
      <c r="M174" s="14"/>
      <c r="N174" s="14"/>
      <c r="O174" s="14"/>
      <c r="P174" s="14"/>
      <c r="Q174" s="47"/>
      <c r="R174" s="19"/>
      <c r="S174" s="19"/>
      <c r="T174" s="19"/>
      <c r="U174" s="19"/>
      <c r="V174" s="19"/>
      <c r="W174" s="14"/>
      <c r="X174" s="14"/>
      <c r="Y174" s="14"/>
      <c r="Z174" s="13"/>
      <c r="AA174" s="13"/>
      <c r="AB174" s="13"/>
      <c r="AC174" s="13"/>
      <c r="AD174" s="65"/>
      <c r="AE174" s="63"/>
      <c r="AF174" s="47"/>
      <c r="AG174" s="19"/>
      <c r="AH174" s="19"/>
      <c r="AI174" s="19"/>
      <c r="AJ174" s="19"/>
      <c r="AK174" s="19"/>
      <c r="AL174" s="14"/>
      <c r="AM174" s="14"/>
      <c r="AN174" s="14"/>
      <c r="AO174" s="13"/>
      <c r="AP174" s="13"/>
      <c r="AQ174" s="13"/>
      <c r="AR174" s="13"/>
      <c r="AS174" s="65"/>
      <c r="AT174" s="63"/>
      <c r="AU174" s="47"/>
      <c r="AV174" s="14"/>
      <c r="AW174" s="19"/>
      <c r="AX174" s="19"/>
      <c r="AY174" s="19"/>
      <c r="AZ174" s="19"/>
      <c r="BA174" s="14"/>
      <c r="BB174" s="14"/>
      <c r="BC174" s="14"/>
      <c r="BD174" s="13"/>
      <c r="BE174" s="13"/>
      <c r="BF174" s="13"/>
      <c r="BG174" s="13"/>
      <c r="BH174" s="65"/>
      <c r="BI174" s="63"/>
      <c r="BJ174" s="352"/>
      <c r="BK174" s="19"/>
      <c r="BL174" s="19"/>
      <c r="BM174" s="19"/>
      <c r="BN174" s="19"/>
      <c r="BO174" s="19"/>
      <c r="BP174" s="14"/>
      <c r="BQ174" s="14"/>
      <c r="BR174" s="14"/>
      <c r="BS174" s="13"/>
      <c r="BT174" s="13"/>
      <c r="BU174" s="13"/>
      <c r="BV174" s="13"/>
      <c r="BW174" s="65"/>
      <c r="BX174" s="63"/>
      <c r="BY174" s="352"/>
      <c r="BZ174" s="14"/>
      <c r="CA174" s="140" t="s">
        <v>146</v>
      </c>
      <c r="CB174" s="27">
        <f>COUNTIFS(S30_stakeholder_category,"PO",Response_Q177_5,"&lt;&gt;0",Response_Q173_7,"&lt;&gt;0")</f>
        <v>0</v>
      </c>
      <c r="CC174" s="37">
        <f>COUNTIFS(S30_stakeholder_category,"PO",Response_Q177_5,1,Response_Q173_7,"&lt;&gt;0")</f>
        <v>0</v>
      </c>
      <c r="CD174" s="37">
        <f>COUNTIFS(S30_stakeholder_category,"PO",Response_Q177_5,2,Response_Q173_7,"&lt;&gt;0")</f>
        <v>0</v>
      </c>
      <c r="CE174" s="37">
        <f>COUNTIFS(S30_stakeholder_category,"PO",Response_Q177_5,3,Response_Q173_7,"&lt;&gt;0")</f>
        <v>0</v>
      </c>
      <c r="CF174" s="97">
        <f>IF(CB166=0,0,SUMPRODUCT(CC174:CE174,Rank_score)/$CB166)</f>
        <v>0</v>
      </c>
      <c r="CG174" s="14"/>
      <c r="CH174" s="140" t="s">
        <v>146</v>
      </c>
      <c r="CI174" s="27">
        <f t="shared" ref="CI174:CN174" si="121">COUNTIFS(S30_stakeholder_category,"PO",Response_Q177_5,"&lt;&gt;0",Response_Q177_6,CI$63,Response_Q173_7,"&lt;&gt;0")</f>
        <v>0</v>
      </c>
      <c r="CJ174" s="27">
        <f t="shared" si="121"/>
        <v>0</v>
      </c>
      <c r="CK174" s="27">
        <f t="shared" si="121"/>
        <v>0</v>
      </c>
      <c r="CL174" s="27">
        <f t="shared" si="121"/>
        <v>0</v>
      </c>
      <c r="CM174" s="27">
        <f t="shared" si="121"/>
        <v>0</v>
      </c>
      <c r="CN174" s="27">
        <f t="shared" si="121"/>
        <v>0</v>
      </c>
      <c r="CO174" s="141" t="str">
        <f t="shared" si="116"/>
        <v>Factor not ranked</v>
      </c>
      <c r="CP174" s="14"/>
      <c r="CQ174" s="47"/>
      <c r="CR174" s="14"/>
      <c r="CS174" s="106" t="s">
        <v>339</v>
      </c>
      <c r="CT174" s="27">
        <f>COUNTIFS(S30_stakeholder_category,"PO",Response_Q178_5,"&lt;&gt;0",Response_Q173_7,"&lt;&gt;0")</f>
        <v>0</v>
      </c>
      <c r="CU174" s="37">
        <f>COUNTIFS(S30_stakeholder_category,"PO",Response_Q178_5,1,Response_Q173_7,"&lt;&gt;0")</f>
        <v>0</v>
      </c>
      <c r="CV174" s="37">
        <f>COUNTIFS(S30_stakeholder_category,"PO",Response_Q178_5,2,Response_Q173_7,"&lt;&gt;0")</f>
        <v>0</v>
      </c>
      <c r="CW174" s="37">
        <f>COUNTIFS(S30_stakeholder_category,"PO",Response_Q178_5,3,Response_Q173_7,"&lt;&gt;0")</f>
        <v>0</v>
      </c>
      <c r="CX174" s="37">
        <f>IF(CT166=0,0,SUMPRODUCT(CU174:CW174,Rank_score)/CT$58)</f>
        <v>0</v>
      </c>
      <c r="CY174" s="14"/>
      <c r="CZ174" s="106" t="s">
        <v>339</v>
      </c>
      <c r="DA174" s="27">
        <f t="shared" ref="DA174:DF174" si="122">COUNTIFS(S30_stakeholder_category,"PO",Response_Q178_5,"&lt;&gt;0",Response_Q178_6,DA$63,Response_Q173_7,"&lt;&gt;0")</f>
        <v>0</v>
      </c>
      <c r="DB174" s="27">
        <f t="shared" si="122"/>
        <v>0</v>
      </c>
      <c r="DC174" s="27">
        <f t="shared" si="122"/>
        <v>0</v>
      </c>
      <c r="DD174" s="27">
        <f t="shared" si="122"/>
        <v>0</v>
      </c>
      <c r="DE174" s="27">
        <f t="shared" si="122"/>
        <v>0</v>
      </c>
      <c r="DF174" s="27">
        <f t="shared" si="122"/>
        <v>0</v>
      </c>
      <c r="DG174" s="141" t="str">
        <f t="shared" si="118"/>
        <v>Factor not ranked</v>
      </c>
      <c r="DH174" s="14"/>
      <c r="DI174" s="47"/>
      <c r="DJ174" s="14"/>
      <c r="DK174" s="56"/>
      <c r="DL174" s="19"/>
      <c r="DM174" s="59"/>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row>
    <row r="175" spans="1:142" x14ac:dyDescent="0.25">
      <c r="A175" s="14"/>
      <c r="B175" s="62"/>
      <c r="C175" s="19"/>
      <c r="D175" s="59"/>
      <c r="E175" s="14"/>
      <c r="F175" s="14"/>
      <c r="G175" s="14"/>
      <c r="H175" s="21"/>
      <c r="I175" s="21"/>
      <c r="J175" s="14"/>
      <c r="K175" s="14"/>
      <c r="L175" s="14"/>
      <c r="M175" s="14"/>
      <c r="N175" s="14"/>
      <c r="O175" s="14"/>
      <c r="P175" s="14"/>
      <c r="Q175" s="47"/>
      <c r="R175" s="19"/>
      <c r="S175" s="19"/>
      <c r="T175" s="19"/>
      <c r="U175" s="59"/>
      <c r="V175" s="19"/>
      <c r="W175" s="14"/>
      <c r="X175" s="14"/>
      <c r="Y175" s="14"/>
      <c r="Z175" s="14"/>
      <c r="AA175" s="14"/>
      <c r="AB175" s="14"/>
      <c r="AC175" s="14"/>
      <c r="AD175" s="65"/>
      <c r="AE175" s="63"/>
      <c r="AF175" s="47"/>
      <c r="AG175" s="19"/>
      <c r="AH175" s="19"/>
      <c r="AI175" s="19"/>
      <c r="AJ175" s="59"/>
      <c r="AK175" s="19"/>
      <c r="AL175" s="14"/>
      <c r="AM175" s="14"/>
      <c r="AN175" s="14"/>
      <c r="AO175" s="14"/>
      <c r="AP175" s="14"/>
      <c r="AQ175" s="14"/>
      <c r="AR175" s="14"/>
      <c r="AS175" s="65"/>
      <c r="AT175" s="63"/>
      <c r="AU175" s="47"/>
      <c r="AV175" s="14"/>
      <c r="AW175" s="19"/>
      <c r="AX175" s="19"/>
      <c r="AY175" s="59"/>
      <c r="AZ175" s="19"/>
      <c r="BA175" s="14"/>
      <c r="BB175" s="14"/>
      <c r="BC175" s="14"/>
      <c r="BD175" s="14"/>
      <c r="BE175" s="14"/>
      <c r="BF175" s="14"/>
      <c r="BG175" s="14"/>
      <c r="BH175" s="65"/>
      <c r="BI175" s="63"/>
      <c r="BJ175" s="352"/>
      <c r="BK175" s="19"/>
      <c r="BL175" s="19"/>
      <c r="BM175" s="19"/>
      <c r="BN175" s="59"/>
      <c r="BO175" s="19"/>
      <c r="BP175" s="14"/>
      <c r="BQ175" s="14"/>
      <c r="BR175" s="14"/>
      <c r="BS175" s="14"/>
      <c r="BT175" s="14"/>
      <c r="BU175" s="14"/>
      <c r="BV175" s="14"/>
      <c r="BW175" s="65"/>
      <c r="BX175" s="63"/>
      <c r="BY175" s="352"/>
      <c r="BZ175" s="14"/>
      <c r="CA175" s="140" t="s">
        <v>147</v>
      </c>
      <c r="CB175" s="27">
        <f>COUNTIFS(S30_stakeholder_category,"PO",Response_Q177_7,"&lt;&gt;0",Response_Q173_7,"&lt;&gt;0")</f>
        <v>2</v>
      </c>
      <c r="CC175" s="37">
        <f>COUNTIFS(S30_stakeholder_category,"PO",Response_Q177_7,1,Response_Q173_7,"&lt;&gt;0")</f>
        <v>0</v>
      </c>
      <c r="CD175" s="37">
        <f>COUNTIFS(S30_stakeholder_category,"PO",Response_Q177_7,2,Response_Q173_7,"&lt;&gt;0")</f>
        <v>1</v>
      </c>
      <c r="CE175" s="37">
        <f>COUNTIFS(S30_stakeholder_category,"PO",Response_Q177_7,3,Response_Q173_7,"&lt;&gt;0")</f>
        <v>1</v>
      </c>
      <c r="CF175" s="97">
        <f>IF(CB166=0,0,SUMPRODUCT(CC175:CE175,Rank_score)/$CB166)</f>
        <v>1</v>
      </c>
      <c r="CG175" s="14"/>
      <c r="CH175" s="140" t="s">
        <v>147</v>
      </c>
      <c r="CI175" s="27">
        <f t="shared" ref="CI175:CN175" si="123">COUNTIFS(S30_stakeholder_category,"PO",Response_Q177_7,"&lt;&gt;0",Response_Q177_8,CI$63,Response_Q173_7,"&lt;&gt;0")</f>
        <v>0</v>
      </c>
      <c r="CJ175" s="27">
        <f t="shared" si="123"/>
        <v>1</v>
      </c>
      <c r="CK175" s="27">
        <f t="shared" si="123"/>
        <v>0</v>
      </c>
      <c r="CL175" s="27">
        <f t="shared" si="123"/>
        <v>0</v>
      </c>
      <c r="CM175" s="27">
        <f t="shared" si="123"/>
        <v>0</v>
      </c>
      <c r="CN175" s="27">
        <f t="shared" si="123"/>
        <v>0</v>
      </c>
      <c r="CO175" s="141">
        <f t="shared" si="116"/>
        <v>2</v>
      </c>
      <c r="CP175" s="14"/>
      <c r="CQ175" s="47"/>
      <c r="CR175" s="14"/>
      <c r="CS175" s="106" t="s">
        <v>345</v>
      </c>
      <c r="CT175" s="27">
        <f>COUNTIFS(S30_stakeholder_category,"PO",Response_Q178_7,"&lt;&gt;0",Response_Q173_7,"&lt;&gt;0")</f>
        <v>1</v>
      </c>
      <c r="CU175" s="37">
        <f>COUNTIFS(S30_stakeholder_category,"PO",Response_Q178_7,1,Response_Q173_7,"&lt;&gt;0")</f>
        <v>0</v>
      </c>
      <c r="CV175" s="37">
        <f>COUNTIFS(S30_stakeholder_category,"PO",Response_Q178_7,2,Response_Q173_7,"&lt;&gt;0")</f>
        <v>1</v>
      </c>
      <c r="CW175" s="37">
        <f>COUNTIFS(S30_stakeholder_category,"PO",Response_Q178_7,3,Response_Q173_7,"&lt;&gt;0")</f>
        <v>0</v>
      </c>
      <c r="CX175" s="37">
        <f>IF(CT166=0,0,SUMPRODUCT(CU175:CW175,Rank_score)/CT$58)</f>
        <v>0.66666666666666663</v>
      </c>
      <c r="CY175" s="14"/>
      <c r="CZ175" s="106" t="s">
        <v>345</v>
      </c>
      <c r="DA175" s="27">
        <f t="shared" ref="DA175:DF175" si="124">COUNTIFS(S30_stakeholder_category,"PO",Response_Q178_7,"&lt;&gt;0",Response_Q178_8,DA$63,Response_Q173_7,"&lt;&gt;0")</f>
        <v>0</v>
      </c>
      <c r="DB175" s="27">
        <f t="shared" si="124"/>
        <v>0</v>
      </c>
      <c r="DC175" s="27">
        <f t="shared" si="124"/>
        <v>0</v>
      </c>
      <c r="DD175" s="27">
        <f t="shared" si="124"/>
        <v>0</v>
      </c>
      <c r="DE175" s="27">
        <f t="shared" si="124"/>
        <v>1</v>
      </c>
      <c r="DF175" s="27">
        <f t="shared" si="124"/>
        <v>0</v>
      </c>
      <c r="DG175" s="141">
        <f t="shared" si="118"/>
        <v>5</v>
      </c>
      <c r="DH175" s="14"/>
      <c r="DI175" s="47"/>
      <c r="DJ175" s="14"/>
      <c r="DK175" s="14"/>
      <c r="DL175" s="19"/>
      <c r="DM175" s="59"/>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row>
    <row r="176" spans="1:142" x14ac:dyDescent="0.25">
      <c r="A176" s="14"/>
      <c r="B176" s="19"/>
      <c r="C176" s="19"/>
      <c r="D176" s="59"/>
      <c r="E176" s="14"/>
      <c r="F176" s="14"/>
      <c r="G176" s="14"/>
      <c r="H176" s="21"/>
      <c r="I176" s="21"/>
      <c r="J176" s="14"/>
      <c r="K176" s="14"/>
      <c r="L176" s="14"/>
      <c r="M176" s="14"/>
      <c r="N176" s="14"/>
      <c r="O176" s="14"/>
      <c r="P176" s="14"/>
      <c r="Q176" s="47"/>
      <c r="R176" s="19"/>
      <c r="S176" s="19"/>
      <c r="T176" s="19"/>
      <c r="U176" s="59"/>
      <c r="V176" s="19"/>
      <c r="W176" s="14"/>
      <c r="X176" s="14"/>
      <c r="Y176" s="14"/>
      <c r="Z176" s="14"/>
      <c r="AA176" s="14"/>
      <c r="AB176" s="14"/>
      <c r="AC176" s="14"/>
      <c r="AD176" s="65"/>
      <c r="AE176" s="63"/>
      <c r="AF176" s="47"/>
      <c r="AG176" s="19"/>
      <c r="AH176" s="19"/>
      <c r="AI176" s="19"/>
      <c r="AJ176" s="59"/>
      <c r="AK176" s="19"/>
      <c r="AL176" s="14"/>
      <c r="AM176" s="14"/>
      <c r="AN176" s="14"/>
      <c r="AO176" s="14"/>
      <c r="AP176" s="14"/>
      <c r="AQ176" s="14"/>
      <c r="AR176" s="14"/>
      <c r="AS176" s="65"/>
      <c r="AT176" s="63"/>
      <c r="AU176" s="47"/>
      <c r="AV176" s="14"/>
      <c r="AW176" s="19"/>
      <c r="AX176" s="19"/>
      <c r="AY176" s="59"/>
      <c r="AZ176" s="19"/>
      <c r="BA176" s="14"/>
      <c r="BB176" s="14"/>
      <c r="BC176" s="14"/>
      <c r="BD176" s="14"/>
      <c r="BE176" s="14"/>
      <c r="BF176" s="14"/>
      <c r="BG176" s="14"/>
      <c r="BH176" s="65"/>
      <c r="BI176" s="63"/>
      <c r="BJ176" s="352"/>
      <c r="BK176" s="19"/>
      <c r="BL176" s="19"/>
      <c r="BM176" s="19"/>
      <c r="BN176" s="59"/>
      <c r="BO176" s="19"/>
      <c r="BP176" s="14"/>
      <c r="BQ176" s="14"/>
      <c r="BR176" s="14"/>
      <c r="BS176" s="14"/>
      <c r="BT176" s="14"/>
      <c r="BU176" s="14"/>
      <c r="BV176" s="14"/>
      <c r="BW176" s="65"/>
      <c r="BX176" s="63"/>
      <c r="BY176" s="352"/>
      <c r="BZ176" s="14"/>
      <c r="CA176" s="140" t="s">
        <v>341</v>
      </c>
      <c r="CB176" s="27">
        <f>COUNTIFS(S30_stakeholder_category,"PO",Response_Q177_9,"&lt;&gt;0",Response_Q173_7,"&lt;&gt;0")</f>
        <v>0</v>
      </c>
      <c r="CC176" s="37">
        <f>COUNTIFS(S30_stakeholder_category,"PO",Response_Q177_9,1,Response_Q173_7,"&lt;&gt;0")</f>
        <v>0</v>
      </c>
      <c r="CD176" s="37">
        <f>COUNTIFS(S30_stakeholder_category,"PO",Response_Q177_9,2,Response_Q173_7,"&lt;&gt;0")</f>
        <v>0</v>
      </c>
      <c r="CE176" s="37">
        <f>COUNTIFS(S30_stakeholder_category,"PO",Response_Q177_9,3,Response_Q173_7,"&lt;&gt;0")</f>
        <v>0</v>
      </c>
      <c r="CF176" s="97">
        <f>IF(CB166=0,0,SUMPRODUCT(CC176:CE176,Rank_score)/$CB166)</f>
        <v>0</v>
      </c>
      <c r="CG176" s="14"/>
      <c r="CH176" s="140" t="s">
        <v>341</v>
      </c>
      <c r="CI176" s="27">
        <f t="shared" ref="CI176:CN176" si="125">COUNTIFS(S30_stakeholder_category,"PO",Response_Q177_9,"&lt;&gt;0",Response_Q177_10,CI$63,Response_Q173_7,"&lt;&gt;0")</f>
        <v>0</v>
      </c>
      <c r="CJ176" s="27">
        <f t="shared" si="125"/>
        <v>0</v>
      </c>
      <c r="CK176" s="27">
        <f t="shared" si="125"/>
        <v>0</v>
      </c>
      <c r="CL176" s="27">
        <f t="shared" si="125"/>
        <v>0</v>
      </c>
      <c r="CM176" s="27">
        <f t="shared" si="125"/>
        <v>0</v>
      </c>
      <c r="CN176" s="27">
        <f t="shared" si="125"/>
        <v>0</v>
      </c>
      <c r="CO176" s="141" t="str">
        <f t="shared" si="116"/>
        <v>Factor not ranked</v>
      </c>
      <c r="CP176" s="14"/>
      <c r="CQ176" s="47"/>
      <c r="CR176" s="14"/>
      <c r="CS176" s="106" t="s">
        <v>561</v>
      </c>
      <c r="CT176" s="27">
        <f>COUNTIFS(S30_stakeholder_category,"PO",Response_Q178_9,"&lt;&gt;0",Response_Q173_7,"&lt;&gt;0")</f>
        <v>0</v>
      </c>
      <c r="CU176" s="37">
        <f>COUNTIFS(S30_stakeholder_category,"PO",Response_Q178_9,1,Response_Q173_7,"&lt;&gt;0")</f>
        <v>0</v>
      </c>
      <c r="CV176" s="37">
        <f>COUNTIFS(S30_stakeholder_category,"PO",Response_Q178_9,2,Response_Q173_7,"&lt;&gt;0")</f>
        <v>0</v>
      </c>
      <c r="CW176" s="37">
        <f>COUNTIFS(S30_stakeholder_category,"PO",Response_Q178_9,3,Response_Q173_7,"&lt;&gt;0")</f>
        <v>0</v>
      </c>
      <c r="CX176" s="37">
        <f>IF(CT166=0,0,SUMPRODUCT(CU176:CW176,Rank_score)/CT$58)</f>
        <v>0</v>
      </c>
      <c r="CY176" s="14"/>
      <c r="CZ176" s="106" t="s">
        <v>561</v>
      </c>
      <c r="DA176" s="27">
        <f t="shared" ref="DA176:DF176" si="126">COUNTIFS(S30_stakeholder_category,"PO",Response_Q178_9,"&lt;&gt;0",Response_Q178_10,DA$63,Response_Q173_7,"&lt;&gt;0")</f>
        <v>0</v>
      </c>
      <c r="DB176" s="27">
        <f t="shared" si="126"/>
        <v>0</v>
      </c>
      <c r="DC176" s="27">
        <f t="shared" si="126"/>
        <v>0</v>
      </c>
      <c r="DD176" s="27">
        <f t="shared" si="126"/>
        <v>0</v>
      </c>
      <c r="DE176" s="27">
        <f t="shared" si="126"/>
        <v>0</v>
      </c>
      <c r="DF176" s="27">
        <f t="shared" si="126"/>
        <v>0</v>
      </c>
      <c r="DG176" s="141" t="str">
        <f t="shared" si="118"/>
        <v>Factor not ranked</v>
      </c>
      <c r="DH176" s="14"/>
      <c r="DI176" s="47"/>
      <c r="DJ176" s="14"/>
      <c r="DK176" s="14"/>
      <c r="DL176" s="19"/>
      <c r="DM176" s="59"/>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row>
    <row r="177" spans="1:142" x14ac:dyDescent="0.25">
      <c r="A177" s="14"/>
      <c r="B177" s="19"/>
      <c r="C177" s="19"/>
      <c r="D177" s="59"/>
      <c r="E177" s="14"/>
      <c r="F177" s="14"/>
      <c r="G177" s="14"/>
      <c r="H177" s="21"/>
      <c r="I177" s="21"/>
      <c r="J177" s="14"/>
      <c r="K177" s="14"/>
      <c r="L177" s="14"/>
      <c r="M177" s="14"/>
      <c r="N177" s="14"/>
      <c r="O177" s="14"/>
      <c r="P177" s="14"/>
      <c r="Q177" s="47"/>
      <c r="R177" s="19"/>
      <c r="S177" s="56"/>
      <c r="T177" s="29"/>
      <c r="U177" s="27"/>
      <c r="V177" s="19"/>
      <c r="W177" s="14"/>
      <c r="X177" s="14"/>
      <c r="Y177" s="14"/>
      <c r="Z177" s="14"/>
      <c r="AA177" s="14"/>
      <c r="AB177" s="14"/>
      <c r="AC177" s="14"/>
      <c r="AD177" s="65"/>
      <c r="AE177" s="63"/>
      <c r="AF177" s="47"/>
      <c r="AG177" s="19"/>
      <c r="AH177" s="56"/>
      <c r="AI177" s="29"/>
      <c r="AJ177" s="27"/>
      <c r="AK177" s="19"/>
      <c r="AL177" s="14"/>
      <c r="AM177" s="14"/>
      <c r="AN177" s="14"/>
      <c r="AO177" s="14"/>
      <c r="AP177" s="14"/>
      <c r="AQ177" s="14"/>
      <c r="AR177" s="14"/>
      <c r="AS177" s="65"/>
      <c r="AT177" s="63"/>
      <c r="AU177" s="47"/>
      <c r="AV177" s="14"/>
      <c r="AW177" s="56"/>
      <c r="AX177" s="29"/>
      <c r="AY177" s="27"/>
      <c r="AZ177" s="19"/>
      <c r="BA177" s="14"/>
      <c r="BB177" s="14"/>
      <c r="BC177" s="14"/>
      <c r="BD177" s="14"/>
      <c r="BE177" s="14"/>
      <c r="BF177" s="14"/>
      <c r="BG177" s="14"/>
      <c r="BH177" s="65"/>
      <c r="BI177" s="63"/>
      <c r="BJ177" s="352"/>
      <c r="BK177" s="19"/>
      <c r="BL177" s="56"/>
      <c r="BM177" s="29"/>
      <c r="BN177" s="27"/>
      <c r="BO177" s="19"/>
      <c r="BP177" s="14"/>
      <c r="BQ177" s="14"/>
      <c r="BR177" s="14"/>
      <c r="BS177" s="14"/>
      <c r="BT177" s="14"/>
      <c r="BU177" s="14"/>
      <c r="BV177" s="14"/>
      <c r="BW177" s="65"/>
      <c r="BX177" s="63"/>
      <c r="BY177" s="352"/>
      <c r="BZ177" s="14"/>
      <c r="CA177" s="106" t="s">
        <v>148</v>
      </c>
      <c r="CB177" s="27">
        <f>COUNTIFS(S30_stakeholder_category,"PO",Response_Q177_11,"&lt;&gt;0",Response_Q173_7,"&lt;&gt;0")</f>
        <v>0</v>
      </c>
      <c r="CC177" s="37">
        <f>COUNTIFS(S30_stakeholder_category,"PO",Response_Q177_11,1,Response_Q173_7,"&lt;&gt;0")</f>
        <v>0</v>
      </c>
      <c r="CD177" s="37">
        <f>COUNTIFS(S30_stakeholder_category,"PO",Response_Q177_11,2,Response_Q173_7,"&lt;&gt;0")</f>
        <v>0</v>
      </c>
      <c r="CE177" s="37">
        <f>COUNTIFS(S30_stakeholder_category,"PO",Response_Q177_11,3,Response_Q173_7,"&lt;&gt;0")</f>
        <v>0</v>
      </c>
      <c r="CF177" s="97">
        <f>IF(CB166=0,0,SUMPRODUCT(CC177:CE177,Rank_score)/$CB166)</f>
        <v>0</v>
      </c>
      <c r="CG177" s="43"/>
      <c r="CH177" s="106" t="s">
        <v>148</v>
      </c>
      <c r="CI177" s="27">
        <f t="shared" ref="CI177:CN177" si="127">COUNTIFS(S30_stakeholder_category,"PO",Response_Q177_11,"&lt;&gt;0",Response_Q177_12,CI$63,Response_Q173_7,"&lt;&gt;0")</f>
        <v>0</v>
      </c>
      <c r="CJ177" s="27">
        <f t="shared" si="127"/>
        <v>0</v>
      </c>
      <c r="CK177" s="27">
        <f t="shared" si="127"/>
        <v>0</v>
      </c>
      <c r="CL177" s="27">
        <f t="shared" si="127"/>
        <v>0</v>
      </c>
      <c r="CM177" s="27">
        <f t="shared" si="127"/>
        <v>0</v>
      </c>
      <c r="CN177" s="27">
        <f t="shared" si="127"/>
        <v>0</v>
      </c>
      <c r="CO177" s="141" t="str">
        <f t="shared" si="116"/>
        <v>Factor not ranked</v>
      </c>
      <c r="CP177" s="14"/>
      <c r="CQ177" s="47"/>
      <c r="CR177" s="14"/>
      <c r="CS177" s="106" t="s">
        <v>49</v>
      </c>
      <c r="CT177" s="27">
        <f>COUNTIFS(S30_stakeholder_category,"PO",Response_Q178_11,"&lt;&gt;0",Response_Q173_7,"&lt;&gt;0")</f>
        <v>0</v>
      </c>
      <c r="CU177" s="37">
        <f>COUNTIFS(S30_stakeholder_category,"PO",Response_Q178_11,1,Response_Q173_7,"&lt;&gt;0")</f>
        <v>0</v>
      </c>
      <c r="CV177" s="37">
        <f>COUNTIFS(S30_stakeholder_category,"PO",Response_Q178_11,2,Response_Q173_7,"&lt;&gt;0")</f>
        <v>0</v>
      </c>
      <c r="CW177" s="37">
        <f>COUNTIFS(S30_stakeholder_category,"PO",Response_Q178_11,3,Response_Q173_7,"&lt;&gt;0")</f>
        <v>0</v>
      </c>
      <c r="CX177" s="37">
        <f>IF(CT166=0,0,SUMPRODUCT(CU177:CW177,Rank_score)/CT$58)</f>
        <v>0</v>
      </c>
      <c r="CY177" s="43"/>
      <c r="CZ177" s="106" t="s">
        <v>49</v>
      </c>
      <c r="DA177" s="27">
        <f t="shared" ref="DA177:DF177" si="128">COUNTIFS(S30_stakeholder_category,"PO",Response_Q178_11,"&lt;&gt;0",Response_Q178_12,DA$63,Response_Q173_7,"&lt;&gt;0")</f>
        <v>0</v>
      </c>
      <c r="DB177" s="27">
        <f t="shared" si="128"/>
        <v>0</v>
      </c>
      <c r="DC177" s="27">
        <f t="shared" si="128"/>
        <v>0</v>
      </c>
      <c r="DD177" s="27">
        <f t="shared" si="128"/>
        <v>0</v>
      </c>
      <c r="DE177" s="27">
        <f t="shared" si="128"/>
        <v>0</v>
      </c>
      <c r="DF177" s="27">
        <f t="shared" si="128"/>
        <v>0</v>
      </c>
      <c r="DG177" s="141" t="str">
        <f t="shared" si="118"/>
        <v>Factor not ranked</v>
      </c>
      <c r="DH177" s="14"/>
      <c r="DI177" s="47"/>
      <c r="DJ177" s="14"/>
      <c r="DK177" s="14"/>
      <c r="DL177" s="19"/>
      <c r="DM177" s="59"/>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row>
    <row r="178" spans="1:142" x14ac:dyDescent="0.25">
      <c r="A178" s="14"/>
      <c r="B178" s="56"/>
      <c r="C178" s="29"/>
      <c r="D178" s="59"/>
      <c r="E178" s="14"/>
      <c r="F178" s="14"/>
      <c r="G178" s="14"/>
      <c r="H178" s="21"/>
      <c r="I178" s="21"/>
      <c r="J178" s="14"/>
      <c r="K178" s="14"/>
      <c r="L178" s="14"/>
      <c r="M178" s="14"/>
      <c r="N178" s="14"/>
      <c r="O178" s="14"/>
      <c r="P178" s="14"/>
      <c r="Q178" s="47"/>
      <c r="R178" s="19"/>
      <c r="S178" s="56"/>
      <c r="T178" s="19"/>
      <c r="U178" s="27"/>
      <c r="V178" s="19"/>
      <c r="W178" s="14"/>
      <c r="X178" s="14"/>
      <c r="Y178" s="14"/>
      <c r="Z178" s="14"/>
      <c r="AA178" s="14"/>
      <c r="AB178" s="14"/>
      <c r="AC178" s="14"/>
      <c r="AD178" s="65"/>
      <c r="AE178" s="63"/>
      <c r="AF178" s="47"/>
      <c r="AG178" s="19"/>
      <c r="AH178" s="56"/>
      <c r="AI178" s="19"/>
      <c r="AJ178" s="27"/>
      <c r="AK178" s="19"/>
      <c r="AL178" s="14"/>
      <c r="AM178" s="14"/>
      <c r="AN178" s="14"/>
      <c r="AO178" s="14"/>
      <c r="AP178" s="14"/>
      <c r="AQ178" s="14"/>
      <c r="AR178" s="14"/>
      <c r="AS178" s="65"/>
      <c r="AT178" s="63"/>
      <c r="AU178" s="47"/>
      <c r="AV178" s="14"/>
      <c r="AW178" s="56"/>
      <c r="AX178" s="19"/>
      <c r="AY178" s="27"/>
      <c r="AZ178" s="19"/>
      <c r="BA178" s="14"/>
      <c r="BB178" s="14"/>
      <c r="BC178" s="14"/>
      <c r="BD178" s="14"/>
      <c r="BE178" s="14"/>
      <c r="BF178" s="14"/>
      <c r="BG178" s="14"/>
      <c r="BH178" s="65"/>
      <c r="BI178" s="63"/>
      <c r="BJ178" s="352"/>
      <c r="BK178" s="19"/>
      <c r="BL178" s="56"/>
      <c r="BM178" s="19"/>
      <c r="BN178" s="27"/>
      <c r="BO178" s="19"/>
      <c r="BP178" s="14"/>
      <c r="BQ178" s="14"/>
      <c r="BR178" s="14"/>
      <c r="BS178" s="14"/>
      <c r="BT178" s="14"/>
      <c r="BU178" s="14"/>
      <c r="BV178" s="14"/>
      <c r="BW178" s="65"/>
      <c r="BX178" s="63"/>
      <c r="BY178" s="352"/>
      <c r="BZ178" s="14"/>
      <c r="CA178" s="107" t="s">
        <v>49</v>
      </c>
      <c r="CB178" s="27">
        <f>COUNTIFS(S30_stakeholder_category,"PO",Response_Q177_13,"&lt;&gt;0",Response_Q173_7,"&lt;&gt;0")</f>
        <v>0</v>
      </c>
      <c r="CC178" s="37">
        <f>COUNTIFS(S30_stakeholder_category,"PO",Response_Q177_13,1,Response_Q173_7,"&lt;&gt;0")</f>
        <v>0</v>
      </c>
      <c r="CD178" s="37">
        <f>COUNTIFS(S30_stakeholder_category,"PO",Response_Q177_13,2,Response_Q173_7,"&lt;&gt;0")</f>
        <v>0</v>
      </c>
      <c r="CE178" s="37">
        <f>COUNTIFS(S30_stakeholder_category,"PO",Response_Q177_13,3,Response_Q173_7,"&lt;&gt;0")</f>
        <v>0</v>
      </c>
      <c r="CF178" s="97">
        <f>IF(CB166=0,0,SUMPRODUCT(CC178:CE178,Rank_score)/$CB166)</f>
        <v>0</v>
      </c>
      <c r="CG178" s="29"/>
      <c r="CH178" s="107" t="s">
        <v>49</v>
      </c>
      <c r="CI178" s="27">
        <f t="shared" ref="CI178:CN178" si="129">COUNTIFS(S30_stakeholder_category,"PO",Response_Q177_13,"&lt;&gt;0",Response_Q177_14,CI$63,Response_Q173_7,"&lt;&gt;0")</f>
        <v>0</v>
      </c>
      <c r="CJ178" s="27">
        <f t="shared" si="129"/>
        <v>0</v>
      </c>
      <c r="CK178" s="27">
        <f t="shared" si="129"/>
        <v>0</v>
      </c>
      <c r="CL178" s="27">
        <f t="shared" si="129"/>
        <v>0</v>
      </c>
      <c r="CM178" s="27">
        <f t="shared" si="129"/>
        <v>0</v>
      </c>
      <c r="CN178" s="27">
        <f t="shared" si="129"/>
        <v>0</v>
      </c>
      <c r="CO178" s="141" t="str">
        <f t="shared" si="116"/>
        <v>Factor not ranked</v>
      </c>
      <c r="CP178" s="14"/>
      <c r="CQ178" s="47"/>
      <c r="CR178" s="14"/>
      <c r="CS178" s="107"/>
      <c r="CT178" s="27"/>
      <c r="CU178" s="37"/>
      <c r="CV178" s="37"/>
      <c r="CW178" s="37"/>
      <c r="CX178" s="37"/>
      <c r="CY178" s="29"/>
      <c r="CZ178" s="106"/>
      <c r="DA178" s="27"/>
      <c r="DB178" s="27"/>
      <c r="DC178" s="27"/>
      <c r="DD178" s="27"/>
      <c r="DE178" s="27"/>
      <c r="DF178" s="27"/>
      <c r="DG178" s="141" t="str">
        <f t="shared" si="118"/>
        <v/>
      </c>
      <c r="DH178" s="14"/>
      <c r="DI178" s="47"/>
      <c r="DJ178" s="14"/>
      <c r="DK178" s="62"/>
      <c r="DL178" s="19"/>
      <c r="DM178" s="59"/>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row>
    <row r="179" spans="1:142" x14ac:dyDescent="0.25">
      <c r="A179" s="14"/>
      <c r="B179" s="56"/>
      <c r="C179" s="19"/>
      <c r="D179" s="59"/>
      <c r="E179" s="14"/>
      <c r="F179" s="14"/>
      <c r="G179" s="109" t="s">
        <v>14</v>
      </c>
      <c r="H179" s="110" t="s">
        <v>6</v>
      </c>
      <c r="I179" s="110" t="s">
        <v>7</v>
      </c>
      <c r="J179" s="14"/>
      <c r="K179" s="14"/>
      <c r="L179" s="14"/>
      <c r="M179" s="14"/>
      <c r="N179" s="14"/>
      <c r="O179" s="14"/>
      <c r="P179" s="14"/>
      <c r="Q179" s="47"/>
      <c r="R179" s="19"/>
      <c r="S179" s="19"/>
      <c r="T179" s="19"/>
      <c r="U179" s="27"/>
      <c r="V179" s="19"/>
      <c r="W179" s="14"/>
      <c r="X179" s="109" t="s">
        <v>14</v>
      </c>
      <c r="Y179" s="110" t="s">
        <v>6</v>
      </c>
      <c r="Z179" s="110" t="s">
        <v>7</v>
      </c>
      <c r="AA179" s="14"/>
      <c r="AB179" s="14"/>
      <c r="AC179" s="14"/>
      <c r="AD179" s="65"/>
      <c r="AE179" s="63"/>
      <c r="AF179" s="47"/>
      <c r="AG179" s="19"/>
      <c r="AH179" s="19"/>
      <c r="AI179" s="19"/>
      <c r="AJ179" s="27"/>
      <c r="AK179" s="19"/>
      <c r="AL179" s="14"/>
      <c r="AM179" s="109" t="s">
        <v>14</v>
      </c>
      <c r="AN179" s="110" t="s">
        <v>6</v>
      </c>
      <c r="AO179" s="110" t="s">
        <v>7</v>
      </c>
      <c r="AP179" s="14"/>
      <c r="AQ179" s="14"/>
      <c r="AR179" s="14"/>
      <c r="AS179" s="65"/>
      <c r="AT179" s="63"/>
      <c r="AU179" s="47"/>
      <c r="AV179" s="14"/>
      <c r="AW179" s="19"/>
      <c r="AX179" s="19"/>
      <c r="AY179" s="27"/>
      <c r="AZ179" s="19"/>
      <c r="BA179" s="14"/>
      <c r="BB179" s="109" t="s">
        <v>14</v>
      </c>
      <c r="BC179" s="110" t="s">
        <v>6</v>
      </c>
      <c r="BD179" s="110" t="s">
        <v>7</v>
      </c>
      <c r="BE179" s="14"/>
      <c r="BF179" s="14"/>
      <c r="BG179" s="14"/>
      <c r="BH179" s="65"/>
      <c r="BI179" s="63"/>
      <c r="BJ179" s="352"/>
      <c r="BK179" s="19"/>
      <c r="BL179" s="19"/>
      <c r="BM179" s="19"/>
      <c r="BN179" s="27"/>
      <c r="BO179" s="19"/>
      <c r="BP179" s="14"/>
      <c r="BQ179" s="109" t="s">
        <v>14</v>
      </c>
      <c r="BR179" s="110" t="s">
        <v>6</v>
      </c>
      <c r="BS179" s="110" t="s">
        <v>7</v>
      </c>
      <c r="BT179" s="14"/>
      <c r="BU179" s="14"/>
      <c r="BV179" s="14"/>
      <c r="BW179" s="65"/>
      <c r="BX179" s="63"/>
      <c r="BY179" s="352"/>
      <c r="BZ179" s="14"/>
      <c r="CA179" s="86"/>
      <c r="CB179" s="111"/>
      <c r="CC179" s="111"/>
      <c r="CD179" s="179"/>
      <c r="CE179" s="179"/>
      <c r="CF179" s="108"/>
      <c r="CG179" s="29"/>
      <c r="CH179" s="109"/>
      <c r="CI179" s="109"/>
      <c r="CJ179" s="109"/>
      <c r="CK179" s="109"/>
      <c r="CL179" s="109"/>
      <c r="CM179" s="109"/>
      <c r="CN179" s="109"/>
      <c r="CO179" s="329"/>
      <c r="CP179" s="14"/>
      <c r="CQ179" s="47"/>
      <c r="CR179" s="14"/>
      <c r="CS179" s="107"/>
      <c r="CT179" s="27"/>
      <c r="CU179" s="37"/>
      <c r="CV179" s="37"/>
      <c r="CW179" s="37"/>
      <c r="CX179" s="37"/>
      <c r="CY179" s="29"/>
      <c r="CZ179" s="106"/>
      <c r="DA179" s="27"/>
      <c r="DB179" s="27"/>
      <c r="DC179" s="27"/>
      <c r="DD179" s="27"/>
      <c r="DE179" s="27"/>
      <c r="DF179" s="27"/>
      <c r="DG179" s="141" t="str">
        <f t="shared" si="118"/>
        <v/>
      </c>
      <c r="DH179" s="14"/>
      <c r="DI179" s="47"/>
      <c r="DJ179" s="14"/>
      <c r="DK179" s="62"/>
      <c r="DL179" s="19"/>
      <c r="DM179" s="59"/>
      <c r="DN179" s="14"/>
      <c r="DO179" s="14"/>
      <c r="DP179" s="109" t="s">
        <v>14</v>
      </c>
      <c r="DQ179" s="110" t="s">
        <v>6</v>
      </c>
      <c r="DR179" s="110" t="s">
        <v>7</v>
      </c>
      <c r="DS179" s="14"/>
      <c r="DT179" s="14"/>
      <c r="DU179" s="14"/>
      <c r="DV179" s="14"/>
      <c r="DW179" s="14"/>
      <c r="DX179" s="14"/>
      <c r="DY179" s="14"/>
      <c r="DZ179" s="14"/>
      <c r="EA179" s="14"/>
      <c r="EB179" s="14"/>
      <c r="EC179" s="14"/>
      <c r="ED179" s="14"/>
      <c r="EE179" s="14"/>
      <c r="EF179" s="14"/>
      <c r="EG179" s="14"/>
      <c r="EH179" s="14"/>
      <c r="EI179" s="14"/>
      <c r="EJ179" s="14"/>
      <c r="EK179" s="14"/>
      <c r="EL179" s="14"/>
    </row>
    <row r="180" spans="1:142" x14ac:dyDescent="0.25">
      <c r="A180" s="14"/>
      <c r="B180" s="14"/>
      <c r="C180" s="19"/>
      <c r="D180" s="59"/>
      <c r="E180" s="14"/>
      <c r="F180" s="14"/>
      <c r="G180" s="107" t="s">
        <v>34</v>
      </c>
      <c r="H180" s="27">
        <f>COUNTIFS(S30_stakeholder_category,"PO",Response_Q173_7,G180)</f>
        <v>1</v>
      </c>
      <c r="I180" s="41">
        <f>IFERROR(H180/H$185,"")</f>
        <v>0.5</v>
      </c>
      <c r="J180" s="14"/>
      <c r="K180" s="14"/>
      <c r="L180" s="14"/>
      <c r="M180" s="14"/>
      <c r="N180" s="14"/>
      <c r="O180" s="14"/>
      <c r="P180" s="14"/>
      <c r="Q180" s="47"/>
      <c r="R180" s="19"/>
      <c r="S180" s="19"/>
      <c r="T180" s="19"/>
      <c r="U180" s="27"/>
      <c r="V180" s="19"/>
      <c r="W180" s="14"/>
      <c r="X180" s="107" t="s">
        <v>5</v>
      </c>
      <c r="Y180" s="27">
        <f t="shared" ref="Y180:Y186" si="130">COUNTIFS(S30_stakeholder_category,"PO",Response_Q176_4,X180)</f>
        <v>1</v>
      </c>
      <c r="Z180" s="41">
        <f t="shared" ref="Z180:Z186" si="131">IFERROR(Y180/Y$187,0)</f>
        <v>0.5</v>
      </c>
      <c r="AA180" s="14"/>
      <c r="AB180" s="14"/>
      <c r="AC180" s="14"/>
      <c r="AD180" s="65"/>
      <c r="AE180" s="63"/>
      <c r="AF180" s="47"/>
      <c r="AG180" s="19"/>
      <c r="AH180" s="19"/>
      <c r="AI180" s="19"/>
      <c r="AJ180" s="27"/>
      <c r="AK180" s="19"/>
      <c r="AL180" s="14"/>
      <c r="AM180" s="107" t="s">
        <v>5</v>
      </c>
      <c r="AN180" s="27">
        <f t="shared" ref="AN180:AN186" si="132">COUNTIFS(S30_stakeholder_category,"PO",Response_30d_CaseA,AM180)</f>
        <v>1</v>
      </c>
      <c r="AO180" s="41">
        <f>IFERROR(AN180/AN$187,0)</f>
        <v>1</v>
      </c>
      <c r="AP180" s="14"/>
      <c r="AQ180" s="14"/>
      <c r="AR180" s="14"/>
      <c r="AS180" s="65"/>
      <c r="AT180" s="63"/>
      <c r="AU180" s="47"/>
      <c r="AV180" s="14"/>
      <c r="AW180" s="19"/>
      <c r="AX180" s="19"/>
      <c r="AY180" s="27"/>
      <c r="AZ180" s="19"/>
      <c r="BA180" s="14"/>
      <c r="BB180" s="107" t="s">
        <v>5</v>
      </c>
      <c r="BC180" s="27">
        <f t="shared" ref="BC180:BC186" si="133">COUNTIFS(S30_stakeholder_category,"PO",Response_30d_CaseB,BB180)</f>
        <v>1</v>
      </c>
      <c r="BD180" s="41">
        <f>IFERROR(BC180/BC$187,0)</f>
        <v>1</v>
      </c>
      <c r="BE180" s="14"/>
      <c r="BF180" s="14"/>
      <c r="BG180" s="14"/>
      <c r="BH180" s="65"/>
      <c r="BI180" s="63"/>
      <c r="BJ180" s="352"/>
      <c r="BK180" s="19"/>
      <c r="BL180" s="19"/>
      <c r="BM180" s="19"/>
      <c r="BN180" s="27"/>
      <c r="BO180" s="19"/>
      <c r="BP180" s="14"/>
      <c r="BQ180" s="107" t="s">
        <v>5</v>
      </c>
      <c r="BR180" s="27">
        <f t="shared" ref="BR180:BR186" si="134">COUNTIFS(S30_stakeholder_category,"PO",Response_30d_CaseC,BQ180)</f>
        <v>0</v>
      </c>
      <c r="BS180" s="41">
        <f>IFERROR(BR180/BR$187,0)</f>
        <v>0</v>
      </c>
      <c r="BT180" s="14"/>
      <c r="BU180" s="14"/>
      <c r="BV180" s="14"/>
      <c r="BW180" s="65"/>
      <c r="BX180" s="63"/>
      <c r="BY180" s="352"/>
      <c r="BZ180" s="14"/>
      <c r="CA180" s="14"/>
      <c r="CB180" s="21"/>
      <c r="CC180" s="21"/>
      <c r="CD180" s="180"/>
      <c r="CE180" s="181"/>
      <c r="CF180" s="31"/>
      <c r="CG180" s="52"/>
      <c r="CH180" s="52"/>
      <c r="CI180" s="99"/>
      <c r="CJ180" s="14"/>
      <c r="CK180" s="14"/>
      <c r="CL180" s="14"/>
      <c r="CM180" s="14"/>
      <c r="CN180" s="14"/>
      <c r="CO180" s="129"/>
      <c r="CP180" s="14"/>
      <c r="CQ180" s="47"/>
      <c r="CR180" s="14"/>
      <c r="CS180" s="86"/>
      <c r="CT180" s="111"/>
      <c r="CU180" s="86"/>
      <c r="CV180" s="179"/>
      <c r="CW180" s="188"/>
      <c r="CX180" s="179"/>
      <c r="CY180" s="29"/>
      <c r="CZ180" s="109"/>
      <c r="DA180" s="109"/>
      <c r="DB180" s="109"/>
      <c r="DC180" s="109"/>
      <c r="DD180" s="109"/>
      <c r="DE180" s="109"/>
      <c r="DF180" s="109"/>
      <c r="DG180" s="329"/>
      <c r="DH180" s="14"/>
      <c r="DI180" s="47"/>
      <c r="DJ180" s="14"/>
      <c r="DK180" s="62"/>
      <c r="DL180" s="19"/>
      <c r="DM180" s="59"/>
      <c r="DN180" s="14"/>
      <c r="DO180" s="14"/>
      <c r="DP180" s="107" t="s">
        <v>34</v>
      </c>
      <c r="DQ180" s="27">
        <f>COUNTIFS(S30_stakeholder_category,"PO",Response_Q172_1,DP180,Response_Q173_7,"&lt;&gt;0")</f>
        <v>0</v>
      </c>
      <c r="DR180" s="41">
        <f>IF(DQ185=0,"",DQ180/DQ185)</f>
        <v>0</v>
      </c>
      <c r="DS180" s="14"/>
      <c r="DT180" s="14"/>
      <c r="DU180" s="14"/>
      <c r="DV180" s="14"/>
      <c r="DW180" s="14"/>
      <c r="DX180" s="14"/>
      <c r="DY180" s="14"/>
      <c r="DZ180" s="14"/>
      <c r="EA180" s="14"/>
      <c r="EB180" s="14"/>
      <c r="EC180" s="14"/>
      <c r="ED180" s="14"/>
      <c r="EE180" s="14"/>
      <c r="EF180" s="14"/>
      <c r="EG180" s="14"/>
      <c r="EH180" s="14"/>
      <c r="EI180" s="14"/>
      <c r="EJ180" s="14"/>
      <c r="EK180" s="14"/>
      <c r="EL180" s="14"/>
    </row>
    <row r="181" spans="1:142" x14ac:dyDescent="0.25">
      <c r="A181" s="14"/>
      <c r="B181" s="14"/>
      <c r="C181" s="19"/>
      <c r="D181" s="59"/>
      <c r="E181" s="14"/>
      <c r="F181" s="14"/>
      <c r="G181" s="107" t="s">
        <v>35</v>
      </c>
      <c r="H181" s="27">
        <f>COUNTIFS(S30_stakeholder_category,"PO",Response_Q173_7,G181)</f>
        <v>1</v>
      </c>
      <c r="I181" s="41">
        <f t="shared" ref="I181:I185" si="135">IFERROR(H181/H$185,"")</f>
        <v>0.5</v>
      </c>
      <c r="J181" s="14"/>
      <c r="K181" s="14"/>
      <c r="L181" s="14"/>
      <c r="M181" s="14"/>
      <c r="N181" s="14"/>
      <c r="O181" s="14"/>
      <c r="P181" s="14"/>
      <c r="Q181" s="47"/>
      <c r="R181" s="19"/>
      <c r="S181" s="19"/>
      <c r="T181" s="19"/>
      <c r="U181" s="27"/>
      <c r="V181" s="19"/>
      <c r="W181" s="14"/>
      <c r="X181" s="107" t="s">
        <v>4</v>
      </c>
      <c r="Y181" s="27">
        <f t="shared" si="130"/>
        <v>0</v>
      </c>
      <c r="Z181" s="41">
        <f t="shared" si="131"/>
        <v>0</v>
      </c>
      <c r="AA181" s="14"/>
      <c r="AB181" s="14"/>
      <c r="AC181" s="14"/>
      <c r="AD181" s="65"/>
      <c r="AE181" s="63"/>
      <c r="AF181" s="47"/>
      <c r="AG181" s="19"/>
      <c r="AH181" s="19"/>
      <c r="AI181" s="19"/>
      <c r="AJ181" s="27"/>
      <c r="AK181" s="19"/>
      <c r="AL181" s="14"/>
      <c r="AM181" s="107" t="s">
        <v>4</v>
      </c>
      <c r="AN181" s="27">
        <f t="shared" si="132"/>
        <v>0</v>
      </c>
      <c r="AO181" s="41">
        <f t="shared" ref="AO181:AO186" si="136">IFERROR(AN181/AN$187,0)</f>
        <v>0</v>
      </c>
      <c r="AP181" s="14"/>
      <c r="AQ181" s="14"/>
      <c r="AR181" s="14"/>
      <c r="AS181" s="65"/>
      <c r="AT181" s="63"/>
      <c r="AU181" s="47"/>
      <c r="AV181" s="14"/>
      <c r="AW181" s="19"/>
      <c r="AX181" s="19"/>
      <c r="AY181" s="27"/>
      <c r="AZ181" s="19"/>
      <c r="BA181" s="14"/>
      <c r="BB181" s="107" t="s">
        <v>4</v>
      </c>
      <c r="BC181" s="27">
        <f t="shared" si="133"/>
        <v>0</v>
      </c>
      <c r="BD181" s="41">
        <f t="shared" ref="BD181:BD186" si="137">IFERROR(BC181/BC$187,0)</f>
        <v>0</v>
      </c>
      <c r="BE181" s="14"/>
      <c r="BF181" s="14"/>
      <c r="BG181" s="14"/>
      <c r="BH181" s="65"/>
      <c r="BI181" s="63"/>
      <c r="BJ181" s="352"/>
      <c r="BK181" s="19"/>
      <c r="BL181" s="19"/>
      <c r="BM181" s="19"/>
      <c r="BN181" s="27"/>
      <c r="BO181" s="19"/>
      <c r="BP181" s="14"/>
      <c r="BQ181" s="107" t="s">
        <v>4</v>
      </c>
      <c r="BR181" s="27">
        <f t="shared" si="134"/>
        <v>0</v>
      </c>
      <c r="BS181" s="41">
        <f t="shared" ref="BS181:BS186" si="138">IFERROR(BR181/BR$187,0)</f>
        <v>0</v>
      </c>
      <c r="BT181" s="14"/>
      <c r="BU181" s="14"/>
      <c r="BV181" s="14"/>
      <c r="BW181" s="65"/>
      <c r="BX181" s="63"/>
      <c r="BY181" s="352"/>
      <c r="BZ181" s="14"/>
      <c r="CA181" s="14"/>
      <c r="CB181" s="21"/>
      <c r="CC181" s="21"/>
      <c r="CD181" s="180"/>
      <c r="CE181" s="181"/>
      <c r="CF181" s="31"/>
      <c r="CG181" s="52"/>
      <c r="CH181" s="52"/>
      <c r="CI181" s="99"/>
      <c r="CJ181" s="14"/>
      <c r="CK181" s="14"/>
      <c r="CL181" s="14"/>
      <c r="CM181" s="14"/>
      <c r="CN181" s="14"/>
      <c r="CO181" s="129"/>
      <c r="CP181" s="14"/>
      <c r="CQ181" s="47"/>
      <c r="CR181" s="14"/>
      <c r="CS181" s="14"/>
      <c r="CT181" s="14"/>
      <c r="CU181" s="14"/>
      <c r="CV181" s="180"/>
      <c r="CW181" s="190"/>
      <c r="CX181" s="191"/>
      <c r="CY181" s="52"/>
      <c r="CZ181" s="52"/>
      <c r="DA181" s="54"/>
      <c r="DB181" s="14"/>
      <c r="DC181" s="14"/>
      <c r="DD181" s="14"/>
      <c r="DE181" s="14"/>
      <c r="DF181" s="14"/>
      <c r="DG181" s="129"/>
      <c r="DH181" s="14"/>
      <c r="DI181" s="47"/>
      <c r="DJ181" s="14"/>
      <c r="DK181" s="62"/>
      <c r="DL181" s="19"/>
      <c r="DM181" s="59"/>
      <c r="DN181" s="14"/>
      <c r="DO181" s="14"/>
      <c r="DP181" s="107" t="s">
        <v>35</v>
      </c>
      <c r="DQ181" s="27">
        <f>COUNTIFS(S30_stakeholder_category,"PO",Response_Q172_1,DP181,Response_Q173_7,"&lt;&gt;0")</f>
        <v>0</v>
      </c>
      <c r="DR181" s="41">
        <f>IF(DQ185=0,"",DQ181/DQ185)</f>
        <v>0</v>
      </c>
      <c r="DS181" s="14"/>
      <c r="DT181" s="14"/>
      <c r="DU181" s="14"/>
      <c r="DV181" s="14"/>
      <c r="DW181" s="14"/>
      <c r="DX181" s="14"/>
      <c r="DY181" s="14"/>
      <c r="DZ181" s="14"/>
      <c r="EA181" s="14"/>
      <c r="EB181" s="14"/>
      <c r="EC181" s="14"/>
      <c r="ED181" s="14"/>
      <c r="EE181" s="14"/>
      <c r="EF181" s="14"/>
      <c r="EG181" s="14"/>
      <c r="EH181" s="14"/>
      <c r="EI181" s="14"/>
      <c r="EJ181" s="14"/>
      <c r="EK181" s="14"/>
      <c r="EL181" s="14"/>
    </row>
    <row r="182" spans="1:142" x14ac:dyDescent="0.25">
      <c r="A182" s="14"/>
      <c r="B182" s="14"/>
      <c r="C182" s="19"/>
      <c r="D182" s="59"/>
      <c r="E182" s="14"/>
      <c r="F182" s="14"/>
      <c r="G182" s="107" t="s">
        <v>36</v>
      </c>
      <c r="H182" s="27">
        <f>COUNTIFS(S30_stakeholder_category,"PO",Response_Q173_7,G182)</f>
        <v>0</v>
      </c>
      <c r="I182" s="41">
        <f t="shared" si="135"/>
        <v>0</v>
      </c>
      <c r="J182" s="14"/>
      <c r="K182" s="14"/>
      <c r="L182" s="14"/>
      <c r="M182" s="14"/>
      <c r="N182" s="14"/>
      <c r="O182" s="14"/>
      <c r="P182" s="14"/>
      <c r="Q182" s="47"/>
      <c r="R182" s="19"/>
      <c r="S182" s="19"/>
      <c r="T182" s="19"/>
      <c r="U182" s="27"/>
      <c r="V182" s="19"/>
      <c r="W182" s="14"/>
      <c r="X182" s="107" t="s">
        <v>33</v>
      </c>
      <c r="Y182" s="27">
        <f t="shared" si="130"/>
        <v>0</v>
      </c>
      <c r="Z182" s="41">
        <f t="shared" si="131"/>
        <v>0</v>
      </c>
      <c r="AA182" s="14"/>
      <c r="AB182" s="14"/>
      <c r="AC182" s="14"/>
      <c r="AD182" s="65"/>
      <c r="AE182" s="63"/>
      <c r="AF182" s="47"/>
      <c r="AG182" s="19"/>
      <c r="AH182" s="19"/>
      <c r="AI182" s="19"/>
      <c r="AJ182" s="27"/>
      <c r="AK182" s="19"/>
      <c r="AL182" s="14"/>
      <c r="AM182" s="107" t="s">
        <v>33</v>
      </c>
      <c r="AN182" s="27">
        <f t="shared" si="132"/>
        <v>0</v>
      </c>
      <c r="AO182" s="41">
        <f t="shared" si="136"/>
        <v>0</v>
      </c>
      <c r="AP182" s="14"/>
      <c r="AQ182" s="14"/>
      <c r="AR182" s="14"/>
      <c r="AS182" s="65"/>
      <c r="AT182" s="63"/>
      <c r="AU182" s="47"/>
      <c r="AV182" s="14"/>
      <c r="AW182" s="19"/>
      <c r="AX182" s="19"/>
      <c r="AY182" s="27"/>
      <c r="AZ182" s="19"/>
      <c r="BA182" s="14"/>
      <c r="BB182" s="107" t="s">
        <v>33</v>
      </c>
      <c r="BC182" s="27">
        <f t="shared" si="133"/>
        <v>0</v>
      </c>
      <c r="BD182" s="41">
        <f t="shared" si="137"/>
        <v>0</v>
      </c>
      <c r="BE182" s="14"/>
      <c r="BF182" s="14"/>
      <c r="BG182" s="14"/>
      <c r="BH182" s="65"/>
      <c r="BI182" s="63"/>
      <c r="BJ182" s="352"/>
      <c r="BK182" s="19"/>
      <c r="BL182" s="19"/>
      <c r="BM182" s="19"/>
      <c r="BN182" s="27"/>
      <c r="BO182" s="19"/>
      <c r="BP182" s="14"/>
      <c r="BQ182" s="107" t="s">
        <v>33</v>
      </c>
      <c r="BR182" s="27">
        <f t="shared" si="134"/>
        <v>0</v>
      </c>
      <c r="BS182" s="41">
        <f t="shared" si="138"/>
        <v>0</v>
      </c>
      <c r="BT182" s="14"/>
      <c r="BU182" s="14"/>
      <c r="BV182" s="14"/>
      <c r="BW182" s="65"/>
      <c r="BX182" s="63"/>
      <c r="BY182" s="352"/>
      <c r="BZ182" s="14"/>
      <c r="CA182" s="14"/>
      <c r="CB182" s="21"/>
      <c r="CC182" s="21"/>
      <c r="CD182" s="180"/>
      <c r="CE182" s="181"/>
      <c r="CF182" s="31"/>
      <c r="CG182" s="52"/>
      <c r="CH182" s="52"/>
      <c r="CI182" s="99"/>
      <c r="CJ182" s="14"/>
      <c r="CK182" s="14"/>
      <c r="CL182" s="14"/>
      <c r="CM182" s="14"/>
      <c r="CN182" s="14"/>
      <c r="CO182" s="129"/>
      <c r="CP182" s="14"/>
      <c r="CQ182" s="47"/>
      <c r="CR182" s="14"/>
      <c r="CS182" s="14"/>
      <c r="CT182" s="14"/>
      <c r="CU182" s="14"/>
      <c r="CV182" s="180"/>
      <c r="CW182" s="190"/>
      <c r="CX182" s="191"/>
      <c r="CY182" s="52"/>
      <c r="CZ182" s="52"/>
      <c r="DA182" s="54"/>
      <c r="DB182" s="14"/>
      <c r="DC182" s="14"/>
      <c r="DD182" s="14"/>
      <c r="DE182" s="14"/>
      <c r="DF182" s="14"/>
      <c r="DG182" s="129"/>
      <c r="DH182" s="14"/>
      <c r="DI182" s="47"/>
      <c r="DJ182" s="14"/>
      <c r="DK182" s="62"/>
      <c r="DL182" s="19"/>
      <c r="DM182" s="59"/>
      <c r="DN182" s="14"/>
      <c r="DO182" s="14"/>
      <c r="DP182" s="107" t="s">
        <v>36</v>
      </c>
      <c r="DQ182" s="27">
        <f>COUNTIFS(S30_stakeholder_category,"PO",Response_Q172_1,DP182,Response_Q173_7,"&lt;&gt;0")</f>
        <v>1</v>
      </c>
      <c r="DR182" s="41">
        <f>IF(DQ185=0,"",DQ182/DQ185)</f>
        <v>0.5</v>
      </c>
      <c r="DS182" s="14"/>
      <c r="DT182" s="14"/>
      <c r="DU182" s="14"/>
      <c r="DV182" s="14"/>
      <c r="DW182" s="14"/>
      <c r="DX182" s="14"/>
      <c r="DY182" s="14"/>
      <c r="DZ182" s="14"/>
      <c r="EA182" s="14"/>
      <c r="EB182" s="14"/>
      <c r="EC182" s="14"/>
      <c r="ED182" s="14"/>
      <c r="EE182" s="14"/>
      <c r="EF182" s="14"/>
      <c r="EG182" s="14"/>
      <c r="EH182" s="14"/>
      <c r="EI182" s="14"/>
      <c r="EJ182" s="14"/>
      <c r="EK182" s="14"/>
      <c r="EL182" s="14"/>
    </row>
    <row r="183" spans="1:142" ht="14.4" x14ac:dyDescent="0.25">
      <c r="A183" s="14"/>
      <c r="B183" s="62"/>
      <c r="C183" s="19"/>
      <c r="D183" s="59"/>
      <c r="E183" s="14"/>
      <c r="F183" s="14"/>
      <c r="G183" s="107" t="s">
        <v>38</v>
      </c>
      <c r="H183" s="27">
        <f>COUNTIFS(S30_stakeholder_category,"PO",Response_Q173_7,G183)</f>
        <v>0</v>
      </c>
      <c r="I183" s="41">
        <f t="shared" si="135"/>
        <v>0</v>
      </c>
      <c r="J183" s="14"/>
      <c r="K183" s="14"/>
      <c r="L183" s="14"/>
      <c r="M183" s="14"/>
      <c r="N183" s="14"/>
      <c r="O183" s="14"/>
      <c r="P183" s="14"/>
      <c r="Q183" s="47"/>
      <c r="R183" s="19"/>
      <c r="S183" s="60"/>
      <c r="T183" s="19"/>
      <c r="U183" s="59"/>
      <c r="V183" s="19"/>
      <c r="W183" s="14"/>
      <c r="X183" s="107" t="s">
        <v>29</v>
      </c>
      <c r="Y183" s="27">
        <f t="shared" si="130"/>
        <v>0</v>
      </c>
      <c r="Z183" s="41">
        <f t="shared" si="131"/>
        <v>0</v>
      </c>
      <c r="AA183" s="14"/>
      <c r="AB183" s="14"/>
      <c r="AC183" s="14"/>
      <c r="AD183" s="65"/>
      <c r="AE183" s="63"/>
      <c r="AF183" s="47"/>
      <c r="AG183" s="19"/>
      <c r="AH183" s="60"/>
      <c r="AI183" s="19"/>
      <c r="AJ183" s="59"/>
      <c r="AK183" s="19"/>
      <c r="AL183" s="14"/>
      <c r="AM183" s="107" t="s">
        <v>29</v>
      </c>
      <c r="AN183" s="27">
        <f t="shared" si="132"/>
        <v>0</v>
      </c>
      <c r="AO183" s="41">
        <f t="shared" si="136"/>
        <v>0</v>
      </c>
      <c r="AP183" s="14"/>
      <c r="AQ183" s="14"/>
      <c r="AR183" s="14"/>
      <c r="AS183" s="65"/>
      <c r="AT183" s="63"/>
      <c r="AU183" s="47"/>
      <c r="AV183" s="14"/>
      <c r="AW183" s="60"/>
      <c r="AX183" s="19"/>
      <c r="AY183" s="59"/>
      <c r="AZ183" s="19"/>
      <c r="BA183" s="14"/>
      <c r="BB183" s="107" t="s">
        <v>29</v>
      </c>
      <c r="BC183" s="27">
        <f t="shared" si="133"/>
        <v>0</v>
      </c>
      <c r="BD183" s="41">
        <f t="shared" si="137"/>
        <v>0</v>
      </c>
      <c r="BE183" s="14"/>
      <c r="BF183" s="14"/>
      <c r="BG183" s="14"/>
      <c r="BH183" s="65"/>
      <c r="BI183" s="63"/>
      <c r="BJ183" s="352"/>
      <c r="BK183" s="19"/>
      <c r="BL183" s="60"/>
      <c r="BM183" s="19"/>
      <c r="BN183" s="59"/>
      <c r="BO183" s="19"/>
      <c r="BP183" s="14"/>
      <c r="BQ183" s="107" t="s">
        <v>29</v>
      </c>
      <c r="BR183" s="27">
        <f t="shared" si="134"/>
        <v>0</v>
      </c>
      <c r="BS183" s="41">
        <f t="shared" si="138"/>
        <v>0</v>
      </c>
      <c r="BT183" s="14"/>
      <c r="BU183" s="14"/>
      <c r="BV183" s="14"/>
      <c r="BW183" s="65"/>
      <c r="BX183" s="63"/>
      <c r="BY183" s="352"/>
      <c r="BZ183" s="14"/>
      <c r="CA183" s="14"/>
      <c r="CB183" s="21"/>
      <c r="CC183" s="21"/>
      <c r="CD183" s="180"/>
      <c r="CE183" s="181"/>
      <c r="CF183" s="31"/>
      <c r="CG183" s="52"/>
      <c r="CH183" s="52"/>
      <c r="CI183" s="99"/>
      <c r="CJ183" s="14"/>
      <c r="CK183" s="14"/>
      <c r="CL183" s="14"/>
      <c r="CM183" s="14"/>
      <c r="CN183" s="14"/>
      <c r="CO183" s="129"/>
      <c r="CP183" s="14"/>
      <c r="CQ183" s="47"/>
      <c r="CR183" s="14"/>
      <c r="CS183" s="14"/>
      <c r="CT183" s="14"/>
      <c r="CU183" s="14"/>
      <c r="CV183" s="180"/>
      <c r="CW183" s="190"/>
      <c r="CX183" s="191"/>
      <c r="CY183" s="52"/>
      <c r="CZ183" s="52"/>
      <c r="DA183" s="54"/>
      <c r="DB183" s="14"/>
      <c r="DC183" s="14"/>
      <c r="DD183" s="14"/>
      <c r="DE183" s="14"/>
      <c r="DF183" s="14"/>
      <c r="DG183" s="129"/>
      <c r="DH183" s="14"/>
      <c r="DI183" s="47"/>
      <c r="DJ183" s="14"/>
      <c r="DK183" s="62"/>
      <c r="DL183" s="19"/>
      <c r="DM183" s="59"/>
      <c r="DN183" s="14"/>
      <c r="DO183" s="14"/>
      <c r="DP183" s="107" t="s">
        <v>38</v>
      </c>
      <c r="DQ183" s="27">
        <f>COUNTIFS(S30_stakeholder_category,"PO",Response_Q172_1,DP183,Response_Q173_7,"&lt;&gt;0")</f>
        <v>1</v>
      </c>
      <c r="DR183" s="41">
        <f>IF(DQ185=0,"",DQ183/DQ185)</f>
        <v>0.5</v>
      </c>
      <c r="DS183" s="14"/>
      <c r="DT183" s="14"/>
      <c r="DU183" s="14"/>
      <c r="DV183" s="14"/>
      <c r="DW183" s="14"/>
      <c r="DX183" s="14"/>
      <c r="DY183" s="14"/>
      <c r="DZ183" s="14"/>
      <c r="EA183" s="14"/>
      <c r="EB183" s="14"/>
      <c r="EC183" s="14"/>
      <c r="ED183" s="14"/>
      <c r="EE183" s="14"/>
      <c r="EF183" s="14"/>
      <c r="EG183" s="14"/>
      <c r="EH183" s="14"/>
      <c r="EI183" s="14"/>
      <c r="EJ183" s="14"/>
      <c r="EK183" s="14"/>
      <c r="EL183" s="14"/>
    </row>
    <row r="184" spans="1:142" ht="14.4" x14ac:dyDescent="0.25">
      <c r="A184" s="14"/>
      <c r="B184" s="62"/>
      <c r="C184" s="19"/>
      <c r="D184" s="59"/>
      <c r="E184" s="14"/>
      <c r="F184" s="14"/>
      <c r="G184" s="107" t="s">
        <v>39</v>
      </c>
      <c r="H184" s="27">
        <f>COUNTIFS(S30_stakeholder_category,"PO",Response_Q173_7,G184)</f>
        <v>0</v>
      </c>
      <c r="I184" s="41">
        <f t="shared" si="135"/>
        <v>0</v>
      </c>
      <c r="J184" s="14"/>
      <c r="K184" s="14"/>
      <c r="L184" s="14"/>
      <c r="M184" s="14"/>
      <c r="N184" s="14"/>
      <c r="O184" s="14"/>
      <c r="P184" s="14"/>
      <c r="Q184" s="47"/>
      <c r="R184" s="19"/>
      <c r="S184" s="61"/>
      <c r="T184" s="19"/>
      <c r="U184" s="59"/>
      <c r="V184" s="19"/>
      <c r="W184" s="14"/>
      <c r="X184" s="107" t="s">
        <v>3</v>
      </c>
      <c r="Y184" s="27">
        <f t="shared" si="130"/>
        <v>1</v>
      </c>
      <c r="Z184" s="41">
        <f t="shared" si="131"/>
        <v>0.5</v>
      </c>
      <c r="AA184" s="14"/>
      <c r="AB184" s="14"/>
      <c r="AC184" s="14"/>
      <c r="AD184" s="65"/>
      <c r="AE184" s="63"/>
      <c r="AF184" s="47"/>
      <c r="AG184" s="19"/>
      <c r="AH184" s="61"/>
      <c r="AI184" s="19"/>
      <c r="AJ184" s="59"/>
      <c r="AK184" s="19"/>
      <c r="AL184" s="14"/>
      <c r="AM184" s="107" t="s">
        <v>3</v>
      </c>
      <c r="AN184" s="27">
        <f t="shared" si="132"/>
        <v>0</v>
      </c>
      <c r="AO184" s="41">
        <f t="shared" si="136"/>
        <v>0</v>
      </c>
      <c r="AP184" s="14"/>
      <c r="AQ184" s="14"/>
      <c r="AR184" s="14"/>
      <c r="AS184" s="65"/>
      <c r="AT184" s="63"/>
      <c r="AU184" s="47"/>
      <c r="AV184" s="14"/>
      <c r="AW184" s="61"/>
      <c r="AX184" s="19"/>
      <c r="AY184" s="59"/>
      <c r="AZ184" s="19"/>
      <c r="BA184" s="14"/>
      <c r="BB184" s="107" t="s">
        <v>3</v>
      </c>
      <c r="BC184" s="27">
        <f t="shared" si="133"/>
        <v>0</v>
      </c>
      <c r="BD184" s="41">
        <f t="shared" si="137"/>
        <v>0</v>
      </c>
      <c r="BE184" s="14"/>
      <c r="BF184" s="14"/>
      <c r="BG184" s="14"/>
      <c r="BH184" s="65"/>
      <c r="BI184" s="63"/>
      <c r="BJ184" s="352"/>
      <c r="BK184" s="19"/>
      <c r="BL184" s="61"/>
      <c r="BM184" s="19"/>
      <c r="BN184" s="59"/>
      <c r="BO184" s="19"/>
      <c r="BP184" s="14"/>
      <c r="BQ184" s="107" t="s">
        <v>3</v>
      </c>
      <c r="BR184" s="27">
        <f t="shared" si="134"/>
        <v>1</v>
      </c>
      <c r="BS184" s="41">
        <f t="shared" si="138"/>
        <v>1</v>
      </c>
      <c r="BT184" s="14"/>
      <c r="BU184" s="14"/>
      <c r="BV184" s="14"/>
      <c r="BW184" s="65"/>
      <c r="BX184" s="63"/>
      <c r="BY184" s="352"/>
      <c r="BZ184" s="14"/>
      <c r="CA184" s="14"/>
      <c r="CB184" s="21"/>
      <c r="CC184" s="21"/>
      <c r="CD184" s="180"/>
      <c r="CE184" s="181"/>
      <c r="CF184" s="31"/>
      <c r="CG184" s="52"/>
      <c r="CH184" s="52"/>
      <c r="CI184" s="99"/>
      <c r="CJ184" s="14"/>
      <c r="CK184" s="14"/>
      <c r="CL184" s="14"/>
      <c r="CM184" s="14"/>
      <c r="CN184" s="14"/>
      <c r="CO184" s="129"/>
      <c r="CP184" s="14"/>
      <c r="CQ184" s="47"/>
      <c r="CR184" s="14"/>
      <c r="CS184" s="14"/>
      <c r="CT184" s="14"/>
      <c r="CU184" s="14"/>
      <c r="CV184" s="180"/>
      <c r="CW184" s="190"/>
      <c r="CX184" s="191"/>
      <c r="CY184" s="52"/>
      <c r="CZ184" s="52"/>
      <c r="DA184" s="54"/>
      <c r="DB184" s="14"/>
      <c r="DC184" s="14"/>
      <c r="DD184" s="14"/>
      <c r="DE184" s="14"/>
      <c r="DF184" s="14"/>
      <c r="DG184" s="129"/>
      <c r="DH184" s="14"/>
      <c r="DI184" s="47"/>
      <c r="DJ184" s="14"/>
      <c r="DK184" s="62"/>
      <c r="DL184" s="19"/>
      <c r="DM184" s="59"/>
      <c r="DN184" s="14"/>
      <c r="DO184" s="14"/>
      <c r="DP184" s="107" t="s">
        <v>39</v>
      </c>
      <c r="DQ184" s="27">
        <f>COUNTIFS(S30_stakeholder_category,"PO",Response_Q172_1,DP184,Response_Q173_7,"&lt;&gt;0")</f>
        <v>0</v>
      </c>
      <c r="DR184" s="41">
        <f>IF(DQ185=0,"",DQ184/DQ185)</f>
        <v>0</v>
      </c>
      <c r="DS184" s="14"/>
      <c r="DT184" s="14"/>
      <c r="DU184" s="14"/>
      <c r="DV184" s="14"/>
      <c r="DW184" s="14"/>
      <c r="DX184" s="14"/>
      <c r="DY184" s="14"/>
      <c r="DZ184" s="14"/>
      <c r="EA184" s="14"/>
      <c r="EB184" s="14"/>
      <c r="EC184" s="14"/>
      <c r="ED184" s="14"/>
      <c r="EE184" s="14"/>
      <c r="EF184" s="14"/>
      <c r="EG184" s="14"/>
      <c r="EH184" s="14"/>
      <c r="EI184" s="14"/>
      <c r="EJ184" s="14"/>
      <c r="EK184" s="14"/>
      <c r="EL184" s="14"/>
    </row>
    <row r="185" spans="1:142" x14ac:dyDescent="0.25">
      <c r="A185" s="14"/>
      <c r="B185" s="62"/>
      <c r="C185" s="19"/>
      <c r="D185" s="59"/>
      <c r="E185" s="14"/>
      <c r="F185" s="14"/>
      <c r="G185" s="86" t="s">
        <v>145</v>
      </c>
      <c r="H185" s="111">
        <f>COUNTIFS(S30_stakeholder_category,"PO",Response_Q173_7,"&lt;&gt;0")</f>
        <v>2</v>
      </c>
      <c r="I185" s="119">
        <f t="shared" si="135"/>
        <v>1</v>
      </c>
      <c r="J185" s="14"/>
      <c r="K185" s="14"/>
      <c r="L185" s="14"/>
      <c r="M185" s="14"/>
      <c r="N185" s="14"/>
      <c r="O185" s="14"/>
      <c r="P185" s="14"/>
      <c r="Q185" s="47"/>
      <c r="R185" s="19"/>
      <c r="S185" s="62"/>
      <c r="T185" s="19"/>
      <c r="U185" s="59"/>
      <c r="V185" s="19"/>
      <c r="W185" s="14"/>
      <c r="X185" s="107" t="s">
        <v>54</v>
      </c>
      <c r="Y185" s="27">
        <f t="shared" si="130"/>
        <v>0</v>
      </c>
      <c r="Z185" s="41">
        <f t="shared" si="131"/>
        <v>0</v>
      </c>
      <c r="AA185" s="14"/>
      <c r="AB185" s="14"/>
      <c r="AC185" s="14"/>
      <c r="AD185" s="65"/>
      <c r="AE185" s="63"/>
      <c r="AF185" s="47"/>
      <c r="AG185" s="19"/>
      <c r="AH185" s="62"/>
      <c r="AI185" s="19"/>
      <c r="AJ185" s="59"/>
      <c r="AK185" s="19"/>
      <c r="AL185" s="14"/>
      <c r="AM185" s="107" t="s">
        <v>54</v>
      </c>
      <c r="AN185" s="27">
        <f t="shared" si="132"/>
        <v>0</v>
      </c>
      <c r="AO185" s="41">
        <f t="shared" si="136"/>
        <v>0</v>
      </c>
      <c r="AP185" s="14"/>
      <c r="AQ185" s="14"/>
      <c r="AR185" s="14"/>
      <c r="AS185" s="65"/>
      <c r="AT185" s="63"/>
      <c r="AU185" s="47"/>
      <c r="AV185" s="14"/>
      <c r="AW185" s="62"/>
      <c r="AX185" s="19"/>
      <c r="AY185" s="59"/>
      <c r="AZ185" s="19"/>
      <c r="BA185" s="14"/>
      <c r="BB185" s="107" t="s">
        <v>54</v>
      </c>
      <c r="BC185" s="27">
        <f t="shared" si="133"/>
        <v>0</v>
      </c>
      <c r="BD185" s="41">
        <f t="shared" si="137"/>
        <v>0</v>
      </c>
      <c r="BE185" s="14"/>
      <c r="BF185" s="14"/>
      <c r="BG185" s="14"/>
      <c r="BH185" s="65"/>
      <c r="BI185" s="63"/>
      <c r="BJ185" s="352"/>
      <c r="BK185" s="19"/>
      <c r="BL185" s="62"/>
      <c r="BM185" s="19"/>
      <c r="BN185" s="59"/>
      <c r="BO185" s="19"/>
      <c r="BP185" s="14"/>
      <c r="BQ185" s="107" t="s">
        <v>54</v>
      </c>
      <c r="BR185" s="27">
        <f t="shared" si="134"/>
        <v>0</v>
      </c>
      <c r="BS185" s="41">
        <f t="shared" si="138"/>
        <v>0</v>
      </c>
      <c r="BT185" s="14"/>
      <c r="BU185" s="14"/>
      <c r="BV185" s="14"/>
      <c r="BW185" s="65"/>
      <c r="BX185" s="63"/>
      <c r="BY185" s="352"/>
      <c r="BZ185" s="14"/>
      <c r="CA185" s="14"/>
      <c r="CB185" s="21"/>
      <c r="CC185" s="21"/>
      <c r="CD185" s="180"/>
      <c r="CE185" s="181"/>
      <c r="CF185" s="31"/>
      <c r="CG185" s="52"/>
      <c r="CH185" s="52"/>
      <c r="CI185" s="99"/>
      <c r="CJ185" s="14"/>
      <c r="CK185" s="14"/>
      <c r="CL185" s="14"/>
      <c r="CM185" s="14"/>
      <c r="CN185" s="14"/>
      <c r="CO185" s="129"/>
      <c r="CP185" s="14"/>
      <c r="CQ185" s="47"/>
      <c r="CR185" s="14"/>
      <c r="CS185" s="14"/>
      <c r="CT185" s="14"/>
      <c r="CU185" s="14"/>
      <c r="CV185" s="180"/>
      <c r="CW185" s="190"/>
      <c r="CX185" s="191"/>
      <c r="CY185" s="52"/>
      <c r="CZ185" s="52"/>
      <c r="DA185" s="54"/>
      <c r="DB185" s="14"/>
      <c r="DC185" s="14"/>
      <c r="DD185" s="14"/>
      <c r="DE185" s="14"/>
      <c r="DF185" s="14"/>
      <c r="DG185" s="129"/>
      <c r="DH185" s="14"/>
      <c r="DI185" s="47"/>
      <c r="DJ185" s="14"/>
      <c r="DK185" s="62"/>
      <c r="DL185" s="19"/>
      <c r="DM185" s="59"/>
      <c r="DN185" s="14"/>
      <c r="DO185" s="14"/>
      <c r="DP185" s="86" t="s">
        <v>145</v>
      </c>
      <c r="DQ185" s="111">
        <f>COUNTIFS(S30_stakeholder_category,"PO",Response_Q172_1,"&lt;&gt;0",Response_Q173_7,"&lt;&gt;0")</f>
        <v>2</v>
      </c>
      <c r="DR185" s="119">
        <f>IF(DQ185=0,"",DQ185/DQ185)</f>
        <v>1</v>
      </c>
      <c r="DS185" s="14"/>
      <c r="DT185" s="14"/>
      <c r="DU185" s="14"/>
      <c r="DV185" s="14"/>
      <c r="DW185" s="14"/>
      <c r="DX185" s="14"/>
      <c r="DY185" s="14"/>
      <c r="DZ185" s="14"/>
      <c r="EA185" s="14"/>
      <c r="EB185" s="14"/>
      <c r="EC185" s="14"/>
      <c r="ED185" s="14"/>
      <c r="EE185" s="14"/>
      <c r="EF185" s="14"/>
      <c r="EG185" s="14"/>
      <c r="EH185" s="14"/>
      <c r="EI185" s="14"/>
      <c r="EJ185" s="14"/>
      <c r="EK185" s="14"/>
      <c r="EL185" s="14"/>
    </row>
    <row r="186" spans="1:142" x14ac:dyDescent="0.25">
      <c r="A186" s="14"/>
      <c r="B186" s="62"/>
      <c r="C186" s="19"/>
      <c r="D186" s="59"/>
      <c r="E186" s="14"/>
      <c r="F186" s="14"/>
      <c r="G186" s="14"/>
      <c r="H186" s="21"/>
      <c r="I186" s="21"/>
      <c r="J186" s="14"/>
      <c r="K186" s="14"/>
      <c r="L186" s="14"/>
      <c r="M186" s="14"/>
      <c r="N186" s="14"/>
      <c r="O186" s="14"/>
      <c r="P186" s="14"/>
      <c r="Q186" s="47"/>
      <c r="R186" s="19"/>
      <c r="S186" s="62"/>
      <c r="T186" s="19"/>
      <c r="U186" s="59"/>
      <c r="V186" s="19"/>
      <c r="W186" s="14"/>
      <c r="X186" s="107" t="s">
        <v>39</v>
      </c>
      <c r="Y186" s="27">
        <f t="shared" si="130"/>
        <v>0</v>
      </c>
      <c r="Z186" s="41">
        <f t="shared" si="131"/>
        <v>0</v>
      </c>
      <c r="AA186" s="14"/>
      <c r="AB186" s="14"/>
      <c r="AC186" s="14"/>
      <c r="AD186" s="65"/>
      <c r="AE186" s="63"/>
      <c r="AF186" s="47"/>
      <c r="AG186" s="19"/>
      <c r="AH186" s="62"/>
      <c r="AI186" s="19"/>
      <c r="AJ186" s="59"/>
      <c r="AK186" s="19"/>
      <c r="AL186" s="14"/>
      <c r="AM186" s="107" t="s">
        <v>39</v>
      </c>
      <c r="AN186" s="27">
        <f t="shared" si="132"/>
        <v>0</v>
      </c>
      <c r="AO186" s="41">
        <f t="shared" si="136"/>
        <v>0</v>
      </c>
      <c r="AP186" s="14"/>
      <c r="AQ186" s="14"/>
      <c r="AR186" s="14"/>
      <c r="AS186" s="65"/>
      <c r="AT186" s="63"/>
      <c r="AU186" s="47"/>
      <c r="AV186" s="14"/>
      <c r="AW186" s="62"/>
      <c r="AX186" s="19"/>
      <c r="AY186" s="59"/>
      <c r="AZ186" s="19"/>
      <c r="BA186" s="14"/>
      <c r="BB186" s="107" t="s">
        <v>39</v>
      </c>
      <c r="BC186" s="27">
        <f t="shared" si="133"/>
        <v>0</v>
      </c>
      <c r="BD186" s="41">
        <f t="shared" si="137"/>
        <v>0</v>
      </c>
      <c r="BE186" s="14"/>
      <c r="BF186" s="14"/>
      <c r="BG186" s="14"/>
      <c r="BH186" s="65"/>
      <c r="BI186" s="63"/>
      <c r="BJ186" s="352"/>
      <c r="BK186" s="19"/>
      <c r="BL186" s="62"/>
      <c r="BM186" s="19"/>
      <c r="BN186" s="59"/>
      <c r="BO186" s="19"/>
      <c r="BP186" s="14"/>
      <c r="BQ186" s="107" t="s">
        <v>39</v>
      </c>
      <c r="BR186" s="27">
        <f t="shared" si="134"/>
        <v>0</v>
      </c>
      <c r="BS186" s="41">
        <f t="shared" si="138"/>
        <v>0</v>
      </c>
      <c r="BT186" s="14"/>
      <c r="BU186" s="14"/>
      <c r="BV186" s="14"/>
      <c r="BW186" s="65"/>
      <c r="BX186" s="63"/>
      <c r="BY186" s="352"/>
      <c r="BZ186" s="14"/>
      <c r="CA186" s="14"/>
      <c r="CB186" s="21"/>
      <c r="CC186" s="21"/>
      <c r="CD186" s="180"/>
      <c r="CE186" s="181"/>
      <c r="CF186" s="31"/>
      <c r="CG186" s="52"/>
      <c r="CH186" s="52"/>
      <c r="CI186" s="99"/>
      <c r="CJ186" s="14"/>
      <c r="CK186" s="14"/>
      <c r="CL186" s="14"/>
      <c r="CM186" s="14"/>
      <c r="CN186" s="14"/>
      <c r="CO186" s="129"/>
      <c r="CP186" s="14"/>
      <c r="CQ186" s="47"/>
      <c r="CR186" s="14"/>
      <c r="CS186" s="14"/>
      <c r="CT186" s="14"/>
      <c r="CU186" s="14"/>
      <c r="CV186" s="180"/>
      <c r="CW186" s="190"/>
      <c r="CX186" s="191"/>
      <c r="CY186" s="52"/>
      <c r="CZ186" s="52"/>
      <c r="DA186" s="54"/>
      <c r="DB186" s="14"/>
      <c r="DC186" s="14"/>
      <c r="DD186" s="14"/>
      <c r="DE186" s="14"/>
      <c r="DF186" s="14"/>
      <c r="DG186" s="129"/>
      <c r="DH186" s="14"/>
      <c r="DI186" s="47"/>
      <c r="DJ186" s="14"/>
      <c r="DK186" s="62"/>
      <c r="DL186" s="19"/>
      <c r="DM186" s="59"/>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row>
    <row r="187" spans="1:142" x14ac:dyDescent="0.25">
      <c r="A187" s="14"/>
      <c r="B187" s="62"/>
      <c r="C187" s="19"/>
      <c r="D187" s="59"/>
      <c r="E187" s="14"/>
      <c r="F187" s="14"/>
      <c r="G187" s="14"/>
      <c r="H187" s="21"/>
      <c r="I187" s="21"/>
      <c r="J187" s="14"/>
      <c r="K187" s="14"/>
      <c r="L187" s="14"/>
      <c r="M187" s="14"/>
      <c r="N187" s="14"/>
      <c r="O187" s="14"/>
      <c r="P187" s="14"/>
      <c r="Q187" s="47"/>
      <c r="R187" s="19"/>
      <c r="S187" s="62"/>
      <c r="T187" s="19"/>
      <c r="U187" s="59"/>
      <c r="V187" s="19"/>
      <c r="W187" s="14"/>
      <c r="X187" s="86" t="s">
        <v>145</v>
      </c>
      <c r="Y187" s="111">
        <f>COUNTIFS(S30_stakeholder_category,"PO",Response_Q176_4,"&lt;&gt;0")</f>
        <v>2</v>
      </c>
      <c r="Z187" s="119">
        <f>SUM(Z180:Z186)</f>
        <v>1</v>
      </c>
      <c r="AA187" s="14"/>
      <c r="AB187" s="14"/>
      <c r="AC187" s="14"/>
      <c r="AD187" s="65"/>
      <c r="AE187" s="63"/>
      <c r="AF187" s="47"/>
      <c r="AG187" s="19"/>
      <c r="AH187" s="62"/>
      <c r="AI187" s="19"/>
      <c r="AJ187" s="59"/>
      <c r="AK187" s="19"/>
      <c r="AL187" s="14"/>
      <c r="AM187" s="86" t="s">
        <v>145</v>
      </c>
      <c r="AN187" s="111">
        <f>COUNTIFS(S30_stakeholder_category,"PO",Response_30d_CaseA,"&lt;&gt;0")</f>
        <v>1</v>
      </c>
      <c r="AO187" s="119">
        <f>SUM(AO180:AO186)</f>
        <v>1</v>
      </c>
      <c r="AP187" s="14"/>
      <c r="AQ187" s="14"/>
      <c r="AR187" s="14"/>
      <c r="AS187" s="65"/>
      <c r="AT187" s="63"/>
      <c r="AU187" s="47"/>
      <c r="AV187" s="14"/>
      <c r="AW187" s="62"/>
      <c r="AX187" s="19"/>
      <c r="AY187" s="59"/>
      <c r="AZ187" s="19"/>
      <c r="BA187" s="14"/>
      <c r="BB187" s="86" t="s">
        <v>145</v>
      </c>
      <c r="BC187" s="111">
        <f>COUNTIFS(S30_stakeholder_category,"PO",Response_30d_CaseB,"&lt;&gt;0")</f>
        <v>1</v>
      </c>
      <c r="BD187" s="119">
        <f>SUM(BD180:BD186)</f>
        <v>1</v>
      </c>
      <c r="BE187" s="14"/>
      <c r="BF187" s="14"/>
      <c r="BG187" s="14"/>
      <c r="BH187" s="65"/>
      <c r="BI187" s="63"/>
      <c r="BJ187" s="352"/>
      <c r="BK187" s="19"/>
      <c r="BL187" s="62"/>
      <c r="BM187" s="19"/>
      <c r="BN187" s="59"/>
      <c r="BO187" s="19"/>
      <c r="BP187" s="14"/>
      <c r="BQ187" s="86" t="s">
        <v>145</v>
      </c>
      <c r="BR187" s="111">
        <f>COUNTIFS(S30_stakeholder_category,"PO",Response_30d_CaseC,"&lt;&gt;0")</f>
        <v>1</v>
      </c>
      <c r="BS187" s="119">
        <f>SUM(BS180:BS186)</f>
        <v>1</v>
      </c>
      <c r="BT187" s="14"/>
      <c r="BU187" s="14"/>
      <c r="BV187" s="14"/>
      <c r="BW187" s="65"/>
      <c r="BX187" s="63"/>
      <c r="BY187" s="352"/>
      <c r="BZ187" s="14"/>
      <c r="CA187" s="14"/>
      <c r="CB187" s="21"/>
      <c r="CC187" s="21"/>
      <c r="CD187" s="180"/>
      <c r="CE187" s="181"/>
      <c r="CF187" s="31"/>
      <c r="CG187" s="52"/>
      <c r="CH187" s="52"/>
      <c r="CI187" s="99"/>
      <c r="CJ187" s="14"/>
      <c r="CK187" s="14"/>
      <c r="CL187" s="14"/>
      <c r="CM187" s="14"/>
      <c r="CN187" s="14"/>
      <c r="CO187" s="129"/>
      <c r="CP187" s="14"/>
      <c r="CQ187" s="47"/>
      <c r="CR187" s="14"/>
      <c r="CS187" s="14"/>
      <c r="CT187" s="14"/>
      <c r="CU187" s="14"/>
      <c r="CV187" s="180"/>
      <c r="CW187" s="190"/>
      <c r="CX187" s="191"/>
      <c r="CY187" s="52"/>
      <c r="CZ187" s="52"/>
      <c r="DA187" s="54"/>
      <c r="DB187" s="14"/>
      <c r="DC187" s="14"/>
      <c r="DD187" s="14"/>
      <c r="DE187" s="14"/>
      <c r="DF187" s="14"/>
      <c r="DG187" s="129"/>
      <c r="DH187" s="14"/>
      <c r="DI187" s="47"/>
      <c r="DJ187" s="14"/>
      <c r="DK187" s="62"/>
      <c r="DL187" s="19"/>
      <c r="DM187" s="59"/>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row>
    <row r="188" spans="1:142" s="135" customFormat="1" ht="15" customHeight="1" x14ac:dyDescent="0.25">
      <c r="A188" s="14"/>
      <c r="B188" s="13"/>
      <c r="C188" s="13"/>
      <c r="D188" s="21"/>
      <c r="E188" s="14"/>
      <c r="F188" s="14"/>
      <c r="G188" s="14"/>
      <c r="H188" s="21"/>
      <c r="I188" s="21"/>
      <c r="J188" s="14"/>
      <c r="K188" s="14"/>
      <c r="L188" s="14"/>
      <c r="M188" s="14"/>
      <c r="N188" s="14"/>
      <c r="O188" s="14"/>
      <c r="P188" s="14"/>
      <c r="Q188" s="47"/>
      <c r="R188" s="19"/>
      <c r="S188" s="13"/>
      <c r="T188" s="13"/>
      <c r="U188" s="21"/>
      <c r="V188" s="14"/>
      <c r="W188" s="14"/>
      <c r="X188" s="14"/>
      <c r="Y188" s="14"/>
      <c r="Z188" s="14"/>
      <c r="AA188" s="14"/>
      <c r="AB188" s="14"/>
      <c r="AC188" s="14"/>
      <c r="AD188" s="65"/>
      <c r="AE188" s="63"/>
      <c r="AF188" s="47"/>
      <c r="AG188" s="19"/>
      <c r="AH188" s="13"/>
      <c r="AI188" s="13"/>
      <c r="AJ188" s="21"/>
      <c r="AK188" s="14"/>
      <c r="AL188" s="14"/>
      <c r="AM188" s="14"/>
      <c r="AN188" s="14"/>
      <c r="AO188" s="14"/>
      <c r="AP188" s="14"/>
      <c r="AQ188" s="14"/>
      <c r="AR188" s="14"/>
      <c r="AS188" s="65"/>
      <c r="AT188" s="63"/>
      <c r="AU188" s="47"/>
      <c r="AV188" s="14"/>
      <c r="AW188" s="13"/>
      <c r="AX188" s="13"/>
      <c r="AY188" s="21"/>
      <c r="AZ188" s="14"/>
      <c r="BA188" s="14"/>
      <c r="BB188" s="14"/>
      <c r="BC188" s="14"/>
      <c r="BD188" s="14"/>
      <c r="BE188" s="14"/>
      <c r="BF188" s="14"/>
      <c r="BG188" s="14"/>
      <c r="BH188" s="65"/>
      <c r="BI188" s="63"/>
      <c r="BJ188" s="352"/>
      <c r="BK188" s="19"/>
      <c r="BL188" s="13"/>
      <c r="BM188" s="13"/>
      <c r="BN188" s="21"/>
      <c r="BO188" s="14"/>
      <c r="BP188" s="14"/>
      <c r="BQ188" s="14"/>
      <c r="BR188" s="14"/>
      <c r="BS188" s="14"/>
      <c r="BT188" s="14"/>
      <c r="BU188" s="14"/>
      <c r="BV188" s="14"/>
      <c r="BW188" s="65"/>
      <c r="BX188" s="63"/>
      <c r="BY188" s="352"/>
      <c r="BZ188" s="14"/>
      <c r="CA188" s="14"/>
      <c r="CB188" s="21"/>
      <c r="CC188" s="21"/>
      <c r="CD188" s="180"/>
      <c r="CE188" s="181"/>
      <c r="CF188" s="31"/>
      <c r="CG188" s="31"/>
      <c r="CH188" s="31"/>
      <c r="CI188" s="14"/>
      <c r="CJ188" s="14"/>
      <c r="CK188" s="14"/>
      <c r="CL188" s="14"/>
      <c r="CM188" s="14"/>
      <c r="CN188" s="14"/>
      <c r="CO188" s="129"/>
      <c r="CP188" s="14"/>
      <c r="CQ188" s="47"/>
      <c r="CR188" s="14"/>
      <c r="CS188" s="14"/>
      <c r="CT188" s="14"/>
      <c r="CU188" s="14"/>
      <c r="CV188" s="180"/>
      <c r="CW188" s="190"/>
      <c r="CX188" s="191"/>
      <c r="CY188" s="31"/>
      <c r="CZ188" s="31"/>
      <c r="DA188" s="14"/>
      <c r="DB188" s="14"/>
      <c r="DC188" s="14"/>
      <c r="DD188" s="14"/>
      <c r="DE188" s="14"/>
      <c r="DF188" s="14"/>
      <c r="DG188" s="129"/>
      <c r="DH188" s="14"/>
      <c r="DI188" s="47"/>
      <c r="DJ188" s="14"/>
      <c r="DK188" s="13"/>
      <c r="DL188" s="13"/>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row>
    <row r="189" spans="1:142" s="131" customFormat="1" x14ac:dyDescent="0.25">
      <c r="A189" s="78"/>
      <c r="B189" s="78" t="s">
        <v>154</v>
      </c>
      <c r="C189" s="78" t="s">
        <v>116</v>
      </c>
      <c r="D189" s="79"/>
      <c r="E189" s="78"/>
      <c r="F189" s="78"/>
      <c r="G189" s="78"/>
      <c r="H189" s="79"/>
      <c r="I189" s="79"/>
      <c r="J189" s="78"/>
      <c r="K189" s="78"/>
      <c r="L189" s="78"/>
      <c r="M189" s="78"/>
      <c r="N189" s="78"/>
      <c r="O189" s="78"/>
      <c r="P189" s="78"/>
      <c r="Q189" s="82"/>
      <c r="R189" s="83"/>
      <c r="S189" s="78" t="str">
        <f>$B189</f>
        <v>NGOs</v>
      </c>
      <c r="T189" s="78"/>
      <c r="U189" s="78"/>
      <c r="V189" s="78"/>
      <c r="W189" s="78"/>
      <c r="X189" s="78"/>
      <c r="Y189" s="78"/>
      <c r="Z189" s="78"/>
      <c r="AA189" s="78"/>
      <c r="AB189" s="78"/>
      <c r="AC189" s="78"/>
      <c r="AD189" s="80"/>
      <c r="AE189" s="81"/>
      <c r="AF189" s="82"/>
      <c r="AG189" s="83"/>
      <c r="AH189" s="78" t="str">
        <f>$B189</f>
        <v>NGOs</v>
      </c>
      <c r="AI189" s="78"/>
      <c r="AJ189" s="78"/>
      <c r="AK189" s="78"/>
      <c r="AL189" s="78"/>
      <c r="AM189" s="78"/>
      <c r="AN189" s="78"/>
      <c r="AO189" s="78"/>
      <c r="AP189" s="78"/>
      <c r="AQ189" s="78"/>
      <c r="AR189" s="78"/>
      <c r="AS189" s="80"/>
      <c r="AT189" s="81"/>
      <c r="AU189" s="82"/>
      <c r="AV189" s="78"/>
      <c r="AW189" s="78" t="str">
        <f>$B189</f>
        <v>NGOs</v>
      </c>
      <c r="AX189" s="78"/>
      <c r="AY189" s="78"/>
      <c r="AZ189" s="78"/>
      <c r="BA189" s="78"/>
      <c r="BB189" s="78"/>
      <c r="BC189" s="78"/>
      <c r="BD189" s="78"/>
      <c r="BE189" s="78"/>
      <c r="BF189" s="78"/>
      <c r="BG189" s="78"/>
      <c r="BH189" s="80"/>
      <c r="BI189" s="81"/>
      <c r="BJ189" s="373"/>
      <c r="BK189" s="83"/>
      <c r="BL189" s="78" t="str">
        <f>$B189</f>
        <v>NGOs</v>
      </c>
      <c r="BM189" s="78"/>
      <c r="BN189" s="78"/>
      <c r="BO189" s="78"/>
      <c r="BP189" s="78"/>
      <c r="BQ189" s="78"/>
      <c r="BR189" s="78"/>
      <c r="BS189" s="78"/>
      <c r="BT189" s="78"/>
      <c r="BU189" s="78"/>
      <c r="BV189" s="78"/>
      <c r="BW189" s="80"/>
      <c r="BX189" s="81"/>
      <c r="BY189" s="373"/>
      <c r="BZ189" s="78"/>
      <c r="CA189" s="78" t="str">
        <f>$B189</f>
        <v>NGOs</v>
      </c>
      <c r="CB189" s="79"/>
      <c r="CC189" s="79"/>
      <c r="CD189" s="182"/>
      <c r="CE189" s="182"/>
      <c r="CF189" s="79"/>
      <c r="CG189" s="78"/>
      <c r="CH189" s="78"/>
      <c r="CI189" s="78"/>
      <c r="CJ189" s="78"/>
      <c r="CK189" s="78"/>
      <c r="CL189" s="78"/>
      <c r="CM189" s="78"/>
      <c r="CN189" s="78"/>
      <c r="CO189" s="78"/>
      <c r="CP189" s="78"/>
      <c r="CQ189" s="82"/>
      <c r="CR189" s="78"/>
      <c r="CS189" s="78" t="str">
        <f>$B189</f>
        <v>NGOs</v>
      </c>
      <c r="CT189" s="78"/>
      <c r="CU189" s="78"/>
      <c r="CV189" s="182"/>
      <c r="CW189" s="192"/>
      <c r="CX189" s="192"/>
      <c r="CY189" s="78"/>
      <c r="CZ189" s="78"/>
      <c r="DA189" s="78"/>
      <c r="DB189" s="78"/>
      <c r="DC189" s="78"/>
      <c r="DD189" s="78"/>
      <c r="DE189" s="78"/>
      <c r="DF189" s="78"/>
      <c r="DG189" s="78"/>
      <c r="DH189" s="78"/>
      <c r="DI189" s="82"/>
      <c r="DJ189" s="78"/>
      <c r="DK189" s="78" t="str">
        <f>$B189</f>
        <v>NGOs</v>
      </c>
      <c r="DL189" s="78"/>
      <c r="DM189" s="78"/>
      <c r="DN189" s="78"/>
      <c r="DO189" s="78"/>
      <c r="DP189" s="78"/>
      <c r="DQ189" s="78"/>
      <c r="DR189" s="78"/>
      <c r="DS189" s="78"/>
      <c r="DT189" s="78"/>
      <c r="DU189" s="78"/>
      <c r="DV189" s="78"/>
      <c r="DW189" s="78"/>
      <c r="DX189" s="78"/>
      <c r="DY189" s="78"/>
      <c r="DZ189" s="78"/>
      <c r="EA189" s="78"/>
      <c r="EB189" s="78"/>
      <c r="EC189" s="78"/>
      <c r="ED189" s="78"/>
      <c r="EE189" s="78"/>
      <c r="EF189" s="78"/>
      <c r="EG189" s="78"/>
      <c r="EH189" s="78"/>
      <c r="EI189" s="78"/>
      <c r="EJ189" s="78"/>
      <c r="EK189" s="78"/>
      <c r="EL189" s="78"/>
    </row>
    <row r="190" spans="1:142" x14ac:dyDescent="0.25">
      <c r="A190" s="14"/>
      <c r="B190" s="84" t="s">
        <v>301</v>
      </c>
      <c r="C190" s="84"/>
      <c r="D190" s="85"/>
      <c r="E190" s="84"/>
      <c r="F190" s="14"/>
      <c r="G190" s="14"/>
      <c r="H190" s="21"/>
      <c r="I190" s="21"/>
      <c r="J190" s="14"/>
      <c r="K190" s="14"/>
      <c r="L190" s="14"/>
      <c r="M190" s="14"/>
      <c r="N190" s="14"/>
      <c r="O190" s="14"/>
      <c r="P190" s="14"/>
      <c r="Q190" s="47"/>
      <c r="R190" s="19"/>
      <c r="S190" s="84" t="s">
        <v>322</v>
      </c>
      <c r="T190" s="84"/>
      <c r="U190" s="85"/>
      <c r="V190" s="84"/>
      <c r="W190" s="14"/>
      <c r="X190" s="14"/>
      <c r="Y190" s="14"/>
      <c r="Z190" s="14"/>
      <c r="AA190" s="14"/>
      <c r="AB190" s="14"/>
      <c r="AC190" s="14"/>
      <c r="AD190" s="65"/>
      <c r="AE190" s="63"/>
      <c r="AF190" s="47"/>
      <c r="AG190" s="19"/>
      <c r="AH190" s="84" t="s">
        <v>328</v>
      </c>
      <c r="AI190" s="84"/>
      <c r="AJ190" s="85"/>
      <c r="AK190" s="84"/>
      <c r="AL190" s="84"/>
      <c r="AM190" s="14"/>
      <c r="AN190" s="14"/>
      <c r="AO190" s="14"/>
      <c r="AP190" s="14"/>
      <c r="AQ190" s="14"/>
      <c r="AR190" s="14"/>
      <c r="AS190" s="65"/>
      <c r="AT190" s="63"/>
      <c r="AU190" s="47"/>
      <c r="AV190" s="14"/>
      <c r="AW190" s="84" t="s">
        <v>347</v>
      </c>
      <c r="AX190" s="84"/>
      <c r="AY190" s="85"/>
      <c r="AZ190" s="84"/>
      <c r="BA190" s="84"/>
      <c r="BB190" s="14"/>
      <c r="BC190" s="14"/>
      <c r="BD190" s="14"/>
      <c r="BE190" s="14"/>
      <c r="BF190" s="14"/>
      <c r="BG190" s="14"/>
      <c r="BH190" s="65"/>
      <c r="BI190" s="63"/>
      <c r="BJ190" s="352"/>
      <c r="BK190" s="19"/>
      <c r="BL190" s="84" t="s">
        <v>348</v>
      </c>
      <c r="BM190" s="84"/>
      <c r="BN190" s="85"/>
      <c r="BO190" s="84"/>
      <c r="BP190" s="84"/>
      <c r="BQ190" s="14"/>
      <c r="BR190" s="14"/>
      <c r="BS190" s="14"/>
      <c r="BT190" s="14"/>
      <c r="BU190" s="14"/>
      <c r="BV190" s="14"/>
      <c r="BW190" s="65"/>
      <c r="BX190" s="63"/>
      <c r="BY190" s="352"/>
      <c r="BZ190" s="14"/>
      <c r="CA190" s="148" t="s">
        <v>303</v>
      </c>
      <c r="CB190" s="85"/>
      <c r="CC190" s="85"/>
      <c r="CD190" s="185"/>
      <c r="CE190" s="185"/>
      <c r="CF190" s="147"/>
      <c r="CG190" s="14"/>
      <c r="CH190" s="14"/>
      <c r="CI190" s="14"/>
      <c r="CJ190" s="14"/>
      <c r="CK190" s="14"/>
      <c r="CL190" s="14"/>
      <c r="CM190" s="14"/>
      <c r="CN190" s="14"/>
      <c r="CO190" s="129"/>
      <c r="CP190" s="14"/>
      <c r="CQ190" s="47"/>
      <c r="CR190" s="14"/>
      <c r="CS190" s="84" t="s">
        <v>304</v>
      </c>
      <c r="CT190" s="84"/>
      <c r="CU190" s="85"/>
      <c r="CV190" s="186"/>
      <c r="CW190" s="189"/>
      <c r="CX190" s="189"/>
      <c r="CY190" s="14"/>
      <c r="CZ190" s="14"/>
      <c r="DA190" s="14"/>
      <c r="DB190" s="14"/>
      <c r="DC190" s="14"/>
      <c r="DD190" s="14"/>
      <c r="DE190" s="14"/>
      <c r="DF190" s="14"/>
      <c r="DG190" s="129"/>
      <c r="DH190" s="14"/>
      <c r="DI190" s="47"/>
      <c r="DJ190" s="14"/>
      <c r="DK190" s="84" t="s">
        <v>305</v>
      </c>
      <c r="DL190" s="84"/>
      <c r="DM190" s="85"/>
      <c r="DN190" s="8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row>
    <row r="191" spans="1:142" x14ac:dyDescent="0.25">
      <c r="A191" s="14"/>
      <c r="B191" s="14"/>
      <c r="C191" s="14"/>
      <c r="D191" s="15"/>
      <c r="E191" s="14"/>
      <c r="F191" s="14"/>
      <c r="G191" s="14"/>
      <c r="H191" s="21"/>
      <c r="I191" s="21"/>
      <c r="J191" s="14"/>
      <c r="K191" s="19"/>
      <c r="L191" s="14"/>
      <c r="M191" s="14"/>
      <c r="N191" s="14"/>
      <c r="O191" s="14"/>
      <c r="P191" s="14"/>
      <c r="Q191" s="47"/>
      <c r="R191" s="19"/>
      <c r="S191" s="14"/>
      <c r="T191" s="14"/>
      <c r="U191" s="15"/>
      <c r="V191" s="14"/>
      <c r="W191" s="14"/>
      <c r="X191" s="14"/>
      <c r="Y191" s="14"/>
      <c r="Z191" s="14"/>
      <c r="AA191" s="14"/>
      <c r="AB191" s="14"/>
      <c r="AC191" s="14"/>
      <c r="AD191" s="65"/>
      <c r="AE191" s="63"/>
      <c r="AF191" s="47"/>
      <c r="AG191" s="19"/>
      <c r="AH191" s="14"/>
      <c r="AI191" s="14"/>
      <c r="AJ191" s="15"/>
      <c r="AK191" s="14"/>
      <c r="AL191" s="14"/>
      <c r="AM191" s="14"/>
      <c r="AN191" s="14"/>
      <c r="AO191" s="14"/>
      <c r="AP191" s="14"/>
      <c r="AQ191" s="14"/>
      <c r="AR191" s="14"/>
      <c r="AS191" s="65"/>
      <c r="AT191" s="63"/>
      <c r="AU191" s="47"/>
      <c r="AV191" s="14"/>
      <c r="AW191" s="14"/>
      <c r="AX191" s="14"/>
      <c r="AY191" s="15"/>
      <c r="AZ191" s="14"/>
      <c r="BA191" s="14"/>
      <c r="BB191" s="14"/>
      <c r="BC191" s="14"/>
      <c r="BD191" s="14"/>
      <c r="BE191" s="14"/>
      <c r="BF191" s="14"/>
      <c r="BG191" s="14"/>
      <c r="BH191" s="65"/>
      <c r="BI191" s="63"/>
      <c r="BJ191" s="352"/>
      <c r="BK191" s="19"/>
      <c r="BL191" s="14"/>
      <c r="BM191" s="14"/>
      <c r="BN191" s="15"/>
      <c r="BO191" s="14"/>
      <c r="BP191" s="14"/>
      <c r="BQ191" s="14"/>
      <c r="BR191" s="14"/>
      <c r="BS191" s="14"/>
      <c r="BT191" s="14"/>
      <c r="BU191" s="14"/>
      <c r="BV191" s="14"/>
      <c r="BW191" s="65"/>
      <c r="BX191" s="63"/>
      <c r="BY191" s="352"/>
      <c r="BZ191" s="14"/>
      <c r="CA191" s="23"/>
      <c r="CB191" s="21"/>
      <c r="CC191" s="21"/>
      <c r="CD191" s="180"/>
      <c r="CE191" s="180"/>
      <c r="CF191" s="21"/>
      <c r="CG191" s="14"/>
      <c r="CH191" s="14"/>
      <c r="CI191" s="14"/>
      <c r="CJ191" s="14"/>
      <c r="CK191" s="14"/>
      <c r="CL191" s="14"/>
      <c r="CM191" s="14"/>
      <c r="CN191" s="14"/>
      <c r="CO191" s="129"/>
      <c r="CP191" s="14"/>
      <c r="CQ191" s="47"/>
      <c r="CR191" s="14"/>
      <c r="CS191" s="14"/>
      <c r="CT191" s="14"/>
      <c r="CU191" s="14"/>
      <c r="CV191" s="180"/>
      <c r="CW191" s="189"/>
      <c r="CX191" s="189"/>
      <c r="CY191" s="14"/>
      <c r="CZ191" s="14"/>
      <c r="DA191" s="14"/>
      <c r="DB191" s="14"/>
      <c r="DC191" s="14"/>
      <c r="DD191" s="14"/>
      <c r="DE191" s="14"/>
      <c r="DF191" s="14"/>
      <c r="DG191" s="129"/>
      <c r="DH191" s="14"/>
      <c r="DI191" s="47"/>
      <c r="DJ191" s="14"/>
      <c r="DK191" s="14"/>
      <c r="DL191" s="14"/>
      <c r="DM191" s="15"/>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row>
    <row r="192" spans="1:142" ht="27.6" x14ac:dyDescent="0.25">
      <c r="A192" s="14"/>
      <c r="B192" s="112" t="s">
        <v>23</v>
      </c>
      <c r="C192" s="113" t="s">
        <v>24</v>
      </c>
      <c r="D192" s="113" t="s">
        <v>145</v>
      </c>
      <c r="E192" s="113" t="s">
        <v>300</v>
      </c>
      <c r="F192" s="14"/>
      <c r="G192" s="14"/>
      <c r="H192" s="21"/>
      <c r="I192" s="21"/>
      <c r="J192" s="14"/>
      <c r="K192" s="19"/>
      <c r="L192" s="51"/>
      <c r="M192" s="51"/>
      <c r="N192" s="51"/>
      <c r="O192" s="51"/>
      <c r="P192" s="51"/>
      <c r="Q192" s="47"/>
      <c r="R192" s="19"/>
      <c r="S192" s="112" t="s">
        <v>23</v>
      </c>
      <c r="T192" s="113" t="s">
        <v>24</v>
      </c>
      <c r="U192" s="113" t="s">
        <v>145</v>
      </c>
      <c r="V192" s="113" t="s">
        <v>300</v>
      </c>
      <c r="W192" s="14"/>
      <c r="X192" s="14"/>
      <c r="Y192" s="14"/>
      <c r="Z192" s="14"/>
      <c r="AA192" s="56"/>
      <c r="AB192" s="56"/>
      <c r="AC192" s="56"/>
      <c r="AD192" s="65"/>
      <c r="AE192" s="63"/>
      <c r="AF192" s="47"/>
      <c r="AG192" s="19"/>
      <c r="AH192" s="112" t="s">
        <v>23</v>
      </c>
      <c r="AI192" s="113" t="s">
        <v>24</v>
      </c>
      <c r="AJ192" s="113" t="s">
        <v>145</v>
      </c>
      <c r="AK192" s="113" t="s">
        <v>300</v>
      </c>
      <c r="AL192" s="14"/>
      <c r="AM192" s="14"/>
      <c r="AN192" s="14"/>
      <c r="AO192" s="14"/>
      <c r="AP192" s="56"/>
      <c r="AQ192" s="56"/>
      <c r="AR192" s="56"/>
      <c r="AS192" s="65"/>
      <c r="AT192" s="63"/>
      <c r="AU192" s="47"/>
      <c r="AV192" s="14"/>
      <c r="AW192" s="112" t="s">
        <v>23</v>
      </c>
      <c r="AX192" s="113" t="s">
        <v>24</v>
      </c>
      <c r="AY192" s="113" t="s">
        <v>145</v>
      </c>
      <c r="AZ192" s="113" t="s">
        <v>300</v>
      </c>
      <c r="BA192" s="14"/>
      <c r="BB192" s="14"/>
      <c r="BC192" s="14"/>
      <c r="BD192" s="14"/>
      <c r="BE192" s="56"/>
      <c r="BF192" s="56"/>
      <c r="BG192" s="56"/>
      <c r="BH192" s="65"/>
      <c r="BI192" s="63"/>
      <c r="BJ192" s="352"/>
      <c r="BK192" s="19"/>
      <c r="BL192" s="112" t="s">
        <v>23</v>
      </c>
      <c r="BM192" s="113" t="s">
        <v>24</v>
      </c>
      <c r="BN192" s="113" t="s">
        <v>145</v>
      </c>
      <c r="BO192" s="113" t="s">
        <v>300</v>
      </c>
      <c r="BP192" s="14"/>
      <c r="BQ192" s="14"/>
      <c r="BR192" s="14"/>
      <c r="BS192" s="14"/>
      <c r="BT192" s="56"/>
      <c r="BU192" s="56"/>
      <c r="BV192" s="56"/>
      <c r="BW192" s="65"/>
      <c r="BX192" s="63"/>
      <c r="BY192" s="352"/>
      <c r="BZ192" s="14"/>
      <c r="CA192" s="112" t="s">
        <v>23</v>
      </c>
      <c r="CB192" s="113" t="s">
        <v>145</v>
      </c>
      <c r="CC192" s="21"/>
      <c r="CD192" s="180"/>
      <c r="CE192" s="180"/>
      <c r="CF192" s="21"/>
      <c r="CG192" s="14"/>
      <c r="CH192" s="14"/>
      <c r="CI192" s="14"/>
      <c r="CJ192" s="14"/>
      <c r="CK192" s="14"/>
      <c r="CL192" s="14"/>
      <c r="CM192" s="14"/>
      <c r="CN192" s="14"/>
      <c r="CO192" s="129"/>
      <c r="CP192" s="17"/>
      <c r="CQ192" s="47"/>
      <c r="CR192" s="14"/>
      <c r="CS192" s="112" t="s">
        <v>23</v>
      </c>
      <c r="CT192" s="113" t="s">
        <v>145</v>
      </c>
      <c r="CU192" s="14"/>
      <c r="CV192" s="180"/>
      <c r="CW192" s="189"/>
      <c r="CX192" s="189"/>
      <c r="CY192" s="14"/>
      <c r="CZ192" s="14"/>
      <c r="DA192" s="14"/>
      <c r="DB192" s="14"/>
      <c r="DC192" s="14"/>
      <c r="DD192" s="14"/>
      <c r="DE192" s="14"/>
      <c r="DF192" s="14"/>
      <c r="DG192" s="129"/>
      <c r="DH192" s="17"/>
      <c r="DI192" s="47"/>
      <c r="DJ192" s="17"/>
      <c r="DK192" s="112" t="s">
        <v>23</v>
      </c>
      <c r="DL192" s="113" t="s">
        <v>24</v>
      </c>
      <c r="DM192" s="113" t="s">
        <v>145</v>
      </c>
      <c r="DN192" s="113" t="s">
        <v>300</v>
      </c>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row>
    <row r="193" spans="1:142" x14ac:dyDescent="0.25">
      <c r="A193" s="14"/>
      <c r="B193" s="57" t="s">
        <v>154</v>
      </c>
      <c r="C193" s="121" t="str">
        <f>IF(H212=0,"na",IF(COUNTIF(H207:H211,MAX(H207:H211))&gt;COUNTIF(G207:G211,"&lt;&gt;""")/2,"No clear choice of the most common response",INDEX(G207:G211,MATCH(MAX(H207:H211),H207:H211,0),1)))</f>
        <v>na</v>
      </c>
      <c r="D193" s="58">
        <f>COUNTIFS(S30_stakeholder_category,"NGO",Response_Q173_7,"&lt;&gt;0")</f>
        <v>0</v>
      </c>
      <c r="E193" s="121">
        <f>COUNTIFS(S30_stakeholder_category,"NGO",Response_Q173_7,"I don’t know")</f>
        <v>0</v>
      </c>
      <c r="F193" s="14"/>
      <c r="G193" s="14"/>
      <c r="H193" s="21"/>
      <c r="I193" s="21"/>
      <c r="J193" s="14"/>
      <c r="K193" s="19"/>
      <c r="L193" s="40"/>
      <c r="M193" s="40"/>
      <c r="N193" s="40"/>
      <c r="O193" s="40"/>
      <c r="P193" s="40"/>
      <c r="Q193" s="47"/>
      <c r="R193" s="19"/>
      <c r="S193" s="34" t="s">
        <v>154</v>
      </c>
      <c r="T193" s="37" t="str">
        <f>IF(Y214=0,"na",IF(COUNTIF(Y207:Y213,MAX(Y207:Y213))&gt;COUNTIF(X207:X213,"&lt;&gt;""")/2,"No clear choice of the most common response",INDEX(X207:X213,MATCH(MAX(Y207:Y213),Y207:Y213,0),1)))</f>
        <v>na</v>
      </c>
      <c r="U193" s="33">
        <f>COUNTIFS(S30_stakeholder_category,"NGO",Response_Q176_4,"&lt;&gt;0")</f>
        <v>0</v>
      </c>
      <c r="V193" s="37">
        <f>COUNTIFS(S30_stakeholder_category,"NGO",Response_Q176_4,"I don’t know")</f>
        <v>0</v>
      </c>
      <c r="W193" s="14"/>
      <c r="X193" s="14"/>
      <c r="Y193" s="14"/>
      <c r="Z193" s="14"/>
      <c r="AA193" s="19"/>
      <c r="AB193" s="19"/>
      <c r="AC193" s="19"/>
      <c r="AD193" s="65"/>
      <c r="AE193" s="63"/>
      <c r="AF193" s="47"/>
      <c r="AG193" s="19"/>
      <c r="AH193" s="57" t="s">
        <v>154</v>
      </c>
      <c r="AI193" s="121" t="str">
        <f>IF(AN214=0,"na",IF(COUNTIF(AN207:AN213,MAX(AN207:AN213))&gt;COUNTIF(AM207:AM213,"&lt;&gt;""")/2,"No clear choice of the most common response",INDEX(AM207:AM213,MATCH(MAX(AN207:AN213),AN207:AN213,0),1)))</f>
        <v>na</v>
      </c>
      <c r="AJ193" s="58">
        <f>COUNTIFS(S30_stakeholder_category,"NGO",Response_30d_CaseA,"&lt;&gt;0")</f>
        <v>0</v>
      </c>
      <c r="AK193" s="121">
        <f>COUNTIFS(S30_stakeholder_category,"NGO",Response_30d_CaseA,"I don’t know")</f>
        <v>0</v>
      </c>
      <c r="AL193" s="14"/>
      <c r="AM193" s="14"/>
      <c r="AN193" s="14"/>
      <c r="AO193" s="14"/>
      <c r="AP193" s="19"/>
      <c r="AQ193" s="19"/>
      <c r="AR193" s="19"/>
      <c r="AS193" s="65"/>
      <c r="AT193" s="63"/>
      <c r="AU193" s="47"/>
      <c r="AV193" s="14"/>
      <c r="AW193" s="57" t="s">
        <v>154</v>
      </c>
      <c r="AX193" s="121" t="str">
        <f>IF(BC214=0,"na",IF(COUNTIF(BC207:BC213,MAX(BC207:BC213))&gt;COUNTIF(BB207:BB213,"&lt;&gt;""")/2,"No clear choice of the most common response",INDEX(BB207:BB213,MATCH(MAX(BC207:BC213),BC207:BC213,0),1)))</f>
        <v>na</v>
      </c>
      <c r="AY193" s="58">
        <f>COUNTIFS(S30_stakeholder_category,"NGO",Response_30d_CaseB,"&lt;&gt;0")</f>
        <v>0</v>
      </c>
      <c r="AZ193" s="121">
        <f>COUNTIFS(S30_stakeholder_category,"NGO",Response_30d_CaseB,"I don’t know")</f>
        <v>0</v>
      </c>
      <c r="BA193" s="14"/>
      <c r="BB193" s="14"/>
      <c r="BC193" s="14"/>
      <c r="BD193" s="14"/>
      <c r="BE193" s="19"/>
      <c r="BF193" s="19"/>
      <c r="BG193" s="19"/>
      <c r="BH193" s="65"/>
      <c r="BI193" s="63"/>
      <c r="BJ193" s="352"/>
      <c r="BK193" s="19"/>
      <c r="BL193" s="57" t="s">
        <v>154</v>
      </c>
      <c r="BM193" s="121" t="str">
        <f>IF(BR214=0,"na",IF(COUNTIF(BR207:BR213,MAX(BR207:BR213))&gt;COUNTIF(BQ207:BQ213,"&lt;&gt;""")/2,"No clear choice of the most common response",INDEX(BQ207:BQ213,MATCH(MAX(BR207:BR213),BR207:BR213,0),1)))</f>
        <v>na</v>
      </c>
      <c r="BN193" s="58">
        <f>COUNTIFS(S30_stakeholder_category,"NGO",Response_30d_CaseC,"&lt;&gt;0")</f>
        <v>0</v>
      </c>
      <c r="BO193" s="121">
        <f>COUNTIFS(S30_stakeholder_category,"NGO",Response_30d_CaseC,"I don’t know")</f>
        <v>0</v>
      </c>
      <c r="BP193" s="14"/>
      <c r="BQ193" s="14"/>
      <c r="BR193" s="14"/>
      <c r="BS193" s="14"/>
      <c r="BT193" s="19"/>
      <c r="BU193" s="19"/>
      <c r="BV193" s="19"/>
      <c r="BW193" s="65"/>
      <c r="BX193" s="63"/>
      <c r="BY193" s="352"/>
      <c r="BZ193" s="14"/>
      <c r="CA193" s="34" t="s">
        <v>154</v>
      </c>
      <c r="CB193" s="37">
        <f>MAX(SUM(CC199:CC205),SUM(CD199:CD205),SUM(CE199:CE205))</f>
        <v>4</v>
      </c>
      <c r="CC193" s="21"/>
      <c r="CD193" s="180"/>
      <c r="CE193" s="180"/>
      <c r="CF193" s="21"/>
      <c r="CG193" s="14"/>
      <c r="CH193" s="14"/>
      <c r="CI193" s="14"/>
      <c r="CJ193" s="14"/>
      <c r="CK193" s="14"/>
      <c r="CL193" s="14"/>
      <c r="CM193" s="14"/>
      <c r="CN193" s="14"/>
      <c r="CO193" s="129"/>
      <c r="CP193" s="29"/>
      <c r="CQ193" s="47"/>
      <c r="CR193" s="14"/>
      <c r="CS193" s="34" t="s">
        <v>154</v>
      </c>
      <c r="CT193" s="37">
        <f>MAX(SUM(CU199:CU205),SUM(CV199:CV205),SUM(CW199:CW205))</f>
        <v>0</v>
      </c>
      <c r="CU193" s="14"/>
      <c r="CV193" s="180"/>
      <c r="CW193" s="189"/>
      <c r="CX193" s="189"/>
      <c r="CY193" s="14"/>
      <c r="CZ193" s="14"/>
      <c r="DA193" s="14"/>
      <c r="DB193" s="14"/>
      <c r="DC193" s="14"/>
      <c r="DD193" s="14"/>
      <c r="DE193" s="14"/>
      <c r="DF193" s="14"/>
      <c r="DG193" s="129"/>
      <c r="DH193" s="29"/>
      <c r="DI193" s="47"/>
      <c r="DJ193" s="29"/>
      <c r="DK193" s="34" t="s">
        <v>154</v>
      </c>
      <c r="DL193" s="37" t="str">
        <f>IF(DQ212=0,"na",IF(COUNTIF(DQ207:DQ211,MAX(DQ207:DQ211))&gt;COUNTIF(DP207:DP211,"&lt;&gt;""")/2,"No clear choice of the most common response",INDEX(DP207:DP211,MATCH(MAX(DQ207:DQ211),DQ207:DQ211,0),1)))</f>
        <v>na</v>
      </c>
      <c r="DM193" s="33">
        <f>COUNTIFS(S30_stakeholder_category,"NGO",Response_Q172_1,"&lt;&gt;0",Response_Q173_7,"&lt;&gt;0")</f>
        <v>0</v>
      </c>
      <c r="DN193" s="37">
        <f>DQ211</f>
        <v>0</v>
      </c>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row>
    <row r="194" spans="1:142" x14ac:dyDescent="0.25">
      <c r="A194" s="14"/>
      <c r="B194" s="57"/>
      <c r="C194" s="121" t="str">
        <f ca="1">IF(H212=0,"",IF(COUNTIF(H207:H211,MAX(H207:H211))=1,"",IF(COUNTIF(H207:H211,MAX(H207:H211))&gt;COUNTIF(G207:G211,"&lt;&gt;""")/2,"",INDEX(OFFSET(G207,MATCH(C193,G207:G212,0),0):G211,MATCH(MAX(H207:H211),OFFSET(H207,MATCH(C193,G207:G212,0),0):H211,0),1))))</f>
        <v/>
      </c>
      <c r="D194" s="58"/>
      <c r="E194" s="121"/>
      <c r="F194" s="14"/>
      <c r="G194" s="14"/>
      <c r="H194" s="21"/>
      <c r="I194" s="21"/>
      <c r="J194" s="14"/>
      <c r="K194" s="19"/>
      <c r="L194" s="40"/>
      <c r="M194" s="40"/>
      <c r="N194" s="40"/>
      <c r="O194" s="40"/>
      <c r="P194" s="40"/>
      <c r="Q194" s="47"/>
      <c r="R194" s="19"/>
      <c r="S194" s="34"/>
      <c r="T194" s="37" t="str">
        <f ca="1">IF(Y214=0,"",IF(COUNTIF(Y207:Y213,MAX(Y207:Y213))=1,"",IF(COUNTIF(Y207:Y213,MAX(Y207:Y213))&gt;COUNTIF(X207:X213,"&lt;&gt;""")/2,"",INDEX(OFFSET(X207,MATCH(T193,X207:X213,0),0):X213,MATCH(MAX(Y207:Y213),OFFSET(Y207,MATCH(T193,X207:X213,0),0):Y213,0),1))))</f>
        <v/>
      </c>
      <c r="U194" s="33"/>
      <c r="V194" s="37"/>
      <c r="W194" s="14"/>
      <c r="X194" s="14"/>
      <c r="Y194" s="14"/>
      <c r="Z194" s="14"/>
      <c r="AA194" s="19"/>
      <c r="AB194" s="19"/>
      <c r="AC194" s="19"/>
      <c r="AD194" s="65"/>
      <c r="AE194" s="63"/>
      <c r="AF194" s="47"/>
      <c r="AG194" s="19"/>
      <c r="AH194" s="57"/>
      <c r="AI194" s="121" t="str">
        <f ca="1">IF(AN214=0,"",IF(COUNTIF(AN207:AN213,MAX(AN207:AN213))=1,"",IF(COUNTIF(AN207:AN213,MAX(AN207:AN213))&gt;COUNTIF(AM207:AM213,"&lt;&gt;""")/2,"",INDEX(OFFSET(AM207,MATCH(AI193,AM207:AM213,0),0):AM213,MATCH(MAX(AN207:AN213),OFFSET(AN207,MATCH(AI193,AM207:AM213,0),0):AN213,0),1))))</f>
        <v/>
      </c>
      <c r="AJ194" s="58"/>
      <c r="AK194" s="121"/>
      <c r="AL194" s="14"/>
      <c r="AM194" s="14"/>
      <c r="AN194" s="14"/>
      <c r="AO194" s="14"/>
      <c r="AP194" s="19"/>
      <c r="AQ194" s="19"/>
      <c r="AR194" s="19"/>
      <c r="AS194" s="65"/>
      <c r="AT194" s="63"/>
      <c r="AU194" s="47"/>
      <c r="AV194" s="14"/>
      <c r="AW194" s="57"/>
      <c r="AX194" s="121" t="str">
        <f ca="1">IF(BC214=0,"",IF(COUNTIF(BC207:BC213,MAX(BC207:BC213))=1,"",IF(COUNTIF(BC207:BC213,MAX(BC207:BC213))&gt;COUNTIF(BB207:BB213,"&lt;&gt;""")/2,"",INDEX(OFFSET(BB207,MATCH(AX193,BB207:BB213,0),0):BB213,MATCH(MAX(BC207:BC213),OFFSET(BC207,MATCH(AX193,BB207:BB213,0),0):BC213,0),1))))</f>
        <v/>
      </c>
      <c r="AY194" s="58"/>
      <c r="AZ194" s="121"/>
      <c r="BA194" s="14"/>
      <c r="BB194" s="14"/>
      <c r="BC194" s="14"/>
      <c r="BD194" s="14"/>
      <c r="BE194" s="19"/>
      <c r="BF194" s="19"/>
      <c r="BG194" s="19"/>
      <c r="BH194" s="65"/>
      <c r="BI194" s="63"/>
      <c r="BJ194" s="352"/>
      <c r="BK194" s="19"/>
      <c r="BL194" s="57"/>
      <c r="BM194" s="121" t="str">
        <f ca="1">IF(BR214=0,"",IF(COUNTIF(BR207:BR213,MAX(BR207:BR213))=1,"",IF(COUNTIF(BR207:BR213,MAX(BR207:BR213))&gt;COUNTIF(BQ207:BQ213,"&lt;&gt;""")/2,"",INDEX(OFFSET(BQ207,MATCH(BM193,BQ207:BQ213,0),0):BQ213,MATCH(MAX(BR207:BR213),OFFSET(BR207,MATCH(BM193,BQ207:BQ213,0),0):BR213,0),1))))</f>
        <v/>
      </c>
      <c r="BN194" s="58"/>
      <c r="BO194" s="121"/>
      <c r="BP194" s="14"/>
      <c r="BQ194" s="14"/>
      <c r="BR194" s="14"/>
      <c r="BS194" s="14"/>
      <c r="BT194" s="19"/>
      <c r="BU194" s="19"/>
      <c r="BV194" s="19"/>
      <c r="BW194" s="65"/>
      <c r="BX194" s="63"/>
      <c r="BY194" s="352"/>
      <c r="BZ194" s="14"/>
      <c r="CA194" s="14"/>
      <c r="CB194" s="21"/>
      <c r="CC194" s="21"/>
      <c r="CD194" s="180"/>
      <c r="CE194" s="180"/>
      <c r="CF194" s="21"/>
      <c r="CG194" s="14"/>
      <c r="CH194" s="14"/>
      <c r="CI194" s="14"/>
      <c r="CJ194" s="14"/>
      <c r="CK194" s="14"/>
      <c r="CL194" s="14"/>
      <c r="CM194" s="14"/>
      <c r="CN194" s="14"/>
      <c r="CO194" s="129"/>
      <c r="CP194" s="29"/>
      <c r="CQ194" s="47"/>
      <c r="CR194" s="14"/>
      <c r="CS194" s="14"/>
      <c r="CT194" s="14"/>
      <c r="CU194" s="14"/>
      <c r="CV194" s="180"/>
      <c r="CW194" s="189"/>
      <c r="CX194" s="189"/>
      <c r="CY194" s="14"/>
      <c r="CZ194" s="14"/>
      <c r="DA194" s="14"/>
      <c r="DB194" s="14"/>
      <c r="DC194" s="14"/>
      <c r="DD194" s="14"/>
      <c r="DE194" s="14"/>
      <c r="DF194" s="14"/>
      <c r="DG194" s="129"/>
      <c r="DH194" s="29"/>
      <c r="DI194" s="47"/>
      <c r="DJ194" s="29"/>
      <c r="DK194" s="34"/>
      <c r="DL194" s="37" t="str">
        <f ca="1">IF(DQ212=0,"",IF(COUNTIF(DQ207:DQ211,MAX(DQ207:DQ211))=1,"",IF(COUNTIF(DQ207:DQ211,MAX(DQ207:DQ211))&gt;COUNTIF(DP207:DP211,"&lt;&gt;""")/2,"",INDEX(OFFSET(DP207,MATCH(DL193,DP207:DP212,0),0):DP211,MATCH(MAX(DQ207:DQ211),OFFSET(DQ207,MATCH(DL193,DP207:DP212,0),0):DQ211,0),1))))</f>
        <v/>
      </c>
      <c r="DM194" s="33"/>
      <c r="DN194" s="37"/>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row>
    <row r="195" spans="1:142" x14ac:dyDescent="0.25">
      <c r="A195" s="14"/>
      <c r="B195" s="57"/>
      <c r="C195" s="121" t="str">
        <f ca="1" xml:space="preserve"> IF(H212=0,"", IF(COUNTIF(H207:H211,MAX(H207:H211))&lt;=2,"",IF(COUNTIF(H207:H211,MAX(H207:H211))&gt;COUNTIF(G207:G211,"&lt;&gt;""")/2,"", INDEX(OFFSET(G207,MATCH(C194,G207:G212,0),0):G211,         MATCH(MAX(H207:H211),        OFFSET(H207,MATCH(C194,G207:G212,0),0):H211,0),1))))</f>
        <v/>
      </c>
      <c r="D195" s="58"/>
      <c r="E195" s="121"/>
      <c r="F195" s="14"/>
      <c r="G195" s="14"/>
      <c r="H195" s="21"/>
      <c r="I195" s="21"/>
      <c r="J195" s="14"/>
      <c r="K195" s="19"/>
      <c r="L195" s="40"/>
      <c r="M195" s="40"/>
      <c r="N195" s="40"/>
      <c r="O195" s="40"/>
      <c r="P195" s="40"/>
      <c r="Q195" s="47"/>
      <c r="R195" s="19"/>
      <c r="S195" s="34"/>
      <c r="T195" s="121" t="str">
        <f ca="1" xml:space="preserve"> IF(Y214=0,"",IF(Y214=0,"", IF(COUNTIF(Y207:Y213,MAX(Y207:Y213))&lt;=2,"",IF(COUNTIF(Y207:Y213,MAX(Y207:Y213))&gt;COUNTIF(X207:X213,"&lt;&gt;""")/2,"", INDEX(OFFSET(X207,MATCH(T194,X207:X213,0),0):X213,         MATCH(MAX(Y207:Y213),        OFFSET(Y207,MATCH(T194,X207:X213,0),0):Y213,0),1)))))</f>
        <v/>
      </c>
      <c r="U195" s="33"/>
      <c r="V195" s="37"/>
      <c r="W195" s="14"/>
      <c r="X195" s="14"/>
      <c r="Y195" s="14"/>
      <c r="Z195" s="14"/>
      <c r="AA195" s="19"/>
      <c r="AB195" s="19"/>
      <c r="AC195" s="19"/>
      <c r="AD195" s="65"/>
      <c r="AE195" s="63"/>
      <c r="AF195" s="47"/>
      <c r="AG195" s="19"/>
      <c r="AH195" s="57"/>
      <c r="AI195" s="121" t="str">
        <f ca="1" xml:space="preserve"> IF(AN214=0,"",IF(AN214=0,"", IF(COUNTIF(AN207:AN213,MAX(AN207:AN213))&lt;=2,"",IF(COUNTIF(AN207:AN213,MAX(AN207:AN213))&gt;COUNTIF(AM207:AM213,"&lt;&gt;""")/2,"", INDEX(OFFSET(AM207,MATCH(AI194,AM207:AM213,0),0):AM213,         MATCH(MAX(AN207:AN213),        OFFSET(AN207,MATCH(AI194,AM207:AM213,0),0):AN213,0),1)))))</f>
        <v/>
      </c>
      <c r="AJ195" s="58"/>
      <c r="AK195" s="121"/>
      <c r="AL195" s="14"/>
      <c r="AM195" s="14"/>
      <c r="AN195" s="14"/>
      <c r="AO195" s="14"/>
      <c r="AP195" s="19"/>
      <c r="AQ195" s="19"/>
      <c r="AR195" s="19"/>
      <c r="AS195" s="65"/>
      <c r="AT195" s="63"/>
      <c r="AU195" s="47"/>
      <c r="AV195" s="14"/>
      <c r="AW195" s="57"/>
      <c r="AX195" s="121" t="str">
        <f ca="1" xml:space="preserve"> IF(BC214=0,"",IF(BC214=0,"", IF(COUNTIF(BC207:BC213,MAX(BC207:BC213))&lt;=2,"",IF(COUNTIF(BC207:BC213,MAX(BC207:BC213))&gt;COUNTIF(BB207:BB213,"&lt;&gt;""")/2,"", INDEX(OFFSET(BB207,MATCH(AX194,BB207:BB213,0),0):BB213,         MATCH(MAX(BC207:BC213),        OFFSET(BC207,MATCH(AX194,BB207:BB213,0),0):BC213,0),1)))))</f>
        <v/>
      </c>
      <c r="AY195" s="58"/>
      <c r="AZ195" s="121"/>
      <c r="BA195" s="14"/>
      <c r="BB195" s="14"/>
      <c r="BC195" s="14"/>
      <c r="BD195" s="14"/>
      <c r="BE195" s="19"/>
      <c r="BF195" s="19"/>
      <c r="BG195" s="19"/>
      <c r="BH195" s="65"/>
      <c r="BI195" s="63"/>
      <c r="BJ195" s="352"/>
      <c r="BK195" s="19"/>
      <c r="BL195" s="57"/>
      <c r="BM195" s="121" t="str">
        <f ca="1" xml:space="preserve"> IF(BR214=0,"",IF(BR214=0,"", IF(COUNTIF(BR207:BR213,MAX(BR207:BR213))&lt;=2,"",IF(COUNTIF(BR207:BR213,MAX(BR207:BR213))&gt;COUNTIF(BQ207:BQ213,"&lt;&gt;""")/2,"", INDEX(OFFSET(BQ207,MATCH(BM194,BQ207:BQ213,0),0):BQ213,         MATCH(MAX(BR207:BR213),        OFFSET(BR207,MATCH(BM194,BQ207:BQ213,0),0):BR213,0),1)))))</f>
        <v/>
      </c>
      <c r="BN195" s="58"/>
      <c r="BO195" s="121"/>
      <c r="BP195" s="14"/>
      <c r="BQ195" s="14"/>
      <c r="BR195" s="14"/>
      <c r="BS195" s="14"/>
      <c r="BT195" s="19"/>
      <c r="BU195" s="19"/>
      <c r="BV195" s="19"/>
      <c r="BW195" s="65"/>
      <c r="BX195" s="63"/>
      <c r="BY195" s="352"/>
      <c r="BZ195" s="14"/>
      <c r="CA195" s="14"/>
      <c r="CB195" s="21"/>
      <c r="CC195" s="21"/>
      <c r="CD195" s="180"/>
      <c r="CE195" s="180"/>
      <c r="CF195" s="21"/>
      <c r="CG195" s="14"/>
      <c r="CH195" s="14"/>
      <c r="CI195" s="14"/>
      <c r="CJ195" s="14"/>
      <c r="CK195" s="14"/>
      <c r="CL195" s="14"/>
      <c r="CM195" s="14"/>
      <c r="CN195" s="14"/>
      <c r="CO195" s="129"/>
      <c r="CP195" s="29"/>
      <c r="CQ195" s="47"/>
      <c r="CR195" s="14"/>
      <c r="CS195" s="14"/>
      <c r="CT195" s="14"/>
      <c r="CU195" s="14"/>
      <c r="CV195" s="180"/>
      <c r="CW195" s="189"/>
      <c r="CX195" s="189"/>
      <c r="CY195" s="14"/>
      <c r="CZ195" s="14"/>
      <c r="DA195" s="14"/>
      <c r="DB195" s="14"/>
      <c r="DC195" s="14"/>
      <c r="DD195" s="14"/>
      <c r="DE195" s="14"/>
      <c r="DF195" s="14"/>
      <c r="DG195" s="129"/>
      <c r="DH195" s="29"/>
      <c r="DI195" s="47"/>
      <c r="DJ195" s="29"/>
      <c r="DK195" s="34"/>
      <c r="DL195" s="37" t="str">
        <f ca="1">IF(DQ212=0,"",IF(COUNTIF(DQ207:DQ211,MAX(DQ207:DQ211))&lt;=2,"",IF(COUNTIF(DQ207:DQ211,MAX(DQ207:DQ211))&gt;COUNTIF(DP207:DP211,"&lt;&gt;""")/2,"",INDEX(OFFSET(DP207,MATCH(DL194,DP207:DP212,0),0):DP211,MATCH(MAX(DQ207:DQ211),OFFSET(DQ207,MATCH(DL194,DP207:DP212,0),0):DQ211,0),1))))</f>
        <v/>
      </c>
      <c r="DM195" s="33"/>
      <c r="DN195" s="37"/>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row>
    <row r="196" spans="1:142" x14ac:dyDescent="0.25">
      <c r="A196" s="14"/>
      <c r="B196" s="14"/>
      <c r="C196" s="14"/>
      <c r="D196" s="27"/>
      <c r="E196" s="14"/>
      <c r="F196" s="14"/>
      <c r="G196" s="14"/>
      <c r="H196" s="27"/>
      <c r="I196" s="21"/>
      <c r="J196" s="14"/>
      <c r="K196" s="19"/>
      <c r="L196" s="40"/>
      <c r="M196" s="40"/>
      <c r="N196" s="40"/>
      <c r="O196" s="40"/>
      <c r="P196" s="40"/>
      <c r="Q196" s="47"/>
      <c r="R196" s="19"/>
      <c r="S196" s="19"/>
      <c r="T196" s="62"/>
      <c r="U196" s="27"/>
      <c r="V196" s="14"/>
      <c r="W196" s="14"/>
      <c r="X196" s="14"/>
      <c r="Y196" s="14"/>
      <c r="Z196" s="14"/>
      <c r="AA196" s="19"/>
      <c r="AB196" s="19"/>
      <c r="AC196" s="19"/>
      <c r="AD196" s="65"/>
      <c r="AE196" s="63"/>
      <c r="AF196" s="47"/>
      <c r="AG196" s="19"/>
      <c r="AH196" s="19"/>
      <c r="AI196" s="62"/>
      <c r="AJ196" s="27"/>
      <c r="AK196" s="14"/>
      <c r="AL196" s="14"/>
      <c r="AM196" s="14"/>
      <c r="AN196" s="14"/>
      <c r="AO196" s="14"/>
      <c r="AP196" s="19"/>
      <c r="AQ196" s="19"/>
      <c r="AR196" s="19"/>
      <c r="AS196" s="65"/>
      <c r="AT196" s="63"/>
      <c r="AU196" s="47"/>
      <c r="AV196" s="14"/>
      <c r="AW196" s="19"/>
      <c r="AX196" s="62"/>
      <c r="AY196" s="27"/>
      <c r="AZ196" s="14"/>
      <c r="BA196" s="14"/>
      <c r="BB196" s="14"/>
      <c r="BC196" s="14"/>
      <c r="BD196" s="14"/>
      <c r="BE196" s="19"/>
      <c r="BF196" s="19"/>
      <c r="BG196" s="19"/>
      <c r="BH196" s="65"/>
      <c r="BI196" s="63"/>
      <c r="BJ196" s="352"/>
      <c r="BK196" s="19"/>
      <c r="BL196" s="19"/>
      <c r="BM196" s="62"/>
      <c r="BN196" s="27"/>
      <c r="BO196" s="14"/>
      <c r="BP196" s="14"/>
      <c r="BQ196" s="14"/>
      <c r="BR196" s="14"/>
      <c r="BS196" s="14"/>
      <c r="BT196" s="19"/>
      <c r="BU196" s="19"/>
      <c r="BV196" s="19"/>
      <c r="BW196" s="65"/>
      <c r="BX196" s="63"/>
      <c r="BY196" s="352"/>
      <c r="BZ196" s="14"/>
      <c r="CA196" s="14"/>
      <c r="CB196" s="21"/>
      <c r="CC196" s="21"/>
      <c r="CD196" s="180"/>
      <c r="CE196" s="180"/>
      <c r="CF196" s="21"/>
      <c r="CG196" s="14"/>
      <c r="CH196" s="14"/>
      <c r="CI196" s="14"/>
      <c r="CJ196" s="14"/>
      <c r="CK196" s="14"/>
      <c r="CL196" s="14"/>
      <c r="CM196" s="14"/>
      <c r="CN196" s="14"/>
      <c r="CO196" s="129"/>
      <c r="CP196" s="29"/>
      <c r="CQ196" s="47"/>
      <c r="CR196" s="14"/>
      <c r="CS196" s="14"/>
      <c r="CT196" s="14"/>
      <c r="CU196" s="14"/>
      <c r="CV196" s="180"/>
      <c r="CW196" s="189"/>
      <c r="CX196" s="189"/>
      <c r="CY196" s="14"/>
      <c r="CZ196" s="14"/>
      <c r="DA196" s="14"/>
      <c r="DB196" s="14"/>
      <c r="DC196" s="14"/>
      <c r="DD196" s="14"/>
      <c r="DE196" s="14"/>
      <c r="DF196" s="14"/>
      <c r="DG196" s="129"/>
      <c r="DH196" s="29"/>
      <c r="DI196" s="47"/>
      <c r="DJ196" s="29"/>
      <c r="DK196" s="14"/>
      <c r="DL196" s="14"/>
      <c r="DM196" s="27"/>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row>
    <row r="197" spans="1:142" x14ac:dyDescent="0.25">
      <c r="A197" s="14"/>
      <c r="B197" s="14"/>
      <c r="C197" s="14"/>
      <c r="D197" s="27"/>
      <c r="E197" s="14"/>
      <c r="F197" s="14"/>
      <c r="G197" s="14"/>
      <c r="H197" s="21"/>
      <c r="I197" s="21"/>
      <c r="J197" s="14"/>
      <c r="K197" s="19"/>
      <c r="L197" s="40"/>
      <c r="M197" s="40"/>
      <c r="N197" s="40"/>
      <c r="O197" s="40"/>
      <c r="P197" s="40"/>
      <c r="Q197" s="47"/>
      <c r="R197" s="19"/>
      <c r="S197" s="19"/>
      <c r="T197" s="14"/>
      <c r="U197" s="27"/>
      <c r="V197" s="14"/>
      <c r="W197" s="14"/>
      <c r="X197" s="14"/>
      <c r="Y197" s="14"/>
      <c r="Z197" s="14"/>
      <c r="AA197" s="19"/>
      <c r="AB197" s="19"/>
      <c r="AC197" s="19"/>
      <c r="AD197" s="65"/>
      <c r="AE197" s="63"/>
      <c r="AF197" s="47"/>
      <c r="AG197" s="19"/>
      <c r="AH197" s="19"/>
      <c r="AI197" s="14"/>
      <c r="AJ197" s="27"/>
      <c r="AK197" s="14"/>
      <c r="AL197" s="14"/>
      <c r="AM197" s="14"/>
      <c r="AN197" s="14"/>
      <c r="AO197" s="14"/>
      <c r="AP197" s="19"/>
      <c r="AQ197" s="19"/>
      <c r="AR197" s="19"/>
      <c r="AS197" s="65"/>
      <c r="AT197" s="63"/>
      <c r="AU197" s="47"/>
      <c r="AV197" s="14"/>
      <c r="AW197" s="19"/>
      <c r="AX197" s="14"/>
      <c r="AY197" s="27"/>
      <c r="AZ197" s="14"/>
      <c r="BA197" s="14"/>
      <c r="BB197" s="14"/>
      <c r="BC197" s="14"/>
      <c r="BD197" s="14"/>
      <c r="BE197" s="19"/>
      <c r="BF197" s="19"/>
      <c r="BG197" s="19"/>
      <c r="BH197" s="65"/>
      <c r="BI197" s="63"/>
      <c r="BJ197" s="352"/>
      <c r="BK197" s="19"/>
      <c r="BL197" s="19"/>
      <c r="BM197" s="14"/>
      <c r="BN197" s="27"/>
      <c r="BO197" s="14"/>
      <c r="BP197" s="14"/>
      <c r="BQ197" s="14"/>
      <c r="BR197" s="14"/>
      <c r="BS197" s="14"/>
      <c r="BT197" s="19"/>
      <c r="BU197" s="19"/>
      <c r="BV197" s="19"/>
      <c r="BW197" s="65"/>
      <c r="BX197" s="63"/>
      <c r="BY197" s="352"/>
      <c r="BZ197" s="14"/>
      <c r="CA197" s="14"/>
      <c r="CB197" s="21"/>
      <c r="CC197" s="21"/>
      <c r="CD197" s="180"/>
      <c r="CE197" s="180"/>
      <c r="CF197" s="21"/>
      <c r="CG197" s="14"/>
      <c r="CH197" s="14"/>
      <c r="CI197" s="14"/>
      <c r="CJ197" s="14"/>
      <c r="CK197" s="14"/>
      <c r="CL197" s="14"/>
      <c r="CM197" s="14"/>
      <c r="CN197" s="14"/>
      <c r="CO197" s="129"/>
      <c r="CP197" s="29"/>
      <c r="CQ197" s="47"/>
      <c r="CR197" s="14"/>
      <c r="CS197" s="14"/>
      <c r="CT197" s="14"/>
      <c r="CU197" s="14"/>
      <c r="CV197" s="180"/>
      <c r="CW197" s="189"/>
      <c r="CX197" s="189"/>
      <c r="CY197" s="14"/>
      <c r="CZ197" s="14"/>
      <c r="DA197" s="14"/>
      <c r="DB197" s="14"/>
      <c r="DC197" s="14"/>
      <c r="DD197" s="14"/>
      <c r="DE197" s="14"/>
      <c r="DF197" s="14"/>
      <c r="DG197" s="129"/>
      <c r="DH197" s="29"/>
      <c r="DI197" s="47"/>
      <c r="DJ197" s="29"/>
      <c r="DK197" s="14"/>
      <c r="DL197" s="14"/>
      <c r="DM197" s="27"/>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row>
    <row r="198" spans="1:142" ht="27.6" x14ac:dyDescent="0.25">
      <c r="A198" s="14"/>
      <c r="B198" s="14"/>
      <c r="C198" s="14"/>
      <c r="D198" s="27"/>
      <c r="E198" s="14"/>
      <c r="F198" s="14"/>
      <c r="G198" s="14"/>
      <c r="H198" s="21"/>
      <c r="I198" s="21"/>
      <c r="J198" s="14"/>
      <c r="K198" s="19"/>
      <c r="L198" s="40"/>
      <c r="M198" s="40"/>
      <c r="N198" s="40"/>
      <c r="O198" s="40"/>
      <c r="P198" s="40"/>
      <c r="Q198" s="47"/>
      <c r="R198" s="19"/>
      <c r="S198" s="19"/>
      <c r="T198" s="14"/>
      <c r="U198" s="27"/>
      <c r="V198" s="14"/>
      <c r="W198" s="14"/>
      <c r="X198" s="14"/>
      <c r="Y198" s="14"/>
      <c r="Z198" s="14"/>
      <c r="AA198" s="19"/>
      <c r="AB198" s="19"/>
      <c r="AC198" s="19"/>
      <c r="AD198" s="65"/>
      <c r="AE198" s="63"/>
      <c r="AF198" s="47"/>
      <c r="AG198" s="19"/>
      <c r="AH198" s="19"/>
      <c r="AI198" s="14"/>
      <c r="AJ198" s="27"/>
      <c r="AK198" s="14"/>
      <c r="AL198" s="14"/>
      <c r="AM198" s="14"/>
      <c r="AN198" s="14"/>
      <c r="AO198" s="14"/>
      <c r="AP198" s="19"/>
      <c r="AQ198" s="19"/>
      <c r="AR198" s="19"/>
      <c r="AS198" s="65"/>
      <c r="AT198" s="63"/>
      <c r="AU198" s="47"/>
      <c r="AV198" s="14"/>
      <c r="AW198" s="19"/>
      <c r="AX198" s="14"/>
      <c r="AY198" s="27"/>
      <c r="AZ198" s="14"/>
      <c r="BA198" s="14"/>
      <c r="BB198" s="14"/>
      <c r="BC198" s="14"/>
      <c r="BD198" s="14"/>
      <c r="BE198" s="19"/>
      <c r="BF198" s="19"/>
      <c r="BG198" s="19"/>
      <c r="BH198" s="65"/>
      <c r="BI198" s="63"/>
      <c r="BJ198" s="352"/>
      <c r="BK198" s="19"/>
      <c r="BL198" s="19"/>
      <c r="BM198" s="14"/>
      <c r="BN198" s="27"/>
      <c r="BO198" s="14"/>
      <c r="BP198" s="14"/>
      <c r="BQ198" s="14"/>
      <c r="BR198" s="14"/>
      <c r="BS198" s="14"/>
      <c r="BT198" s="19"/>
      <c r="BU198" s="19"/>
      <c r="BV198" s="19"/>
      <c r="BW198" s="65"/>
      <c r="BX198" s="63"/>
      <c r="BY198" s="352"/>
      <c r="BZ198" s="14"/>
      <c r="CA198" s="109" t="s">
        <v>14</v>
      </c>
      <c r="CB198" s="110" t="s">
        <v>164</v>
      </c>
      <c r="CC198" s="110" t="s">
        <v>149</v>
      </c>
      <c r="CD198" s="184" t="s">
        <v>150</v>
      </c>
      <c r="CE198" s="184" t="s">
        <v>151</v>
      </c>
      <c r="CF198" s="110" t="s">
        <v>152</v>
      </c>
      <c r="CG198" s="14"/>
      <c r="CH198" s="109"/>
      <c r="CI198" s="110" t="s">
        <v>5</v>
      </c>
      <c r="CJ198" s="110" t="s">
        <v>4</v>
      </c>
      <c r="CK198" s="110" t="s">
        <v>33</v>
      </c>
      <c r="CL198" s="110" t="s">
        <v>29</v>
      </c>
      <c r="CM198" s="110" t="s">
        <v>3</v>
      </c>
      <c r="CN198" s="110" t="s">
        <v>54</v>
      </c>
      <c r="CO198" s="328" t="s">
        <v>160</v>
      </c>
      <c r="CP198" s="29"/>
      <c r="CQ198" s="47"/>
      <c r="CR198" s="14"/>
      <c r="CS198" s="109" t="s">
        <v>14</v>
      </c>
      <c r="CT198" s="110" t="s">
        <v>164</v>
      </c>
      <c r="CU198" s="110" t="s">
        <v>149</v>
      </c>
      <c r="CV198" s="184" t="s">
        <v>150</v>
      </c>
      <c r="CW198" s="184" t="s">
        <v>151</v>
      </c>
      <c r="CX198" s="194" t="s">
        <v>152</v>
      </c>
      <c r="CY198" s="14"/>
      <c r="CZ198" s="109" t="s">
        <v>14</v>
      </c>
      <c r="DA198" s="110" t="s">
        <v>5</v>
      </c>
      <c r="DB198" s="110" t="s">
        <v>4</v>
      </c>
      <c r="DC198" s="110" t="s">
        <v>33</v>
      </c>
      <c r="DD198" s="110" t="s">
        <v>29</v>
      </c>
      <c r="DE198" s="110" t="s">
        <v>3</v>
      </c>
      <c r="DF198" s="110" t="s">
        <v>54</v>
      </c>
      <c r="DG198" s="328" t="s">
        <v>160</v>
      </c>
      <c r="DH198" s="29"/>
      <c r="DI198" s="47"/>
      <c r="DJ198" s="29"/>
      <c r="DK198" s="14"/>
      <c r="DL198" s="14"/>
      <c r="DM198" s="27"/>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row>
    <row r="199" spans="1:142" x14ac:dyDescent="0.25">
      <c r="A199" s="14"/>
      <c r="B199" s="14"/>
      <c r="C199" s="14"/>
      <c r="D199" s="21"/>
      <c r="E199" s="14"/>
      <c r="F199" s="14"/>
      <c r="G199" s="14"/>
      <c r="H199" s="21"/>
      <c r="I199" s="21"/>
      <c r="J199" s="14"/>
      <c r="K199" s="19"/>
      <c r="L199" s="14"/>
      <c r="M199" s="14"/>
      <c r="N199" s="14"/>
      <c r="O199" s="14"/>
      <c r="P199" s="14"/>
      <c r="Q199" s="47"/>
      <c r="R199" s="19"/>
      <c r="S199" s="14"/>
      <c r="T199" s="14"/>
      <c r="U199" s="21"/>
      <c r="V199" s="14"/>
      <c r="W199" s="14"/>
      <c r="X199" s="14"/>
      <c r="Y199" s="14"/>
      <c r="Z199" s="14"/>
      <c r="AA199" s="19"/>
      <c r="AB199" s="19"/>
      <c r="AC199" s="19"/>
      <c r="AD199" s="65"/>
      <c r="AE199" s="63"/>
      <c r="AF199" s="47"/>
      <c r="AG199" s="19"/>
      <c r="AH199" s="14"/>
      <c r="AI199" s="14"/>
      <c r="AJ199" s="21"/>
      <c r="AK199" s="14"/>
      <c r="AL199" s="14"/>
      <c r="AM199" s="14"/>
      <c r="AN199" s="14"/>
      <c r="AO199" s="14"/>
      <c r="AP199" s="19"/>
      <c r="AQ199" s="19"/>
      <c r="AR199" s="19"/>
      <c r="AS199" s="65"/>
      <c r="AT199" s="63"/>
      <c r="AU199" s="47"/>
      <c r="AV199" s="14"/>
      <c r="AW199" s="14"/>
      <c r="AX199" s="14"/>
      <c r="AY199" s="21"/>
      <c r="AZ199" s="14"/>
      <c r="BA199" s="14"/>
      <c r="BB199" s="14"/>
      <c r="BC199" s="14"/>
      <c r="BD199" s="14"/>
      <c r="BE199" s="19"/>
      <c r="BF199" s="19"/>
      <c r="BG199" s="19"/>
      <c r="BH199" s="65"/>
      <c r="BI199" s="63"/>
      <c r="BJ199" s="352"/>
      <c r="BK199" s="19"/>
      <c r="BL199" s="14"/>
      <c r="BM199" s="14"/>
      <c r="BN199" s="21"/>
      <c r="BO199" s="14"/>
      <c r="BP199" s="14"/>
      <c r="BQ199" s="14"/>
      <c r="BR199" s="14"/>
      <c r="BS199" s="14"/>
      <c r="BT199" s="19"/>
      <c r="BU199" s="19"/>
      <c r="BV199" s="19"/>
      <c r="BW199" s="65"/>
      <c r="BX199" s="63"/>
      <c r="BY199" s="352"/>
      <c r="BZ199" s="14"/>
      <c r="CA199" s="140" t="s">
        <v>701</v>
      </c>
      <c r="CB199" s="27">
        <f>COUNTIFS(S30_stakeholder_category,"NGO",Response_Q177_1,"&lt;&gt;0",Response_Q173_7,"&lt;&gt;0")</f>
        <v>0</v>
      </c>
      <c r="CC199" s="37">
        <f>COUNTIFS(S30_stakeholder_category,"NGO",Response_Q177_1,1,Response_Q173_7,"&lt;&gt;""0")</f>
        <v>4</v>
      </c>
      <c r="CD199" s="37">
        <f>COUNTIFS(S30_stakeholder_category,"NGO",Response_Q177_1,2,Response_Q173_7,"&lt;&gt;""0")</f>
        <v>0</v>
      </c>
      <c r="CE199" s="37">
        <f>COUNTIFS(S30_stakeholder_category,"NGO",Response_Q177_1,3,Response_Q173_7,"&lt;&gt;""0")</f>
        <v>0</v>
      </c>
      <c r="CF199" s="97">
        <f>IF(CB193=0,0,SUMPRODUCT(CC199:CE199,Rank_score)/$CB193)</f>
        <v>3</v>
      </c>
      <c r="CG199" s="14"/>
      <c r="CH199" s="140" t="s">
        <v>701</v>
      </c>
      <c r="CI199" s="27">
        <f t="shared" ref="CI199:CN199" si="139">COUNTIFS(S30_stakeholder_category,"NGO",Response_Q177_1,"&lt;&gt;0",Response_Q177_2,CI$63,Response_Q173_7,"&lt;&gt;0")</f>
        <v>0</v>
      </c>
      <c r="CJ199" s="27">
        <f t="shared" si="139"/>
        <v>0</v>
      </c>
      <c r="CK199" s="27">
        <f t="shared" si="139"/>
        <v>0</v>
      </c>
      <c r="CL199" s="27">
        <f t="shared" si="139"/>
        <v>0</v>
      </c>
      <c r="CM199" s="27">
        <f t="shared" si="139"/>
        <v>0</v>
      </c>
      <c r="CN199" s="27">
        <f t="shared" si="139"/>
        <v>0</v>
      </c>
      <c r="CO199" s="141" t="str">
        <f t="shared" ref="CO199:CO205" si="140">IF(ISBLANK(CH199),"",IF(CF199=0,not_ranked,IF(SUM(CI199:CN199)=0,not_estimated,IFERROR(SUMPRODUCT(CI199:CN199,Likekihood_score)/SUM(CI199:CN199),0))))</f>
        <v>Ranked, but likelihood not estimated</v>
      </c>
      <c r="CP199" s="29"/>
      <c r="CQ199" s="47"/>
      <c r="CR199" s="14"/>
      <c r="CS199" s="140" t="s">
        <v>373</v>
      </c>
      <c r="CT199" s="27">
        <f>COUNTIFS(S30_stakeholder_category,"NGO",Response_Q178_1,"&lt;&gt;0",Response_Q173_7,"&lt;&gt;0")</f>
        <v>0</v>
      </c>
      <c r="CU199" s="37">
        <f>COUNTIFS(S30_stakeholder_category,"NGO",Response_Q178_1,1,Response_Q173_7,"&lt;&gt;0")</f>
        <v>0</v>
      </c>
      <c r="CV199" s="37">
        <f>COUNTIFS(S30_stakeholder_category,"NGO",Response_Q178_1,2,Response_Q173_7,"&lt;&gt;0")</f>
        <v>0</v>
      </c>
      <c r="CW199" s="37">
        <f>COUNTIFS(S30_stakeholder_category,"NGO",Response_Q178_1,3,Response_Q173_7,"&lt;&gt;0")</f>
        <v>0</v>
      </c>
      <c r="CX199" s="37">
        <f>IF(CT193=0,0,SUMPRODUCT(CU199:CW199,Rank_score)/CT$58)</f>
        <v>0</v>
      </c>
      <c r="CY199" s="14"/>
      <c r="CZ199" s="140" t="s">
        <v>373</v>
      </c>
      <c r="DA199" s="27">
        <f t="shared" ref="DA199:DF199" si="141">COUNTIFS(S30_stakeholder_category,"NGO",Response_Q178_1,"&lt;&gt;0",Response_Q178_2,DA$63,Response_Q173_7,"&lt;&gt;0")</f>
        <v>0</v>
      </c>
      <c r="DB199" s="27">
        <f t="shared" si="141"/>
        <v>0</v>
      </c>
      <c r="DC199" s="27">
        <f t="shared" si="141"/>
        <v>0</v>
      </c>
      <c r="DD199" s="27">
        <f t="shared" si="141"/>
        <v>0</v>
      </c>
      <c r="DE199" s="27">
        <f t="shared" si="141"/>
        <v>0</v>
      </c>
      <c r="DF199" s="27">
        <f t="shared" si="141"/>
        <v>0</v>
      </c>
      <c r="DG199" s="141" t="str">
        <f t="shared" ref="DG199:DG206" si="142">IF(ISBLANK(CZ199),"",IF(CX199=0,not_ranked,IF(SUM(DA199:DF199)=0,not_estimated,IFERROR(SUMPRODUCT(DA199:DF199,Likekihood_score)/SUM(DA199:DF199),0))))</f>
        <v>Factor not ranked</v>
      </c>
      <c r="DH199" s="29"/>
      <c r="DI199" s="47"/>
      <c r="DJ199" s="29"/>
      <c r="DK199" s="14"/>
      <c r="DL199" s="14"/>
      <c r="DM199" s="14"/>
      <c r="DN199" s="14"/>
      <c r="DO199" s="14"/>
      <c r="DP199" s="14"/>
      <c r="DQ199" s="14"/>
      <c r="DR199" s="13"/>
      <c r="DS199" s="13"/>
      <c r="DT199" s="14"/>
      <c r="DU199" s="14"/>
      <c r="DV199" s="14"/>
      <c r="DW199" s="14"/>
      <c r="DX199" s="14"/>
      <c r="DY199" s="14"/>
      <c r="DZ199" s="14"/>
      <c r="EA199" s="14"/>
      <c r="EB199" s="14"/>
      <c r="EC199" s="14"/>
      <c r="ED199" s="14"/>
      <c r="EE199" s="14"/>
      <c r="EF199" s="14"/>
      <c r="EG199" s="14"/>
      <c r="EH199" s="14"/>
      <c r="EI199" s="14"/>
      <c r="EJ199" s="14"/>
      <c r="EK199" s="14"/>
      <c r="EL199" s="14"/>
    </row>
    <row r="200" spans="1:142" ht="14.4" x14ac:dyDescent="0.25">
      <c r="A200" s="14"/>
      <c r="B200" s="60"/>
      <c r="C200" s="19"/>
      <c r="D200" s="59"/>
      <c r="E200" s="14"/>
      <c r="F200" s="14"/>
      <c r="G200" s="14"/>
      <c r="H200" s="21"/>
      <c r="I200" s="21"/>
      <c r="J200" s="14"/>
      <c r="K200" s="14"/>
      <c r="L200" s="14"/>
      <c r="M200" s="14"/>
      <c r="N200" s="14"/>
      <c r="O200" s="14"/>
      <c r="P200" s="14"/>
      <c r="Q200" s="47"/>
      <c r="R200" s="19"/>
      <c r="S200" s="60"/>
      <c r="T200" s="19"/>
      <c r="U200" s="59"/>
      <c r="V200" s="14"/>
      <c r="W200" s="14"/>
      <c r="X200" s="14"/>
      <c r="Y200" s="14"/>
      <c r="Z200" s="14"/>
      <c r="AA200" s="19"/>
      <c r="AB200" s="19"/>
      <c r="AC200" s="19"/>
      <c r="AD200" s="65"/>
      <c r="AE200" s="63"/>
      <c r="AF200" s="47"/>
      <c r="AG200" s="19"/>
      <c r="AH200" s="60"/>
      <c r="AI200" s="19"/>
      <c r="AJ200" s="59"/>
      <c r="AK200" s="14"/>
      <c r="AL200" s="14"/>
      <c r="AM200" s="14"/>
      <c r="AN200" s="14"/>
      <c r="AO200" s="14"/>
      <c r="AP200" s="19"/>
      <c r="AQ200" s="19"/>
      <c r="AR200" s="19"/>
      <c r="AS200" s="65"/>
      <c r="AT200" s="63"/>
      <c r="AU200" s="47"/>
      <c r="AV200" s="14"/>
      <c r="AW200" s="60"/>
      <c r="AX200" s="19"/>
      <c r="AY200" s="59"/>
      <c r="AZ200" s="14"/>
      <c r="BA200" s="14"/>
      <c r="BB200" s="14"/>
      <c r="BC200" s="14"/>
      <c r="BD200" s="14"/>
      <c r="BE200" s="19"/>
      <c r="BF200" s="19"/>
      <c r="BG200" s="19"/>
      <c r="BH200" s="65"/>
      <c r="BI200" s="63"/>
      <c r="BJ200" s="352"/>
      <c r="BK200" s="19"/>
      <c r="BL200" s="60"/>
      <c r="BM200" s="19"/>
      <c r="BN200" s="59"/>
      <c r="BO200" s="14"/>
      <c r="BP200" s="14"/>
      <c r="BQ200" s="14"/>
      <c r="BR200" s="14"/>
      <c r="BS200" s="14"/>
      <c r="BT200" s="19"/>
      <c r="BU200" s="19"/>
      <c r="BV200" s="19"/>
      <c r="BW200" s="65"/>
      <c r="BX200" s="63"/>
      <c r="BY200" s="352"/>
      <c r="BZ200" s="14"/>
      <c r="CA200" s="140" t="s">
        <v>344</v>
      </c>
      <c r="CB200" s="27">
        <f>COUNTIFS(S30_stakeholder_category,"NGO",Response_Q177_3,"&lt;&gt;0",Response_Q173_7,"&lt;&gt;0")</f>
        <v>0</v>
      </c>
      <c r="CC200" s="37">
        <f>COUNTIFS(S30_stakeholder_category,"NGO",Response_Q177_3,1,Response_Q173_7,"&lt;&gt;0")</f>
        <v>0</v>
      </c>
      <c r="CD200" s="37">
        <f>COUNTIFS(S30_stakeholder_category,"NGO",Response_Q177_3,2,Response_Q173_7,"&lt;&gt;0")</f>
        <v>0</v>
      </c>
      <c r="CE200" s="37">
        <f>COUNTIFS(S30_stakeholder_category,"NGO",Response_Q177_3,3,Response_Q173_7,"&lt;&gt;0")</f>
        <v>0</v>
      </c>
      <c r="CF200" s="97">
        <f>IF(CB193=0,0,SUMPRODUCT(CC200:CE200,Rank_score)/$CB193)</f>
        <v>0</v>
      </c>
      <c r="CG200" s="14"/>
      <c r="CH200" s="140" t="s">
        <v>344</v>
      </c>
      <c r="CI200" s="27">
        <f t="shared" ref="CI200:CN200" si="143">COUNTIFS(S30_stakeholder_category,"NGO",Response_Q177_3,"&lt;&gt;0",Response_Q177_4,CI$63,Response_Q173_7,"&lt;&gt;0")</f>
        <v>0</v>
      </c>
      <c r="CJ200" s="27">
        <f t="shared" si="143"/>
        <v>0</v>
      </c>
      <c r="CK200" s="27">
        <f t="shared" si="143"/>
        <v>0</v>
      </c>
      <c r="CL200" s="27">
        <f t="shared" si="143"/>
        <v>0</v>
      </c>
      <c r="CM200" s="27">
        <f t="shared" si="143"/>
        <v>0</v>
      </c>
      <c r="CN200" s="27">
        <f t="shared" si="143"/>
        <v>0</v>
      </c>
      <c r="CO200" s="141" t="str">
        <f t="shared" si="140"/>
        <v>Factor not ranked</v>
      </c>
      <c r="CP200" s="14"/>
      <c r="CQ200" s="47"/>
      <c r="CR200" s="14"/>
      <c r="CS200" s="140" t="s">
        <v>338</v>
      </c>
      <c r="CT200" s="27">
        <f>COUNTIFS(S30_stakeholder_category,"NGO",Response_Q178_3,"&lt;&gt;0",Response_Q173_7,"&lt;&gt;0")</f>
        <v>0</v>
      </c>
      <c r="CU200" s="37">
        <f>COUNTIFS(S30_stakeholder_category,"NGO",Response_Q178_3,1,Response_Q173_7,"&lt;&gt;0")</f>
        <v>0</v>
      </c>
      <c r="CV200" s="37">
        <f>COUNTIFS(S30_stakeholder_category,"NGO",Response_Q178_3,2,Response_Q173_7,"&lt;&gt;0")</f>
        <v>0</v>
      </c>
      <c r="CW200" s="37">
        <f>COUNTIFS(S30_stakeholder_category,"NGO",Response_Q178_3,3,Response_Q173_7,"&lt;&gt;0")</f>
        <v>0</v>
      </c>
      <c r="CX200" s="37">
        <f>IF(CT193=0,0,SUMPRODUCT(CU200:CW200,Rank_score)/CT$58)</f>
        <v>0</v>
      </c>
      <c r="CY200" s="14"/>
      <c r="CZ200" s="140" t="s">
        <v>338</v>
      </c>
      <c r="DA200" s="27">
        <f t="shared" ref="DA200:DF200" si="144">COUNTIFS(S30_stakeholder_category,"NGO",Response_Q178_3,"&lt;&gt;0",Response_Q178_4,DA$63,Response_Q173_7,"&lt;&gt;0")</f>
        <v>0</v>
      </c>
      <c r="DB200" s="27">
        <f t="shared" si="144"/>
        <v>0</v>
      </c>
      <c r="DC200" s="27">
        <f t="shared" si="144"/>
        <v>0</v>
      </c>
      <c r="DD200" s="27">
        <f t="shared" si="144"/>
        <v>0</v>
      </c>
      <c r="DE200" s="27">
        <f t="shared" si="144"/>
        <v>0</v>
      </c>
      <c r="DF200" s="27">
        <f t="shared" si="144"/>
        <v>0</v>
      </c>
      <c r="DG200" s="141" t="str">
        <f t="shared" si="142"/>
        <v>Factor not ranked</v>
      </c>
      <c r="DH200" s="14"/>
      <c r="DI200" s="47"/>
      <c r="DJ200" s="14"/>
      <c r="DK200" s="19"/>
      <c r="DL200" s="19"/>
      <c r="DM200" s="59"/>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row>
    <row r="201" spans="1:142" ht="14.4" x14ac:dyDescent="0.25">
      <c r="A201" s="14"/>
      <c r="B201" s="62"/>
      <c r="C201" s="19"/>
      <c r="D201" s="59"/>
      <c r="E201" s="14"/>
      <c r="F201" s="14"/>
      <c r="G201" s="14"/>
      <c r="H201" s="21"/>
      <c r="I201" s="21"/>
      <c r="J201" s="14"/>
      <c r="K201" s="14"/>
      <c r="L201" s="14"/>
      <c r="M201" s="14"/>
      <c r="N201" s="14"/>
      <c r="O201" s="14"/>
      <c r="P201" s="14"/>
      <c r="Q201" s="47"/>
      <c r="R201" s="19"/>
      <c r="S201" s="61"/>
      <c r="T201" s="19"/>
      <c r="U201" s="59"/>
      <c r="V201" s="14"/>
      <c r="W201" s="14"/>
      <c r="X201" s="14"/>
      <c r="Y201" s="14"/>
      <c r="Z201" s="13"/>
      <c r="AA201" s="30"/>
      <c r="AB201" s="30"/>
      <c r="AC201" s="30"/>
      <c r="AD201" s="65"/>
      <c r="AE201" s="63"/>
      <c r="AF201" s="47"/>
      <c r="AG201" s="19"/>
      <c r="AH201" s="61"/>
      <c r="AI201" s="19"/>
      <c r="AJ201" s="59"/>
      <c r="AK201" s="14"/>
      <c r="AL201" s="14"/>
      <c r="AM201" s="14"/>
      <c r="AN201" s="14"/>
      <c r="AO201" s="13"/>
      <c r="AP201" s="30"/>
      <c r="AQ201" s="30"/>
      <c r="AR201" s="30"/>
      <c r="AS201" s="65"/>
      <c r="AT201" s="63"/>
      <c r="AU201" s="47"/>
      <c r="AV201" s="14"/>
      <c r="AW201" s="61"/>
      <c r="AX201" s="19"/>
      <c r="AY201" s="59"/>
      <c r="AZ201" s="14"/>
      <c r="BA201" s="14"/>
      <c r="BB201" s="14"/>
      <c r="BC201" s="14"/>
      <c r="BD201" s="13"/>
      <c r="BE201" s="30"/>
      <c r="BF201" s="30"/>
      <c r="BG201" s="30"/>
      <c r="BH201" s="65"/>
      <c r="BI201" s="63"/>
      <c r="BJ201" s="352"/>
      <c r="BK201" s="19"/>
      <c r="BL201" s="61"/>
      <c r="BM201" s="19"/>
      <c r="BN201" s="59"/>
      <c r="BO201" s="14"/>
      <c r="BP201" s="14"/>
      <c r="BQ201" s="14"/>
      <c r="BR201" s="14"/>
      <c r="BS201" s="13"/>
      <c r="BT201" s="30"/>
      <c r="BU201" s="30"/>
      <c r="BV201" s="30"/>
      <c r="BW201" s="65"/>
      <c r="BX201" s="63"/>
      <c r="BY201" s="352"/>
      <c r="BZ201" s="14"/>
      <c r="CA201" s="140" t="s">
        <v>146</v>
      </c>
      <c r="CB201" s="27">
        <f>COUNTIFS(S30_stakeholder_category,"NGO",Response_Q177_5,"&lt;&gt;0",Response_Q173_7,"&lt;&gt;0")</f>
        <v>0</v>
      </c>
      <c r="CC201" s="37">
        <f>COUNTIFS(S30_stakeholder_category,"NGO",Response_Q177_5,1,Response_Q173_7,"&lt;&gt;0")</f>
        <v>0</v>
      </c>
      <c r="CD201" s="37">
        <f>COUNTIFS(S30_stakeholder_category,"NGO",Response_Q177_5,2,Response_Q173_7,"&lt;&gt;0")</f>
        <v>0</v>
      </c>
      <c r="CE201" s="37">
        <f>COUNTIFS(S30_stakeholder_category,"NGO",Response_Q177_5,3,Response_Q173_7,"&lt;&gt;0")</f>
        <v>0</v>
      </c>
      <c r="CF201" s="97">
        <f>IF(CB193=0,0,SUMPRODUCT(CC201:CE201,Rank_score)/$CB193)</f>
        <v>0</v>
      </c>
      <c r="CG201" s="14"/>
      <c r="CH201" s="140" t="s">
        <v>146</v>
      </c>
      <c r="CI201" s="27">
        <f t="shared" ref="CI201:CN201" si="145">COUNTIFS(S30_stakeholder_category,"NGO",Response_Q177_5,"&lt;&gt;0",Response_Q177_6,CI$63,Response_Q173_7,"&lt;&gt;0")</f>
        <v>0</v>
      </c>
      <c r="CJ201" s="27">
        <f t="shared" si="145"/>
        <v>0</v>
      </c>
      <c r="CK201" s="27">
        <f t="shared" si="145"/>
        <v>0</v>
      </c>
      <c r="CL201" s="27">
        <f t="shared" si="145"/>
        <v>0</v>
      </c>
      <c r="CM201" s="27">
        <f t="shared" si="145"/>
        <v>0</v>
      </c>
      <c r="CN201" s="27">
        <f t="shared" si="145"/>
        <v>0</v>
      </c>
      <c r="CO201" s="141" t="str">
        <f t="shared" si="140"/>
        <v>Factor not ranked</v>
      </c>
      <c r="CP201" s="14"/>
      <c r="CQ201" s="47"/>
      <c r="CR201" s="14"/>
      <c r="CS201" s="106" t="s">
        <v>339</v>
      </c>
      <c r="CT201" s="27">
        <f>COUNTIFS(S30_stakeholder_category,"NGO",Response_Q178_5,"&lt;&gt;0",Response_Q173_7,"&lt;&gt;0")</f>
        <v>0</v>
      </c>
      <c r="CU201" s="37">
        <f>COUNTIFS(S30_stakeholder_category,"NGO",Response_Q178_5,1,Response_Q173_7,"&lt;&gt;0")</f>
        <v>0</v>
      </c>
      <c r="CV201" s="37">
        <f>COUNTIFS(S30_stakeholder_category,"NGO",Response_Q178_5,2,Response_Q173_7,"&lt;&gt;0")</f>
        <v>0</v>
      </c>
      <c r="CW201" s="37">
        <f>COUNTIFS(S30_stakeholder_category,"NGO",Response_Q178_5,3,Response_Q173_7,"&lt;&gt;0")</f>
        <v>0</v>
      </c>
      <c r="CX201" s="37">
        <f>IF(CT193=0,0,SUMPRODUCT(CU201:CW201,Rank_score)/CT$58)</f>
        <v>0</v>
      </c>
      <c r="CY201" s="14"/>
      <c r="CZ201" s="106" t="s">
        <v>339</v>
      </c>
      <c r="DA201" s="27">
        <f t="shared" ref="DA201:DF201" si="146">COUNTIFS(S30_stakeholder_category,"NGO",Response_Q178_5,"&lt;&gt;0",Response_Q178_6,DA$63,Response_Q173_7,"&lt;&gt;0")</f>
        <v>0</v>
      </c>
      <c r="DB201" s="27">
        <f t="shared" si="146"/>
        <v>0</v>
      </c>
      <c r="DC201" s="27">
        <f t="shared" si="146"/>
        <v>0</v>
      </c>
      <c r="DD201" s="27">
        <f t="shared" si="146"/>
        <v>0</v>
      </c>
      <c r="DE201" s="27">
        <f t="shared" si="146"/>
        <v>0</v>
      </c>
      <c r="DF201" s="27">
        <f t="shared" si="146"/>
        <v>0</v>
      </c>
      <c r="DG201" s="141" t="str">
        <f t="shared" si="142"/>
        <v>Factor not ranked</v>
      </c>
      <c r="DH201" s="14"/>
      <c r="DI201" s="47"/>
      <c r="DJ201" s="14"/>
      <c r="DK201" s="19"/>
      <c r="DL201" s="19"/>
      <c r="DM201" s="59"/>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row>
    <row r="202" spans="1:142" x14ac:dyDescent="0.25">
      <c r="A202" s="14"/>
      <c r="B202" s="62"/>
      <c r="C202" s="19"/>
      <c r="D202" s="59"/>
      <c r="E202" s="14"/>
      <c r="F202" s="14"/>
      <c r="G202" s="14"/>
      <c r="H202" s="21"/>
      <c r="I202" s="21"/>
      <c r="J202" s="14"/>
      <c r="K202" s="14"/>
      <c r="L202" s="14"/>
      <c r="M202" s="14"/>
      <c r="N202" s="14"/>
      <c r="O202" s="14"/>
      <c r="P202" s="14"/>
      <c r="Q202" s="47"/>
      <c r="R202" s="19"/>
      <c r="S202" s="62"/>
      <c r="T202" s="19"/>
      <c r="U202" s="59"/>
      <c r="V202" s="14"/>
      <c r="W202" s="14"/>
      <c r="X202" s="14"/>
      <c r="Y202" s="14"/>
      <c r="Z202" s="14"/>
      <c r="AA202" s="14"/>
      <c r="AB202" s="14"/>
      <c r="AC202" s="14"/>
      <c r="AD202" s="65"/>
      <c r="AE202" s="63"/>
      <c r="AF202" s="47"/>
      <c r="AG202" s="19"/>
      <c r="AH202" s="62"/>
      <c r="AI202" s="19"/>
      <c r="AJ202" s="59"/>
      <c r="AK202" s="14"/>
      <c r="AL202" s="14"/>
      <c r="AM202" s="14"/>
      <c r="AN202" s="14"/>
      <c r="AO202" s="14"/>
      <c r="AP202" s="14"/>
      <c r="AQ202" s="14"/>
      <c r="AR202" s="14"/>
      <c r="AS202" s="65"/>
      <c r="AT202" s="63"/>
      <c r="AU202" s="47"/>
      <c r="AV202" s="14"/>
      <c r="AW202" s="62"/>
      <c r="AX202" s="19"/>
      <c r="AY202" s="59"/>
      <c r="AZ202" s="14"/>
      <c r="BA202" s="14"/>
      <c r="BB202" s="14"/>
      <c r="BC202" s="14"/>
      <c r="BD202" s="14"/>
      <c r="BE202" s="14"/>
      <c r="BF202" s="14"/>
      <c r="BG202" s="14"/>
      <c r="BH202" s="65"/>
      <c r="BI202" s="63"/>
      <c r="BJ202" s="352"/>
      <c r="BK202" s="19"/>
      <c r="BL202" s="62"/>
      <c r="BM202" s="19"/>
      <c r="BN202" s="59"/>
      <c r="BO202" s="14"/>
      <c r="BP202" s="14"/>
      <c r="BQ202" s="14"/>
      <c r="BR202" s="14"/>
      <c r="BS202" s="14"/>
      <c r="BT202" s="14"/>
      <c r="BU202" s="14"/>
      <c r="BV202" s="14"/>
      <c r="BW202" s="65"/>
      <c r="BX202" s="63"/>
      <c r="BY202" s="352"/>
      <c r="BZ202" s="14"/>
      <c r="CA202" s="140" t="s">
        <v>147</v>
      </c>
      <c r="CB202" s="27">
        <f>COUNTIFS(S30_stakeholder_category,"NGO",Response_Q177_7,"&lt;&gt;0",Response_Q173_7,"&lt;&gt;0")</f>
        <v>0</v>
      </c>
      <c r="CC202" s="37">
        <f>COUNTIFS(S30_stakeholder_category,"NGO",Response_Q177_7,1,Response_Q173_7,"&lt;&gt;0")</f>
        <v>0</v>
      </c>
      <c r="CD202" s="37">
        <f>COUNTIFS(S30_stakeholder_category,"NGO",Response_Q177_7,2,Response_Q173_7,"&lt;&gt;0")</f>
        <v>0</v>
      </c>
      <c r="CE202" s="37">
        <f>COUNTIFS(S30_stakeholder_category,"NGO",Response_Q177_7,3,Response_Q173_7,"&lt;&gt;0")</f>
        <v>0</v>
      </c>
      <c r="CF202" s="97">
        <f>IF(CB193=0,0,SUMPRODUCT(CC202:CE202,Rank_score)/$CB193)</f>
        <v>0</v>
      </c>
      <c r="CG202" s="14"/>
      <c r="CH202" s="140" t="s">
        <v>147</v>
      </c>
      <c r="CI202" s="27">
        <f t="shared" ref="CI202:CN202" si="147">COUNTIFS(S30_stakeholder_category,"NGO",Response_Q177_7,"&lt;&gt;0",Response_Q177_8,CI$63,Response_Q173_7,"&lt;&gt;0")</f>
        <v>0</v>
      </c>
      <c r="CJ202" s="27">
        <f t="shared" si="147"/>
        <v>0</v>
      </c>
      <c r="CK202" s="27">
        <f t="shared" si="147"/>
        <v>0</v>
      </c>
      <c r="CL202" s="27">
        <f t="shared" si="147"/>
        <v>0</v>
      </c>
      <c r="CM202" s="27">
        <f t="shared" si="147"/>
        <v>0</v>
      </c>
      <c r="CN202" s="27">
        <f t="shared" si="147"/>
        <v>0</v>
      </c>
      <c r="CO202" s="141" t="str">
        <f t="shared" si="140"/>
        <v>Factor not ranked</v>
      </c>
      <c r="CP202" s="14"/>
      <c r="CQ202" s="47"/>
      <c r="CR202" s="14"/>
      <c r="CS202" s="106" t="s">
        <v>345</v>
      </c>
      <c r="CT202" s="27">
        <f>COUNTIFS(S30_stakeholder_category,"NGO",Response_Q178_7,"&lt;&gt;0",Response_Q173_7,"&lt;&gt;0")</f>
        <v>0</v>
      </c>
      <c r="CU202" s="37">
        <f>COUNTIFS(S30_stakeholder_category,"NGO",Response_Q178_7,1,Response_Q173_7,"&lt;&gt;0")</f>
        <v>0</v>
      </c>
      <c r="CV202" s="37">
        <f>COUNTIFS(S30_stakeholder_category,"NGO",Response_Q178_7,2,Response_Q173_7,"&lt;&gt;0")</f>
        <v>0</v>
      </c>
      <c r="CW202" s="37">
        <f>COUNTIFS(S30_stakeholder_category,"NGO",Response_Q178_7,3,Response_Q173_7,"&lt;&gt;0")</f>
        <v>0</v>
      </c>
      <c r="CX202" s="37">
        <f>IF(CT193=0,0,SUMPRODUCT(CU202:CW202,Rank_score)/CT$58)</f>
        <v>0</v>
      </c>
      <c r="CY202" s="14"/>
      <c r="CZ202" s="106" t="s">
        <v>345</v>
      </c>
      <c r="DA202" s="27">
        <f t="shared" ref="DA202:DF202" si="148">COUNTIFS(S30_stakeholder_category,"NGO",Response_Q178_7,"&lt;&gt;0",Response_Q178_8,DA$63,Response_Q173_7,"&lt;&gt;0")</f>
        <v>0</v>
      </c>
      <c r="DB202" s="27">
        <f t="shared" si="148"/>
        <v>0</v>
      </c>
      <c r="DC202" s="27">
        <f t="shared" si="148"/>
        <v>0</v>
      </c>
      <c r="DD202" s="27">
        <f t="shared" si="148"/>
        <v>0</v>
      </c>
      <c r="DE202" s="27">
        <f t="shared" si="148"/>
        <v>0</v>
      </c>
      <c r="DF202" s="27">
        <f t="shared" si="148"/>
        <v>0</v>
      </c>
      <c r="DG202" s="141" t="str">
        <f t="shared" si="142"/>
        <v>Factor not ranked</v>
      </c>
      <c r="DH202" s="14"/>
      <c r="DI202" s="47"/>
      <c r="DJ202" s="14"/>
      <c r="DK202" s="56"/>
      <c r="DL202" s="29"/>
      <c r="DM202" s="59"/>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row>
    <row r="203" spans="1:142" x14ac:dyDescent="0.25">
      <c r="A203" s="14"/>
      <c r="B203" s="62"/>
      <c r="C203" s="19"/>
      <c r="D203" s="59"/>
      <c r="E203" s="14"/>
      <c r="F203" s="14"/>
      <c r="G203" s="14"/>
      <c r="H203" s="21"/>
      <c r="I203" s="21"/>
      <c r="J203" s="14"/>
      <c r="K203" s="14"/>
      <c r="L203" s="14"/>
      <c r="M203" s="14"/>
      <c r="N203" s="14"/>
      <c r="O203" s="14"/>
      <c r="P203" s="14"/>
      <c r="Q203" s="47"/>
      <c r="R203" s="19"/>
      <c r="S203" s="62"/>
      <c r="T203" s="19"/>
      <c r="U203" s="59"/>
      <c r="V203" s="14"/>
      <c r="W203" s="14"/>
      <c r="X203" s="14"/>
      <c r="Y203" s="14"/>
      <c r="Z203" s="14"/>
      <c r="AA203" s="14"/>
      <c r="AB203" s="14"/>
      <c r="AC203" s="14"/>
      <c r="AD203" s="65"/>
      <c r="AE203" s="63"/>
      <c r="AF203" s="47"/>
      <c r="AG203" s="19"/>
      <c r="AH203" s="62"/>
      <c r="AI203" s="19"/>
      <c r="AJ203" s="59"/>
      <c r="AK203" s="14"/>
      <c r="AL203" s="14"/>
      <c r="AM203" s="14"/>
      <c r="AN203" s="14"/>
      <c r="AO203" s="14"/>
      <c r="AP203" s="14"/>
      <c r="AQ203" s="14"/>
      <c r="AR203" s="14"/>
      <c r="AS203" s="65"/>
      <c r="AT203" s="63"/>
      <c r="AU203" s="47"/>
      <c r="AV203" s="14"/>
      <c r="AW203" s="62"/>
      <c r="AX203" s="19"/>
      <c r="AY203" s="59"/>
      <c r="AZ203" s="14"/>
      <c r="BA203" s="14"/>
      <c r="BB203" s="14"/>
      <c r="BC203" s="14"/>
      <c r="BD203" s="14"/>
      <c r="BE203" s="14"/>
      <c r="BF203" s="14"/>
      <c r="BG203" s="14"/>
      <c r="BH203" s="65"/>
      <c r="BI203" s="63"/>
      <c r="BJ203" s="352"/>
      <c r="BK203" s="19"/>
      <c r="BL203" s="62"/>
      <c r="BM203" s="19"/>
      <c r="BN203" s="59"/>
      <c r="BO203" s="14"/>
      <c r="BP203" s="14"/>
      <c r="BQ203" s="14"/>
      <c r="BR203" s="14"/>
      <c r="BS203" s="14"/>
      <c r="BT203" s="14"/>
      <c r="BU203" s="14"/>
      <c r="BV203" s="14"/>
      <c r="BW203" s="65"/>
      <c r="BX203" s="63"/>
      <c r="BY203" s="352"/>
      <c r="BZ203" s="14"/>
      <c r="CA203" s="140" t="s">
        <v>341</v>
      </c>
      <c r="CB203" s="27">
        <f>COUNTIFS(S30_stakeholder_category,"NGO",Response_Q177_9,"&lt;&gt;0",Response_Q173_7,"&lt;&gt;0")</f>
        <v>0</v>
      </c>
      <c r="CC203" s="37">
        <f>COUNTIFS(S30_stakeholder_category,"NGO",Response_Q177_9,1,Response_Q173_7,"&lt;&gt;0")</f>
        <v>0</v>
      </c>
      <c r="CD203" s="37">
        <f>COUNTIFS(S30_stakeholder_category,"NGO",Response_Q177_9,2,Response_Q173_7,"&lt;&gt;0")</f>
        <v>0</v>
      </c>
      <c r="CE203" s="37">
        <f>COUNTIFS(S30_stakeholder_category,"NGO",Response_Q177_9,3,Response_Q173_7,"&lt;&gt;0")</f>
        <v>0</v>
      </c>
      <c r="CF203" s="97">
        <f>IF(CB193=0,0,SUMPRODUCT(CC203:CE203,Rank_score)/$CB193)</f>
        <v>0</v>
      </c>
      <c r="CG203" s="14"/>
      <c r="CH203" s="140" t="s">
        <v>341</v>
      </c>
      <c r="CI203" s="27">
        <f t="shared" ref="CI203:CN203" si="149">COUNTIFS(S30_stakeholder_category,"NGO",Response_Q177_9,"&lt;&gt;0",Response_Q177_10,CI$63,Response_Q173_7,"&lt;&gt;0")</f>
        <v>0</v>
      </c>
      <c r="CJ203" s="27">
        <f t="shared" si="149"/>
        <v>0</v>
      </c>
      <c r="CK203" s="27">
        <f t="shared" si="149"/>
        <v>0</v>
      </c>
      <c r="CL203" s="27">
        <f t="shared" si="149"/>
        <v>0</v>
      </c>
      <c r="CM203" s="27">
        <f t="shared" si="149"/>
        <v>0</v>
      </c>
      <c r="CN203" s="27">
        <f t="shared" si="149"/>
        <v>0</v>
      </c>
      <c r="CO203" s="141" t="str">
        <f t="shared" si="140"/>
        <v>Factor not ranked</v>
      </c>
      <c r="CP203" s="14"/>
      <c r="CQ203" s="47"/>
      <c r="CR203" s="14"/>
      <c r="CS203" s="106" t="s">
        <v>561</v>
      </c>
      <c r="CT203" s="27">
        <f>COUNTIFS(S30_stakeholder_category,"NGO",Response_Q178_9,"&lt;&gt;0",Response_Q173_7,"&lt;&gt;0")</f>
        <v>0</v>
      </c>
      <c r="CU203" s="37">
        <f>COUNTIFS(S30_stakeholder_category,"NGO",Response_Q178_9,1,Response_Q173_7,"&lt;&gt;0")</f>
        <v>0</v>
      </c>
      <c r="CV203" s="37">
        <f>COUNTIFS(S30_stakeholder_category,"NGO",Response_Q178_9,2,Response_Q173_7,"&lt;&gt;0")</f>
        <v>0</v>
      </c>
      <c r="CW203" s="37">
        <f>COUNTIFS(S30_stakeholder_category,"NGO",Response_Q178_9,3,Response_Q173_7,"&lt;&gt;0")</f>
        <v>0</v>
      </c>
      <c r="CX203" s="37">
        <f>IF(CT193=0,0,SUMPRODUCT(CU203:CW203,Rank_score)/CT$58)</f>
        <v>0</v>
      </c>
      <c r="CY203" s="14"/>
      <c r="CZ203" s="106" t="s">
        <v>561</v>
      </c>
      <c r="DA203" s="27">
        <f t="shared" ref="DA203:DF203" si="150">COUNTIFS(S30_stakeholder_category,"NGO",Response_Q178_9,"&lt;&gt;0",Response_Q178_10,DA$63,Response_Q173_7,"&lt;&gt;0")</f>
        <v>0</v>
      </c>
      <c r="DB203" s="27">
        <f t="shared" si="150"/>
        <v>0</v>
      </c>
      <c r="DC203" s="27">
        <f t="shared" si="150"/>
        <v>0</v>
      </c>
      <c r="DD203" s="27">
        <f t="shared" si="150"/>
        <v>0</v>
      </c>
      <c r="DE203" s="27">
        <f t="shared" si="150"/>
        <v>0</v>
      </c>
      <c r="DF203" s="27">
        <f t="shared" si="150"/>
        <v>0</v>
      </c>
      <c r="DG203" s="141" t="str">
        <f t="shared" si="142"/>
        <v>Factor not ranked</v>
      </c>
      <c r="DH203" s="14"/>
      <c r="DI203" s="47"/>
      <c r="DJ203" s="14"/>
      <c r="DK203" s="56"/>
      <c r="DL203" s="19"/>
      <c r="DM203" s="59"/>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row>
    <row r="204" spans="1:142" ht="15" x14ac:dyDescent="0.25">
      <c r="A204" s="14"/>
      <c r="B204" s="62"/>
      <c r="C204" s="19"/>
      <c r="D204" s="59"/>
      <c r="E204" s="14"/>
      <c r="F204" s="14"/>
      <c r="G204" s="14"/>
      <c r="H204" s="21"/>
      <c r="I204" s="21"/>
      <c r="J204" s="14"/>
      <c r="K204" s="14"/>
      <c r="L204" s="14"/>
      <c r="M204" s="14"/>
      <c r="N204" s="14"/>
      <c r="O204" s="14"/>
      <c r="P204" s="14"/>
      <c r="Q204" s="47"/>
      <c r="R204" s="19"/>
      <c r="S204" s="62"/>
      <c r="T204" s="19"/>
      <c r="U204" s="59"/>
      <c r="V204" s="14"/>
      <c r="W204" s="14"/>
      <c r="X204" s="14"/>
      <c r="Y204" s="14"/>
      <c r="Z204" s="14"/>
      <c r="AA204" s="14"/>
      <c r="AB204" s="95"/>
      <c r="AC204" s="14"/>
      <c r="AD204" s="65"/>
      <c r="AE204" s="63"/>
      <c r="AF204" s="47"/>
      <c r="AG204" s="19"/>
      <c r="AH204" s="62"/>
      <c r="AI204" s="19"/>
      <c r="AJ204" s="59"/>
      <c r="AK204" s="14"/>
      <c r="AL204" s="14"/>
      <c r="AM204" s="14"/>
      <c r="AN204" s="14"/>
      <c r="AO204" s="14"/>
      <c r="AP204" s="14"/>
      <c r="AQ204" s="95"/>
      <c r="AR204" s="14"/>
      <c r="AS204" s="65"/>
      <c r="AT204" s="63"/>
      <c r="AU204" s="47"/>
      <c r="AV204" s="14"/>
      <c r="AW204" s="62"/>
      <c r="AX204" s="19"/>
      <c r="AY204" s="59"/>
      <c r="AZ204" s="14"/>
      <c r="BA204" s="14"/>
      <c r="BB204" s="14"/>
      <c r="BC204" s="14"/>
      <c r="BD204" s="14"/>
      <c r="BE204" s="14"/>
      <c r="BF204" s="95"/>
      <c r="BG204" s="14"/>
      <c r="BH204" s="65"/>
      <c r="BI204" s="63"/>
      <c r="BJ204" s="352"/>
      <c r="BK204" s="19"/>
      <c r="BL204" s="62"/>
      <c r="BM204" s="19"/>
      <c r="BN204" s="59"/>
      <c r="BO204" s="14"/>
      <c r="BP204" s="14"/>
      <c r="BQ204" s="14"/>
      <c r="BR204" s="14"/>
      <c r="BS204" s="14"/>
      <c r="BT204" s="14"/>
      <c r="BU204" s="95"/>
      <c r="BV204" s="14"/>
      <c r="BW204" s="65"/>
      <c r="BX204" s="63"/>
      <c r="BY204" s="352"/>
      <c r="BZ204" s="14"/>
      <c r="CA204" s="106" t="s">
        <v>148</v>
      </c>
      <c r="CB204" s="27">
        <f>COUNTIFS(S30_stakeholder_category,"NGO",Response_Q177_11,"&lt;&gt;0",Response_Q173_7,"&lt;&gt;0")</f>
        <v>0</v>
      </c>
      <c r="CC204" s="37">
        <f>COUNTIFS(S30_stakeholder_category,"NGO",Response_Q177_11,1,Response_Q173_7,"&lt;&gt;0")</f>
        <v>0</v>
      </c>
      <c r="CD204" s="37">
        <f>COUNTIFS(S30_stakeholder_category,"NGO",Response_Q177_11,2,Response_Q173_7,"&lt;&gt;0")</f>
        <v>0</v>
      </c>
      <c r="CE204" s="37">
        <f>COUNTIFS(S30_stakeholder_category,"NGO",Response_Q177_11,3,Response_Q173_7,"&lt;&gt;0")</f>
        <v>0</v>
      </c>
      <c r="CF204" s="97">
        <f>IF(CB193=0,0,SUMPRODUCT(CC204:CE204,Rank_score)/$CB193)</f>
        <v>0</v>
      </c>
      <c r="CG204" s="43"/>
      <c r="CH204" s="106" t="s">
        <v>148</v>
      </c>
      <c r="CI204" s="27">
        <f t="shared" ref="CI204:CN204" si="151">COUNTIFS(S30_stakeholder_category,"NGO",Response_Q177_11,"&lt;&gt;0",Response_Q177_12,CI$63,Response_Q173_7,"&lt;&gt;0")</f>
        <v>0</v>
      </c>
      <c r="CJ204" s="27">
        <f t="shared" si="151"/>
        <v>0</v>
      </c>
      <c r="CK204" s="27">
        <f t="shared" si="151"/>
        <v>0</v>
      </c>
      <c r="CL204" s="27">
        <f t="shared" si="151"/>
        <v>0</v>
      </c>
      <c r="CM204" s="27">
        <f t="shared" si="151"/>
        <v>0</v>
      </c>
      <c r="CN204" s="27">
        <f t="shared" si="151"/>
        <v>0</v>
      </c>
      <c r="CO204" s="141" t="str">
        <f t="shared" si="140"/>
        <v>Factor not ranked</v>
      </c>
      <c r="CP204" s="14"/>
      <c r="CQ204" s="47"/>
      <c r="CR204" s="14"/>
      <c r="CS204" s="106" t="s">
        <v>49</v>
      </c>
      <c r="CT204" s="27">
        <f>COUNTIFS(S30_stakeholder_category,"NGO",Response_Q178_11,"&lt;&gt;0",Response_Q173_7,"&lt;&gt;0")</f>
        <v>0</v>
      </c>
      <c r="CU204" s="37">
        <f>COUNTIFS(S30_stakeholder_category,"NGO",Response_Q178_11,1,Response_Q173_7,"&lt;&gt;0")</f>
        <v>0</v>
      </c>
      <c r="CV204" s="37">
        <f>COUNTIFS(S30_stakeholder_category,"NGO",Response_Q178_11,2,Response_Q173_7,"&lt;&gt;0")</f>
        <v>0</v>
      </c>
      <c r="CW204" s="37">
        <f>COUNTIFS(S30_stakeholder_category,"NGO",Response_Q178_11,3,Response_Q173_7,"&lt;&gt;0")</f>
        <v>0</v>
      </c>
      <c r="CX204" s="37">
        <f>IF(CT193=0,0,SUMPRODUCT(CU204:CW204,Rank_score)/CT$58)</f>
        <v>0</v>
      </c>
      <c r="CY204" s="43"/>
      <c r="CZ204" s="106" t="s">
        <v>49</v>
      </c>
      <c r="DA204" s="27">
        <f t="shared" ref="DA204:DF204" si="152">COUNTIFS(S30_stakeholder_category,"NGO",Response_Q178_11,"&lt;&gt;0",Response_Q178_12,DA$63,Response_Q173_7,"&lt;&gt;0")</f>
        <v>0</v>
      </c>
      <c r="DB204" s="27">
        <f t="shared" si="152"/>
        <v>0</v>
      </c>
      <c r="DC204" s="27">
        <f t="shared" si="152"/>
        <v>0</v>
      </c>
      <c r="DD204" s="27">
        <f t="shared" si="152"/>
        <v>0</v>
      </c>
      <c r="DE204" s="27">
        <f t="shared" si="152"/>
        <v>0</v>
      </c>
      <c r="DF204" s="27">
        <f t="shared" si="152"/>
        <v>0</v>
      </c>
      <c r="DG204" s="141" t="str">
        <f t="shared" si="142"/>
        <v>Factor not ranked</v>
      </c>
      <c r="DH204" s="14"/>
      <c r="DI204" s="47"/>
      <c r="DJ204" s="14"/>
      <c r="DK204" s="14"/>
      <c r="DL204" s="19"/>
      <c r="DM204" s="59"/>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row>
    <row r="205" spans="1:142" x14ac:dyDescent="0.25">
      <c r="A205" s="14"/>
      <c r="B205" s="62"/>
      <c r="C205" s="19"/>
      <c r="D205" s="59"/>
      <c r="E205" s="14"/>
      <c r="F205" s="14"/>
      <c r="G205" s="14"/>
      <c r="H205" s="21"/>
      <c r="I205" s="21"/>
      <c r="J205" s="14"/>
      <c r="K205" s="14"/>
      <c r="L205" s="14"/>
      <c r="M205" s="14"/>
      <c r="N205" s="14"/>
      <c r="O205" s="14"/>
      <c r="P205" s="14"/>
      <c r="Q205" s="47"/>
      <c r="R205" s="19"/>
      <c r="S205" s="19"/>
      <c r="T205" s="19"/>
      <c r="U205" s="59"/>
      <c r="V205" s="14"/>
      <c r="W205" s="14"/>
      <c r="X205" s="14"/>
      <c r="Y205" s="14"/>
      <c r="Z205" s="14"/>
      <c r="AA205" s="14"/>
      <c r="AB205" s="14"/>
      <c r="AC205" s="14"/>
      <c r="AD205" s="65"/>
      <c r="AE205" s="63"/>
      <c r="AF205" s="47"/>
      <c r="AG205" s="19"/>
      <c r="AH205" s="19"/>
      <c r="AI205" s="19"/>
      <c r="AJ205" s="59"/>
      <c r="AK205" s="14"/>
      <c r="AL205" s="14"/>
      <c r="AM205" s="14"/>
      <c r="AN205" s="14"/>
      <c r="AO205" s="14"/>
      <c r="AP205" s="14"/>
      <c r="AQ205" s="14"/>
      <c r="AR205" s="14"/>
      <c r="AS205" s="65"/>
      <c r="AT205" s="63"/>
      <c r="AU205" s="47"/>
      <c r="AV205" s="14"/>
      <c r="AW205" s="19"/>
      <c r="AX205" s="19"/>
      <c r="AY205" s="59"/>
      <c r="AZ205" s="14"/>
      <c r="BA205" s="14"/>
      <c r="BB205" s="14"/>
      <c r="BC205" s="14"/>
      <c r="BD205" s="14"/>
      <c r="BE205" s="14"/>
      <c r="BF205" s="14"/>
      <c r="BG205" s="14"/>
      <c r="BH205" s="65"/>
      <c r="BI205" s="63"/>
      <c r="BJ205" s="352"/>
      <c r="BK205" s="19"/>
      <c r="BL205" s="19"/>
      <c r="BM205" s="19"/>
      <c r="BN205" s="59"/>
      <c r="BO205" s="14"/>
      <c r="BP205" s="14"/>
      <c r="BQ205" s="14"/>
      <c r="BR205" s="14"/>
      <c r="BS205" s="14"/>
      <c r="BT205" s="14"/>
      <c r="BU205" s="14"/>
      <c r="BV205" s="14"/>
      <c r="BW205" s="65"/>
      <c r="BX205" s="63"/>
      <c r="BY205" s="352"/>
      <c r="BZ205" s="14"/>
      <c r="CA205" s="107" t="s">
        <v>49</v>
      </c>
      <c r="CB205" s="27">
        <f>COUNTIFS(S30_stakeholder_category,"NGO",Response_Q177_13,"&lt;&gt;0",Response_Q173_7,"&lt;&gt;0")</f>
        <v>0</v>
      </c>
      <c r="CC205" s="37">
        <f>COUNTIFS(S30_stakeholder_category,"NGO",Response_Q177_13,1,Response_Q173_7,"&lt;&gt;0")</f>
        <v>0</v>
      </c>
      <c r="CD205" s="37">
        <f>COUNTIFS(S30_stakeholder_category,"NGO",Response_Q177_13,2,Response_Q173_7,"&lt;&gt;0")</f>
        <v>0</v>
      </c>
      <c r="CE205" s="37">
        <f>COUNTIFS(S30_stakeholder_category,"NGO",Response_Q177_13,3,Response_Q173_7,"&lt;&gt;0")</f>
        <v>0</v>
      </c>
      <c r="CF205" s="97">
        <f>IF(CB193=0,0,SUMPRODUCT(CC205:CE205,Rank_score)/$CB193)</f>
        <v>0</v>
      </c>
      <c r="CG205" s="29"/>
      <c r="CH205" s="107" t="s">
        <v>49</v>
      </c>
      <c r="CI205" s="27">
        <f t="shared" ref="CI205:CN205" si="153">COUNTIFS(S30_stakeholder_category,"NGO",Response_Q177_13,"&lt;&gt;0",Response_Q177_14,CI$63,Response_Q173_7,"&lt;&gt;0")</f>
        <v>0</v>
      </c>
      <c r="CJ205" s="27">
        <f t="shared" si="153"/>
        <v>0</v>
      </c>
      <c r="CK205" s="27">
        <f t="shared" si="153"/>
        <v>0</v>
      </c>
      <c r="CL205" s="27">
        <f t="shared" si="153"/>
        <v>0</v>
      </c>
      <c r="CM205" s="27">
        <f t="shared" si="153"/>
        <v>0</v>
      </c>
      <c r="CN205" s="27">
        <f t="shared" si="153"/>
        <v>0</v>
      </c>
      <c r="CO205" s="141" t="str">
        <f t="shared" si="140"/>
        <v>Factor not ranked</v>
      </c>
      <c r="CP205" s="14"/>
      <c r="CQ205" s="47"/>
      <c r="CR205" s="14"/>
      <c r="CS205" s="107"/>
      <c r="CT205" s="27"/>
      <c r="CU205" s="37"/>
      <c r="CV205" s="37"/>
      <c r="CW205" s="37"/>
      <c r="CX205" s="37"/>
      <c r="CY205" s="29"/>
      <c r="CZ205" s="106"/>
      <c r="DA205" s="27"/>
      <c r="DB205" s="27"/>
      <c r="DC205" s="27"/>
      <c r="DD205" s="27"/>
      <c r="DE205" s="27"/>
      <c r="DF205" s="27"/>
      <c r="DG205" s="141" t="str">
        <f t="shared" si="142"/>
        <v/>
      </c>
      <c r="DH205" s="14"/>
      <c r="DI205" s="47"/>
      <c r="DJ205" s="14"/>
      <c r="DK205" s="14"/>
      <c r="DL205" s="19"/>
      <c r="DM205" s="59"/>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row>
    <row r="206" spans="1:142" x14ac:dyDescent="0.25">
      <c r="A206" s="14"/>
      <c r="B206" s="19"/>
      <c r="C206" s="19"/>
      <c r="D206" s="59"/>
      <c r="E206" s="14"/>
      <c r="F206" s="14"/>
      <c r="G206" s="109" t="s">
        <v>14</v>
      </c>
      <c r="H206" s="110" t="s">
        <v>6</v>
      </c>
      <c r="I206" s="110" t="s">
        <v>7</v>
      </c>
      <c r="J206" s="14"/>
      <c r="K206" s="14"/>
      <c r="L206" s="14"/>
      <c r="M206" s="14"/>
      <c r="N206" s="14"/>
      <c r="O206" s="14"/>
      <c r="P206" s="14"/>
      <c r="Q206" s="47"/>
      <c r="R206" s="19"/>
      <c r="S206" s="19"/>
      <c r="T206" s="19"/>
      <c r="U206" s="59"/>
      <c r="V206" s="14"/>
      <c r="W206" s="14"/>
      <c r="X206" s="109" t="s">
        <v>14</v>
      </c>
      <c r="Y206" s="110" t="s">
        <v>6</v>
      </c>
      <c r="Z206" s="110" t="s">
        <v>7</v>
      </c>
      <c r="AA206" s="14"/>
      <c r="AB206" s="14"/>
      <c r="AC206" s="14"/>
      <c r="AD206" s="65"/>
      <c r="AE206" s="63"/>
      <c r="AF206" s="47"/>
      <c r="AG206" s="19"/>
      <c r="AH206" s="19"/>
      <c r="AI206" s="19"/>
      <c r="AJ206" s="59"/>
      <c r="AK206" s="14"/>
      <c r="AL206" s="14"/>
      <c r="AM206" s="109" t="s">
        <v>14</v>
      </c>
      <c r="AN206" s="110" t="s">
        <v>6</v>
      </c>
      <c r="AO206" s="110" t="s">
        <v>7</v>
      </c>
      <c r="AP206" s="14"/>
      <c r="AQ206" s="14"/>
      <c r="AR206" s="14"/>
      <c r="AS206" s="65"/>
      <c r="AT206" s="63"/>
      <c r="AU206" s="47"/>
      <c r="AV206" s="14"/>
      <c r="AW206" s="19"/>
      <c r="AX206" s="19"/>
      <c r="AY206" s="59"/>
      <c r="AZ206" s="14"/>
      <c r="BA206" s="14"/>
      <c r="BB206" s="109" t="s">
        <v>14</v>
      </c>
      <c r="BC206" s="110" t="s">
        <v>6</v>
      </c>
      <c r="BD206" s="110" t="s">
        <v>7</v>
      </c>
      <c r="BE206" s="14"/>
      <c r="BF206" s="14"/>
      <c r="BG206" s="14"/>
      <c r="BH206" s="65"/>
      <c r="BI206" s="63"/>
      <c r="BJ206" s="352"/>
      <c r="BK206" s="19"/>
      <c r="BL206" s="19"/>
      <c r="BM206" s="19"/>
      <c r="BN206" s="59"/>
      <c r="BO206" s="14"/>
      <c r="BP206" s="14"/>
      <c r="BQ206" s="109" t="s">
        <v>14</v>
      </c>
      <c r="BR206" s="110" t="s">
        <v>6</v>
      </c>
      <c r="BS206" s="110" t="s">
        <v>7</v>
      </c>
      <c r="BT206" s="14"/>
      <c r="BU206" s="14"/>
      <c r="BV206" s="14"/>
      <c r="BW206" s="65"/>
      <c r="BX206" s="63"/>
      <c r="BY206" s="352"/>
      <c r="BZ206" s="14"/>
      <c r="CA206" s="86"/>
      <c r="CB206" s="111"/>
      <c r="CC206" s="111"/>
      <c r="CD206" s="179"/>
      <c r="CE206" s="179"/>
      <c r="CF206" s="108"/>
      <c r="CG206" s="29"/>
      <c r="CH206" s="109"/>
      <c r="CI206" s="109"/>
      <c r="CJ206" s="109"/>
      <c r="CK206" s="109"/>
      <c r="CL206" s="109"/>
      <c r="CM206" s="109"/>
      <c r="CN206" s="109"/>
      <c r="CO206" s="329"/>
      <c r="CP206" s="14"/>
      <c r="CQ206" s="47"/>
      <c r="CR206" s="14"/>
      <c r="CS206" s="107"/>
      <c r="CT206" s="27"/>
      <c r="CU206" s="37"/>
      <c r="CV206" s="37"/>
      <c r="CW206" s="37"/>
      <c r="CX206" s="37"/>
      <c r="CY206" s="29"/>
      <c r="CZ206" s="106"/>
      <c r="DA206" s="27"/>
      <c r="DB206" s="27"/>
      <c r="DC206" s="27"/>
      <c r="DD206" s="27"/>
      <c r="DE206" s="27"/>
      <c r="DF206" s="27"/>
      <c r="DG206" s="141" t="str">
        <f t="shared" si="142"/>
        <v/>
      </c>
      <c r="DH206" s="14"/>
      <c r="DI206" s="47"/>
      <c r="DJ206" s="14"/>
      <c r="DK206" s="14"/>
      <c r="DL206" s="19"/>
      <c r="DM206" s="59"/>
      <c r="DN206" s="14"/>
      <c r="DO206" s="14"/>
      <c r="DP206" s="109" t="s">
        <v>14</v>
      </c>
      <c r="DQ206" s="110" t="s">
        <v>6</v>
      </c>
      <c r="DR206" s="110" t="s">
        <v>7</v>
      </c>
      <c r="DS206" s="14"/>
      <c r="DT206" s="14"/>
      <c r="DU206" s="14"/>
      <c r="DV206" s="14"/>
      <c r="DW206" s="14"/>
      <c r="DX206" s="14"/>
      <c r="DY206" s="14"/>
      <c r="DZ206" s="14"/>
      <c r="EA206" s="14"/>
      <c r="EB206" s="14"/>
      <c r="EC206" s="14"/>
      <c r="ED206" s="14"/>
      <c r="EE206" s="14"/>
      <c r="EF206" s="14"/>
      <c r="EG206" s="14"/>
      <c r="EH206" s="14"/>
      <c r="EI206" s="14"/>
      <c r="EJ206" s="14"/>
      <c r="EK206" s="14"/>
      <c r="EL206" s="14"/>
    </row>
    <row r="207" spans="1:142" x14ac:dyDescent="0.25">
      <c r="A207" s="14"/>
      <c r="B207" s="19"/>
      <c r="C207" s="19"/>
      <c r="D207" s="59"/>
      <c r="E207" s="14"/>
      <c r="F207" s="14"/>
      <c r="G207" s="107" t="s">
        <v>34</v>
      </c>
      <c r="H207" s="27">
        <f>COUNTIFS(S30_stakeholder_category,"NGO",Response_Q173_7,G207)</f>
        <v>0</v>
      </c>
      <c r="I207" s="41" t="str">
        <f>IFERROR(H207/H$212,"")</f>
        <v/>
      </c>
      <c r="J207" s="14"/>
      <c r="K207" s="14"/>
      <c r="L207" s="14"/>
      <c r="M207" s="14"/>
      <c r="N207" s="14"/>
      <c r="O207" s="14"/>
      <c r="P207" s="14"/>
      <c r="Q207" s="47"/>
      <c r="R207" s="19"/>
      <c r="S207" s="56"/>
      <c r="T207" s="29"/>
      <c r="U207" s="59"/>
      <c r="V207" s="14"/>
      <c r="W207" s="14"/>
      <c r="X207" s="107" t="s">
        <v>5</v>
      </c>
      <c r="Y207" s="27">
        <f t="shared" ref="Y207:Y213" si="154">COUNTIFS(S30_stakeholder_category,"NGO",Response_Q176_4,X207)</f>
        <v>0</v>
      </c>
      <c r="Z207" s="41">
        <f t="shared" ref="Z207:Z214" si="155">IFERROR(Y207/Y$214,0)</f>
        <v>0</v>
      </c>
      <c r="AA207" s="14"/>
      <c r="AB207" s="14"/>
      <c r="AC207" s="14"/>
      <c r="AD207" s="65"/>
      <c r="AE207" s="63"/>
      <c r="AF207" s="47"/>
      <c r="AG207" s="19"/>
      <c r="AH207" s="56"/>
      <c r="AI207" s="29"/>
      <c r="AJ207" s="59"/>
      <c r="AK207" s="14"/>
      <c r="AL207" s="14"/>
      <c r="AM207" s="107" t="s">
        <v>5</v>
      </c>
      <c r="AN207" s="27">
        <f t="shared" ref="AN207:AN213" si="156">COUNTIFS(S30_stakeholder_category,"NGO",Response_30d_CaseA,AM207)</f>
        <v>0</v>
      </c>
      <c r="AO207" s="41">
        <f>IFERROR(AN207/AN$214,0)</f>
        <v>0</v>
      </c>
      <c r="AP207" s="14"/>
      <c r="AQ207" s="14"/>
      <c r="AR207" s="14"/>
      <c r="AS207" s="65"/>
      <c r="AT207" s="63"/>
      <c r="AU207" s="47"/>
      <c r="AV207" s="14"/>
      <c r="AW207" s="56"/>
      <c r="AX207" s="29"/>
      <c r="AY207" s="59"/>
      <c r="AZ207" s="14"/>
      <c r="BA207" s="14"/>
      <c r="BB207" s="107" t="s">
        <v>5</v>
      </c>
      <c r="BC207" s="27">
        <f t="shared" ref="BC207:BC213" si="157">COUNTIFS(S30_stakeholder_category,"NGO",Response_30d_CaseB,BB207)</f>
        <v>0</v>
      </c>
      <c r="BD207" s="41">
        <f>IFERROR(BC207/BC$214,0)</f>
        <v>0</v>
      </c>
      <c r="BE207" s="14"/>
      <c r="BF207" s="14"/>
      <c r="BG207" s="14"/>
      <c r="BH207" s="65"/>
      <c r="BI207" s="63"/>
      <c r="BJ207" s="352"/>
      <c r="BK207" s="19"/>
      <c r="BL207" s="56"/>
      <c r="BM207" s="29"/>
      <c r="BN207" s="59"/>
      <c r="BO207" s="14"/>
      <c r="BP207" s="14"/>
      <c r="BQ207" s="107" t="s">
        <v>5</v>
      </c>
      <c r="BR207" s="27">
        <f t="shared" ref="BR207:BR213" si="158">COUNTIFS(S30_stakeholder_category,"NGO",Response_30d_CaseC,BQ207)</f>
        <v>0</v>
      </c>
      <c r="BS207" s="41">
        <f>IFERROR(BR207/BR$214,0)</f>
        <v>0</v>
      </c>
      <c r="BT207" s="14"/>
      <c r="BU207" s="14"/>
      <c r="BV207" s="14"/>
      <c r="BW207" s="65"/>
      <c r="BX207" s="63"/>
      <c r="BY207" s="352"/>
      <c r="BZ207" s="14"/>
      <c r="CA207" s="14"/>
      <c r="CB207" s="21"/>
      <c r="CC207" s="21"/>
      <c r="CD207" s="180"/>
      <c r="CE207" s="181"/>
      <c r="CF207" s="31"/>
      <c r="CG207" s="52"/>
      <c r="CH207" s="52"/>
      <c r="CI207" s="99"/>
      <c r="CJ207" s="14"/>
      <c r="CK207" s="14"/>
      <c r="CL207" s="14"/>
      <c r="CM207" s="14"/>
      <c r="CN207" s="14"/>
      <c r="CO207" s="129"/>
      <c r="CP207" s="14"/>
      <c r="CQ207" s="47"/>
      <c r="CR207" s="14"/>
      <c r="CS207" s="86"/>
      <c r="CT207" s="111"/>
      <c r="CU207" s="86"/>
      <c r="CV207" s="179"/>
      <c r="CW207" s="188"/>
      <c r="CX207" s="179"/>
      <c r="CY207" s="29"/>
      <c r="CZ207" s="109"/>
      <c r="DA207" s="109"/>
      <c r="DB207" s="109"/>
      <c r="DC207" s="109"/>
      <c r="DD207" s="109"/>
      <c r="DE207" s="109"/>
      <c r="DF207" s="109"/>
      <c r="DG207" s="329"/>
      <c r="DH207" s="14"/>
      <c r="DI207" s="47"/>
      <c r="DJ207" s="14"/>
      <c r="DK207" s="62"/>
      <c r="DL207" s="19"/>
      <c r="DM207" s="59"/>
      <c r="DN207" s="14"/>
      <c r="DO207" s="14"/>
      <c r="DP207" s="107" t="s">
        <v>34</v>
      </c>
      <c r="DQ207" s="27">
        <f>COUNTIFS(S30_stakeholder_category,"NGO",Response_Q172_1,DP207,Response_Q173_7,"&lt;&gt;0")</f>
        <v>0</v>
      </c>
      <c r="DR207" s="41" t="str">
        <f>IF(DQ212=0,"",DQ207/DQ212)</f>
        <v/>
      </c>
      <c r="DS207" s="14"/>
      <c r="DT207" s="14"/>
      <c r="DU207" s="14"/>
      <c r="DV207" s="14"/>
      <c r="DW207" s="14"/>
      <c r="DX207" s="14"/>
      <c r="DY207" s="14"/>
      <c r="DZ207" s="14"/>
      <c r="EA207" s="14"/>
      <c r="EB207" s="14"/>
      <c r="EC207" s="14"/>
      <c r="ED207" s="14"/>
      <c r="EE207" s="14"/>
      <c r="EF207" s="14"/>
      <c r="EG207" s="14"/>
      <c r="EH207" s="14"/>
      <c r="EI207" s="14"/>
      <c r="EJ207" s="14"/>
      <c r="EK207" s="14"/>
      <c r="EL207" s="14"/>
    </row>
    <row r="208" spans="1:142" x14ac:dyDescent="0.25">
      <c r="A208" s="14"/>
      <c r="B208" s="56"/>
      <c r="C208" s="29"/>
      <c r="D208" s="59"/>
      <c r="E208" s="14"/>
      <c r="F208" s="14"/>
      <c r="G208" s="107" t="s">
        <v>35</v>
      </c>
      <c r="H208" s="27">
        <f>COUNTIFS(S30_stakeholder_category,"NGO",Response_Q173_7,G208)</f>
        <v>0</v>
      </c>
      <c r="I208" s="41" t="str">
        <f t="shared" ref="I208:I212" si="159">IFERROR(H208/H$212,"")</f>
        <v/>
      </c>
      <c r="J208" s="14"/>
      <c r="K208" s="14"/>
      <c r="L208" s="14"/>
      <c r="M208" s="14"/>
      <c r="N208" s="14"/>
      <c r="O208" s="14"/>
      <c r="P208" s="14"/>
      <c r="Q208" s="47"/>
      <c r="R208" s="19"/>
      <c r="S208" s="56"/>
      <c r="T208" s="19"/>
      <c r="U208" s="59"/>
      <c r="V208" s="14"/>
      <c r="W208" s="14"/>
      <c r="X208" s="107" t="s">
        <v>4</v>
      </c>
      <c r="Y208" s="27">
        <f t="shared" si="154"/>
        <v>0</v>
      </c>
      <c r="Z208" s="41">
        <f t="shared" si="155"/>
        <v>0</v>
      </c>
      <c r="AA208" s="14"/>
      <c r="AB208" s="14"/>
      <c r="AC208" s="14"/>
      <c r="AD208" s="65"/>
      <c r="AE208" s="63"/>
      <c r="AF208" s="47"/>
      <c r="AG208" s="19"/>
      <c r="AH208" s="56"/>
      <c r="AI208" s="19"/>
      <c r="AJ208" s="59"/>
      <c r="AK208" s="14"/>
      <c r="AL208" s="14"/>
      <c r="AM208" s="107" t="s">
        <v>4</v>
      </c>
      <c r="AN208" s="27">
        <f t="shared" si="156"/>
        <v>0</v>
      </c>
      <c r="AO208" s="41">
        <f t="shared" ref="AO208:AO214" si="160">IFERROR(AN208/AN$214,0)</f>
        <v>0</v>
      </c>
      <c r="AP208" s="14"/>
      <c r="AQ208" s="14"/>
      <c r="AR208" s="14"/>
      <c r="AS208" s="65"/>
      <c r="AT208" s="63"/>
      <c r="AU208" s="47"/>
      <c r="AV208" s="14"/>
      <c r="AW208" s="56"/>
      <c r="AX208" s="19"/>
      <c r="AY208" s="59"/>
      <c r="AZ208" s="14"/>
      <c r="BA208" s="14"/>
      <c r="BB208" s="107" t="s">
        <v>4</v>
      </c>
      <c r="BC208" s="27">
        <f t="shared" si="157"/>
        <v>0</v>
      </c>
      <c r="BD208" s="41">
        <f t="shared" ref="BD208:BD214" si="161">IFERROR(BC208/BC$214,0)</f>
        <v>0</v>
      </c>
      <c r="BE208" s="14"/>
      <c r="BF208" s="14"/>
      <c r="BG208" s="14"/>
      <c r="BH208" s="65"/>
      <c r="BI208" s="63"/>
      <c r="BJ208" s="352"/>
      <c r="BK208" s="19"/>
      <c r="BL208" s="56"/>
      <c r="BM208" s="19"/>
      <c r="BN208" s="59"/>
      <c r="BO208" s="14"/>
      <c r="BP208" s="14"/>
      <c r="BQ208" s="107" t="s">
        <v>4</v>
      </c>
      <c r="BR208" s="27">
        <f t="shared" si="158"/>
        <v>0</v>
      </c>
      <c r="BS208" s="41">
        <f t="shared" ref="BS208:BS214" si="162">IFERROR(BR208/BR$214,0)</f>
        <v>0</v>
      </c>
      <c r="BT208" s="14"/>
      <c r="BU208" s="14"/>
      <c r="BV208" s="14"/>
      <c r="BW208" s="65"/>
      <c r="BX208" s="63"/>
      <c r="BY208" s="352"/>
      <c r="BZ208" s="14"/>
      <c r="CA208" s="14"/>
      <c r="CB208" s="21"/>
      <c r="CC208" s="21"/>
      <c r="CD208" s="180"/>
      <c r="CE208" s="181"/>
      <c r="CF208" s="31"/>
      <c r="CG208" s="52"/>
      <c r="CH208" s="52"/>
      <c r="CI208" s="99"/>
      <c r="CJ208" s="14"/>
      <c r="CK208" s="14"/>
      <c r="CL208" s="14"/>
      <c r="CM208" s="14"/>
      <c r="CN208" s="14"/>
      <c r="CO208" s="129"/>
      <c r="CP208" s="14"/>
      <c r="CQ208" s="47"/>
      <c r="CR208" s="14"/>
      <c r="CS208" s="14"/>
      <c r="CT208" s="14"/>
      <c r="CU208" s="14"/>
      <c r="CV208" s="180"/>
      <c r="CW208" s="190"/>
      <c r="CX208" s="191"/>
      <c r="CY208" s="52"/>
      <c r="CZ208" s="52"/>
      <c r="DA208" s="54"/>
      <c r="DB208" s="14"/>
      <c r="DC208" s="14"/>
      <c r="DD208" s="14"/>
      <c r="DE208" s="14"/>
      <c r="DF208" s="14"/>
      <c r="DG208" s="129"/>
      <c r="DH208" s="14"/>
      <c r="DI208" s="47"/>
      <c r="DJ208" s="14"/>
      <c r="DK208" s="62"/>
      <c r="DL208" s="19"/>
      <c r="DM208" s="59"/>
      <c r="DN208" s="14"/>
      <c r="DO208" s="14"/>
      <c r="DP208" s="107" t="s">
        <v>35</v>
      </c>
      <c r="DQ208" s="27">
        <f>COUNTIFS(S30_stakeholder_category,"NGO",Response_Q172_1,DP208,Response_Q173_7,"&lt;&gt;0")</f>
        <v>0</v>
      </c>
      <c r="DR208" s="41" t="str">
        <f>IF(DQ212=0,"",DQ208/DQ212)</f>
        <v/>
      </c>
      <c r="DS208" s="14"/>
      <c r="DT208" s="14"/>
      <c r="DU208" s="14"/>
      <c r="DV208" s="14"/>
      <c r="DW208" s="14"/>
      <c r="DX208" s="14"/>
      <c r="DY208" s="14"/>
      <c r="DZ208" s="14"/>
      <c r="EA208" s="14"/>
      <c r="EB208" s="14"/>
      <c r="EC208" s="14"/>
      <c r="ED208" s="14"/>
      <c r="EE208" s="14"/>
      <c r="EF208" s="14"/>
      <c r="EG208" s="14"/>
      <c r="EH208" s="14"/>
      <c r="EI208" s="14"/>
      <c r="EJ208" s="14"/>
      <c r="EK208" s="14"/>
      <c r="EL208" s="14"/>
    </row>
    <row r="209" spans="1:142" x14ac:dyDescent="0.25">
      <c r="A209" s="14"/>
      <c r="B209" s="56"/>
      <c r="C209" s="19"/>
      <c r="D209" s="59"/>
      <c r="E209" s="14"/>
      <c r="F209" s="14"/>
      <c r="G209" s="107" t="s">
        <v>36</v>
      </c>
      <c r="H209" s="27">
        <f>COUNTIFS(S30_stakeholder_category,"NGO",Response_Q173_7,G209)</f>
        <v>0</v>
      </c>
      <c r="I209" s="41" t="str">
        <f t="shared" si="159"/>
        <v/>
      </c>
      <c r="J209" s="14"/>
      <c r="K209" s="14"/>
      <c r="L209" s="14"/>
      <c r="M209" s="14"/>
      <c r="N209" s="14"/>
      <c r="O209" s="14"/>
      <c r="P209" s="14"/>
      <c r="Q209" s="47"/>
      <c r="R209" s="19"/>
      <c r="S209" s="19"/>
      <c r="T209" s="19"/>
      <c r="U209" s="59"/>
      <c r="V209" s="14"/>
      <c r="W209" s="14"/>
      <c r="X209" s="107" t="s">
        <v>33</v>
      </c>
      <c r="Y209" s="27">
        <f t="shared" si="154"/>
        <v>0</v>
      </c>
      <c r="Z209" s="41">
        <f t="shared" si="155"/>
        <v>0</v>
      </c>
      <c r="AA209" s="14"/>
      <c r="AB209" s="14"/>
      <c r="AC209" s="14"/>
      <c r="AD209" s="65"/>
      <c r="AE209" s="63"/>
      <c r="AF209" s="47"/>
      <c r="AG209" s="19"/>
      <c r="AH209" s="19"/>
      <c r="AI209" s="19"/>
      <c r="AJ209" s="59"/>
      <c r="AK209" s="14"/>
      <c r="AL209" s="14"/>
      <c r="AM209" s="107" t="s">
        <v>33</v>
      </c>
      <c r="AN209" s="27">
        <f t="shared" si="156"/>
        <v>0</v>
      </c>
      <c r="AO209" s="41">
        <f t="shared" si="160"/>
        <v>0</v>
      </c>
      <c r="AP209" s="14"/>
      <c r="AQ209" s="14"/>
      <c r="AR209" s="14"/>
      <c r="AS209" s="65"/>
      <c r="AT209" s="63"/>
      <c r="AU209" s="47"/>
      <c r="AV209" s="14"/>
      <c r="AW209" s="19"/>
      <c r="AX209" s="19"/>
      <c r="AY209" s="59"/>
      <c r="AZ209" s="14"/>
      <c r="BA209" s="14"/>
      <c r="BB209" s="107" t="s">
        <v>33</v>
      </c>
      <c r="BC209" s="27">
        <f t="shared" si="157"/>
        <v>0</v>
      </c>
      <c r="BD209" s="41">
        <f t="shared" si="161"/>
        <v>0</v>
      </c>
      <c r="BE209" s="14"/>
      <c r="BF209" s="14"/>
      <c r="BG209" s="14"/>
      <c r="BH209" s="65"/>
      <c r="BI209" s="63"/>
      <c r="BJ209" s="352"/>
      <c r="BK209" s="19"/>
      <c r="BL209" s="19"/>
      <c r="BM209" s="19"/>
      <c r="BN209" s="59"/>
      <c r="BO209" s="14"/>
      <c r="BP209" s="14"/>
      <c r="BQ209" s="107" t="s">
        <v>33</v>
      </c>
      <c r="BR209" s="27">
        <f t="shared" si="158"/>
        <v>0</v>
      </c>
      <c r="BS209" s="41">
        <f t="shared" si="162"/>
        <v>0</v>
      </c>
      <c r="BT209" s="14"/>
      <c r="BU209" s="14"/>
      <c r="BV209" s="14"/>
      <c r="BW209" s="65"/>
      <c r="BX209" s="63"/>
      <c r="BY209" s="352"/>
      <c r="BZ209" s="14"/>
      <c r="CA209" s="14"/>
      <c r="CB209" s="21"/>
      <c r="CC209" s="21"/>
      <c r="CD209" s="180"/>
      <c r="CE209" s="181"/>
      <c r="CF209" s="31"/>
      <c r="CG209" s="52"/>
      <c r="CH209" s="52"/>
      <c r="CI209" s="99"/>
      <c r="CJ209" s="14"/>
      <c r="CK209" s="14"/>
      <c r="CL209" s="14"/>
      <c r="CM209" s="14"/>
      <c r="CN209" s="14"/>
      <c r="CO209" s="129"/>
      <c r="CP209" s="14"/>
      <c r="CQ209" s="47"/>
      <c r="CR209" s="14"/>
      <c r="CS209" s="14"/>
      <c r="CT209" s="14"/>
      <c r="CU209" s="14"/>
      <c r="CV209" s="180"/>
      <c r="CW209" s="190"/>
      <c r="CX209" s="191"/>
      <c r="CY209" s="52"/>
      <c r="CZ209" s="52"/>
      <c r="DA209" s="54"/>
      <c r="DB209" s="14"/>
      <c r="DC209" s="14"/>
      <c r="DD209" s="14"/>
      <c r="DE209" s="14"/>
      <c r="DF209" s="14"/>
      <c r="DG209" s="129"/>
      <c r="DH209" s="14"/>
      <c r="DI209" s="47"/>
      <c r="DJ209" s="14"/>
      <c r="DK209" s="62"/>
      <c r="DL209" s="19"/>
      <c r="DM209" s="59"/>
      <c r="DN209" s="14"/>
      <c r="DO209" s="14"/>
      <c r="DP209" s="107" t="s">
        <v>36</v>
      </c>
      <c r="DQ209" s="27">
        <f>COUNTIFS(S30_stakeholder_category,"NGO",Response_Q172_1,DP209,Response_Q173_7,"&lt;&gt;0")</f>
        <v>0</v>
      </c>
      <c r="DR209" s="41" t="str">
        <f>IF(DQ212=0,"",DQ209/DQ212)</f>
        <v/>
      </c>
      <c r="DS209" s="14"/>
      <c r="DT209" s="14"/>
      <c r="DU209" s="14"/>
      <c r="DV209" s="14"/>
      <c r="DW209" s="14"/>
      <c r="DX209" s="14"/>
      <c r="DY209" s="14"/>
      <c r="DZ209" s="14"/>
      <c r="EA209" s="14"/>
      <c r="EB209" s="14"/>
      <c r="EC209" s="14"/>
      <c r="ED209" s="14"/>
      <c r="EE209" s="14"/>
      <c r="EF209" s="14"/>
      <c r="EG209" s="14"/>
      <c r="EH209" s="14"/>
      <c r="EI209" s="14"/>
      <c r="EJ209" s="14"/>
      <c r="EK209" s="14"/>
      <c r="EL209" s="14"/>
    </row>
    <row r="210" spans="1:142" x14ac:dyDescent="0.25">
      <c r="A210" s="14"/>
      <c r="B210" s="14"/>
      <c r="C210" s="19"/>
      <c r="D210" s="59"/>
      <c r="E210" s="14"/>
      <c r="F210" s="14"/>
      <c r="G210" s="107" t="s">
        <v>38</v>
      </c>
      <c r="H210" s="27">
        <f>COUNTIFS(S30_stakeholder_category,"NGO",Response_Q173_7,G210)</f>
        <v>0</v>
      </c>
      <c r="I210" s="41" t="str">
        <f t="shared" si="159"/>
        <v/>
      </c>
      <c r="J210" s="14"/>
      <c r="K210" s="14"/>
      <c r="L210" s="14"/>
      <c r="M210" s="14"/>
      <c r="N210" s="14"/>
      <c r="O210" s="14"/>
      <c r="P210" s="14"/>
      <c r="Q210" s="47"/>
      <c r="R210" s="19"/>
      <c r="S210" s="14"/>
      <c r="T210" s="19"/>
      <c r="U210" s="59"/>
      <c r="V210" s="14"/>
      <c r="W210" s="14"/>
      <c r="X210" s="107" t="s">
        <v>29</v>
      </c>
      <c r="Y210" s="27">
        <f t="shared" si="154"/>
        <v>0</v>
      </c>
      <c r="Z210" s="41">
        <f t="shared" si="155"/>
        <v>0</v>
      </c>
      <c r="AA210" s="14"/>
      <c r="AB210" s="14"/>
      <c r="AC210" s="14"/>
      <c r="AD210" s="65"/>
      <c r="AE210" s="63"/>
      <c r="AF210" s="47"/>
      <c r="AG210" s="19"/>
      <c r="AH210" s="14"/>
      <c r="AI210" s="19"/>
      <c r="AJ210" s="59"/>
      <c r="AK210" s="14"/>
      <c r="AL210" s="14"/>
      <c r="AM210" s="107" t="s">
        <v>29</v>
      </c>
      <c r="AN210" s="27">
        <f t="shared" si="156"/>
        <v>0</v>
      </c>
      <c r="AO210" s="41">
        <f t="shared" si="160"/>
        <v>0</v>
      </c>
      <c r="AP210" s="14"/>
      <c r="AQ210" s="14"/>
      <c r="AR210" s="14"/>
      <c r="AS210" s="65"/>
      <c r="AT210" s="63"/>
      <c r="AU210" s="47"/>
      <c r="AV210" s="14"/>
      <c r="AW210" s="14"/>
      <c r="AX210" s="19"/>
      <c r="AY210" s="59"/>
      <c r="AZ210" s="14"/>
      <c r="BA210" s="14"/>
      <c r="BB210" s="107" t="s">
        <v>29</v>
      </c>
      <c r="BC210" s="27">
        <f t="shared" si="157"/>
        <v>0</v>
      </c>
      <c r="BD210" s="41">
        <f t="shared" si="161"/>
        <v>0</v>
      </c>
      <c r="BE210" s="14"/>
      <c r="BF210" s="14"/>
      <c r="BG210" s="14"/>
      <c r="BH210" s="65"/>
      <c r="BI210" s="63"/>
      <c r="BJ210" s="352"/>
      <c r="BK210" s="19"/>
      <c r="BL210" s="14"/>
      <c r="BM210" s="19"/>
      <c r="BN210" s="59"/>
      <c r="BO210" s="14"/>
      <c r="BP210" s="14"/>
      <c r="BQ210" s="107" t="s">
        <v>29</v>
      </c>
      <c r="BR210" s="27">
        <f t="shared" si="158"/>
        <v>0</v>
      </c>
      <c r="BS210" s="41">
        <f t="shared" si="162"/>
        <v>0</v>
      </c>
      <c r="BT210" s="14"/>
      <c r="BU210" s="14"/>
      <c r="BV210" s="14"/>
      <c r="BW210" s="65"/>
      <c r="BX210" s="63"/>
      <c r="BY210" s="352"/>
      <c r="BZ210" s="14"/>
      <c r="CA210" s="14"/>
      <c r="CB210" s="21"/>
      <c r="CC210" s="21"/>
      <c r="CD210" s="180"/>
      <c r="CE210" s="181"/>
      <c r="CF210" s="31"/>
      <c r="CG210" s="52"/>
      <c r="CH210" s="52"/>
      <c r="CI210" s="99"/>
      <c r="CJ210" s="14"/>
      <c r="CK210" s="14"/>
      <c r="CL210" s="14"/>
      <c r="CM210" s="14"/>
      <c r="CN210" s="14"/>
      <c r="CO210" s="129"/>
      <c r="CP210" s="14"/>
      <c r="CQ210" s="47"/>
      <c r="CR210" s="14"/>
      <c r="CS210" s="14"/>
      <c r="CT210" s="14"/>
      <c r="CU210" s="14"/>
      <c r="CV210" s="180"/>
      <c r="CW210" s="190"/>
      <c r="CX210" s="191"/>
      <c r="CY210" s="52"/>
      <c r="CZ210" s="52"/>
      <c r="DA210" s="54"/>
      <c r="DB210" s="14"/>
      <c r="DC210" s="14"/>
      <c r="DD210" s="14"/>
      <c r="DE210" s="14"/>
      <c r="DF210" s="14"/>
      <c r="DG210" s="129"/>
      <c r="DH210" s="14"/>
      <c r="DI210" s="47"/>
      <c r="DJ210" s="14"/>
      <c r="DK210" s="62"/>
      <c r="DL210" s="19"/>
      <c r="DM210" s="59"/>
      <c r="DN210" s="14"/>
      <c r="DO210" s="14"/>
      <c r="DP210" s="107" t="s">
        <v>38</v>
      </c>
      <c r="DQ210" s="27">
        <f>COUNTIFS(S30_stakeholder_category,"NGO",Response_Q172_1,DP210,Response_Q173_7,"&lt;&gt;0")</f>
        <v>0</v>
      </c>
      <c r="DR210" s="41" t="str">
        <f>IF(DQ212=0,"",DQ210/DQ212)</f>
        <v/>
      </c>
      <c r="DS210" s="14"/>
      <c r="DT210" s="14"/>
      <c r="DU210" s="14"/>
      <c r="DV210" s="14"/>
      <c r="DW210" s="14"/>
      <c r="DX210" s="14"/>
      <c r="DY210" s="14"/>
      <c r="DZ210" s="14"/>
      <c r="EA210" s="14"/>
      <c r="EB210" s="14"/>
      <c r="EC210" s="14"/>
      <c r="ED210" s="14"/>
      <c r="EE210" s="14"/>
      <c r="EF210" s="14"/>
      <c r="EG210" s="14"/>
      <c r="EH210" s="14"/>
      <c r="EI210" s="14"/>
      <c r="EJ210" s="14"/>
      <c r="EK210" s="14"/>
      <c r="EL210" s="14"/>
    </row>
    <row r="211" spans="1:142" x14ac:dyDescent="0.25">
      <c r="A211" s="14"/>
      <c r="B211" s="14"/>
      <c r="C211" s="19"/>
      <c r="D211" s="59"/>
      <c r="E211" s="14"/>
      <c r="F211" s="14"/>
      <c r="G211" s="107" t="s">
        <v>39</v>
      </c>
      <c r="H211" s="27">
        <f>COUNTIFS(S30_stakeholder_category,"NGO",Response_Q173_7,G211)</f>
        <v>0</v>
      </c>
      <c r="I211" s="41" t="str">
        <f t="shared" si="159"/>
        <v/>
      </c>
      <c r="J211" s="14"/>
      <c r="K211" s="14"/>
      <c r="L211" s="14"/>
      <c r="M211" s="14"/>
      <c r="N211" s="14"/>
      <c r="O211" s="14"/>
      <c r="P211" s="14"/>
      <c r="Q211" s="47"/>
      <c r="R211" s="19"/>
      <c r="S211" s="14"/>
      <c r="T211" s="19"/>
      <c r="U211" s="59"/>
      <c r="V211" s="14"/>
      <c r="W211" s="14"/>
      <c r="X211" s="107" t="s">
        <v>3</v>
      </c>
      <c r="Y211" s="27">
        <f t="shared" si="154"/>
        <v>0</v>
      </c>
      <c r="Z211" s="41">
        <f t="shared" si="155"/>
        <v>0</v>
      </c>
      <c r="AA211" s="14"/>
      <c r="AB211" s="14"/>
      <c r="AC211" s="14"/>
      <c r="AD211" s="65"/>
      <c r="AE211" s="63"/>
      <c r="AF211" s="47"/>
      <c r="AG211" s="19"/>
      <c r="AH211" s="14"/>
      <c r="AI211" s="19"/>
      <c r="AJ211" s="59"/>
      <c r="AK211" s="14"/>
      <c r="AL211" s="14"/>
      <c r="AM211" s="107" t="s">
        <v>3</v>
      </c>
      <c r="AN211" s="27">
        <f t="shared" si="156"/>
        <v>0</v>
      </c>
      <c r="AO211" s="41">
        <f t="shared" si="160"/>
        <v>0</v>
      </c>
      <c r="AP211" s="14"/>
      <c r="AQ211" s="14"/>
      <c r="AR211" s="14"/>
      <c r="AS211" s="65"/>
      <c r="AT211" s="63"/>
      <c r="AU211" s="47"/>
      <c r="AV211" s="14"/>
      <c r="AW211" s="14"/>
      <c r="AX211" s="19"/>
      <c r="AY211" s="59"/>
      <c r="AZ211" s="14"/>
      <c r="BA211" s="14"/>
      <c r="BB211" s="107" t="s">
        <v>3</v>
      </c>
      <c r="BC211" s="27">
        <f t="shared" si="157"/>
        <v>0</v>
      </c>
      <c r="BD211" s="41">
        <f t="shared" si="161"/>
        <v>0</v>
      </c>
      <c r="BE211" s="14"/>
      <c r="BF211" s="14"/>
      <c r="BG211" s="14"/>
      <c r="BH211" s="65"/>
      <c r="BI211" s="63"/>
      <c r="BJ211" s="352"/>
      <c r="BK211" s="19"/>
      <c r="BL211" s="14"/>
      <c r="BM211" s="19"/>
      <c r="BN211" s="59"/>
      <c r="BO211" s="14"/>
      <c r="BP211" s="14"/>
      <c r="BQ211" s="107" t="s">
        <v>3</v>
      </c>
      <c r="BR211" s="27">
        <f t="shared" si="158"/>
        <v>0</v>
      </c>
      <c r="BS211" s="41">
        <f t="shared" si="162"/>
        <v>0</v>
      </c>
      <c r="BT211" s="14"/>
      <c r="BU211" s="14"/>
      <c r="BV211" s="14"/>
      <c r="BW211" s="65"/>
      <c r="BX211" s="63"/>
      <c r="BY211" s="352"/>
      <c r="BZ211" s="14"/>
      <c r="CA211" s="14"/>
      <c r="CB211" s="21"/>
      <c r="CC211" s="21"/>
      <c r="CD211" s="180"/>
      <c r="CE211" s="181"/>
      <c r="CF211" s="31"/>
      <c r="CG211" s="52"/>
      <c r="CH211" s="52"/>
      <c r="CI211" s="99"/>
      <c r="CJ211" s="14"/>
      <c r="CK211" s="14"/>
      <c r="CL211" s="14"/>
      <c r="CM211" s="14"/>
      <c r="CN211" s="14"/>
      <c r="CO211" s="129"/>
      <c r="CP211" s="14"/>
      <c r="CQ211" s="47"/>
      <c r="CR211" s="14"/>
      <c r="CS211" s="14"/>
      <c r="CT211" s="14"/>
      <c r="CU211" s="14"/>
      <c r="CV211" s="180"/>
      <c r="CW211" s="190"/>
      <c r="CX211" s="191"/>
      <c r="CY211" s="52"/>
      <c r="CZ211" s="52"/>
      <c r="DA211" s="54"/>
      <c r="DB211" s="14"/>
      <c r="DC211" s="14"/>
      <c r="DD211" s="14"/>
      <c r="DE211" s="14"/>
      <c r="DF211" s="14"/>
      <c r="DG211" s="129"/>
      <c r="DH211" s="14"/>
      <c r="DI211" s="47"/>
      <c r="DJ211" s="14"/>
      <c r="DK211" s="62"/>
      <c r="DL211" s="19"/>
      <c r="DM211" s="59"/>
      <c r="DN211" s="14"/>
      <c r="DO211" s="14"/>
      <c r="DP211" s="107" t="s">
        <v>39</v>
      </c>
      <c r="DQ211" s="27">
        <f>COUNTIFS(S30_stakeholder_category,"NGO",Response_Q172_1,DP211,Response_Q173_7,"&lt;&gt;0")</f>
        <v>0</v>
      </c>
      <c r="DR211" s="41" t="str">
        <f>IF(DQ212=0,"",DQ211/DQ212)</f>
        <v/>
      </c>
      <c r="DS211" s="14"/>
      <c r="DT211" s="14"/>
      <c r="DU211" s="14"/>
      <c r="DV211" s="14"/>
      <c r="DW211" s="14"/>
      <c r="DX211" s="14"/>
      <c r="DY211" s="14"/>
      <c r="DZ211" s="14"/>
      <c r="EA211" s="14"/>
      <c r="EB211" s="14"/>
      <c r="EC211" s="14"/>
      <c r="ED211" s="14"/>
      <c r="EE211" s="14"/>
      <c r="EF211" s="14"/>
      <c r="EG211" s="14"/>
      <c r="EH211" s="14"/>
      <c r="EI211" s="14"/>
      <c r="EJ211" s="14"/>
      <c r="EK211" s="14"/>
      <c r="EL211" s="14"/>
    </row>
    <row r="212" spans="1:142" x14ac:dyDescent="0.25">
      <c r="A212" s="14"/>
      <c r="B212" s="14"/>
      <c r="C212" s="19"/>
      <c r="D212" s="59"/>
      <c r="E212" s="14"/>
      <c r="F212" s="14"/>
      <c r="G212" s="86" t="s">
        <v>145</v>
      </c>
      <c r="H212" s="111">
        <f>COUNTIFS(S30_stakeholder_category,"NGO",Response_Q173_7,"&lt;&gt;0")</f>
        <v>0</v>
      </c>
      <c r="I212" s="119" t="str">
        <f t="shared" si="159"/>
        <v/>
      </c>
      <c r="J212" s="14"/>
      <c r="K212" s="14"/>
      <c r="L212" s="14"/>
      <c r="M212" s="14"/>
      <c r="N212" s="14"/>
      <c r="O212" s="14"/>
      <c r="P212" s="14"/>
      <c r="Q212" s="47"/>
      <c r="R212" s="19"/>
      <c r="S212" s="14"/>
      <c r="T212" s="19"/>
      <c r="U212" s="59"/>
      <c r="V212" s="14"/>
      <c r="W212" s="14"/>
      <c r="X212" s="107" t="s">
        <v>54</v>
      </c>
      <c r="Y212" s="27">
        <f t="shared" si="154"/>
        <v>0</v>
      </c>
      <c r="Z212" s="41">
        <f t="shared" si="155"/>
        <v>0</v>
      </c>
      <c r="AA212" s="14"/>
      <c r="AB212" s="14"/>
      <c r="AC212" s="14"/>
      <c r="AD212" s="65"/>
      <c r="AE212" s="63"/>
      <c r="AF212" s="47"/>
      <c r="AG212" s="19"/>
      <c r="AH212" s="14"/>
      <c r="AI212" s="19"/>
      <c r="AJ212" s="59"/>
      <c r="AK212" s="14"/>
      <c r="AL212" s="14"/>
      <c r="AM212" s="107" t="s">
        <v>54</v>
      </c>
      <c r="AN212" s="27">
        <f t="shared" si="156"/>
        <v>0</v>
      </c>
      <c r="AO212" s="41">
        <f t="shared" si="160"/>
        <v>0</v>
      </c>
      <c r="AP212" s="14"/>
      <c r="AQ212" s="14"/>
      <c r="AR212" s="14"/>
      <c r="AS212" s="65"/>
      <c r="AT212" s="63"/>
      <c r="AU212" s="47"/>
      <c r="AV212" s="14"/>
      <c r="AW212" s="14"/>
      <c r="AX212" s="19"/>
      <c r="AY212" s="59"/>
      <c r="AZ212" s="14"/>
      <c r="BA212" s="14"/>
      <c r="BB212" s="107" t="s">
        <v>54</v>
      </c>
      <c r="BC212" s="27">
        <f t="shared" si="157"/>
        <v>0</v>
      </c>
      <c r="BD212" s="41">
        <f t="shared" si="161"/>
        <v>0</v>
      </c>
      <c r="BE212" s="14"/>
      <c r="BF212" s="14"/>
      <c r="BG212" s="14"/>
      <c r="BH212" s="65"/>
      <c r="BI212" s="63"/>
      <c r="BJ212" s="352"/>
      <c r="BK212" s="19"/>
      <c r="BL212" s="14"/>
      <c r="BM212" s="19"/>
      <c r="BN212" s="59"/>
      <c r="BO212" s="14"/>
      <c r="BP212" s="14"/>
      <c r="BQ212" s="107" t="s">
        <v>54</v>
      </c>
      <c r="BR212" s="27">
        <f t="shared" si="158"/>
        <v>0</v>
      </c>
      <c r="BS212" s="41">
        <f t="shared" si="162"/>
        <v>0</v>
      </c>
      <c r="BT212" s="14"/>
      <c r="BU212" s="14"/>
      <c r="BV212" s="14"/>
      <c r="BW212" s="65"/>
      <c r="BX212" s="63"/>
      <c r="BY212" s="352"/>
      <c r="BZ212" s="14"/>
      <c r="CA212" s="14"/>
      <c r="CB212" s="21"/>
      <c r="CC212" s="21"/>
      <c r="CD212" s="180"/>
      <c r="CE212" s="181"/>
      <c r="CF212" s="31"/>
      <c r="CG212" s="52"/>
      <c r="CH212" s="52"/>
      <c r="CI212" s="99"/>
      <c r="CJ212" s="14"/>
      <c r="CK212" s="14"/>
      <c r="CL212" s="14"/>
      <c r="CM212" s="14"/>
      <c r="CN212" s="14"/>
      <c r="CO212" s="129"/>
      <c r="CP212" s="14"/>
      <c r="CQ212" s="47"/>
      <c r="CR212" s="14"/>
      <c r="CS212" s="14"/>
      <c r="CT212" s="14"/>
      <c r="CU212" s="14"/>
      <c r="CV212" s="180"/>
      <c r="CW212" s="190"/>
      <c r="CX212" s="191"/>
      <c r="CY212" s="52"/>
      <c r="CZ212" s="52"/>
      <c r="DA212" s="54"/>
      <c r="DB212" s="14"/>
      <c r="DC212" s="14"/>
      <c r="DD212" s="14"/>
      <c r="DE212" s="14"/>
      <c r="DF212" s="14"/>
      <c r="DG212" s="129"/>
      <c r="DH212" s="14"/>
      <c r="DI212" s="47"/>
      <c r="DJ212" s="14"/>
      <c r="DK212" s="62"/>
      <c r="DL212" s="19"/>
      <c r="DM212" s="59"/>
      <c r="DN212" s="14"/>
      <c r="DO212" s="14"/>
      <c r="DP212" s="86" t="s">
        <v>145</v>
      </c>
      <c r="DQ212" s="111">
        <f>COUNTIFS(S30_stakeholder_category,"NGO",Response_Q172_1,"&lt;&gt;0",Response_Q173_7,"&lt;&gt;0")</f>
        <v>0</v>
      </c>
      <c r="DR212" s="119" t="str">
        <f>IF(DQ212=0,"",DQ212/DQ212)</f>
        <v/>
      </c>
      <c r="DS212" s="14"/>
      <c r="DT212" s="14"/>
      <c r="DU212" s="14"/>
      <c r="DV212" s="14"/>
      <c r="DW212" s="14"/>
      <c r="DX212" s="14"/>
      <c r="DY212" s="14"/>
      <c r="DZ212" s="14"/>
      <c r="EA212" s="14"/>
      <c r="EB212" s="14"/>
      <c r="EC212" s="14"/>
      <c r="ED212" s="14"/>
      <c r="EE212" s="14"/>
      <c r="EF212" s="14"/>
      <c r="EG212" s="14"/>
      <c r="EH212" s="14"/>
      <c r="EI212" s="14"/>
      <c r="EJ212" s="14"/>
      <c r="EK212" s="14"/>
      <c r="EL212" s="14"/>
    </row>
    <row r="213" spans="1:142" x14ac:dyDescent="0.25">
      <c r="A213" s="14"/>
      <c r="B213" s="62"/>
      <c r="C213" s="19"/>
      <c r="D213" s="59"/>
      <c r="E213" s="14"/>
      <c r="F213" s="14"/>
      <c r="G213" s="14"/>
      <c r="H213" s="21"/>
      <c r="I213" s="21"/>
      <c r="J213" s="14"/>
      <c r="K213" s="14"/>
      <c r="L213" s="14"/>
      <c r="M213" s="14"/>
      <c r="N213" s="14"/>
      <c r="O213" s="14"/>
      <c r="P213" s="14"/>
      <c r="Q213" s="47"/>
      <c r="R213" s="19"/>
      <c r="S213" s="62"/>
      <c r="T213" s="19"/>
      <c r="U213" s="59"/>
      <c r="V213" s="14"/>
      <c r="W213" s="14"/>
      <c r="X213" s="107" t="s">
        <v>39</v>
      </c>
      <c r="Y213" s="27">
        <f t="shared" si="154"/>
        <v>0</v>
      </c>
      <c r="Z213" s="41">
        <f t="shared" si="155"/>
        <v>0</v>
      </c>
      <c r="AA213" s="14"/>
      <c r="AB213" s="14"/>
      <c r="AC213" s="14"/>
      <c r="AD213" s="65"/>
      <c r="AE213" s="63"/>
      <c r="AF213" s="47"/>
      <c r="AG213" s="19"/>
      <c r="AH213" s="62"/>
      <c r="AI213" s="19"/>
      <c r="AJ213" s="59"/>
      <c r="AK213" s="14"/>
      <c r="AL213" s="14"/>
      <c r="AM213" s="107" t="s">
        <v>39</v>
      </c>
      <c r="AN213" s="27">
        <f t="shared" si="156"/>
        <v>0</v>
      </c>
      <c r="AO213" s="41">
        <f t="shared" si="160"/>
        <v>0</v>
      </c>
      <c r="AP213" s="14"/>
      <c r="AQ213" s="14"/>
      <c r="AR213" s="14"/>
      <c r="AS213" s="65"/>
      <c r="AT213" s="63"/>
      <c r="AU213" s="47"/>
      <c r="AV213" s="14"/>
      <c r="AW213" s="62"/>
      <c r="AX213" s="19"/>
      <c r="AY213" s="59"/>
      <c r="AZ213" s="14"/>
      <c r="BA213" s="14"/>
      <c r="BB213" s="107" t="s">
        <v>39</v>
      </c>
      <c r="BC213" s="27">
        <f t="shared" si="157"/>
        <v>0</v>
      </c>
      <c r="BD213" s="41">
        <f t="shared" si="161"/>
        <v>0</v>
      </c>
      <c r="BE213" s="14"/>
      <c r="BF213" s="14"/>
      <c r="BG213" s="14"/>
      <c r="BH213" s="65"/>
      <c r="BI213" s="63"/>
      <c r="BJ213" s="352"/>
      <c r="BK213" s="19"/>
      <c r="BL213" s="62"/>
      <c r="BM213" s="19"/>
      <c r="BN213" s="59"/>
      <c r="BO213" s="14"/>
      <c r="BP213" s="14"/>
      <c r="BQ213" s="107" t="s">
        <v>39</v>
      </c>
      <c r="BR213" s="27">
        <f t="shared" si="158"/>
        <v>0</v>
      </c>
      <c r="BS213" s="41">
        <f t="shared" si="162"/>
        <v>0</v>
      </c>
      <c r="BT213" s="14"/>
      <c r="BU213" s="14"/>
      <c r="BV213" s="14"/>
      <c r="BW213" s="65"/>
      <c r="BX213" s="63"/>
      <c r="BY213" s="352"/>
      <c r="BZ213" s="14"/>
      <c r="CA213" s="14"/>
      <c r="CB213" s="21"/>
      <c r="CC213" s="21"/>
      <c r="CD213" s="180"/>
      <c r="CE213" s="181"/>
      <c r="CF213" s="31"/>
      <c r="CG213" s="52"/>
      <c r="CH213" s="52"/>
      <c r="CI213" s="99"/>
      <c r="CJ213" s="14"/>
      <c r="CK213" s="14"/>
      <c r="CL213" s="14"/>
      <c r="CM213" s="14"/>
      <c r="CN213" s="14"/>
      <c r="CO213" s="129"/>
      <c r="CP213" s="14"/>
      <c r="CQ213" s="47"/>
      <c r="CR213" s="14"/>
      <c r="CS213" s="14"/>
      <c r="CT213" s="14"/>
      <c r="CU213" s="14"/>
      <c r="CV213" s="180"/>
      <c r="CW213" s="190"/>
      <c r="CX213" s="191"/>
      <c r="CY213" s="52"/>
      <c r="CZ213" s="52"/>
      <c r="DA213" s="54"/>
      <c r="DB213" s="14"/>
      <c r="DC213" s="14"/>
      <c r="DD213" s="14"/>
      <c r="DE213" s="14"/>
      <c r="DF213" s="14"/>
      <c r="DG213" s="129"/>
      <c r="DH213" s="14"/>
      <c r="DI213" s="47"/>
      <c r="DJ213" s="14"/>
      <c r="DK213" s="62"/>
      <c r="DL213" s="19"/>
      <c r="DM213" s="59"/>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row>
    <row r="214" spans="1:142" x14ac:dyDescent="0.25">
      <c r="A214" s="14"/>
      <c r="B214" s="62"/>
      <c r="C214" s="19"/>
      <c r="D214" s="59"/>
      <c r="E214" s="14"/>
      <c r="F214" s="14"/>
      <c r="G214" s="14"/>
      <c r="H214" s="21"/>
      <c r="I214" s="21"/>
      <c r="J214" s="14"/>
      <c r="K214" s="14"/>
      <c r="L214" s="14"/>
      <c r="M214" s="14"/>
      <c r="N214" s="14"/>
      <c r="O214" s="14"/>
      <c r="P214" s="14"/>
      <c r="Q214" s="47"/>
      <c r="R214" s="19"/>
      <c r="S214" s="62"/>
      <c r="T214" s="19"/>
      <c r="U214" s="59"/>
      <c r="V214" s="14"/>
      <c r="W214" s="14"/>
      <c r="X214" s="86" t="s">
        <v>145</v>
      </c>
      <c r="Y214" s="111">
        <f>COUNTIFS(S30_stakeholder_category,"NGO",Response_Q176_4,"&lt;&gt;0")</f>
        <v>0</v>
      </c>
      <c r="Z214" s="119">
        <f t="shared" si="155"/>
        <v>0</v>
      </c>
      <c r="AA214" s="14"/>
      <c r="AB214" s="14"/>
      <c r="AC214" s="14"/>
      <c r="AD214" s="65"/>
      <c r="AE214" s="63"/>
      <c r="AF214" s="47"/>
      <c r="AG214" s="19"/>
      <c r="AH214" s="62"/>
      <c r="AI214" s="19"/>
      <c r="AJ214" s="59"/>
      <c r="AK214" s="14"/>
      <c r="AL214" s="14"/>
      <c r="AM214" s="86" t="s">
        <v>145</v>
      </c>
      <c r="AN214" s="111">
        <f>COUNTIFS(S30_stakeholder_category,"NGO",Response_30d_CaseA,"&lt;&gt;0")</f>
        <v>0</v>
      </c>
      <c r="AO214" s="119">
        <f t="shared" si="160"/>
        <v>0</v>
      </c>
      <c r="AP214" s="14"/>
      <c r="AQ214" s="14"/>
      <c r="AR214" s="14"/>
      <c r="AS214" s="65"/>
      <c r="AT214" s="63"/>
      <c r="AU214" s="47"/>
      <c r="AV214" s="14"/>
      <c r="AW214" s="62"/>
      <c r="AX214" s="19"/>
      <c r="AY214" s="59"/>
      <c r="AZ214" s="14"/>
      <c r="BA214" s="14"/>
      <c r="BB214" s="86" t="s">
        <v>145</v>
      </c>
      <c r="BC214" s="111">
        <f>COUNTIFS(S30_stakeholder_category,"NGO",Response_30d_CaseB,"&lt;&gt;0")</f>
        <v>0</v>
      </c>
      <c r="BD214" s="119">
        <f t="shared" si="161"/>
        <v>0</v>
      </c>
      <c r="BE214" s="14"/>
      <c r="BF214" s="14"/>
      <c r="BG214" s="14"/>
      <c r="BH214" s="65"/>
      <c r="BI214" s="63"/>
      <c r="BJ214" s="352"/>
      <c r="BK214" s="19"/>
      <c r="BL214" s="62"/>
      <c r="BM214" s="19"/>
      <c r="BN214" s="59"/>
      <c r="BO214" s="14"/>
      <c r="BP214" s="14"/>
      <c r="BQ214" s="86" t="s">
        <v>145</v>
      </c>
      <c r="BR214" s="111">
        <f>COUNTIFS(S30_stakeholder_category,"NGO",Response_30d_CaseC,"&lt;&gt;0")</f>
        <v>0</v>
      </c>
      <c r="BS214" s="119">
        <f t="shared" si="162"/>
        <v>0</v>
      </c>
      <c r="BT214" s="14"/>
      <c r="BU214" s="14"/>
      <c r="BV214" s="14"/>
      <c r="BW214" s="65"/>
      <c r="BX214" s="63"/>
      <c r="BY214" s="352"/>
      <c r="BZ214" s="14"/>
      <c r="CA214" s="14"/>
      <c r="CB214" s="21"/>
      <c r="CC214" s="21"/>
      <c r="CD214" s="180"/>
      <c r="CE214" s="181"/>
      <c r="CF214" s="31"/>
      <c r="CG214" s="52"/>
      <c r="CH214" s="52"/>
      <c r="CI214" s="99"/>
      <c r="CJ214" s="14"/>
      <c r="CK214" s="14"/>
      <c r="CL214" s="14"/>
      <c r="CM214" s="14"/>
      <c r="CN214" s="14"/>
      <c r="CO214" s="129"/>
      <c r="CP214" s="14"/>
      <c r="CQ214" s="47"/>
      <c r="CR214" s="14"/>
      <c r="CS214" s="14"/>
      <c r="CT214" s="14"/>
      <c r="CU214" s="14"/>
      <c r="CV214" s="180"/>
      <c r="CW214" s="190"/>
      <c r="CX214" s="191"/>
      <c r="CY214" s="52"/>
      <c r="CZ214" s="52"/>
      <c r="DA214" s="54"/>
      <c r="DB214" s="14"/>
      <c r="DC214" s="14"/>
      <c r="DD214" s="14"/>
      <c r="DE214" s="14"/>
      <c r="DF214" s="14"/>
      <c r="DG214" s="129"/>
      <c r="DH214" s="14"/>
      <c r="DI214" s="47"/>
      <c r="DJ214" s="14"/>
      <c r="DK214" s="62"/>
      <c r="DL214" s="19"/>
      <c r="DM214" s="59"/>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row>
    <row r="215" spans="1:142" s="135" customFormat="1" ht="15" customHeight="1" x14ac:dyDescent="0.25">
      <c r="A215" s="14"/>
      <c r="B215" s="13"/>
      <c r="C215" s="13"/>
      <c r="D215" s="21"/>
      <c r="E215" s="14"/>
      <c r="F215" s="14"/>
      <c r="G215" s="14"/>
      <c r="H215" s="21"/>
      <c r="I215" s="21"/>
      <c r="J215" s="14"/>
      <c r="K215" s="14"/>
      <c r="L215" s="14"/>
      <c r="M215" s="14"/>
      <c r="N215" s="14"/>
      <c r="O215" s="14"/>
      <c r="P215" s="14"/>
      <c r="Q215" s="47"/>
      <c r="R215" s="19"/>
      <c r="S215" s="13"/>
      <c r="T215" s="13"/>
      <c r="U215" s="14"/>
      <c r="V215" s="14"/>
      <c r="W215" s="14"/>
      <c r="X215" s="14"/>
      <c r="Y215" s="14"/>
      <c r="Z215" s="14"/>
      <c r="AA215" s="14"/>
      <c r="AB215" s="14"/>
      <c r="AC215" s="14"/>
      <c r="AD215" s="65"/>
      <c r="AE215" s="63"/>
      <c r="AF215" s="47"/>
      <c r="AG215" s="19"/>
      <c r="AH215" s="13"/>
      <c r="AI215" s="13"/>
      <c r="AJ215" s="14"/>
      <c r="AK215" s="14"/>
      <c r="AL215" s="14"/>
      <c r="AM215" s="14"/>
      <c r="AN215" s="14"/>
      <c r="AO215" s="14"/>
      <c r="AP215" s="14"/>
      <c r="AQ215" s="14"/>
      <c r="AR215" s="14"/>
      <c r="AS215" s="65"/>
      <c r="AT215" s="63"/>
      <c r="AU215" s="47"/>
      <c r="AV215" s="14"/>
      <c r="AW215" s="13"/>
      <c r="AX215" s="13"/>
      <c r="AY215" s="14"/>
      <c r="AZ215" s="14"/>
      <c r="BA215" s="14"/>
      <c r="BB215" s="14"/>
      <c r="BC215" s="14"/>
      <c r="BD215" s="14"/>
      <c r="BE215" s="14"/>
      <c r="BF215" s="14"/>
      <c r="BG215" s="14"/>
      <c r="BH215" s="65"/>
      <c r="BI215" s="63"/>
      <c r="BJ215" s="352"/>
      <c r="BK215" s="19"/>
      <c r="BL215" s="13"/>
      <c r="BM215" s="13"/>
      <c r="BN215" s="14"/>
      <c r="BO215" s="14"/>
      <c r="BP215" s="14"/>
      <c r="BQ215" s="14"/>
      <c r="BR215" s="14"/>
      <c r="BS215" s="14"/>
      <c r="BT215" s="14"/>
      <c r="BU215" s="14"/>
      <c r="BV215" s="14"/>
      <c r="BW215" s="65"/>
      <c r="BX215" s="63"/>
      <c r="BY215" s="352"/>
      <c r="BZ215" s="14"/>
      <c r="CA215" s="14"/>
      <c r="CB215" s="21"/>
      <c r="CC215" s="21"/>
      <c r="CD215" s="180"/>
      <c r="CE215" s="181"/>
      <c r="CF215" s="31"/>
      <c r="CG215" s="31"/>
      <c r="CH215" s="31"/>
      <c r="CI215" s="14"/>
      <c r="CJ215" s="14"/>
      <c r="CK215" s="14"/>
      <c r="CL215" s="14"/>
      <c r="CM215" s="14"/>
      <c r="CN215" s="14"/>
      <c r="CO215" s="129"/>
      <c r="CP215" s="14"/>
      <c r="CQ215" s="47"/>
      <c r="CR215" s="14"/>
      <c r="CS215" s="14"/>
      <c r="CT215" s="14"/>
      <c r="CU215" s="14"/>
      <c r="CV215" s="180"/>
      <c r="CW215" s="190"/>
      <c r="CX215" s="191"/>
      <c r="CY215" s="31"/>
      <c r="CZ215" s="31"/>
      <c r="DA215" s="14"/>
      <c r="DB215" s="14"/>
      <c r="DC215" s="14"/>
      <c r="DD215" s="14"/>
      <c r="DE215" s="14"/>
      <c r="DF215" s="14"/>
      <c r="DG215" s="129"/>
      <c r="DH215" s="14"/>
      <c r="DI215" s="47"/>
      <c r="DJ215" s="14"/>
      <c r="DK215" s="13"/>
      <c r="DL215" s="13"/>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row>
    <row r="216" spans="1:142" s="131" customFormat="1" x14ac:dyDescent="0.25">
      <c r="A216" s="78"/>
      <c r="B216" s="78" t="s">
        <v>302</v>
      </c>
      <c r="C216" s="78"/>
      <c r="D216" s="79"/>
      <c r="E216" s="78"/>
      <c r="F216" s="78"/>
      <c r="G216" s="78"/>
      <c r="H216" s="79"/>
      <c r="I216" s="79"/>
      <c r="J216" s="78"/>
      <c r="K216" s="78"/>
      <c r="L216" s="78"/>
      <c r="M216" s="78"/>
      <c r="N216" s="78"/>
      <c r="O216" s="78"/>
      <c r="P216" s="78"/>
      <c r="Q216" s="82"/>
      <c r="R216" s="83"/>
      <c r="S216" s="78" t="str">
        <f>$B216</f>
        <v>Combined total responses</v>
      </c>
      <c r="T216" s="78"/>
      <c r="U216" s="78"/>
      <c r="V216" s="78"/>
      <c r="W216" s="78"/>
      <c r="X216" s="78"/>
      <c r="Y216" s="78"/>
      <c r="Z216" s="78"/>
      <c r="AA216" s="78"/>
      <c r="AB216" s="78"/>
      <c r="AC216" s="78"/>
      <c r="AD216" s="80"/>
      <c r="AE216" s="81"/>
      <c r="AF216" s="82"/>
      <c r="AG216" s="83"/>
      <c r="AH216" s="78" t="str">
        <f>$B216</f>
        <v>Combined total responses</v>
      </c>
      <c r="AI216" s="78"/>
      <c r="AJ216" s="78"/>
      <c r="AK216" s="78"/>
      <c r="AL216" s="78"/>
      <c r="AM216" s="78"/>
      <c r="AN216" s="78"/>
      <c r="AO216" s="78"/>
      <c r="AP216" s="78"/>
      <c r="AQ216" s="78"/>
      <c r="AR216" s="78"/>
      <c r="AS216" s="80"/>
      <c r="AT216" s="81"/>
      <c r="AU216" s="82"/>
      <c r="AV216" s="78"/>
      <c r="AW216" s="78" t="str">
        <f>$B216</f>
        <v>Combined total responses</v>
      </c>
      <c r="AX216" s="78"/>
      <c r="AY216" s="78"/>
      <c r="AZ216" s="78"/>
      <c r="BA216" s="78"/>
      <c r="BB216" s="78"/>
      <c r="BC216" s="78"/>
      <c r="BD216" s="78"/>
      <c r="BE216" s="78"/>
      <c r="BF216" s="78"/>
      <c r="BG216" s="78"/>
      <c r="BH216" s="80"/>
      <c r="BI216" s="81"/>
      <c r="BJ216" s="373"/>
      <c r="BK216" s="83"/>
      <c r="BL216" s="78" t="str">
        <f>$B216</f>
        <v>Combined total responses</v>
      </c>
      <c r="BM216" s="78"/>
      <c r="BN216" s="78"/>
      <c r="BO216" s="78"/>
      <c r="BP216" s="78"/>
      <c r="BQ216" s="78"/>
      <c r="BR216" s="78"/>
      <c r="BS216" s="78"/>
      <c r="BT216" s="78"/>
      <c r="BU216" s="78"/>
      <c r="BV216" s="78"/>
      <c r="BW216" s="80"/>
      <c r="BX216" s="81"/>
      <c r="BY216" s="373"/>
      <c r="BZ216" s="78"/>
      <c r="CA216" s="78" t="str">
        <f>$B216</f>
        <v>Combined total responses</v>
      </c>
      <c r="CB216" s="79"/>
      <c r="CC216" s="79"/>
      <c r="CD216" s="182"/>
      <c r="CE216" s="182"/>
      <c r="CF216" s="79"/>
      <c r="CG216" s="78"/>
      <c r="CH216" s="78"/>
      <c r="CI216" s="78"/>
      <c r="CJ216" s="78"/>
      <c r="CK216" s="78"/>
      <c r="CL216" s="78"/>
      <c r="CM216" s="78"/>
      <c r="CN216" s="78"/>
      <c r="CO216" s="78"/>
      <c r="CP216" s="78"/>
      <c r="CQ216" s="82"/>
      <c r="CR216" s="78"/>
      <c r="CS216" s="78" t="str">
        <f>$B216</f>
        <v>Combined total responses</v>
      </c>
      <c r="CT216" s="78"/>
      <c r="CU216" s="78"/>
      <c r="CV216" s="182"/>
      <c r="CW216" s="192"/>
      <c r="CX216" s="192"/>
      <c r="CY216" s="78"/>
      <c r="CZ216" s="78"/>
      <c r="DA216" s="78"/>
      <c r="DB216" s="78"/>
      <c r="DC216" s="78"/>
      <c r="DD216" s="78"/>
      <c r="DE216" s="78"/>
      <c r="DF216" s="78"/>
      <c r="DG216" s="78"/>
      <c r="DH216" s="78"/>
      <c r="DI216" s="82"/>
      <c r="DJ216" s="78"/>
      <c r="DK216" s="78" t="str">
        <f>$B216</f>
        <v>Combined total responses</v>
      </c>
      <c r="DL216" s="78"/>
      <c r="DM216" s="78"/>
      <c r="DN216" s="78"/>
      <c r="DO216" s="78"/>
      <c r="DP216" s="78"/>
      <c r="DQ216" s="78"/>
      <c r="DR216" s="78"/>
      <c r="DS216" s="78"/>
      <c r="DT216" s="78"/>
      <c r="DU216" s="78"/>
      <c r="DV216" s="78"/>
      <c r="DW216" s="78"/>
      <c r="DX216" s="78"/>
      <c r="DY216" s="78"/>
      <c r="DZ216" s="78"/>
      <c r="EA216" s="78"/>
      <c r="EB216" s="78"/>
      <c r="EC216" s="78"/>
      <c r="ED216" s="78"/>
      <c r="EE216" s="78"/>
      <c r="EF216" s="78"/>
      <c r="EG216" s="78"/>
      <c r="EH216" s="78"/>
      <c r="EI216" s="78"/>
      <c r="EJ216" s="78"/>
      <c r="EK216" s="78"/>
      <c r="EL216" s="78"/>
    </row>
    <row r="217" spans="1:142" x14ac:dyDescent="0.25">
      <c r="A217" s="14"/>
      <c r="B217" s="84" t="s">
        <v>301</v>
      </c>
      <c r="C217" s="84"/>
      <c r="D217" s="85"/>
      <c r="E217" s="84"/>
      <c r="F217" s="14"/>
      <c r="G217" s="14"/>
      <c r="H217" s="21"/>
      <c r="I217" s="21"/>
      <c r="J217" s="14"/>
      <c r="K217" s="14"/>
      <c r="L217" s="14"/>
      <c r="M217" s="14"/>
      <c r="N217" s="14"/>
      <c r="O217" s="14"/>
      <c r="P217" s="14"/>
      <c r="Q217" s="47"/>
      <c r="R217" s="19"/>
      <c r="S217" s="84" t="s">
        <v>322</v>
      </c>
      <c r="T217" s="84"/>
      <c r="U217" s="85"/>
      <c r="V217" s="84"/>
      <c r="W217" s="14"/>
      <c r="X217" s="14"/>
      <c r="Y217" s="14"/>
      <c r="Z217" s="14"/>
      <c r="AA217" s="14"/>
      <c r="AB217" s="14"/>
      <c r="AC217" s="14"/>
      <c r="AD217" s="65"/>
      <c r="AE217" s="63"/>
      <c r="AF217" s="47"/>
      <c r="AG217" s="19"/>
      <c r="AH217" s="84" t="s">
        <v>328</v>
      </c>
      <c r="AI217" s="84"/>
      <c r="AJ217" s="85"/>
      <c r="AK217" s="84"/>
      <c r="AL217" s="84"/>
      <c r="AM217" s="14"/>
      <c r="AN217" s="14"/>
      <c r="AO217" s="14"/>
      <c r="AP217" s="14"/>
      <c r="AQ217" s="14"/>
      <c r="AR217" s="14"/>
      <c r="AS217" s="65"/>
      <c r="AT217" s="63"/>
      <c r="AU217" s="47"/>
      <c r="AV217" s="14"/>
      <c r="AW217" s="84" t="s">
        <v>347</v>
      </c>
      <c r="AX217" s="84"/>
      <c r="AY217" s="85"/>
      <c r="AZ217" s="84"/>
      <c r="BA217" s="84"/>
      <c r="BB217" s="14"/>
      <c r="BC217" s="14"/>
      <c r="BD217" s="14"/>
      <c r="BE217" s="14"/>
      <c r="BF217" s="14"/>
      <c r="BG217" s="14"/>
      <c r="BH217" s="65"/>
      <c r="BI217" s="63"/>
      <c r="BJ217" s="352"/>
      <c r="BK217" s="19"/>
      <c r="BL217" s="84" t="s">
        <v>348</v>
      </c>
      <c r="BM217" s="84"/>
      <c r="BN217" s="85"/>
      <c r="BO217" s="84"/>
      <c r="BP217" s="84"/>
      <c r="BQ217" s="14"/>
      <c r="BR217" s="14"/>
      <c r="BS217" s="14"/>
      <c r="BT217" s="14"/>
      <c r="BU217" s="14"/>
      <c r="BV217" s="14"/>
      <c r="BW217" s="65"/>
      <c r="BX217" s="63"/>
      <c r="BY217" s="352"/>
      <c r="BZ217" s="14"/>
      <c r="CA217" s="148" t="s">
        <v>303</v>
      </c>
      <c r="CB217" s="85"/>
      <c r="CC217" s="85"/>
      <c r="CD217" s="186"/>
      <c r="CE217" s="185"/>
      <c r="CF217" s="147"/>
      <c r="CG217" s="14"/>
      <c r="CH217" s="14"/>
      <c r="CI217" s="14"/>
      <c r="CJ217" s="14"/>
      <c r="CK217" s="14"/>
      <c r="CL217" s="14"/>
      <c r="CM217" s="14"/>
      <c r="CN217" s="14"/>
      <c r="CO217" s="129"/>
      <c r="CP217" s="14"/>
      <c r="CQ217" s="47"/>
      <c r="CR217" s="14"/>
      <c r="CS217" s="84" t="s">
        <v>304</v>
      </c>
      <c r="CT217" s="84"/>
      <c r="CU217" s="85"/>
      <c r="CV217" s="186"/>
      <c r="CW217" s="189"/>
      <c r="CX217" s="189"/>
      <c r="CY217" s="14"/>
      <c r="CZ217" s="14"/>
      <c r="DA217" s="14"/>
      <c r="DB217" s="14"/>
      <c r="DC217" s="14"/>
      <c r="DD217" s="14"/>
      <c r="DE217" s="14"/>
      <c r="DF217" s="14"/>
      <c r="DG217" s="129"/>
      <c r="DH217" s="14"/>
      <c r="DI217" s="47"/>
      <c r="DJ217" s="14"/>
      <c r="DK217" s="84" t="s">
        <v>305</v>
      </c>
      <c r="DL217" s="84"/>
      <c r="DM217" s="85"/>
      <c r="DN217" s="8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row>
    <row r="218" spans="1:142" x14ac:dyDescent="0.25">
      <c r="A218" s="14"/>
      <c r="B218" s="14"/>
      <c r="C218" s="14"/>
      <c r="D218" s="27"/>
      <c r="E218" s="19"/>
      <c r="F218" s="19"/>
      <c r="G218" s="14"/>
      <c r="H218" s="21"/>
      <c r="I218" s="21"/>
      <c r="J218" s="14"/>
      <c r="K218" s="14"/>
      <c r="L218" s="14"/>
      <c r="M218" s="14"/>
      <c r="N218" s="14"/>
      <c r="O218" s="14"/>
      <c r="P218" s="14"/>
      <c r="Q218" s="47"/>
      <c r="R218" s="19"/>
      <c r="S218" s="14"/>
      <c r="T218" s="14"/>
      <c r="U218" s="14"/>
      <c r="V218" s="14"/>
      <c r="W218" s="14"/>
      <c r="X218" s="14"/>
      <c r="Y218" s="14"/>
      <c r="Z218" s="14"/>
      <c r="AA218" s="14"/>
      <c r="AB218" s="14"/>
      <c r="AC218" s="14"/>
      <c r="AD218" s="65"/>
      <c r="AE218" s="63"/>
      <c r="AF218" s="47"/>
      <c r="AG218" s="19"/>
      <c r="AH218" s="14"/>
      <c r="AI218" s="14"/>
      <c r="AJ218" s="14"/>
      <c r="AK218" s="14"/>
      <c r="AL218" s="14"/>
      <c r="AM218" s="14"/>
      <c r="AN218" s="14"/>
      <c r="AO218" s="14"/>
      <c r="AP218" s="14"/>
      <c r="AQ218" s="14"/>
      <c r="AR218" s="14"/>
      <c r="AS218" s="65"/>
      <c r="AT218" s="63"/>
      <c r="AU218" s="47"/>
      <c r="AV218" s="14"/>
      <c r="AW218" s="14"/>
      <c r="AX218" s="14"/>
      <c r="AY218" s="14"/>
      <c r="AZ218" s="14"/>
      <c r="BA218" s="14"/>
      <c r="BB218" s="14"/>
      <c r="BC218" s="14"/>
      <c r="BD218" s="14"/>
      <c r="BE218" s="14"/>
      <c r="BF218" s="14"/>
      <c r="BG218" s="14"/>
      <c r="BH218" s="65"/>
      <c r="BI218" s="63"/>
      <c r="BJ218" s="352"/>
      <c r="BK218" s="19"/>
      <c r="BL218" s="14"/>
      <c r="BM218" s="14"/>
      <c r="BN218" s="14"/>
      <c r="BO218" s="14"/>
      <c r="BP218" s="14"/>
      <c r="BQ218" s="14"/>
      <c r="BR218" s="14"/>
      <c r="BS218" s="14"/>
      <c r="BT218" s="14"/>
      <c r="BU218" s="14"/>
      <c r="BV218" s="14"/>
      <c r="BW218" s="65"/>
      <c r="BX218" s="63"/>
      <c r="BY218" s="352"/>
      <c r="BZ218" s="14"/>
      <c r="CA218" s="14"/>
      <c r="CB218" s="21"/>
      <c r="CC218" s="21"/>
      <c r="CD218" s="180"/>
      <c r="CE218" s="180"/>
      <c r="CF218" s="21"/>
      <c r="CG218" s="14"/>
      <c r="CH218" s="14"/>
      <c r="CI218" s="14"/>
      <c r="CJ218" s="14"/>
      <c r="CK218" s="14"/>
      <c r="CL218" s="14"/>
      <c r="CM218" s="14"/>
      <c r="CN218" s="14"/>
      <c r="CO218" s="129"/>
      <c r="CP218" s="14"/>
      <c r="CQ218" s="47"/>
      <c r="CR218" s="14"/>
      <c r="CS218" s="14"/>
      <c r="CT218" s="14"/>
      <c r="CU218" s="14"/>
      <c r="CV218" s="180"/>
      <c r="CW218" s="189"/>
      <c r="CX218" s="189"/>
      <c r="CY218" s="14"/>
      <c r="CZ218" s="14"/>
      <c r="DA218" s="14"/>
      <c r="DB218" s="14"/>
      <c r="DC218" s="14"/>
      <c r="DD218" s="14"/>
      <c r="DE218" s="14"/>
      <c r="DF218" s="14"/>
      <c r="DG218" s="129"/>
      <c r="DH218" s="14"/>
      <c r="DI218" s="47"/>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row>
    <row r="219" spans="1:142" ht="28.5" customHeight="1" x14ac:dyDescent="0.25">
      <c r="A219" s="14"/>
      <c r="B219" s="112" t="s">
        <v>23</v>
      </c>
      <c r="C219" s="113" t="s">
        <v>24</v>
      </c>
      <c r="D219" s="113" t="s">
        <v>145</v>
      </c>
      <c r="E219" s="113" t="s">
        <v>300</v>
      </c>
      <c r="F219" s="19"/>
      <c r="G219" s="14"/>
      <c r="H219" s="21"/>
      <c r="I219" s="21"/>
      <c r="J219" s="14"/>
      <c r="K219" s="19"/>
      <c r="L219" s="51"/>
      <c r="M219" s="51"/>
      <c r="N219" s="51"/>
      <c r="O219" s="51"/>
      <c r="P219" s="51"/>
      <c r="Q219" s="47"/>
      <c r="R219" s="19"/>
      <c r="S219" s="112" t="s">
        <v>23</v>
      </c>
      <c r="T219" s="113" t="s">
        <v>24</v>
      </c>
      <c r="U219" s="113" t="s">
        <v>145</v>
      </c>
      <c r="V219" s="113" t="s">
        <v>300</v>
      </c>
      <c r="W219" s="14"/>
      <c r="X219" s="14"/>
      <c r="Y219" s="14"/>
      <c r="Z219" s="14"/>
      <c r="AA219" s="56"/>
      <c r="AB219" s="56"/>
      <c r="AC219" s="56"/>
      <c r="AD219" s="65"/>
      <c r="AE219" s="63"/>
      <c r="AF219" s="47"/>
      <c r="AG219" s="19"/>
      <c r="AH219" s="112" t="s">
        <v>23</v>
      </c>
      <c r="AI219" s="113" t="s">
        <v>24</v>
      </c>
      <c r="AJ219" s="113" t="s">
        <v>145</v>
      </c>
      <c r="AK219" s="113" t="s">
        <v>300</v>
      </c>
      <c r="AL219" s="14"/>
      <c r="AM219" s="14"/>
      <c r="AN219" s="14"/>
      <c r="AO219" s="14"/>
      <c r="AP219" s="56"/>
      <c r="AQ219" s="56"/>
      <c r="AR219" s="56"/>
      <c r="AS219" s="65"/>
      <c r="AT219" s="63"/>
      <c r="AU219" s="47"/>
      <c r="AV219" s="14"/>
      <c r="AW219" s="112" t="s">
        <v>23</v>
      </c>
      <c r="AX219" s="113" t="s">
        <v>24</v>
      </c>
      <c r="AY219" s="113" t="s">
        <v>145</v>
      </c>
      <c r="AZ219" s="113" t="s">
        <v>300</v>
      </c>
      <c r="BA219" s="14"/>
      <c r="BB219" s="14"/>
      <c r="BC219" s="14"/>
      <c r="BD219" s="14"/>
      <c r="BE219" s="56"/>
      <c r="BF219" s="56"/>
      <c r="BG219" s="56"/>
      <c r="BH219" s="65"/>
      <c r="BI219" s="63"/>
      <c r="BJ219" s="352"/>
      <c r="BK219" s="19"/>
      <c r="BL219" s="112" t="s">
        <v>23</v>
      </c>
      <c r="BM219" s="113" t="s">
        <v>24</v>
      </c>
      <c r="BN219" s="113" t="s">
        <v>145</v>
      </c>
      <c r="BO219" s="113" t="s">
        <v>300</v>
      </c>
      <c r="BP219" s="14"/>
      <c r="BQ219" s="14"/>
      <c r="BR219" s="14"/>
      <c r="BS219" s="14"/>
      <c r="BT219" s="56"/>
      <c r="BU219" s="56"/>
      <c r="BV219" s="56"/>
      <c r="BW219" s="65"/>
      <c r="BX219" s="63"/>
      <c r="BY219" s="352"/>
      <c r="BZ219" s="14"/>
      <c r="CA219" s="112" t="s">
        <v>23</v>
      </c>
      <c r="CB219" s="113" t="s">
        <v>145</v>
      </c>
      <c r="CC219" s="21"/>
      <c r="CD219" s="180"/>
      <c r="CE219" s="180"/>
      <c r="CF219" s="21"/>
      <c r="CG219" s="17"/>
      <c r="CH219" s="17"/>
      <c r="CI219" s="17"/>
      <c r="CJ219" s="17"/>
      <c r="CK219" s="17"/>
      <c r="CL219" s="17"/>
      <c r="CM219" s="17"/>
      <c r="CN219" s="17"/>
      <c r="CO219" s="20"/>
      <c r="CP219" s="17"/>
      <c r="CQ219" s="47"/>
      <c r="CR219" s="14"/>
      <c r="CS219" s="112" t="s">
        <v>23</v>
      </c>
      <c r="CT219" s="113" t="s">
        <v>145</v>
      </c>
      <c r="CU219" s="14"/>
      <c r="CV219" s="180"/>
      <c r="CW219" s="189"/>
      <c r="CX219" s="189"/>
      <c r="CY219" s="17"/>
      <c r="CZ219" s="17"/>
      <c r="DA219" s="17"/>
      <c r="DB219" s="17"/>
      <c r="DC219" s="17"/>
      <c r="DD219" s="17"/>
      <c r="DE219" s="17"/>
      <c r="DF219" s="17"/>
      <c r="DG219" s="20"/>
      <c r="DH219" s="17"/>
      <c r="DI219" s="47"/>
      <c r="DJ219" s="17"/>
      <c r="DK219" s="112" t="s">
        <v>23</v>
      </c>
      <c r="DL219" s="113" t="s">
        <v>24</v>
      </c>
      <c r="DM219" s="113" t="s">
        <v>145</v>
      </c>
      <c r="DN219" s="113" t="s">
        <v>300</v>
      </c>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row>
    <row r="220" spans="1:142" x14ac:dyDescent="0.25">
      <c r="A220" s="14"/>
      <c r="B220" s="57" t="s">
        <v>306</v>
      </c>
      <c r="C220" s="121" t="str">
        <f>INDEX(G233:G238,MATCH(MAX(H233:H238),H233:H238,0),1)</f>
        <v>Definitely not</v>
      </c>
      <c r="D220" s="58">
        <f>H239</f>
        <v>9</v>
      </c>
      <c r="E220" s="121">
        <f>H238</f>
        <v>3</v>
      </c>
      <c r="F220" s="19"/>
      <c r="G220" s="14"/>
      <c r="H220" s="21"/>
      <c r="I220" s="21"/>
      <c r="J220" s="14"/>
      <c r="K220" s="19"/>
      <c r="L220" s="40"/>
      <c r="M220" s="40"/>
      <c r="N220" s="40"/>
      <c r="O220" s="40"/>
      <c r="P220" s="40"/>
      <c r="Q220" s="47"/>
      <c r="R220" s="19"/>
      <c r="S220" s="34" t="s">
        <v>306</v>
      </c>
      <c r="T220" s="37" t="str">
        <f>IF(Y241=0,"na",IF(COUNTIF(Y234:Y240,MAX(Y234:Y240))&gt;COUNTIF(X234:X240,"&lt;&gt;""")/2,"No clear choice of the most common response",INDEX(X234:X240,MATCH(MAX(Y234:Y240),Y234:Y240,0),1)))</f>
        <v>Very unlikely</v>
      </c>
      <c r="U220" s="33">
        <f>Y241</f>
        <v>10</v>
      </c>
      <c r="V220" s="37">
        <f>Y240</f>
        <v>3</v>
      </c>
      <c r="W220" s="14"/>
      <c r="X220" s="14"/>
      <c r="Y220" s="14"/>
      <c r="Z220" s="14"/>
      <c r="AA220" s="19"/>
      <c r="AB220" s="19"/>
      <c r="AC220" s="19"/>
      <c r="AD220" s="65"/>
      <c r="AE220" s="63"/>
      <c r="AF220" s="47"/>
      <c r="AG220" s="19"/>
      <c r="AH220" s="57" t="s">
        <v>306</v>
      </c>
      <c r="AI220" s="121" t="str">
        <f>IF(AN241=0,"na",IF(COUNTIF(AN234:AN240,MAX(AN234:AN240))&gt;COUNTIF(AM234:AM240,"&lt;&gt;""")/2,"No clear choice of the most common response",INDEX(AM234:AM240,MATCH(MAX(AN234:AN240),AN234:AN240,0),1)))</f>
        <v>Very unlikely</v>
      </c>
      <c r="AJ220" s="58">
        <f>AN241</f>
        <v>6</v>
      </c>
      <c r="AK220" s="121">
        <f>AN240</f>
        <v>0</v>
      </c>
      <c r="AL220" s="14"/>
      <c r="AM220" s="14"/>
      <c r="AN220" s="14"/>
      <c r="AO220" s="14"/>
      <c r="AP220" s="19"/>
      <c r="AQ220" s="19"/>
      <c r="AR220" s="19"/>
      <c r="AS220" s="65"/>
      <c r="AT220" s="63"/>
      <c r="AU220" s="47"/>
      <c r="AV220" s="14"/>
      <c r="AW220" s="57" t="s">
        <v>306</v>
      </c>
      <c r="AX220" s="121" t="str">
        <f>IF(BC241=0,"na",IF(COUNTIF(BC234:BC240,MAX(BC234:BC240))&gt;COUNTIF(BB234:BB240,"&lt;&gt;""")/2,"No clear choice of the most common response",INDEX(BB234:BB240,MATCH(MAX(BC234:BC240),BC234:BC240,0),1)))</f>
        <v>Very unlikely</v>
      </c>
      <c r="AY220" s="58">
        <f>BC241</f>
        <v>6</v>
      </c>
      <c r="AZ220" s="121">
        <f>BC240</f>
        <v>0</v>
      </c>
      <c r="BA220" s="14"/>
      <c r="BB220" s="14"/>
      <c r="BC220" s="14"/>
      <c r="BD220" s="14"/>
      <c r="BE220" s="19"/>
      <c r="BF220" s="19"/>
      <c r="BG220" s="19"/>
      <c r="BH220" s="65"/>
      <c r="BI220" s="63"/>
      <c r="BJ220" s="352"/>
      <c r="BK220" s="19"/>
      <c r="BL220" s="57" t="s">
        <v>306</v>
      </c>
      <c r="BM220" s="121" t="str">
        <f>IF(BR241=0,"na",IF(COUNTIF(BR234:BR240,MAX(BR234:BR240))&gt;COUNTIF(BQ234:BQ240,"&lt;&gt;""")/2,"No clear choice of the most common response",INDEX(BQ234:BQ240,MATCH(MAX(BR234:BR240),BR234:BR240,0),1)))</f>
        <v>Very unlikely</v>
      </c>
      <c r="BN220" s="58">
        <f>BR241</f>
        <v>7</v>
      </c>
      <c r="BO220" s="121">
        <f>BR240</f>
        <v>0</v>
      </c>
      <c r="BP220" s="14"/>
      <c r="BQ220" s="14"/>
      <c r="BR220" s="14"/>
      <c r="BS220" s="14"/>
      <c r="BT220" s="19"/>
      <c r="BU220" s="19"/>
      <c r="BV220" s="19"/>
      <c r="BW220" s="65"/>
      <c r="BX220" s="63"/>
      <c r="BY220" s="352"/>
      <c r="BZ220" s="14"/>
      <c r="CA220" s="34" t="s">
        <v>155</v>
      </c>
      <c r="CB220" s="37">
        <f>CB193+CB166+CB139+CB112+CB85+CB58</f>
        <v>14</v>
      </c>
      <c r="CC220" s="21"/>
      <c r="CD220" s="180"/>
      <c r="CE220" s="180"/>
      <c r="CF220" s="21"/>
      <c r="CG220" s="29"/>
      <c r="CH220" s="29"/>
      <c r="CI220" s="29"/>
      <c r="CJ220" s="29"/>
      <c r="CK220" s="29"/>
      <c r="CL220" s="29"/>
      <c r="CM220" s="29"/>
      <c r="CN220" s="29"/>
      <c r="CO220" s="38"/>
      <c r="CP220" s="29"/>
      <c r="CQ220" s="47"/>
      <c r="CR220" s="14"/>
      <c r="CS220" s="34" t="s">
        <v>155</v>
      </c>
      <c r="CT220" s="37">
        <f>CT193+CT166+CT139+CT112+CT85+CT58</f>
        <v>6</v>
      </c>
      <c r="CU220" s="14"/>
      <c r="CV220" s="180"/>
      <c r="CW220" s="189"/>
      <c r="CX220" s="189"/>
      <c r="CY220" s="29"/>
      <c r="CZ220" s="29"/>
      <c r="DA220" s="29"/>
      <c r="DB220" s="29"/>
      <c r="DC220" s="29"/>
      <c r="DD220" s="29"/>
      <c r="DE220" s="29"/>
      <c r="DF220" s="29"/>
      <c r="DG220" s="38"/>
      <c r="DH220" s="29"/>
      <c r="DI220" s="47"/>
      <c r="DJ220" s="29"/>
      <c r="DK220" s="34" t="s">
        <v>306</v>
      </c>
      <c r="DL220" s="37" t="str">
        <f>INDEX(DP233:DP238,MATCH(MAX(DQ233:DQ238),DQ233:DQ238,0),1)</f>
        <v>Yes, always</v>
      </c>
      <c r="DM220" s="33">
        <f>DQ239</f>
        <v>9</v>
      </c>
      <c r="DN220" s="37">
        <f>DQ238</f>
        <v>0</v>
      </c>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row>
    <row r="221" spans="1:142" x14ac:dyDescent="0.25">
      <c r="A221" s="14"/>
      <c r="B221" s="57"/>
      <c r="C221" s="121" t="str">
        <f ca="1">IF(COUNTIF(H233:H238,MAX(H233:H238))=1,"",    INDEX(OFFSET(G233,MATCH(C220,G233:G238,0),0):G238,         MATCH(MAX(H233:H238),OFFSET(H233,MATCH(C220,G233:G238,0),0):H238,0),1)      )</f>
        <v/>
      </c>
      <c r="D221" s="58"/>
      <c r="E221" s="121"/>
      <c r="F221" s="19"/>
      <c r="G221" s="14"/>
      <c r="H221" s="21"/>
      <c r="I221" s="21"/>
      <c r="J221" s="14"/>
      <c r="K221" s="19"/>
      <c r="L221" s="40"/>
      <c r="M221" s="40"/>
      <c r="N221" s="40"/>
      <c r="O221" s="40"/>
      <c r="P221" s="40"/>
      <c r="Q221" s="47"/>
      <c r="R221" s="19"/>
      <c r="S221" s="34"/>
      <c r="T221" s="37" t="str">
        <f ca="1">IF(Y241=0,"",IF(COUNTIF(Y234:Y240,MAX(Y234:Y240))=1,"",IF(COUNTIF(Y234:Y240,MAX(Y234:Y240))&gt;COUNTIF(X234:X240,"&lt;&gt;""")/2,"",INDEX(OFFSET(X234,MATCH(T220,X234:X240,0),0):X240,MATCH(MAX(Y234:Y240),OFFSET(Y234,MATCH(T220,X234:X240,0),0):Y240,0),1))))</f>
        <v>I don’t know</v>
      </c>
      <c r="U221" s="33"/>
      <c r="V221" s="37"/>
      <c r="W221" s="14"/>
      <c r="X221" s="14"/>
      <c r="Y221" s="14"/>
      <c r="Z221" s="14"/>
      <c r="AA221" s="19"/>
      <c r="AB221" s="19"/>
      <c r="AC221" s="19"/>
      <c r="AD221" s="65"/>
      <c r="AE221" s="63"/>
      <c r="AF221" s="47"/>
      <c r="AG221" s="19"/>
      <c r="AH221" s="57"/>
      <c r="AI221" s="121" t="str">
        <f ca="1">IF(AN241=0,"",IF(COUNTIF(AN234:AN240,MAX(AN234:AN240))=1,"",IF(COUNTIF(AN234:AN240,MAX(AN234:AN240))&gt;COUNTIF(AM234:AM240,"&lt;&gt;""")/2,"",INDEX(OFFSET(AM234,MATCH(AI220,AM234:AM240,0),0):AM240,MATCH(MAX(AN234:AN240),OFFSET(AN234,MATCH(AI220,AM234:AM240,0),0):AN240,0),1))))</f>
        <v/>
      </c>
      <c r="AJ221" s="58"/>
      <c r="AK221" s="121"/>
      <c r="AL221" s="14"/>
      <c r="AM221" s="14"/>
      <c r="AN221" s="14"/>
      <c r="AO221" s="14"/>
      <c r="AP221" s="19"/>
      <c r="AQ221" s="19"/>
      <c r="AR221" s="19"/>
      <c r="AS221" s="65"/>
      <c r="AT221" s="63"/>
      <c r="AU221" s="47"/>
      <c r="AV221" s="14"/>
      <c r="AW221" s="57"/>
      <c r="AX221" s="121" t="str">
        <f ca="1">IF(BC241=0,"",IF(COUNTIF(BC234:BC240,MAX(BC234:BC240))=1,"",IF(COUNTIF(BC234:BC240,MAX(BC234:BC240))&gt;COUNTIF(BB234:BB240,"&lt;&gt;""")/2,"",INDEX(OFFSET(BB234,MATCH(AX220,BB234:BB240,0),0):BB240,MATCH(MAX(BC234:BC240),OFFSET(BC234,MATCH(AX220,BB234:BB240,0),0):BC240,0),1))))</f>
        <v/>
      </c>
      <c r="AY221" s="58"/>
      <c r="AZ221" s="121"/>
      <c r="BA221" s="14"/>
      <c r="BB221" s="14"/>
      <c r="BC221" s="14"/>
      <c r="BD221" s="14"/>
      <c r="BE221" s="19"/>
      <c r="BF221" s="19"/>
      <c r="BG221" s="19"/>
      <c r="BH221" s="65"/>
      <c r="BI221" s="63"/>
      <c r="BJ221" s="352"/>
      <c r="BK221" s="19"/>
      <c r="BL221" s="57"/>
      <c r="BM221" s="121" t="str">
        <f ca="1">IF(BR241=0,"",IF(COUNTIF(BR234:BR240,MAX(BR234:BR240))=1,"",IF(COUNTIF(BR234:BR240,MAX(BR234:BR240))&gt;COUNTIF(BQ234:BQ240,"&lt;&gt;""")/2,"",INDEX(OFFSET(BQ234,MATCH(BM220,BQ234:BQ240,0),0):BQ240,MATCH(MAX(BR234:BR240),OFFSET(BR234,MATCH(BM220,BQ234:BQ240,0),0):BR240,0),1))))</f>
        <v/>
      </c>
      <c r="BN221" s="58"/>
      <c r="BO221" s="121"/>
      <c r="BP221" s="14"/>
      <c r="BQ221" s="14"/>
      <c r="BR221" s="14"/>
      <c r="BS221" s="14"/>
      <c r="BT221" s="19"/>
      <c r="BU221" s="19"/>
      <c r="BV221" s="19"/>
      <c r="BW221" s="65"/>
      <c r="BX221" s="63"/>
      <c r="BY221" s="352"/>
      <c r="BZ221" s="14"/>
      <c r="CA221" s="14"/>
      <c r="CB221" s="21"/>
      <c r="CC221" s="21"/>
      <c r="CD221" s="180"/>
      <c r="CE221" s="180"/>
      <c r="CF221" s="21"/>
      <c r="CG221" s="29"/>
      <c r="CH221" s="29"/>
      <c r="CI221" s="29"/>
      <c r="CJ221" s="29"/>
      <c r="CK221" s="29"/>
      <c r="CL221" s="29"/>
      <c r="CM221" s="29"/>
      <c r="CN221" s="29"/>
      <c r="CO221" s="38"/>
      <c r="CP221" s="29"/>
      <c r="CQ221" s="47"/>
      <c r="CR221" s="14"/>
      <c r="CS221" s="14"/>
      <c r="CT221" s="14"/>
      <c r="CU221" s="14"/>
      <c r="CV221" s="180"/>
      <c r="CW221" s="189"/>
      <c r="CX221" s="189"/>
      <c r="CY221" s="29"/>
      <c r="CZ221" s="29"/>
      <c r="DA221" s="29"/>
      <c r="DB221" s="29"/>
      <c r="DC221" s="29"/>
      <c r="DD221" s="29"/>
      <c r="DE221" s="29"/>
      <c r="DF221" s="29"/>
      <c r="DG221" s="38"/>
      <c r="DH221" s="29"/>
      <c r="DI221" s="47"/>
      <c r="DJ221" s="29"/>
      <c r="DK221" s="34"/>
      <c r="DL221" s="37" t="str">
        <f ca="1">IF(DQ239=0,"",IF(COUNTIF(DQ234:DQ238,MAX(DQ234:DQ238))=1,"",IF(COUNTIF(DQ234:DQ238,MAX(DQ234:DQ238))&gt;COUNTIF(DP234:DP238,"&lt;&gt;""")/2,"",INDEX(OFFSET(DP234,MATCH(DL220,DP234:DP239,0),0):DP238,MATCH(MAX(DQ234:DQ238),OFFSET(DQ234,MATCH(DL220,DP234:DP239,0),0):DQ238,0),1))))</f>
        <v/>
      </c>
      <c r="DM221" s="33"/>
      <c r="DN221" s="37"/>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row>
    <row r="222" spans="1:142" x14ac:dyDescent="0.25">
      <c r="A222" s="14"/>
      <c r="B222" s="57"/>
      <c r="C222" s="121" t="str">
        <f ca="1">IF(COUNTIF(H233:H238,MAX(H233:H238))&lt;=2,"",    INDEX(OFFSET(G233,MATCH(C221,G233:G238,0),0):G238,         MATCH(MAX(H233:H238),        OFFSET(H233,MATCH(C221,G233:G238,0),0):H238,0),1)      )</f>
        <v/>
      </c>
      <c r="D222" s="58"/>
      <c r="E222" s="121"/>
      <c r="F222" s="19"/>
      <c r="G222" s="14"/>
      <c r="H222" s="21"/>
      <c r="I222" s="21"/>
      <c r="J222" s="14"/>
      <c r="K222" s="19"/>
      <c r="L222" s="40"/>
      <c r="M222" s="40"/>
      <c r="N222" s="40"/>
      <c r="O222" s="40"/>
      <c r="P222" s="40"/>
      <c r="Q222" s="47"/>
      <c r="R222" s="19"/>
      <c r="S222" s="34"/>
      <c r="T222" s="121" t="str">
        <f ca="1" xml:space="preserve"> IF(Y241=0,"",IF(Y241=0,"", IF(COUNTIF(Y234:Y240,MAX(Y234:Y240))&lt;=2,"",IF(COUNTIF(Y234:Y240,MAX(Y234:Y240))&gt;COUNTIF(X234:X240,"&lt;&gt;""")/2,"", INDEX(OFFSET(X234,MATCH(T221,X234:X240,0),0):X240,         MATCH(MAX(Y234:Y240),        OFFSET(Y234,MATCH(T221,X234:X240,0),0):Y240,0),1)))))</f>
        <v/>
      </c>
      <c r="U222" s="33"/>
      <c r="V222" s="37"/>
      <c r="W222" s="14"/>
      <c r="X222" s="14"/>
      <c r="Y222" s="14"/>
      <c r="Z222" s="14"/>
      <c r="AA222" s="19"/>
      <c r="AB222" s="19"/>
      <c r="AC222" s="19"/>
      <c r="AD222" s="65"/>
      <c r="AE222" s="63"/>
      <c r="AF222" s="47"/>
      <c r="AG222" s="19"/>
      <c r="AH222" s="57"/>
      <c r="AI222" s="121" t="str">
        <f ca="1" xml:space="preserve"> IF(AN241=0,"",IF(AN241=0,"", IF(COUNTIF(AN234:AN240,MAX(AN234:AN240))&lt;=2,"",IF(COUNTIF(AN234:AN240,MAX(AN234:AN240))&gt;COUNTIF(AM234:AM240,"&lt;&gt;""")/2,"", INDEX(OFFSET(AM234,MATCH(AI221,AM234:AM240,0),0):AM240,         MATCH(MAX(AN234:AN240),        OFFSET(AN234,MATCH(AI221,AM234:AM240,0),0):AN240,0),1)))))</f>
        <v/>
      </c>
      <c r="AJ222" s="58"/>
      <c r="AK222" s="121"/>
      <c r="AL222" s="14"/>
      <c r="AM222" s="14"/>
      <c r="AN222" s="14"/>
      <c r="AO222" s="14"/>
      <c r="AP222" s="19"/>
      <c r="AQ222" s="19"/>
      <c r="AR222" s="19"/>
      <c r="AS222" s="65"/>
      <c r="AT222" s="63"/>
      <c r="AU222" s="47"/>
      <c r="AV222" s="14"/>
      <c r="AW222" s="57"/>
      <c r="AX222" s="121" t="str">
        <f ca="1" xml:space="preserve"> IF(BC241=0,"",IF(BC241=0,"", IF(COUNTIF(BC234:BC240,MAX(BC234:BC240))&lt;=2,"",IF(COUNTIF(BC234:BC240,MAX(BC234:BC240))&gt;COUNTIF(BB234:BB240,"&lt;&gt;""")/2,"", INDEX(OFFSET(BB234,MATCH(AX221,BB234:BB240,0),0):BB240,         MATCH(MAX(BC234:BC240),        OFFSET(BC234,MATCH(AX221,BB234:BB240,0),0):BC240,0),1)))))</f>
        <v/>
      </c>
      <c r="AY222" s="58"/>
      <c r="AZ222" s="121"/>
      <c r="BA222" s="14"/>
      <c r="BB222" s="14"/>
      <c r="BC222" s="14"/>
      <c r="BD222" s="14"/>
      <c r="BE222" s="19"/>
      <c r="BF222" s="19"/>
      <c r="BG222" s="19"/>
      <c r="BH222" s="65"/>
      <c r="BI222" s="63"/>
      <c r="BJ222" s="352"/>
      <c r="BK222" s="19"/>
      <c r="BL222" s="57"/>
      <c r="BM222" s="121" t="str">
        <f ca="1" xml:space="preserve"> IF(BR241=0,"",IF(BR241=0,"", IF(COUNTIF(BR234:BR240,MAX(BR234:BR240))&lt;=2,"",IF(COUNTIF(BR234:BR240,MAX(BR234:BR240))&gt;COUNTIF(BQ234:BQ240,"&lt;&gt;""")/2,"", INDEX(OFFSET(BQ234,MATCH(BM221,BQ234:BQ240,0),0):BQ240,         MATCH(MAX(BR234:BR240),        OFFSET(BR234,MATCH(BM221,BQ234:BQ240,0),0):BR240,0),1)))))</f>
        <v/>
      </c>
      <c r="BN222" s="58"/>
      <c r="BO222" s="121"/>
      <c r="BP222" s="14"/>
      <c r="BQ222" s="14"/>
      <c r="BR222" s="14"/>
      <c r="BS222" s="14"/>
      <c r="BT222" s="19"/>
      <c r="BU222" s="19"/>
      <c r="BV222" s="19"/>
      <c r="BW222" s="65"/>
      <c r="BX222" s="63"/>
      <c r="BY222" s="352"/>
      <c r="BZ222" s="14"/>
      <c r="CA222" s="14"/>
      <c r="CB222" s="21"/>
      <c r="CC222" s="21"/>
      <c r="CD222" s="180"/>
      <c r="CE222" s="180"/>
      <c r="CF222" s="21"/>
      <c r="CG222" s="29"/>
      <c r="CH222" s="29"/>
      <c r="CI222" s="29"/>
      <c r="CJ222" s="29"/>
      <c r="CK222" s="29"/>
      <c r="CL222" s="29"/>
      <c r="CM222" s="29"/>
      <c r="CN222" s="29"/>
      <c r="CO222" s="38"/>
      <c r="CP222" s="29"/>
      <c r="CQ222" s="47"/>
      <c r="CR222" s="14"/>
      <c r="CS222" s="14"/>
      <c r="CT222" s="14"/>
      <c r="CU222" s="14"/>
      <c r="CV222" s="180"/>
      <c r="CW222" s="189"/>
      <c r="CX222" s="189"/>
      <c r="CY222" s="29"/>
      <c r="CZ222" s="29"/>
      <c r="DA222" s="29"/>
      <c r="DB222" s="29"/>
      <c r="DC222" s="29"/>
      <c r="DD222" s="29"/>
      <c r="DE222" s="29"/>
      <c r="DF222" s="29"/>
      <c r="DG222" s="38"/>
      <c r="DH222" s="29"/>
      <c r="DI222" s="47"/>
      <c r="DJ222" s="29"/>
      <c r="DK222" s="34"/>
      <c r="DL222" s="37" t="str">
        <f ca="1">IF(DQ239=0,"",IF(COUNTIF(DQ234:DQ238,MAX(DQ234:DQ238))&lt;=2,"",IF(COUNTIF(DQ234:DQ238,MAX(DQ234:DQ238))&gt;COUNTIF(DP234:DP238,"&lt;&gt;""")/2,"",INDEX(OFFSET(DP234,MATCH(DL221,DP234:DP239,0),0):DP238,MATCH(MAX(DQ234:DQ238),OFFSET(DQ234,MATCH(DL221,DP234:DP239,0),0):DQ238,0),1))))</f>
        <v/>
      </c>
      <c r="DM222" s="33"/>
      <c r="DN222" s="37"/>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row>
    <row r="223" spans="1:142" x14ac:dyDescent="0.25">
      <c r="A223" s="14"/>
      <c r="B223" s="14"/>
      <c r="C223" s="14"/>
      <c r="D223" s="27"/>
      <c r="E223" s="19"/>
      <c r="F223" s="19"/>
      <c r="G223" s="14"/>
      <c r="H223" s="21"/>
      <c r="I223" s="21"/>
      <c r="J223" s="14"/>
      <c r="K223" s="19"/>
      <c r="L223" s="40"/>
      <c r="M223" s="40"/>
      <c r="N223" s="40"/>
      <c r="O223" s="40"/>
      <c r="P223" s="40"/>
      <c r="Q223" s="47"/>
      <c r="R223" s="19"/>
      <c r="S223" s="14"/>
      <c r="T223" s="14"/>
      <c r="U223" s="14"/>
      <c r="V223" s="14"/>
      <c r="W223" s="14"/>
      <c r="X223" s="14"/>
      <c r="Y223" s="14"/>
      <c r="Z223" s="14"/>
      <c r="AA223" s="19"/>
      <c r="AB223" s="19"/>
      <c r="AC223" s="19"/>
      <c r="AD223" s="65"/>
      <c r="AE223" s="63"/>
      <c r="AF223" s="47"/>
      <c r="AG223" s="19"/>
      <c r="AH223" s="14"/>
      <c r="AI223" s="14"/>
      <c r="AJ223" s="14"/>
      <c r="AK223" s="14"/>
      <c r="AL223" s="14"/>
      <c r="AM223" s="14"/>
      <c r="AN223" s="14"/>
      <c r="AO223" s="14"/>
      <c r="AP223" s="19"/>
      <c r="AQ223" s="19"/>
      <c r="AR223" s="19"/>
      <c r="AS223" s="65"/>
      <c r="AT223" s="63"/>
      <c r="AU223" s="47"/>
      <c r="AV223" s="14"/>
      <c r="AW223" s="14"/>
      <c r="AX223" s="14"/>
      <c r="AY223" s="14"/>
      <c r="AZ223" s="14"/>
      <c r="BA223" s="14"/>
      <c r="BB223" s="14"/>
      <c r="BC223" s="14"/>
      <c r="BD223" s="14"/>
      <c r="BE223" s="19"/>
      <c r="BF223" s="19"/>
      <c r="BG223" s="19"/>
      <c r="BH223" s="65"/>
      <c r="BI223" s="63"/>
      <c r="BJ223" s="352"/>
      <c r="BK223" s="19"/>
      <c r="BL223" s="14"/>
      <c r="BM223" s="14"/>
      <c r="BN223" s="14"/>
      <c r="BO223" s="14"/>
      <c r="BP223" s="14"/>
      <c r="BQ223" s="14"/>
      <c r="BR223" s="14"/>
      <c r="BS223" s="14"/>
      <c r="BT223" s="19"/>
      <c r="BU223" s="19"/>
      <c r="BV223" s="19"/>
      <c r="BW223" s="65"/>
      <c r="BX223" s="63"/>
      <c r="BY223" s="352"/>
      <c r="BZ223" s="14"/>
      <c r="CA223" s="14"/>
      <c r="CB223" s="21"/>
      <c r="CC223" s="21"/>
      <c r="CD223" s="180"/>
      <c r="CE223" s="180"/>
      <c r="CF223" s="21"/>
      <c r="CG223" s="29"/>
      <c r="CH223" s="29"/>
      <c r="CI223" s="29"/>
      <c r="CJ223" s="29"/>
      <c r="CK223" s="29"/>
      <c r="CL223" s="29"/>
      <c r="CM223" s="29"/>
      <c r="CN223" s="29"/>
      <c r="CO223" s="38"/>
      <c r="CP223" s="29"/>
      <c r="CQ223" s="47"/>
      <c r="CR223" s="14"/>
      <c r="CS223" s="14"/>
      <c r="CT223" s="14"/>
      <c r="CU223" s="14"/>
      <c r="CV223" s="180"/>
      <c r="CW223" s="189"/>
      <c r="CX223" s="189"/>
      <c r="CY223" s="29"/>
      <c r="CZ223" s="29"/>
      <c r="DA223" s="29"/>
      <c r="DB223" s="29"/>
      <c r="DC223" s="29"/>
      <c r="DD223" s="29"/>
      <c r="DE223" s="29"/>
      <c r="DF223" s="29"/>
      <c r="DG223" s="38"/>
      <c r="DH223" s="29"/>
      <c r="DI223" s="47"/>
      <c r="DJ223" s="29"/>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row>
    <row r="224" spans="1:142" x14ac:dyDescent="0.25">
      <c r="A224" s="14"/>
      <c r="B224" s="14"/>
      <c r="C224" s="14"/>
      <c r="D224" s="27"/>
      <c r="E224" s="19"/>
      <c r="F224" s="19"/>
      <c r="G224" s="14"/>
      <c r="H224" s="21"/>
      <c r="I224" s="21"/>
      <c r="J224" s="14"/>
      <c r="K224" s="19"/>
      <c r="L224" s="40"/>
      <c r="M224" s="40"/>
      <c r="N224" s="40"/>
      <c r="O224" s="40"/>
      <c r="P224" s="40"/>
      <c r="Q224" s="47"/>
      <c r="R224" s="19"/>
      <c r="S224" s="14"/>
      <c r="T224" s="14"/>
      <c r="U224" s="14"/>
      <c r="V224" s="14"/>
      <c r="W224" s="14"/>
      <c r="X224" s="14"/>
      <c r="Y224" s="14"/>
      <c r="Z224" s="14"/>
      <c r="AA224" s="19"/>
      <c r="AB224" s="19"/>
      <c r="AC224" s="19"/>
      <c r="AD224" s="65"/>
      <c r="AE224" s="63"/>
      <c r="AF224" s="47"/>
      <c r="AG224" s="19"/>
      <c r="AH224" s="14"/>
      <c r="AI224" s="14"/>
      <c r="AJ224" s="14"/>
      <c r="AK224" s="14"/>
      <c r="AL224" s="14"/>
      <c r="AM224" s="14"/>
      <c r="AN224" s="14"/>
      <c r="AO224" s="14"/>
      <c r="AP224" s="19"/>
      <c r="AQ224" s="19"/>
      <c r="AR224" s="19"/>
      <c r="AS224" s="65"/>
      <c r="AT224" s="63"/>
      <c r="AU224" s="47"/>
      <c r="AV224" s="14"/>
      <c r="AW224" s="14"/>
      <c r="AX224" s="14"/>
      <c r="AY224" s="14"/>
      <c r="AZ224" s="14"/>
      <c r="BA224" s="14"/>
      <c r="BB224" s="14"/>
      <c r="BC224" s="14"/>
      <c r="BD224" s="14"/>
      <c r="BE224" s="19"/>
      <c r="BF224" s="19"/>
      <c r="BG224" s="19"/>
      <c r="BH224" s="65"/>
      <c r="BI224" s="63"/>
      <c r="BJ224" s="352"/>
      <c r="BK224" s="19"/>
      <c r="BL224" s="14"/>
      <c r="BM224" s="14"/>
      <c r="BN224" s="14"/>
      <c r="BO224" s="14"/>
      <c r="BP224" s="14"/>
      <c r="BQ224" s="14"/>
      <c r="BR224" s="14"/>
      <c r="BS224" s="14"/>
      <c r="BT224" s="19"/>
      <c r="BU224" s="19"/>
      <c r="BV224" s="19"/>
      <c r="BW224" s="65"/>
      <c r="BX224" s="63"/>
      <c r="BY224" s="352"/>
      <c r="BZ224" s="14"/>
      <c r="CA224" s="14"/>
      <c r="CB224" s="21"/>
      <c r="CC224" s="21"/>
      <c r="CD224" s="180"/>
      <c r="CE224" s="180"/>
      <c r="CF224" s="21"/>
      <c r="CG224" s="29"/>
      <c r="CH224" s="29"/>
      <c r="CI224" s="29"/>
      <c r="CJ224" s="29"/>
      <c r="CK224" s="29"/>
      <c r="CL224" s="29"/>
      <c r="CM224" s="29"/>
      <c r="CN224" s="29"/>
      <c r="CO224" s="38"/>
      <c r="CP224" s="29"/>
      <c r="CQ224" s="47"/>
      <c r="CR224" s="14"/>
      <c r="CS224" s="14"/>
      <c r="CT224" s="14"/>
      <c r="CU224" s="14"/>
      <c r="CV224" s="180"/>
      <c r="CW224" s="189"/>
      <c r="CX224" s="189"/>
      <c r="CY224" s="29"/>
      <c r="CZ224" s="29"/>
      <c r="DA224" s="29"/>
      <c r="DB224" s="29"/>
      <c r="DC224" s="29"/>
      <c r="DD224" s="29"/>
      <c r="DE224" s="29"/>
      <c r="DF224" s="29"/>
      <c r="DG224" s="38"/>
      <c r="DH224" s="29"/>
      <c r="DI224" s="47"/>
      <c r="DJ224" s="29"/>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row>
    <row r="225" spans="1:142" ht="27.6" x14ac:dyDescent="0.25">
      <c r="A225" s="14"/>
      <c r="B225" s="19"/>
      <c r="C225" s="19"/>
      <c r="D225" s="27"/>
      <c r="E225" s="19"/>
      <c r="F225" s="19"/>
      <c r="G225" s="14"/>
      <c r="H225" s="21"/>
      <c r="I225" s="21"/>
      <c r="J225" s="14"/>
      <c r="K225" s="19"/>
      <c r="L225" s="40"/>
      <c r="M225" s="40"/>
      <c r="N225" s="40"/>
      <c r="O225" s="40"/>
      <c r="P225" s="40"/>
      <c r="Q225" s="47"/>
      <c r="R225" s="19"/>
      <c r="S225" s="14"/>
      <c r="T225" s="14"/>
      <c r="U225" s="14"/>
      <c r="V225" s="14"/>
      <c r="W225" s="14"/>
      <c r="X225" s="14"/>
      <c r="Y225" s="14"/>
      <c r="Z225" s="14"/>
      <c r="AA225" s="19"/>
      <c r="AB225" s="19"/>
      <c r="AC225" s="19"/>
      <c r="AD225" s="65"/>
      <c r="AE225" s="63"/>
      <c r="AF225" s="47"/>
      <c r="AG225" s="19"/>
      <c r="AH225" s="14"/>
      <c r="AI225" s="14"/>
      <c r="AJ225" s="14"/>
      <c r="AK225" s="14"/>
      <c r="AL225" s="14"/>
      <c r="AM225" s="14"/>
      <c r="AN225" s="14"/>
      <c r="AO225" s="14"/>
      <c r="AP225" s="19"/>
      <c r="AQ225" s="19"/>
      <c r="AR225" s="19"/>
      <c r="AS225" s="65"/>
      <c r="AT225" s="63"/>
      <c r="AU225" s="47"/>
      <c r="AV225" s="14"/>
      <c r="AW225" s="14"/>
      <c r="AX225" s="14"/>
      <c r="AY225" s="14"/>
      <c r="AZ225" s="14"/>
      <c r="BA225" s="14"/>
      <c r="BB225" s="14"/>
      <c r="BC225" s="14"/>
      <c r="BD225" s="14"/>
      <c r="BE225" s="19"/>
      <c r="BF225" s="19"/>
      <c r="BG225" s="19"/>
      <c r="BH225" s="65"/>
      <c r="BI225" s="63"/>
      <c r="BJ225" s="352"/>
      <c r="BK225" s="19"/>
      <c r="BL225" s="14"/>
      <c r="BM225" s="14"/>
      <c r="BN225" s="14"/>
      <c r="BO225" s="14"/>
      <c r="BP225" s="14"/>
      <c r="BQ225" s="14"/>
      <c r="BR225" s="14"/>
      <c r="BS225" s="14"/>
      <c r="BT225" s="19"/>
      <c r="BU225" s="19"/>
      <c r="BV225" s="19"/>
      <c r="BW225" s="65"/>
      <c r="BX225" s="63"/>
      <c r="BY225" s="352"/>
      <c r="BZ225" s="14"/>
      <c r="CA225" s="109" t="s">
        <v>14</v>
      </c>
      <c r="CB225" s="110" t="s">
        <v>164</v>
      </c>
      <c r="CC225" s="110" t="s">
        <v>149</v>
      </c>
      <c r="CD225" s="184" t="s">
        <v>150</v>
      </c>
      <c r="CE225" s="184" t="s">
        <v>151</v>
      </c>
      <c r="CF225" s="110" t="s">
        <v>152</v>
      </c>
      <c r="CG225" s="29"/>
      <c r="CH225" s="29"/>
      <c r="CI225" s="29"/>
      <c r="CJ225" s="29"/>
      <c r="CK225" s="29"/>
      <c r="CL225" s="29"/>
      <c r="CM225" s="29"/>
      <c r="CN225" s="29"/>
      <c r="CO225" s="38"/>
      <c r="CP225" s="29"/>
      <c r="CQ225" s="47"/>
      <c r="CR225" s="14"/>
      <c r="CS225" s="109" t="s">
        <v>14</v>
      </c>
      <c r="CT225" s="110" t="s">
        <v>164</v>
      </c>
      <c r="CU225" s="110" t="s">
        <v>149</v>
      </c>
      <c r="CV225" s="184" t="s">
        <v>150</v>
      </c>
      <c r="CW225" s="184" t="s">
        <v>151</v>
      </c>
      <c r="CX225" s="194" t="s">
        <v>152</v>
      </c>
      <c r="CY225" s="17"/>
      <c r="CZ225" s="29"/>
      <c r="DA225" s="29"/>
      <c r="DB225" s="29"/>
      <c r="DC225" s="29"/>
      <c r="DD225" s="29"/>
      <c r="DE225" s="29"/>
      <c r="DF225" s="29"/>
      <c r="DG225" s="38"/>
      <c r="DH225" s="29"/>
      <c r="DI225" s="47"/>
      <c r="DJ225" s="29"/>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row>
    <row r="226" spans="1:142" x14ac:dyDescent="0.25">
      <c r="A226" s="14"/>
      <c r="B226" s="56"/>
      <c r="C226" s="19"/>
      <c r="D226" s="21"/>
      <c r="E226" s="14"/>
      <c r="F226" s="14"/>
      <c r="G226" s="14"/>
      <c r="H226" s="21"/>
      <c r="I226" s="21"/>
      <c r="J226" s="14"/>
      <c r="K226" s="19"/>
      <c r="L226" s="14"/>
      <c r="M226" s="14"/>
      <c r="N226" s="14"/>
      <c r="O226" s="14"/>
      <c r="P226" s="14"/>
      <c r="Q226" s="47"/>
      <c r="R226" s="19"/>
      <c r="S226" s="14"/>
      <c r="T226" s="14"/>
      <c r="U226" s="14"/>
      <c r="V226" s="14"/>
      <c r="W226" s="14"/>
      <c r="X226" s="14"/>
      <c r="Y226" s="14"/>
      <c r="Z226" s="14"/>
      <c r="AA226" s="19"/>
      <c r="AB226" s="19"/>
      <c r="AC226" s="19"/>
      <c r="AD226" s="65"/>
      <c r="AE226" s="63"/>
      <c r="AF226" s="47"/>
      <c r="AG226" s="19"/>
      <c r="AH226" s="14"/>
      <c r="AI226" s="14"/>
      <c r="AJ226" s="14"/>
      <c r="AK226" s="14"/>
      <c r="AL226" s="14"/>
      <c r="AM226" s="14"/>
      <c r="AN226" s="14"/>
      <c r="AO226" s="14"/>
      <c r="AP226" s="19"/>
      <c r="AQ226" s="19"/>
      <c r="AR226" s="19"/>
      <c r="AS226" s="65"/>
      <c r="AT226" s="63"/>
      <c r="AU226" s="47"/>
      <c r="AV226" s="14"/>
      <c r="AW226" s="14"/>
      <c r="AX226" s="14"/>
      <c r="AY226" s="14"/>
      <c r="AZ226" s="14"/>
      <c r="BA226" s="14"/>
      <c r="BB226" s="14"/>
      <c r="BC226" s="14"/>
      <c r="BD226" s="14"/>
      <c r="BE226" s="19"/>
      <c r="BF226" s="19"/>
      <c r="BG226" s="19"/>
      <c r="BH226" s="65"/>
      <c r="BI226" s="63"/>
      <c r="BJ226" s="352"/>
      <c r="BK226" s="19"/>
      <c r="BL226" s="14"/>
      <c r="BM226" s="14"/>
      <c r="BN226" s="14"/>
      <c r="BO226" s="14"/>
      <c r="BP226" s="14"/>
      <c r="BQ226" s="14"/>
      <c r="BR226" s="14"/>
      <c r="BS226" s="14"/>
      <c r="BT226" s="19"/>
      <c r="BU226" s="19"/>
      <c r="BV226" s="19"/>
      <c r="BW226" s="65"/>
      <c r="BX226" s="63"/>
      <c r="BY226" s="352"/>
      <c r="BZ226" s="14"/>
      <c r="CA226" s="140" t="s">
        <v>701</v>
      </c>
      <c r="CB226" s="27">
        <f>CB64+CB91+CB118+CB145+CB172+CB199</f>
        <v>7</v>
      </c>
      <c r="CC226" s="37">
        <f t="shared" ref="CC226:CE232" si="163">SUM(CC199,CC172,CC145,CC118,CC91,CC64)</f>
        <v>12</v>
      </c>
      <c r="CD226" s="37">
        <f t="shared" si="163"/>
        <v>2</v>
      </c>
      <c r="CE226" s="37">
        <f t="shared" si="163"/>
        <v>1</v>
      </c>
      <c r="CF226" s="97">
        <f>IF(CB220=0,0,SUMPRODUCT(CC226:CE226,Rank_score)/$CB220)</f>
        <v>2.9285714285714284</v>
      </c>
      <c r="CG226" s="29"/>
      <c r="CH226" s="29"/>
      <c r="CI226" s="29"/>
      <c r="CJ226" s="29"/>
      <c r="CK226" s="29"/>
      <c r="CL226" s="29"/>
      <c r="CM226" s="29"/>
      <c r="CN226" s="29"/>
      <c r="CO226" s="38"/>
      <c r="CP226" s="29"/>
      <c r="CQ226" s="47"/>
      <c r="CR226" s="14"/>
      <c r="CS226" s="140" t="s">
        <v>373</v>
      </c>
      <c r="CT226" s="27">
        <f t="shared" ref="CT226:CT231" si="164">CT199+CT172+CT145+CT118+CT91+CT64</f>
        <v>6</v>
      </c>
      <c r="CU226" s="37">
        <f t="shared" ref="CU226:CW231" si="165">SUM(CU199,CU172,CU145,CU118,CU91,CU64)</f>
        <v>5</v>
      </c>
      <c r="CV226" s="37">
        <f t="shared" si="165"/>
        <v>0</v>
      </c>
      <c r="CW226" s="37">
        <f t="shared" si="165"/>
        <v>1</v>
      </c>
      <c r="CX226" s="37">
        <f>(CU226*3+CV226*2+CW226*1)/(SUM(CU226:CW232)/3)</f>
        <v>3.2</v>
      </c>
      <c r="CY226" s="14"/>
      <c r="CZ226" s="29"/>
      <c r="DA226" s="29"/>
      <c r="DB226" s="29"/>
      <c r="DC226" s="29"/>
      <c r="DD226" s="29"/>
      <c r="DE226" s="29"/>
      <c r="DF226" s="29"/>
      <c r="DG226" s="38"/>
      <c r="DH226" s="29"/>
      <c r="DI226" s="47"/>
      <c r="DJ226" s="29"/>
      <c r="DK226" s="19"/>
      <c r="DL226" s="19"/>
      <c r="DM226" s="14"/>
      <c r="DN226" s="14"/>
      <c r="DO226" s="14"/>
      <c r="DP226" s="14"/>
      <c r="DQ226" s="14"/>
      <c r="DR226" s="19"/>
      <c r="DS226" s="19"/>
      <c r="DT226" s="14"/>
      <c r="DU226" s="14"/>
      <c r="DV226" s="14"/>
      <c r="DW226" s="14"/>
      <c r="DX226" s="14"/>
      <c r="DY226" s="14"/>
      <c r="DZ226" s="14"/>
      <c r="EA226" s="14"/>
      <c r="EB226" s="14"/>
      <c r="EC226" s="14"/>
      <c r="ED226" s="14"/>
      <c r="EE226" s="14"/>
      <c r="EF226" s="14"/>
      <c r="EG226" s="14"/>
      <c r="EH226" s="14"/>
      <c r="EI226" s="14"/>
      <c r="EJ226" s="14"/>
      <c r="EK226" s="14"/>
      <c r="EL226" s="14"/>
    </row>
    <row r="227" spans="1:142" x14ac:dyDescent="0.25">
      <c r="A227" s="14"/>
      <c r="B227" s="56"/>
      <c r="C227" s="19"/>
      <c r="D227" s="21"/>
      <c r="E227" s="14"/>
      <c r="F227" s="14"/>
      <c r="G227" s="14"/>
      <c r="H227" s="21"/>
      <c r="I227" s="21"/>
      <c r="J227" s="14"/>
      <c r="K227" s="14"/>
      <c r="L227" s="14"/>
      <c r="M227" s="14"/>
      <c r="N227" s="14"/>
      <c r="O227" s="14"/>
      <c r="P227" s="14"/>
      <c r="Q227" s="47"/>
      <c r="R227" s="19"/>
      <c r="S227" s="14"/>
      <c r="T227" s="14"/>
      <c r="U227" s="14"/>
      <c r="V227" s="14"/>
      <c r="W227" s="14"/>
      <c r="X227" s="14"/>
      <c r="Y227" s="14"/>
      <c r="Z227" s="14"/>
      <c r="AA227" s="19"/>
      <c r="AB227" s="19"/>
      <c r="AC227" s="19"/>
      <c r="AD227" s="65"/>
      <c r="AE227" s="63"/>
      <c r="AF227" s="47"/>
      <c r="AG227" s="19"/>
      <c r="AH227" s="14"/>
      <c r="AI227" s="14"/>
      <c r="AJ227" s="14"/>
      <c r="AK227" s="14"/>
      <c r="AL227" s="14"/>
      <c r="AM227" s="14"/>
      <c r="AN227" s="14"/>
      <c r="AO227" s="14"/>
      <c r="AP227" s="19"/>
      <c r="AQ227" s="19"/>
      <c r="AR227" s="19"/>
      <c r="AS227" s="65"/>
      <c r="AT227" s="63"/>
      <c r="AU227" s="47"/>
      <c r="AV227" s="14"/>
      <c r="AW227" s="14"/>
      <c r="AX227" s="14"/>
      <c r="AY227" s="14"/>
      <c r="AZ227" s="14"/>
      <c r="BA227" s="14"/>
      <c r="BB227" s="14"/>
      <c r="BC227" s="14"/>
      <c r="BD227" s="14"/>
      <c r="BE227" s="19"/>
      <c r="BF227" s="19"/>
      <c r="BG227" s="19"/>
      <c r="BH227" s="65"/>
      <c r="BI227" s="63"/>
      <c r="BJ227" s="352"/>
      <c r="BK227" s="19"/>
      <c r="BL227" s="14"/>
      <c r="BM227" s="14"/>
      <c r="BN227" s="14"/>
      <c r="BO227" s="14"/>
      <c r="BP227" s="14"/>
      <c r="BQ227" s="14"/>
      <c r="BR227" s="14"/>
      <c r="BS227" s="14"/>
      <c r="BT227" s="19"/>
      <c r="BU227" s="19"/>
      <c r="BV227" s="19"/>
      <c r="BW227" s="65"/>
      <c r="BX227" s="63"/>
      <c r="BY227" s="352"/>
      <c r="BZ227" s="14"/>
      <c r="CA227" s="140" t="s">
        <v>344</v>
      </c>
      <c r="CB227" s="27">
        <f t="shared" ref="CB227:CB232" si="166">CB65+CB92+CB119+CB146+CB173+CB200</f>
        <v>5</v>
      </c>
      <c r="CC227" s="37">
        <f t="shared" si="163"/>
        <v>1</v>
      </c>
      <c r="CD227" s="37">
        <f t="shared" si="163"/>
        <v>3</v>
      </c>
      <c r="CE227" s="37">
        <f t="shared" si="163"/>
        <v>1</v>
      </c>
      <c r="CF227" s="97">
        <f>IF(CB220=0,0,SUMPRODUCT(CC227:CE227,Rank_score)/$CB220)</f>
        <v>0.7142857142857143</v>
      </c>
      <c r="CG227" s="14"/>
      <c r="CH227" s="14"/>
      <c r="CI227" s="14"/>
      <c r="CJ227" s="14"/>
      <c r="CK227" s="14"/>
      <c r="CL227" s="14"/>
      <c r="CM227" s="14"/>
      <c r="CN227" s="14"/>
      <c r="CO227" s="129"/>
      <c r="CP227" s="14"/>
      <c r="CQ227" s="47"/>
      <c r="CR227" s="14"/>
      <c r="CS227" s="140" t="s">
        <v>338</v>
      </c>
      <c r="CT227" s="27">
        <f t="shared" si="164"/>
        <v>4</v>
      </c>
      <c r="CU227" s="37">
        <f t="shared" si="165"/>
        <v>1</v>
      </c>
      <c r="CV227" s="37">
        <f t="shared" si="165"/>
        <v>2</v>
      </c>
      <c r="CW227" s="37">
        <f t="shared" si="165"/>
        <v>1</v>
      </c>
      <c r="CX227" s="37">
        <f>(CU227*3+CV227*2+CW227*1)/(SUM(CU227:CW233)/3)</f>
        <v>2.6666666666666665</v>
      </c>
      <c r="CY227" s="14"/>
      <c r="CZ227" s="29"/>
      <c r="DA227" s="14"/>
      <c r="DB227" s="14"/>
      <c r="DC227" s="14"/>
      <c r="DD227" s="14"/>
      <c r="DE227" s="14"/>
      <c r="DF227" s="14"/>
      <c r="DG227" s="129"/>
      <c r="DH227" s="14"/>
      <c r="DI227" s="47"/>
      <c r="DJ227" s="14"/>
      <c r="DK227" s="19"/>
      <c r="DL227" s="19"/>
      <c r="DM227" s="14"/>
      <c r="DN227" s="14"/>
      <c r="DO227" s="14"/>
      <c r="DP227" s="14"/>
      <c r="DQ227" s="14"/>
      <c r="DR227" s="19"/>
      <c r="DS227" s="19"/>
      <c r="DT227" s="14"/>
      <c r="DU227" s="14"/>
      <c r="DV227" s="14"/>
      <c r="DW227" s="14"/>
      <c r="DX227" s="14"/>
      <c r="DY227" s="14"/>
      <c r="DZ227" s="14"/>
      <c r="EA227" s="14"/>
      <c r="EB227" s="14"/>
      <c r="EC227" s="14"/>
      <c r="ED227" s="14"/>
      <c r="EE227" s="14"/>
      <c r="EF227" s="14"/>
      <c r="EG227" s="14"/>
      <c r="EH227" s="14"/>
      <c r="EI227" s="14"/>
      <c r="EJ227" s="14"/>
      <c r="EK227" s="14"/>
      <c r="EL227" s="14"/>
    </row>
    <row r="228" spans="1:142" x14ac:dyDescent="0.25">
      <c r="A228" s="14"/>
      <c r="B228" s="19"/>
      <c r="C228" s="19"/>
      <c r="D228" s="21"/>
      <c r="E228" s="14"/>
      <c r="F228" s="14"/>
      <c r="G228" s="14"/>
      <c r="H228" s="21"/>
      <c r="I228" s="21"/>
      <c r="J228" s="14"/>
      <c r="K228" s="14"/>
      <c r="L228" s="14"/>
      <c r="M228" s="14"/>
      <c r="N228" s="14"/>
      <c r="O228" s="14"/>
      <c r="P228" s="14"/>
      <c r="Q228" s="47"/>
      <c r="R228" s="19"/>
      <c r="S228" s="14"/>
      <c r="T228" s="14"/>
      <c r="U228" s="14"/>
      <c r="V228" s="14"/>
      <c r="W228" s="14"/>
      <c r="X228" s="14"/>
      <c r="Y228" s="14"/>
      <c r="Z228" s="14"/>
      <c r="AA228" s="19"/>
      <c r="AB228" s="19"/>
      <c r="AC228" s="19"/>
      <c r="AD228" s="65"/>
      <c r="AE228" s="63"/>
      <c r="AF228" s="47"/>
      <c r="AG228" s="19"/>
      <c r="AH228" s="14"/>
      <c r="AI228" s="14"/>
      <c r="AJ228" s="14"/>
      <c r="AK228" s="14"/>
      <c r="AL228" s="14"/>
      <c r="AM228" s="14"/>
      <c r="AN228" s="14"/>
      <c r="AO228" s="14"/>
      <c r="AP228" s="19"/>
      <c r="AQ228" s="19"/>
      <c r="AR228" s="19"/>
      <c r="AS228" s="65"/>
      <c r="AT228" s="63"/>
      <c r="AU228" s="47"/>
      <c r="AV228" s="14"/>
      <c r="AW228" s="14"/>
      <c r="AX228" s="14"/>
      <c r="AY228" s="14"/>
      <c r="AZ228" s="14"/>
      <c r="BA228" s="14"/>
      <c r="BB228" s="14"/>
      <c r="BC228" s="14"/>
      <c r="BD228" s="14"/>
      <c r="BE228" s="19"/>
      <c r="BF228" s="19"/>
      <c r="BG228" s="19"/>
      <c r="BH228" s="65"/>
      <c r="BI228" s="63"/>
      <c r="BJ228" s="352"/>
      <c r="BK228" s="19"/>
      <c r="BL228" s="14"/>
      <c r="BM228" s="14"/>
      <c r="BN228" s="14"/>
      <c r="BO228" s="14"/>
      <c r="BP228" s="14"/>
      <c r="BQ228" s="14"/>
      <c r="BR228" s="14"/>
      <c r="BS228" s="14"/>
      <c r="BT228" s="19"/>
      <c r="BU228" s="19"/>
      <c r="BV228" s="19"/>
      <c r="BW228" s="65"/>
      <c r="BX228" s="63"/>
      <c r="BY228" s="352"/>
      <c r="BZ228" s="14"/>
      <c r="CA228" s="140" t="s">
        <v>146</v>
      </c>
      <c r="CB228" s="27">
        <f t="shared" si="166"/>
        <v>3</v>
      </c>
      <c r="CC228" s="37">
        <f t="shared" si="163"/>
        <v>0</v>
      </c>
      <c r="CD228" s="37">
        <f t="shared" si="163"/>
        <v>1</v>
      </c>
      <c r="CE228" s="37">
        <f t="shared" si="163"/>
        <v>2</v>
      </c>
      <c r="CF228" s="97">
        <f>IF(CB220=0,0,SUMPRODUCT(CC228:CE228,Rank_score)/$CB220)</f>
        <v>0.2857142857142857</v>
      </c>
      <c r="CG228" s="39"/>
      <c r="CH228" s="39"/>
      <c r="CI228" s="14"/>
      <c r="CJ228" s="14"/>
      <c r="CK228" s="14"/>
      <c r="CL228" s="14"/>
      <c r="CM228" s="14"/>
      <c r="CN228" s="14"/>
      <c r="CO228" s="129"/>
      <c r="CP228" s="14"/>
      <c r="CQ228" s="47"/>
      <c r="CR228" s="14"/>
      <c r="CS228" s="106" t="s">
        <v>339</v>
      </c>
      <c r="CT228" s="27">
        <f t="shared" si="164"/>
        <v>1</v>
      </c>
      <c r="CU228" s="37">
        <f t="shared" si="165"/>
        <v>0</v>
      </c>
      <c r="CV228" s="37">
        <f t="shared" si="165"/>
        <v>0</v>
      </c>
      <c r="CW228" s="37">
        <f t="shared" si="165"/>
        <v>1</v>
      </c>
      <c r="CX228" s="37">
        <f>(CU228*3+CV228*2+CW228*1)/(SUM(CU227:CW233)/3)</f>
        <v>0.33333333333333331</v>
      </c>
      <c r="CY228" s="14"/>
      <c r="CZ228" s="14"/>
      <c r="DA228" s="14"/>
      <c r="DB228" s="14"/>
      <c r="DC228" s="14"/>
      <c r="DD228" s="14"/>
      <c r="DE228" s="14"/>
      <c r="DF228" s="14"/>
      <c r="DG228" s="129"/>
      <c r="DH228" s="14"/>
      <c r="DI228" s="47"/>
      <c r="DJ228" s="14"/>
      <c r="DK228" s="56"/>
      <c r="DL228" s="29"/>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row>
    <row r="229" spans="1:142" x14ac:dyDescent="0.25">
      <c r="A229" s="14"/>
      <c r="B229" s="14"/>
      <c r="C229" s="19"/>
      <c r="D229" s="21"/>
      <c r="E229" s="14"/>
      <c r="F229" s="14"/>
      <c r="G229" s="14"/>
      <c r="H229" s="21"/>
      <c r="I229" s="21"/>
      <c r="J229" s="14"/>
      <c r="K229" s="14"/>
      <c r="L229" s="14"/>
      <c r="M229" s="14"/>
      <c r="N229" s="14"/>
      <c r="O229" s="14"/>
      <c r="P229" s="14"/>
      <c r="Q229" s="47"/>
      <c r="R229" s="19"/>
      <c r="S229" s="14"/>
      <c r="T229" s="14"/>
      <c r="U229" s="14"/>
      <c r="V229" s="14"/>
      <c r="W229" s="14"/>
      <c r="X229" s="14"/>
      <c r="Y229" s="14"/>
      <c r="Z229" s="14"/>
      <c r="AA229" s="14"/>
      <c r="AB229" s="14"/>
      <c r="AC229" s="14"/>
      <c r="AD229" s="65"/>
      <c r="AE229" s="63"/>
      <c r="AF229" s="47"/>
      <c r="AG229" s="19"/>
      <c r="AH229" s="14"/>
      <c r="AI229" s="14"/>
      <c r="AJ229" s="14"/>
      <c r="AK229" s="14"/>
      <c r="AL229" s="14"/>
      <c r="AM229" s="14"/>
      <c r="AN229" s="14"/>
      <c r="AO229" s="14"/>
      <c r="AP229" s="14"/>
      <c r="AQ229" s="14"/>
      <c r="AR229" s="14"/>
      <c r="AS229" s="65"/>
      <c r="AT229" s="63"/>
      <c r="AU229" s="47"/>
      <c r="AV229" s="14"/>
      <c r="AW229" s="14"/>
      <c r="AX229" s="14"/>
      <c r="AY229" s="14"/>
      <c r="AZ229" s="14"/>
      <c r="BA229" s="14"/>
      <c r="BB229" s="14"/>
      <c r="BC229" s="14"/>
      <c r="BD229" s="14"/>
      <c r="BE229" s="14"/>
      <c r="BF229" s="14"/>
      <c r="BG229" s="14"/>
      <c r="BH229" s="65"/>
      <c r="BI229" s="63"/>
      <c r="BJ229" s="352"/>
      <c r="BK229" s="19"/>
      <c r="BL229" s="14"/>
      <c r="BM229" s="14"/>
      <c r="BN229" s="14"/>
      <c r="BO229" s="14"/>
      <c r="BP229" s="14"/>
      <c r="BQ229" s="14"/>
      <c r="BR229" s="14"/>
      <c r="BS229" s="14"/>
      <c r="BT229" s="14"/>
      <c r="BU229" s="14"/>
      <c r="BV229" s="14"/>
      <c r="BW229" s="65"/>
      <c r="BX229" s="63"/>
      <c r="BY229" s="352"/>
      <c r="BZ229" s="14"/>
      <c r="CA229" s="140" t="s">
        <v>147</v>
      </c>
      <c r="CB229" s="27">
        <f t="shared" si="166"/>
        <v>3</v>
      </c>
      <c r="CC229" s="37">
        <f t="shared" si="163"/>
        <v>0</v>
      </c>
      <c r="CD229" s="37">
        <f t="shared" si="163"/>
        <v>2</v>
      </c>
      <c r="CE229" s="37">
        <f t="shared" si="163"/>
        <v>1</v>
      </c>
      <c r="CF229" s="97">
        <f>IF(CB220=0,0,SUMPRODUCT(CC229:CE229,Rank_score)/$CB220)</f>
        <v>0.35714285714285715</v>
      </c>
      <c r="CG229" s="29"/>
      <c r="CH229" s="29"/>
      <c r="CI229" s="14"/>
      <c r="CJ229" s="14"/>
      <c r="CK229" s="14"/>
      <c r="CL229" s="14"/>
      <c r="CM229" s="14"/>
      <c r="CN229" s="14"/>
      <c r="CO229" s="129"/>
      <c r="CP229" s="14"/>
      <c r="CQ229" s="47"/>
      <c r="CR229" s="14"/>
      <c r="CS229" s="106" t="s">
        <v>345</v>
      </c>
      <c r="CT229" s="27">
        <f t="shared" si="164"/>
        <v>3</v>
      </c>
      <c r="CU229" s="37">
        <f t="shared" si="165"/>
        <v>0</v>
      </c>
      <c r="CV229" s="37">
        <f t="shared" si="165"/>
        <v>3</v>
      </c>
      <c r="CW229" s="37">
        <f t="shared" si="165"/>
        <v>0</v>
      </c>
      <c r="CX229" s="37">
        <f>(CU229*3+CV229*2+CW229*1)/(SUM(CU227:CW233)/3)</f>
        <v>2</v>
      </c>
      <c r="CY229" s="14"/>
      <c r="CZ229" s="14"/>
      <c r="DA229" s="14"/>
      <c r="DB229" s="14"/>
      <c r="DC229" s="14"/>
      <c r="DD229" s="14"/>
      <c r="DE229" s="14"/>
      <c r="DF229" s="14"/>
      <c r="DG229" s="129"/>
      <c r="DH229" s="14"/>
      <c r="DI229" s="47"/>
      <c r="DJ229" s="14"/>
      <c r="DK229" s="56"/>
      <c r="DL229" s="19"/>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row>
    <row r="230" spans="1:142" x14ac:dyDescent="0.25">
      <c r="A230" s="14"/>
      <c r="B230" s="14"/>
      <c r="C230" s="19"/>
      <c r="D230" s="21"/>
      <c r="E230" s="14"/>
      <c r="F230" s="14"/>
      <c r="G230" s="14"/>
      <c r="H230" s="21"/>
      <c r="I230" s="21"/>
      <c r="J230" s="19"/>
      <c r="K230" s="19"/>
      <c r="L230" s="19"/>
      <c r="M230" s="19"/>
      <c r="N230" s="19"/>
      <c r="O230" s="19"/>
      <c r="P230" s="19"/>
      <c r="Q230" s="47"/>
      <c r="R230" s="19"/>
      <c r="S230" s="14"/>
      <c r="T230" s="14"/>
      <c r="U230" s="14"/>
      <c r="V230" s="14"/>
      <c r="W230" s="14"/>
      <c r="X230" s="14"/>
      <c r="Y230" s="14"/>
      <c r="Z230" s="14"/>
      <c r="AA230" s="14"/>
      <c r="AB230" s="14"/>
      <c r="AC230" s="14"/>
      <c r="AD230" s="65"/>
      <c r="AE230" s="63"/>
      <c r="AF230" s="47"/>
      <c r="AG230" s="19"/>
      <c r="AH230" s="14"/>
      <c r="AI230" s="14"/>
      <c r="AJ230" s="14"/>
      <c r="AK230" s="14"/>
      <c r="AL230" s="14"/>
      <c r="AM230" s="14"/>
      <c r="AN230" s="14"/>
      <c r="AO230" s="14"/>
      <c r="AP230" s="14"/>
      <c r="AQ230" s="14"/>
      <c r="AR230" s="14"/>
      <c r="AS230" s="65"/>
      <c r="AT230" s="63"/>
      <c r="AU230" s="47"/>
      <c r="AV230" s="14"/>
      <c r="AW230" s="14"/>
      <c r="AX230" s="14"/>
      <c r="AY230" s="14"/>
      <c r="AZ230" s="14"/>
      <c r="BA230" s="14"/>
      <c r="BB230" s="14"/>
      <c r="BC230" s="14"/>
      <c r="BD230" s="14"/>
      <c r="BE230" s="14"/>
      <c r="BF230" s="14"/>
      <c r="BG230" s="14"/>
      <c r="BH230" s="65"/>
      <c r="BI230" s="63"/>
      <c r="BJ230" s="352"/>
      <c r="BK230" s="19"/>
      <c r="BL230" s="14"/>
      <c r="BM230" s="14"/>
      <c r="BN230" s="14"/>
      <c r="BO230" s="14"/>
      <c r="BP230" s="14"/>
      <c r="BQ230" s="14"/>
      <c r="BR230" s="14"/>
      <c r="BS230" s="14"/>
      <c r="BT230" s="14"/>
      <c r="BU230" s="14"/>
      <c r="BV230" s="14"/>
      <c r="BW230" s="65"/>
      <c r="BX230" s="63"/>
      <c r="BY230" s="352"/>
      <c r="BZ230" s="14"/>
      <c r="CA230" s="140" t="s">
        <v>341</v>
      </c>
      <c r="CB230" s="27">
        <f t="shared" si="166"/>
        <v>1</v>
      </c>
      <c r="CC230" s="37">
        <f t="shared" si="163"/>
        <v>0</v>
      </c>
      <c r="CD230" s="37">
        <f t="shared" si="163"/>
        <v>0</v>
      </c>
      <c r="CE230" s="37">
        <f t="shared" si="163"/>
        <v>1</v>
      </c>
      <c r="CF230" s="97">
        <f>IF(CB220=0,0,SUMPRODUCT(CC230:CE230,Rank_score)/$CB220)</f>
        <v>7.1428571428571425E-2</v>
      </c>
      <c r="CG230" s="29"/>
      <c r="CH230" s="29"/>
      <c r="CI230" s="14"/>
      <c r="CJ230" s="14"/>
      <c r="CK230" s="14"/>
      <c r="CL230" s="14"/>
      <c r="CM230" s="14"/>
      <c r="CN230" s="14"/>
      <c r="CO230" s="129"/>
      <c r="CP230" s="14"/>
      <c r="CQ230" s="47"/>
      <c r="CR230" s="14"/>
      <c r="CS230" s="106" t="s">
        <v>561</v>
      </c>
      <c r="CT230" s="27">
        <f t="shared" si="164"/>
        <v>1</v>
      </c>
      <c r="CU230" s="37">
        <f t="shared" si="165"/>
        <v>0</v>
      </c>
      <c r="CV230" s="37">
        <f t="shared" si="165"/>
        <v>1</v>
      </c>
      <c r="CW230" s="37">
        <f t="shared" si="165"/>
        <v>0</v>
      </c>
      <c r="CX230" s="37">
        <f>(CU230*3+CV230*2+CW230*1)/(SUM(CU227:CW233)/3)</f>
        <v>0.66666666666666663</v>
      </c>
      <c r="CY230" s="14"/>
      <c r="CZ230" s="52"/>
      <c r="DA230" s="14"/>
      <c r="DB230" s="14"/>
      <c r="DC230" s="14"/>
      <c r="DD230" s="14"/>
      <c r="DE230" s="14"/>
      <c r="DF230" s="14"/>
      <c r="DG230" s="129"/>
      <c r="DH230" s="14"/>
      <c r="DI230" s="47"/>
      <c r="DJ230" s="14"/>
      <c r="DK230" s="14"/>
      <c r="DL230" s="19"/>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row>
    <row r="231" spans="1:142" x14ac:dyDescent="0.25">
      <c r="A231" s="14"/>
      <c r="B231" s="14"/>
      <c r="C231" s="19"/>
      <c r="D231" s="21"/>
      <c r="E231" s="14"/>
      <c r="F231" s="14"/>
      <c r="G231" s="19"/>
      <c r="H231" s="27"/>
      <c r="I231" s="41"/>
      <c r="J231" s="19"/>
      <c r="K231" s="19"/>
      <c r="L231" s="19"/>
      <c r="M231" s="19"/>
      <c r="N231" s="19"/>
      <c r="O231" s="19"/>
      <c r="P231" s="19"/>
      <c r="Q231" s="47"/>
      <c r="R231" s="19"/>
      <c r="S231" s="14"/>
      <c r="T231" s="14"/>
      <c r="U231" s="14"/>
      <c r="V231" s="14"/>
      <c r="W231" s="14"/>
      <c r="X231" s="14"/>
      <c r="Y231" s="14"/>
      <c r="Z231" s="14"/>
      <c r="AA231" s="14"/>
      <c r="AB231" s="14"/>
      <c r="AC231" s="14"/>
      <c r="AD231" s="65"/>
      <c r="AE231" s="63"/>
      <c r="AF231" s="47"/>
      <c r="AG231" s="19"/>
      <c r="AH231" s="14"/>
      <c r="AI231" s="14"/>
      <c r="AJ231" s="14"/>
      <c r="AK231" s="14"/>
      <c r="AL231" s="14"/>
      <c r="AM231" s="14"/>
      <c r="AN231" s="14"/>
      <c r="AO231" s="14"/>
      <c r="AP231" s="14"/>
      <c r="AQ231" s="14"/>
      <c r="AR231" s="14"/>
      <c r="AS231" s="65"/>
      <c r="AT231" s="63"/>
      <c r="AU231" s="47"/>
      <c r="AV231" s="14"/>
      <c r="AW231" s="14"/>
      <c r="AX231" s="14"/>
      <c r="AY231" s="14"/>
      <c r="AZ231" s="14"/>
      <c r="BA231" s="14"/>
      <c r="BB231" s="14"/>
      <c r="BC231" s="14"/>
      <c r="BD231" s="14"/>
      <c r="BE231" s="14"/>
      <c r="BF231" s="14"/>
      <c r="BG231" s="14"/>
      <c r="BH231" s="65"/>
      <c r="BI231" s="63"/>
      <c r="BJ231" s="352"/>
      <c r="BK231" s="19"/>
      <c r="BL231" s="14"/>
      <c r="BM231" s="14"/>
      <c r="BN231" s="14"/>
      <c r="BO231" s="14"/>
      <c r="BP231" s="14"/>
      <c r="BQ231" s="14"/>
      <c r="BR231" s="14"/>
      <c r="BS231" s="14"/>
      <c r="BT231" s="14"/>
      <c r="BU231" s="14"/>
      <c r="BV231" s="14"/>
      <c r="BW231" s="65"/>
      <c r="BX231" s="63"/>
      <c r="BY231" s="352"/>
      <c r="BZ231" s="14"/>
      <c r="CA231" s="106" t="s">
        <v>148</v>
      </c>
      <c r="CB231" s="27">
        <f t="shared" si="166"/>
        <v>1</v>
      </c>
      <c r="CC231" s="37">
        <f t="shared" si="163"/>
        <v>0</v>
      </c>
      <c r="CD231" s="37">
        <f t="shared" si="163"/>
        <v>0</v>
      </c>
      <c r="CE231" s="37">
        <f t="shared" si="163"/>
        <v>1</v>
      </c>
      <c r="CF231" s="97">
        <f>IF(CB220=0,0,SUMPRODUCT(CC231:CE231,Rank_score)/$CB220)</f>
        <v>7.1428571428571425E-2</v>
      </c>
      <c r="CG231" s="29"/>
      <c r="CH231" s="29"/>
      <c r="CI231" s="14"/>
      <c r="CJ231" s="14"/>
      <c r="CK231" s="14"/>
      <c r="CL231" s="14"/>
      <c r="CM231" s="14"/>
      <c r="CN231" s="14"/>
      <c r="CO231" s="129"/>
      <c r="CP231" s="14"/>
      <c r="CQ231" s="47"/>
      <c r="CR231" s="14"/>
      <c r="CS231" s="106" t="s">
        <v>49</v>
      </c>
      <c r="CT231" s="27">
        <f t="shared" si="164"/>
        <v>0</v>
      </c>
      <c r="CU231" s="37">
        <f t="shared" si="165"/>
        <v>0</v>
      </c>
      <c r="CV231" s="37">
        <f t="shared" si="165"/>
        <v>0</v>
      </c>
      <c r="CW231" s="37">
        <f t="shared" si="165"/>
        <v>0</v>
      </c>
      <c r="CX231" s="37">
        <f>(CU231*3+CV231*2+CW231*1)/(SUM(CU227:CW233)/3)</f>
        <v>0</v>
      </c>
      <c r="CY231" s="14"/>
      <c r="CZ231" s="52"/>
      <c r="DA231" s="14"/>
      <c r="DB231" s="14"/>
      <c r="DC231" s="14"/>
      <c r="DD231" s="14"/>
      <c r="DE231" s="14"/>
      <c r="DF231" s="14"/>
      <c r="DG231" s="129"/>
      <c r="DH231" s="14"/>
      <c r="DI231" s="47"/>
      <c r="DJ231" s="14"/>
      <c r="DK231" s="14"/>
      <c r="DL231" s="19"/>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row>
    <row r="232" spans="1:142" x14ac:dyDescent="0.25">
      <c r="A232" s="14"/>
      <c r="B232" s="14"/>
      <c r="C232" s="19"/>
      <c r="D232" s="21"/>
      <c r="E232" s="14"/>
      <c r="F232" s="14"/>
      <c r="G232" s="19"/>
      <c r="H232" s="27"/>
      <c r="I232" s="41"/>
      <c r="J232" s="19"/>
      <c r="K232" s="19"/>
      <c r="L232" s="19"/>
      <c r="M232" s="19"/>
      <c r="N232" s="19"/>
      <c r="O232" s="19"/>
      <c r="P232" s="19"/>
      <c r="Q232" s="47"/>
      <c r="R232" s="19"/>
      <c r="S232" s="14"/>
      <c r="T232" s="14"/>
      <c r="U232" s="14"/>
      <c r="V232" s="14"/>
      <c r="W232" s="14"/>
      <c r="X232" s="14"/>
      <c r="Y232" s="14"/>
      <c r="Z232" s="14"/>
      <c r="AA232" s="14"/>
      <c r="AB232" s="14"/>
      <c r="AC232" s="14"/>
      <c r="AD232" s="65"/>
      <c r="AE232" s="63"/>
      <c r="AF232" s="47"/>
      <c r="AG232" s="19"/>
      <c r="AH232" s="14"/>
      <c r="AI232" s="14"/>
      <c r="AJ232" s="14"/>
      <c r="AK232" s="14"/>
      <c r="AL232" s="14"/>
      <c r="AM232" s="14"/>
      <c r="AN232" s="14"/>
      <c r="AO232" s="14"/>
      <c r="AP232" s="14"/>
      <c r="AQ232" s="14"/>
      <c r="AR232" s="14"/>
      <c r="AS232" s="65"/>
      <c r="AT232" s="63"/>
      <c r="AU232" s="47"/>
      <c r="AV232" s="14"/>
      <c r="AW232" s="14"/>
      <c r="AX232" s="14"/>
      <c r="AY232" s="14"/>
      <c r="AZ232" s="14"/>
      <c r="BA232" s="14"/>
      <c r="BB232" s="14"/>
      <c r="BC232" s="14"/>
      <c r="BD232" s="14"/>
      <c r="BE232" s="14"/>
      <c r="BF232" s="14"/>
      <c r="BG232" s="14"/>
      <c r="BH232" s="65"/>
      <c r="BI232" s="63"/>
      <c r="BJ232" s="352"/>
      <c r="BK232" s="19"/>
      <c r="BL232" s="14"/>
      <c r="BM232" s="14"/>
      <c r="BN232" s="14"/>
      <c r="BO232" s="14"/>
      <c r="BP232" s="14"/>
      <c r="BQ232" s="14"/>
      <c r="BR232" s="14"/>
      <c r="BS232" s="14"/>
      <c r="BT232" s="14"/>
      <c r="BU232" s="14"/>
      <c r="BV232" s="14"/>
      <c r="BW232" s="65"/>
      <c r="BX232" s="63"/>
      <c r="BY232" s="352"/>
      <c r="BZ232" s="14"/>
      <c r="CA232" s="107" t="s">
        <v>49</v>
      </c>
      <c r="CB232" s="27">
        <f t="shared" si="166"/>
        <v>0</v>
      </c>
      <c r="CC232" s="37">
        <f t="shared" si="163"/>
        <v>0</v>
      </c>
      <c r="CD232" s="37">
        <f t="shared" si="163"/>
        <v>0</v>
      </c>
      <c r="CE232" s="37">
        <f t="shared" si="163"/>
        <v>0</v>
      </c>
      <c r="CF232" s="97">
        <f>IF(CB220=0,0,SUMPRODUCT(CC232:CE232,Rank_score)/$CB220)</f>
        <v>0</v>
      </c>
      <c r="CG232" s="29"/>
      <c r="CH232" s="29"/>
      <c r="CI232" s="14"/>
      <c r="CJ232" s="14"/>
      <c r="CK232" s="14"/>
      <c r="CL232" s="14"/>
      <c r="CM232" s="14"/>
      <c r="CN232" s="14"/>
      <c r="CO232" s="129"/>
      <c r="CP232" s="14"/>
      <c r="CQ232" s="47"/>
      <c r="CR232" s="14"/>
      <c r="CS232" s="107"/>
      <c r="CT232" s="27"/>
      <c r="CU232" s="37"/>
      <c r="CV232" s="37"/>
      <c r="CW232" s="37"/>
      <c r="CX232" s="37"/>
      <c r="CY232" s="14"/>
      <c r="CZ232" s="52"/>
      <c r="DA232" s="14"/>
      <c r="DB232" s="14"/>
      <c r="DC232" s="14"/>
      <c r="DD232" s="14"/>
      <c r="DE232" s="14"/>
      <c r="DF232" s="14"/>
      <c r="DG232" s="129"/>
      <c r="DH232" s="14"/>
      <c r="DI232" s="47"/>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row>
    <row r="233" spans="1:142" x14ac:dyDescent="0.25">
      <c r="A233" s="14"/>
      <c r="B233" s="14"/>
      <c r="C233" s="19"/>
      <c r="D233" s="21"/>
      <c r="E233" s="14"/>
      <c r="F233" s="14"/>
      <c r="G233" s="109" t="s">
        <v>14</v>
      </c>
      <c r="H233" s="110" t="s">
        <v>6</v>
      </c>
      <c r="I233" s="110" t="s">
        <v>7</v>
      </c>
      <c r="J233" s="19"/>
      <c r="K233" s="19"/>
      <c r="L233" s="19"/>
      <c r="M233" s="19"/>
      <c r="N233" s="19"/>
      <c r="O233" s="19"/>
      <c r="P233" s="19"/>
      <c r="Q233" s="47"/>
      <c r="R233" s="19"/>
      <c r="S233" s="14"/>
      <c r="T233" s="14"/>
      <c r="U233" s="14"/>
      <c r="V233" s="14"/>
      <c r="W233" s="14"/>
      <c r="X233" s="109" t="s">
        <v>14</v>
      </c>
      <c r="Y233" s="110" t="s">
        <v>6</v>
      </c>
      <c r="Z233" s="110" t="s">
        <v>7</v>
      </c>
      <c r="AA233" s="14"/>
      <c r="AB233" s="14"/>
      <c r="AC233" s="14"/>
      <c r="AD233" s="65"/>
      <c r="AE233" s="63"/>
      <c r="AF233" s="47"/>
      <c r="AG233" s="19"/>
      <c r="AH233" s="14"/>
      <c r="AI233" s="14"/>
      <c r="AJ233" s="14"/>
      <c r="AK233" s="14"/>
      <c r="AL233" s="14"/>
      <c r="AM233" s="109" t="s">
        <v>14</v>
      </c>
      <c r="AN233" s="110" t="s">
        <v>6</v>
      </c>
      <c r="AO233" s="110" t="s">
        <v>7</v>
      </c>
      <c r="AP233" s="14"/>
      <c r="AQ233" s="14"/>
      <c r="AR233" s="14"/>
      <c r="AS233" s="65"/>
      <c r="AT233" s="63"/>
      <c r="AU233" s="47"/>
      <c r="AV233" s="14"/>
      <c r="AW233" s="14"/>
      <c r="AX233" s="14"/>
      <c r="AY233" s="14"/>
      <c r="AZ233" s="14"/>
      <c r="BA233" s="14"/>
      <c r="BB233" s="109" t="s">
        <v>14</v>
      </c>
      <c r="BC233" s="110" t="s">
        <v>6</v>
      </c>
      <c r="BD233" s="110" t="s">
        <v>7</v>
      </c>
      <c r="BE233" s="14"/>
      <c r="BF233" s="14"/>
      <c r="BG233" s="14"/>
      <c r="BH233" s="65"/>
      <c r="BI233" s="63"/>
      <c r="BJ233" s="352"/>
      <c r="BK233" s="19"/>
      <c r="BL233" s="14"/>
      <c r="BM233" s="14"/>
      <c r="BN233" s="14"/>
      <c r="BO233" s="14"/>
      <c r="BP233" s="14"/>
      <c r="BQ233" s="109" t="s">
        <v>14</v>
      </c>
      <c r="BR233" s="110" t="s">
        <v>6</v>
      </c>
      <c r="BS233" s="110" t="s">
        <v>7</v>
      </c>
      <c r="BT233" s="14"/>
      <c r="BU233" s="14"/>
      <c r="BV233" s="14"/>
      <c r="BW233" s="65"/>
      <c r="BX233" s="63"/>
      <c r="BY233" s="352"/>
      <c r="BZ233" s="14"/>
      <c r="CA233" s="86"/>
      <c r="CB233" s="111"/>
      <c r="CC233" s="111"/>
      <c r="CD233" s="179"/>
      <c r="CE233" s="179"/>
      <c r="CF233" s="108"/>
      <c r="CG233" s="29"/>
      <c r="CH233" s="29"/>
      <c r="CI233" s="14"/>
      <c r="CJ233" s="14"/>
      <c r="CK233" s="14"/>
      <c r="CL233" s="14"/>
      <c r="CM233" s="14"/>
      <c r="CN233" s="14"/>
      <c r="CO233" s="129"/>
      <c r="CP233" s="14"/>
      <c r="CQ233" s="47"/>
      <c r="CR233" s="14"/>
      <c r="CS233" s="107"/>
      <c r="CT233" s="27"/>
      <c r="CU233" s="37"/>
      <c r="CV233" s="37"/>
      <c r="CW233" s="37"/>
      <c r="CX233" s="37"/>
      <c r="CY233" s="14"/>
      <c r="CZ233" s="52"/>
      <c r="DA233" s="14"/>
      <c r="DB233" s="14"/>
      <c r="DC233" s="14"/>
      <c r="DD233" s="14"/>
      <c r="DE233" s="14"/>
      <c r="DF233" s="14"/>
      <c r="DG233" s="129"/>
      <c r="DH233" s="14"/>
      <c r="DI233" s="47"/>
      <c r="DJ233" s="14"/>
      <c r="DK233" s="14"/>
      <c r="DL233" s="14"/>
      <c r="DM233" s="14"/>
      <c r="DN233" s="14"/>
      <c r="DO233" s="14"/>
      <c r="DP233" s="109" t="s">
        <v>14</v>
      </c>
      <c r="DQ233" s="110" t="s">
        <v>6</v>
      </c>
      <c r="DR233" s="110" t="s">
        <v>7</v>
      </c>
      <c r="DS233" s="14"/>
      <c r="DT233" s="14"/>
      <c r="DU233" s="14"/>
      <c r="DV233" s="14"/>
      <c r="DW233" s="14"/>
      <c r="DX233" s="14"/>
      <c r="DY233" s="14"/>
      <c r="DZ233" s="14"/>
      <c r="EA233" s="14"/>
      <c r="EB233" s="14"/>
      <c r="EC233" s="14"/>
      <c r="ED233" s="14"/>
      <c r="EE233" s="14"/>
      <c r="EF233" s="14"/>
      <c r="EG233" s="14"/>
      <c r="EH233" s="14"/>
      <c r="EI233" s="14"/>
      <c r="EJ233" s="14"/>
      <c r="EK233" s="14"/>
      <c r="EL233" s="14"/>
    </row>
    <row r="234" spans="1:142" x14ac:dyDescent="0.25">
      <c r="A234" s="14"/>
      <c r="B234" s="14"/>
      <c r="C234" s="19"/>
      <c r="D234" s="21"/>
      <c r="E234" s="14"/>
      <c r="F234" s="14"/>
      <c r="G234" s="107" t="s">
        <v>34</v>
      </c>
      <c r="H234" s="27">
        <f>SUM(H207,H180,H153,H126,H99,H72)</f>
        <v>5</v>
      </c>
      <c r="I234" s="41">
        <f>IFERROR(H234/H$239,"")</f>
        <v>0.55555555555555558</v>
      </c>
      <c r="J234" s="19"/>
      <c r="K234" s="19"/>
      <c r="L234" s="19"/>
      <c r="M234" s="19"/>
      <c r="N234" s="19"/>
      <c r="O234" s="19"/>
      <c r="P234" s="19"/>
      <c r="Q234" s="47"/>
      <c r="R234" s="19"/>
      <c r="S234" s="14"/>
      <c r="T234" s="14"/>
      <c r="U234" s="14"/>
      <c r="V234" s="14"/>
      <c r="W234" s="14"/>
      <c r="X234" s="107" t="s">
        <v>5</v>
      </c>
      <c r="Y234" s="27">
        <f t="shared" ref="Y234:Y241" si="167">SUM(Y207,Y180,Y153,Y126,Y99,Y72)</f>
        <v>3</v>
      </c>
      <c r="Z234" s="41">
        <f t="shared" ref="Z234:Z241" si="168">IFERROR(Y234/Y$241,0)</f>
        <v>0.3</v>
      </c>
      <c r="AA234" s="14"/>
      <c r="AB234" s="14"/>
      <c r="AC234" s="14"/>
      <c r="AD234" s="65"/>
      <c r="AE234" s="63"/>
      <c r="AF234" s="47"/>
      <c r="AG234" s="19"/>
      <c r="AH234" s="14"/>
      <c r="AI234" s="14"/>
      <c r="AJ234" s="14"/>
      <c r="AK234" s="14"/>
      <c r="AL234" s="14"/>
      <c r="AM234" s="107" t="s">
        <v>5</v>
      </c>
      <c r="AN234" s="27">
        <f t="shared" ref="AN234:AN241" si="169">SUM(AN207,AN180,AN153,AN126,AN99,AN72)</f>
        <v>5</v>
      </c>
      <c r="AO234" s="41">
        <f>IFERROR(AN234/AN$241,0)</f>
        <v>0.83333333333333337</v>
      </c>
      <c r="AP234" s="14"/>
      <c r="AQ234" s="14"/>
      <c r="AR234" s="14"/>
      <c r="AS234" s="65"/>
      <c r="AT234" s="63"/>
      <c r="AU234" s="47"/>
      <c r="AV234" s="14"/>
      <c r="AW234" s="14"/>
      <c r="AX234" s="14"/>
      <c r="AY234" s="14"/>
      <c r="AZ234" s="14"/>
      <c r="BA234" s="14"/>
      <c r="BB234" s="107" t="s">
        <v>5</v>
      </c>
      <c r="BC234" s="27">
        <f t="shared" ref="BC234:BC241" si="170">SUM(BC207,BC180,BC153,BC126,BC99,BC72)</f>
        <v>5</v>
      </c>
      <c r="BD234" s="41">
        <f>IFERROR(BC234/BC$241,0)</f>
        <v>0.83333333333333337</v>
      </c>
      <c r="BE234" s="14"/>
      <c r="BF234" s="14"/>
      <c r="BG234" s="14"/>
      <c r="BH234" s="65"/>
      <c r="BI234" s="63"/>
      <c r="BJ234" s="352"/>
      <c r="BK234" s="19"/>
      <c r="BL234" s="14"/>
      <c r="BM234" s="14"/>
      <c r="BN234" s="14"/>
      <c r="BO234" s="14"/>
      <c r="BP234" s="14"/>
      <c r="BQ234" s="107" t="s">
        <v>5</v>
      </c>
      <c r="BR234" s="27">
        <f t="shared" ref="BR234:BR241" si="171">SUM(BR207,BR180,BR153,BR126,BR99,BR72)</f>
        <v>3</v>
      </c>
      <c r="BS234" s="41">
        <f>IFERROR(BR234/BR$241,0)</f>
        <v>0.42857142857142855</v>
      </c>
      <c r="BT234" s="14"/>
      <c r="BU234" s="14"/>
      <c r="BV234" s="14"/>
      <c r="BW234" s="65"/>
      <c r="BX234" s="63"/>
      <c r="BY234" s="352"/>
      <c r="BZ234" s="14"/>
      <c r="CA234" s="14"/>
      <c r="CB234" s="21"/>
      <c r="CC234" s="21"/>
      <c r="CD234" s="180"/>
      <c r="CE234" s="181"/>
      <c r="CF234" s="97"/>
      <c r="CG234" s="29"/>
      <c r="CH234" s="29"/>
      <c r="CI234" s="14"/>
      <c r="CJ234" s="14"/>
      <c r="CK234" s="14"/>
      <c r="CL234" s="14"/>
      <c r="CM234" s="14"/>
      <c r="CN234" s="14"/>
      <c r="CO234" s="129"/>
      <c r="CP234" s="14"/>
      <c r="CQ234" s="47"/>
      <c r="CR234" s="14"/>
      <c r="CS234" s="86"/>
      <c r="CT234" s="111"/>
      <c r="CU234" s="86"/>
      <c r="CV234" s="179"/>
      <c r="CW234" s="188"/>
      <c r="CX234" s="179"/>
      <c r="CY234" s="52"/>
      <c r="CZ234" s="52"/>
      <c r="DA234" s="14"/>
      <c r="DB234" s="14"/>
      <c r="DC234" s="14"/>
      <c r="DD234" s="14"/>
      <c r="DE234" s="14"/>
      <c r="DF234" s="14"/>
      <c r="DG234" s="129"/>
      <c r="DH234" s="14"/>
      <c r="DI234" s="47"/>
      <c r="DJ234" s="14"/>
      <c r="DK234" s="14"/>
      <c r="DL234" s="14"/>
      <c r="DM234" s="14"/>
      <c r="DN234" s="14"/>
      <c r="DO234" s="14"/>
      <c r="DP234" s="107" t="s">
        <v>34</v>
      </c>
      <c r="DQ234" s="27">
        <f t="shared" ref="DQ234:DQ239" si="172">SUM(DQ207,DQ180,DQ153,DQ126,DQ99,DQ72)</f>
        <v>1</v>
      </c>
      <c r="DR234" s="41">
        <f t="shared" ref="DR234:DR239" si="173">IF($DQ$239=0,"",DQ234/$DQ$239)</f>
        <v>0.1111111111111111</v>
      </c>
      <c r="DS234" s="14"/>
      <c r="DT234" s="14"/>
      <c r="DU234" s="14"/>
      <c r="DV234" s="14"/>
      <c r="DW234" s="14"/>
      <c r="DX234" s="14"/>
      <c r="DY234" s="14"/>
      <c r="DZ234" s="14"/>
      <c r="EA234" s="14"/>
      <c r="EB234" s="14"/>
      <c r="EC234" s="14"/>
      <c r="ED234" s="14"/>
      <c r="EE234" s="14"/>
      <c r="EF234" s="14"/>
      <c r="EG234" s="14"/>
      <c r="EH234" s="14"/>
      <c r="EI234" s="14"/>
      <c r="EJ234" s="14"/>
      <c r="EK234" s="14"/>
      <c r="EL234" s="14"/>
    </row>
    <row r="235" spans="1:142" x14ac:dyDescent="0.25">
      <c r="A235" s="14"/>
      <c r="B235" s="14"/>
      <c r="C235" s="19"/>
      <c r="D235" s="21"/>
      <c r="E235" s="14"/>
      <c r="F235" s="14"/>
      <c r="G235" s="107" t="s">
        <v>35</v>
      </c>
      <c r="H235" s="27">
        <f>SUM(H208,H181,H154,H127,H100,H73)</f>
        <v>1</v>
      </c>
      <c r="I235" s="41">
        <f t="shared" ref="I235:I239" si="174">IFERROR(H235/H$239,"")</f>
        <v>0.1111111111111111</v>
      </c>
      <c r="J235" s="19"/>
      <c r="K235" s="19"/>
      <c r="L235" s="19"/>
      <c r="M235" s="19"/>
      <c r="N235" s="19"/>
      <c r="O235" s="19"/>
      <c r="P235" s="19"/>
      <c r="Q235" s="47"/>
      <c r="R235" s="19"/>
      <c r="S235" s="14"/>
      <c r="T235" s="14"/>
      <c r="U235" s="14"/>
      <c r="V235" s="14"/>
      <c r="W235" s="14"/>
      <c r="X235" s="107" t="s">
        <v>4</v>
      </c>
      <c r="Y235" s="27">
        <f t="shared" si="167"/>
        <v>2</v>
      </c>
      <c r="Z235" s="41">
        <f t="shared" si="168"/>
        <v>0.2</v>
      </c>
      <c r="AA235" s="14"/>
      <c r="AB235" s="14"/>
      <c r="AC235" s="14"/>
      <c r="AD235" s="65"/>
      <c r="AE235" s="63"/>
      <c r="AF235" s="47"/>
      <c r="AG235" s="19"/>
      <c r="AH235" s="14"/>
      <c r="AI235" s="14"/>
      <c r="AJ235" s="14"/>
      <c r="AK235" s="14"/>
      <c r="AL235" s="14"/>
      <c r="AM235" s="107" t="s">
        <v>4</v>
      </c>
      <c r="AN235" s="27">
        <f t="shared" si="169"/>
        <v>1</v>
      </c>
      <c r="AO235" s="41">
        <f t="shared" ref="AO235:AO241" si="175">IFERROR(AN235/AN$241,0)</f>
        <v>0.16666666666666666</v>
      </c>
      <c r="AP235" s="14"/>
      <c r="AQ235" s="14"/>
      <c r="AR235" s="14"/>
      <c r="AS235" s="65"/>
      <c r="AT235" s="63"/>
      <c r="AU235" s="47"/>
      <c r="AV235" s="14"/>
      <c r="AW235" s="14"/>
      <c r="AX235" s="14"/>
      <c r="AY235" s="14"/>
      <c r="AZ235" s="14"/>
      <c r="BA235" s="14"/>
      <c r="BB235" s="107" t="s">
        <v>4</v>
      </c>
      <c r="BC235" s="27">
        <f t="shared" si="170"/>
        <v>1</v>
      </c>
      <c r="BD235" s="41">
        <f t="shared" ref="BD235:BD241" si="176">IFERROR(BC235/BC$241,0)</f>
        <v>0.16666666666666666</v>
      </c>
      <c r="BE235" s="14"/>
      <c r="BF235" s="14"/>
      <c r="BG235" s="14"/>
      <c r="BH235" s="65"/>
      <c r="BI235" s="63"/>
      <c r="BJ235" s="352"/>
      <c r="BK235" s="19"/>
      <c r="BL235" s="14"/>
      <c r="BM235" s="14"/>
      <c r="BN235" s="14"/>
      <c r="BO235" s="14"/>
      <c r="BP235" s="14"/>
      <c r="BQ235" s="107" t="s">
        <v>4</v>
      </c>
      <c r="BR235" s="27">
        <f t="shared" si="171"/>
        <v>2</v>
      </c>
      <c r="BS235" s="41">
        <f t="shared" ref="BS235:BS241" si="177">IFERROR(BR235/BR$241,0)</f>
        <v>0.2857142857142857</v>
      </c>
      <c r="BT235" s="14"/>
      <c r="BU235" s="14"/>
      <c r="BV235" s="14"/>
      <c r="BW235" s="65"/>
      <c r="BX235" s="63"/>
      <c r="BY235" s="352"/>
      <c r="BZ235" s="14"/>
      <c r="CA235" s="14"/>
      <c r="CB235" s="21"/>
      <c r="CC235" s="21"/>
      <c r="CD235" s="180"/>
      <c r="CE235" s="181"/>
      <c r="CF235" s="97"/>
      <c r="CG235" s="29"/>
      <c r="CH235" s="29"/>
      <c r="CI235" s="14"/>
      <c r="CJ235" s="14"/>
      <c r="CK235" s="14"/>
      <c r="CL235" s="14"/>
      <c r="CM235" s="14"/>
      <c r="CN235" s="14"/>
      <c r="CO235" s="129"/>
      <c r="CP235" s="14"/>
      <c r="CQ235" s="47"/>
      <c r="CR235" s="14"/>
      <c r="CS235" s="14"/>
      <c r="CT235" s="14"/>
      <c r="CU235" s="14"/>
      <c r="CV235" s="180"/>
      <c r="CW235" s="190"/>
      <c r="CX235" s="191"/>
      <c r="CY235" s="52"/>
      <c r="CZ235" s="52"/>
      <c r="DA235" s="14"/>
      <c r="DB235" s="14"/>
      <c r="DC235" s="14"/>
      <c r="DD235" s="14"/>
      <c r="DE235" s="14"/>
      <c r="DF235" s="14"/>
      <c r="DG235" s="129"/>
      <c r="DH235" s="14"/>
      <c r="DI235" s="47"/>
      <c r="DJ235" s="14"/>
      <c r="DK235" s="14"/>
      <c r="DL235" s="14"/>
      <c r="DM235" s="14"/>
      <c r="DN235" s="14"/>
      <c r="DO235" s="14"/>
      <c r="DP235" s="107" t="s">
        <v>35</v>
      </c>
      <c r="DQ235" s="27">
        <f t="shared" si="172"/>
        <v>2</v>
      </c>
      <c r="DR235" s="41">
        <f t="shared" si="173"/>
        <v>0.22222222222222221</v>
      </c>
      <c r="DS235" s="14"/>
      <c r="DT235" s="14"/>
      <c r="DU235" s="14"/>
      <c r="DV235" s="14"/>
      <c r="DW235" s="14"/>
      <c r="DX235" s="14"/>
      <c r="DY235" s="14"/>
      <c r="DZ235" s="14"/>
      <c r="EA235" s="14"/>
      <c r="EB235" s="14"/>
      <c r="EC235" s="14"/>
      <c r="ED235" s="14"/>
      <c r="EE235" s="14"/>
      <c r="EF235" s="14"/>
      <c r="EG235" s="14"/>
      <c r="EH235" s="14"/>
      <c r="EI235" s="14"/>
      <c r="EJ235" s="14"/>
      <c r="EK235" s="14"/>
      <c r="EL235" s="14"/>
    </row>
    <row r="236" spans="1:142" x14ac:dyDescent="0.25">
      <c r="A236" s="14"/>
      <c r="B236" s="14"/>
      <c r="C236" s="19"/>
      <c r="D236" s="21"/>
      <c r="E236" s="14"/>
      <c r="F236" s="14"/>
      <c r="G236" s="107" t="s">
        <v>36</v>
      </c>
      <c r="H236" s="27">
        <f>SUM(H209,H182,H155,H128,H101,H74)</f>
        <v>0</v>
      </c>
      <c r="I236" s="41">
        <f t="shared" si="174"/>
        <v>0</v>
      </c>
      <c r="J236" s="19"/>
      <c r="K236" s="19"/>
      <c r="L236" s="19"/>
      <c r="M236" s="19"/>
      <c r="N236" s="19"/>
      <c r="O236" s="19"/>
      <c r="P236" s="19"/>
      <c r="Q236" s="47"/>
      <c r="R236" s="19"/>
      <c r="S236" s="14"/>
      <c r="T236" s="14"/>
      <c r="U236" s="14"/>
      <c r="V236" s="14"/>
      <c r="W236" s="14"/>
      <c r="X236" s="107" t="s">
        <v>33</v>
      </c>
      <c r="Y236" s="27">
        <f t="shared" si="167"/>
        <v>0</v>
      </c>
      <c r="Z236" s="41">
        <f t="shared" si="168"/>
        <v>0</v>
      </c>
      <c r="AA236" s="14"/>
      <c r="AB236" s="14"/>
      <c r="AC236" s="14"/>
      <c r="AD236" s="65"/>
      <c r="AE236" s="63"/>
      <c r="AF236" s="47"/>
      <c r="AG236" s="19"/>
      <c r="AH236" s="14"/>
      <c r="AI236" s="14"/>
      <c r="AJ236" s="14"/>
      <c r="AK236" s="14"/>
      <c r="AL236" s="14"/>
      <c r="AM236" s="107" t="s">
        <v>33</v>
      </c>
      <c r="AN236" s="27">
        <f t="shared" si="169"/>
        <v>0</v>
      </c>
      <c r="AO236" s="41">
        <f t="shared" si="175"/>
        <v>0</v>
      </c>
      <c r="AP236" s="14"/>
      <c r="AQ236" s="14"/>
      <c r="AR236" s="14"/>
      <c r="AS236" s="65"/>
      <c r="AT236" s="63"/>
      <c r="AU236" s="47"/>
      <c r="AV236" s="14"/>
      <c r="AW236" s="14"/>
      <c r="AX236" s="14"/>
      <c r="AY236" s="14"/>
      <c r="AZ236" s="14"/>
      <c r="BA236" s="14"/>
      <c r="BB236" s="107" t="s">
        <v>33</v>
      </c>
      <c r="BC236" s="27">
        <f t="shared" si="170"/>
        <v>0</v>
      </c>
      <c r="BD236" s="41">
        <f t="shared" si="176"/>
        <v>0</v>
      </c>
      <c r="BE236" s="14"/>
      <c r="BF236" s="14"/>
      <c r="BG236" s="14"/>
      <c r="BH236" s="65"/>
      <c r="BI236" s="63"/>
      <c r="BJ236" s="352"/>
      <c r="BK236" s="19"/>
      <c r="BL236" s="14"/>
      <c r="BM236" s="14"/>
      <c r="BN236" s="14"/>
      <c r="BO236" s="14"/>
      <c r="BP236" s="14"/>
      <c r="BQ236" s="107" t="s">
        <v>33</v>
      </c>
      <c r="BR236" s="27">
        <f t="shared" si="171"/>
        <v>0</v>
      </c>
      <c r="BS236" s="41">
        <f t="shared" si="177"/>
        <v>0</v>
      </c>
      <c r="BT236" s="14"/>
      <c r="BU236" s="14"/>
      <c r="BV236" s="14"/>
      <c r="BW236" s="65"/>
      <c r="BX236" s="63"/>
      <c r="BY236" s="352"/>
      <c r="BZ236" s="14"/>
      <c r="CA236" s="14"/>
      <c r="CB236" s="21"/>
      <c r="CC236" s="21"/>
      <c r="CD236" s="180"/>
      <c r="CE236" s="181"/>
      <c r="CF236" s="97"/>
      <c r="CG236" s="29"/>
      <c r="CH236" s="29"/>
      <c r="CI236" s="14"/>
      <c r="CJ236" s="14"/>
      <c r="CK236" s="14"/>
      <c r="CL236" s="14"/>
      <c r="CM236" s="14"/>
      <c r="CN236" s="14"/>
      <c r="CO236" s="129"/>
      <c r="CP236" s="14"/>
      <c r="CQ236" s="47"/>
      <c r="CR236" s="14"/>
      <c r="CS236" s="14"/>
      <c r="CT236" s="14"/>
      <c r="CU236" s="14"/>
      <c r="CV236" s="180"/>
      <c r="CW236" s="190"/>
      <c r="CX236" s="191"/>
      <c r="CY236" s="52"/>
      <c r="CZ236" s="52"/>
      <c r="DA236" s="14"/>
      <c r="DB236" s="14"/>
      <c r="DC236" s="14"/>
      <c r="DD236" s="14"/>
      <c r="DE236" s="14"/>
      <c r="DF236" s="14"/>
      <c r="DG236" s="129"/>
      <c r="DH236" s="14"/>
      <c r="DI236" s="47"/>
      <c r="DJ236" s="14"/>
      <c r="DK236" s="14"/>
      <c r="DL236" s="14"/>
      <c r="DM236" s="14"/>
      <c r="DN236" s="14"/>
      <c r="DO236" s="14"/>
      <c r="DP236" s="107" t="s">
        <v>36</v>
      </c>
      <c r="DQ236" s="27">
        <f t="shared" si="172"/>
        <v>2</v>
      </c>
      <c r="DR236" s="41">
        <f t="shared" si="173"/>
        <v>0.22222222222222221</v>
      </c>
      <c r="DS236" s="14"/>
      <c r="DT236" s="14"/>
      <c r="DU236" s="14"/>
      <c r="DV236" s="14"/>
      <c r="DW236" s="14"/>
      <c r="DX236" s="14"/>
      <c r="DY236" s="14"/>
      <c r="DZ236" s="14"/>
      <c r="EA236" s="14"/>
      <c r="EB236" s="14"/>
      <c r="EC236" s="14"/>
      <c r="ED236" s="14"/>
      <c r="EE236" s="14"/>
      <c r="EF236" s="14"/>
      <c r="EG236" s="14"/>
      <c r="EH236" s="14"/>
      <c r="EI236" s="14"/>
      <c r="EJ236" s="14"/>
      <c r="EK236" s="14"/>
      <c r="EL236" s="14"/>
    </row>
    <row r="237" spans="1:142" x14ac:dyDescent="0.25">
      <c r="A237" s="14"/>
      <c r="B237" s="14"/>
      <c r="C237" s="19"/>
      <c r="D237" s="21"/>
      <c r="E237" s="14"/>
      <c r="F237" s="14"/>
      <c r="G237" s="107" t="s">
        <v>38</v>
      </c>
      <c r="H237" s="27">
        <f>SUM(H210,H183,H156,H129,H102,H75)</f>
        <v>0</v>
      </c>
      <c r="I237" s="41">
        <f t="shared" si="174"/>
        <v>0</v>
      </c>
      <c r="J237" s="19"/>
      <c r="K237" s="19"/>
      <c r="L237" s="19"/>
      <c r="M237" s="19"/>
      <c r="N237" s="19"/>
      <c r="O237" s="19"/>
      <c r="P237" s="19"/>
      <c r="Q237" s="47"/>
      <c r="R237" s="19"/>
      <c r="S237" s="14"/>
      <c r="T237" s="14"/>
      <c r="U237" s="14"/>
      <c r="V237" s="14"/>
      <c r="W237" s="14"/>
      <c r="X237" s="107" t="s">
        <v>29</v>
      </c>
      <c r="Y237" s="27">
        <f t="shared" si="167"/>
        <v>1</v>
      </c>
      <c r="Z237" s="41">
        <f t="shared" si="168"/>
        <v>0.1</v>
      </c>
      <c r="AA237" s="14"/>
      <c r="AB237" s="14"/>
      <c r="AC237" s="14"/>
      <c r="AD237" s="65"/>
      <c r="AE237" s="63"/>
      <c r="AF237" s="47"/>
      <c r="AG237" s="19"/>
      <c r="AH237" s="14"/>
      <c r="AI237" s="14"/>
      <c r="AJ237" s="14"/>
      <c r="AK237" s="14"/>
      <c r="AL237" s="14"/>
      <c r="AM237" s="107" t="s">
        <v>29</v>
      </c>
      <c r="AN237" s="27">
        <f t="shared" si="169"/>
        <v>0</v>
      </c>
      <c r="AO237" s="41">
        <f t="shared" si="175"/>
        <v>0</v>
      </c>
      <c r="AP237" s="14"/>
      <c r="AQ237" s="14"/>
      <c r="AR237" s="14"/>
      <c r="AS237" s="65"/>
      <c r="AT237" s="63"/>
      <c r="AU237" s="47"/>
      <c r="AV237" s="14"/>
      <c r="AW237" s="14"/>
      <c r="AX237" s="14"/>
      <c r="AY237" s="14"/>
      <c r="AZ237" s="14"/>
      <c r="BA237" s="14"/>
      <c r="BB237" s="107" t="s">
        <v>29</v>
      </c>
      <c r="BC237" s="27">
        <f t="shared" si="170"/>
        <v>0</v>
      </c>
      <c r="BD237" s="41">
        <f t="shared" si="176"/>
        <v>0</v>
      </c>
      <c r="BE237" s="14"/>
      <c r="BF237" s="14"/>
      <c r="BG237" s="14"/>
      <c r="BH237" s="65"/>
      <c r="BI237" s="63"/>
      <c r="BJ237" s="352"/>
      <c r="BK237" s="19"/>
      <c r="BL237" s="14"/>
      <c r="BM237" s="14"/>
      <c r="BN237" s="14"/>
      <c r="BO237" s="14"/>
      <c r="BP237" s="14"/>
      <c r="BQ237" s="107" t="s">
        <v>29</v>
      </c>
      <c r="BR237" s="27">
        <f t="shared" si="171"/>
        <v>1</v>
      </c>
      <c r="BS237" s="41">
        <f t="shared" si="177"/>
        <v>0.14285714285714285</v>
      </c>
      <c r="BT237" s="14"/>
      <c r="BU237" s="14"/>
      <c r="BV237" s="14"/>
      <c r="BW237" s="65"/>
      <c r="BX237" s="63"/>
      <c r="BY237" s="352"/>
      <c r="BZ237" s="14"/>
      <c r="CA237" s="14"/>
      <c r="CB237" s="21"/>
      <c r="CC237" s="21"/>
      <c r="CD237" s="180"/>
      <c r="CE237" s="181"/>
      <c r="CF237" s="97"/>
      <c r="CG237" s="29"/>
      <c r="CH237" s="29"/>
      <c r="CI237" s="14"/>
      <c r="CJ237" s="14"/>
      <c r="CK237" s="14"/>
      <c r="CL237" s="14"/>
      <c r="CM237" s="14"/>
      <c r="CN237" s="14"/>
      <c r="CO237" s="129"/>
      <c r="CP237" s="14"/>
      <c r="CQ237" s="47"/>
      <c r="CR237" s="14"/>
      <c r="CS237" s="14"/>
      <c r="CT237" s="14"/>
      <c r="CU237" s="14"/>
      <c r="CV237" s="180"/>
      <c r="CW237" s="190"/>
      <c r="CX237" s="191"/>
      <c r="CY237" s="52"/>
      <c r="CZ237" s="52"/>
      <c r="DA237" s="14"/>
      <c r="DB237" s="14"/>
      <c r="DC237" s="14"/>
      <c r="DD237" s="14"/>
      <c r="DE237" s="14"/>
      <c r="DF237" s="14"/>
      <c r="DG237" s="129"/>
      <c r="DH237" s="14"/>
      <c r="DI237" s="47"/>
      <c r="DJ237" s="14"/>
      <c r="DK237" s="14"/>
      <c r="DL237" s="14"/>
      <c r="DM237" s="14"/>
      <c r="DN237" s="14"/>
      <c r="DO237" s="14"/>
      <c r="DP237" s="107" t="s">
        <v>38</v>
      </c>
      <c r="DQ237" s="27">
        <f t="shared" si="172"/>
        <v>4</v>
      </c>
      <c r="DR237" s="41">
        <f t="shared" si="173"/>
        <v>0.44444444444444442</v>
      </c>
      <c r="DS237" s="14"/>
      <c r="DT237" s="14"/>
      <c r="DU237" s="14"/>
      <c r="DV237" s="14"/>
      <c r="DW237" s="14"/>
      <c r="DX237" s="14"/>
      <c r="DY237" s="14"/>
      <c r="DZ237" s="14"/>
      <c r="EA237" s="14"/>
      <c r="EB237" s="14"/>
      <c r="EC237" s="14"/>
      <c r="ED237" s="14"/>
      <c r="EE237" s="14"/>
      <c r="EF237" s="14"/>
      <c r="EG237" s="14"/>
      <c r="EH237" s="14"/>
      <c r="EI237" s="14"/>
      <c r="EJ237" s="14"/>
      <c r="EK237" s="14"/>
      <c r="EL237" s="14"/>
    </row>
    <row r="238" spans="1:142" x14ac:dyDescent="0.25">
      <c r="A238" s="14"/>
      <c r="B238" s="14"/>
      <c r="C238" s="19"/>
      <c r="D238" s="21"/>
      <c r="E238" s="14"/>
      <c r="F238" s="14"/>
      <c r="G238" s="107" t="s">
        <v>39</v>
      </c>
      <c r="H238" s="27">
        <f>SUM(H211,H184,H157,H130,H103,H76)</f>
        <v>3</v>
      </c>
      <c r="I238" s="41">
        <f t="shared" si="174"/>
        <v>0.33333333333333331</v>
      </c>
      <c r="J238" s="19"/>
      <c r="K238" s="19"/>
      <c r="L238" s="19"/>
      <c r="M238" s="19"/>
      <c r="N238" s="19"/>
      <c r="O238" s="19"/>
      <c r="P238" s="19"/>
      <c r="Q238" s="47"/>
      <c r="R238" s="19"/>
      <c r="S238" s="14"/>
      <c r="T238" s="14"/>
      <c r="U238" s="14"/>
      <c r="V238" s="14"/>
      <c r="W238" s="14"/>
      <c r="X238" s="107" t="s">
        <v>3</v>
      </c>
      <c r="Y238" s="27">
        <f t="shared" si="167"/>
        <v>1</v>
      </c>
      <c r="Z238" s="41">
        <f t="shared" si="168"/>
        <v>0.1</v>
      </c>
      <c r="AA238" s="14"/>
      <c r="AB238" s="14"/>
      <c r="AC238" s="14"/>
      <c r="AD238" s="65"/>
      <c r="AE238" s="63"/>
      <c r="AF238" s="47"/>
      <c r="AG238" s="19"/>
      <c r="AH238" s="14"/>
      <c r="AI238" s="14"/>
      <c r="AJ238" s="14"/>
      <c r="AK238" s="14"/>
      <c r="AL238" s="14"/>
      <c r="AM238" s="107" t="s">
        <v>3</v>
      </c>
      <c r="AN238" s="27">
        <f t="shared" si="169"/>
        <v>0</v>
      </c>
      <c r="AO238" s="41">
        <f t="shared" si="175"/>
        <v>0</v>
      </c>
      <c r="AP238" s="14"/>
      <c r="AQ238" s="14"/>
      <c r="AR238" s="14"/>
      <c r="AS238" s="65"/>
      <c r="AT238" s="63"/>
      <c r="AU238" s="47"/>
      <c r="AV238" s="14"/>
      <c r="AW238" s="14"/>
      <c r="AX238" s="14"/>
      <c r="AY238" s="14"/>
      <c r="AZ238" s="14"/>
      <c r="BA238" s="14"/>
      <c r="BB238" s="107" t="s">
        <v>3</v>
      </c>
      <c r="BC238" s="27">
        <f t="shared" si="170"/>
        <v>0</v>
      </c>
      <c r="BD238" s="41">
        <f t="shared" si="176"/>
        <v>0</v>
      </c>
      <c r="BE238" s="14"/>
      <c r="BF238" s="14"/>
      <c r="BG238" s="14"/>
      <c r="BH238" s="65"/>
      <c r="BI238" s="63"/>
      <c r="BJ238" s="352"/>
      <c r="BK238" s="19"/>
      <c r="BL238" s="14"/>
      <c r="BM238" s="14"/>
      <c r="BN238" s="14"/>
      <c r="BO238" s="14"/>
      <c r="BP238" s="14"/>
      <c r="BQ238" s="107" t="s">
        <v>3</v>
      </c>
      <c r="BR238" s="27">
        <f t="shared" si="171"/>
        <v>1</v>
      </c>
      <c r="BS238" s="41">
        <f t="shared" si="177"/>
        <v>0.14285714285714285</v>
      </c>
      <c r="BT238" s="14"/>
      <c r="BU238" s="14"/>
      <c r="BV238" s="14"/>
      <c r="BW238" s="65"/>
      <c r="BX238" s="63"/>
      <c r="BY238" s="352"/>
      <c r="BZ238" s="14"/>
      <c r="CA238" s="14"/>
      <c r="CB238" s="21"/>
      <c r="CC238" s="21"/>
      <c r="CD238" s="180"/>
      <c r="CE238" s="181"/>
      <c r="CF238" s="97"/>
      <c r="CG238" s="29"/>
      <c r="CH238" s="29"/>
      <c r="CI238" s="14"/>
      <c r="CJ238" s="14"/>
      <c r="CK238" s="14"/>
      <c r="CL238" s="14"/>
      <c r="CM238" s="14"/>
      <c r="CN238" s="14"/>
      <c r="CO238" s="129"/>
      <c r="CP238" s="14"/>
      <c r="CQ238" s="47"/>
      <c r="CR238" s="14"/>
      <c r="CS238" s="14"/>
      <c r="CT238" s="14"/>
      <c r="CU238" s="14"/>
      <c r="CV238" s="180"/>
      <c r="CW238" s="190"/>
      <c r="CX238" s="191"/>
      <c r="CY238" s="52"/>
      <c r="CZ238" s="52"/>
      <c r="DA238" s="14"/>
      <c r="DB238" s="14"/>
      <c r="DC238" s="14"/>
      <c r="DD238" s="14"/>
      <c r="DE238" s="14"/>
      <c r="DF238" s="14"/>
      <c r="DG238" s="129"/>
      <c r="DH238" s="14"/>
      <c r="DI238" s="47"/>
      <c r="DJ238" s="14"/>
      <c r="DK238" s="14"/>
      <c r="DL238" s="14"/>
      <c r="DM238" s="14"/>
      <c r="DN238" s="14"/>
      <c r="DO238" s="14"/>
      <c r="DP238" s="107" t="s">
        <v>39</v>
      </c>
      <c r="DQ238" s="27">
        <f t="shared" si="172"/>
        <v>0</v>
      </c>
      <c r="DR238" s="41">
        <f t="shared" si="173"/>
        <v>0</v>
      </c>
      <c r="DS238" s="14"/>
      <c r="DT238" s="14"/>
      <c r="DU238" s="14"/>
      <c r="DV238" s="14"/>
      <c r="DW238" s="14"/>
      <c r="DX238" s="14"/>
      <c r="DY238" s="14"/>
      <c r="DZ238" s="14"/>
      <c r="EA238" s="14"/>
      <c r="EB238" s="14"/>
      <c r="EC238" s="14"/>
      <c r="ED238" s="14"/>
      <c r="EE238" s="14"/>
      <c r="EF238" s="14"/>
      <c r="EG238" s="14"/>
      <c r="EH238" s="14"/>
      <c r="EI238" s="14"/>
      <c r="EJ238" s="14"/>
      <c r="EK238" s="14"/>
      <c r="EL238" s="14"/>
    </row>
    <row r="239" spans="1:142" x14ac:dyDescent="0.25">
      <c r="A239" s="14"/>
      <c r="B239" s="14"/>
      <c r="C239" s="19"/>
      <c r="D239" s="21"/>
      <c r="E239" s="14"/>
      <c r="F239" s="14"/>
      <c r="G239" s="86" t="s">
        <v>145</v>
      </c>
      <c r="H239" s="111">
        <f>SUM(H234:H238)</f>
        <v>9</v>
      </c>
      <c r="I239" s="119">
        <f t="shared" si="174"/>
        <v>1</v>
      </c>
      <c r="J239" s="19"/>
      <c r="K239" s="19"/>
      <c r="L239" s="19"/>
      <c r="M239" s="19"/>
      <c r="N239" s="19"/>
      <c r="O239" s="19"/>
      <c r="P239" s="19"/>
      <c r="Q239" s="47"/>
      <c r="R239" s="19"/>
      <c r="S239" s="14"/>
      <c r="T239" s="14"/>
      <c r="U239" s="14"/>
      <c r="V239" s="14"/>
      <c r="W239" s="14"/>
      <c r="X239" s="107" t="s">
        <v>54</v>
      </c>
      <c r="Y239" s="27">
        <f t="shared" si="167"/>
        <v>0</v>
      </c>
      <c r="Z239" s="41">
        <f t="shared" si="168"/>
        <v>0</v>
      </c>
      <c r="AA239" s="14"/>
      <c r="AB239" s="14"/>
      <c r="AC239" s="14"/>
      <c r="AD239" s="65"/>
      <c r="AE239" s="63"/>
      <c r="AF239" s="47"/>
      <c r="AG239" s="19"/>
      <c r="AH239" s="14"/>
      <c r="AI239" s="14"/>
      <c r="AJ239" s="14"/>
      <c r="AK239" s="14"/>
      <c r="AL239" s="14"/>
      <c r="AM239" s="107" t="s">
        <v>54</v>
      </c>
      <c r="AN239" s="27">
        <f t="shared" si="169"/>
        <v>0</v>
      </c>
      <c r="AO239" s="41">
        <f t="shared" si="175"/>
        <v>0</v>
      </c>
      <c r="AP239" s="14"/>
      <c r="AQ239" s="14"/>
      <c r="AR239" s="14"/>
      <c r="AS239" s="65"/>
      <c r="AT239" s="63"/>
      <c r="AU239" s="47"/>
      <c r="AV239" s="14"/>
      <c r="AW239" s="14"/>
      <c r="AX239" s="14"/>
      <c r="AY239" s="14"/>
      <c r="AZ239" s="14"/>
      <c r="BA239" s="14"/>
      <c r="BB239" s="107" t="s">
        <v>54</v>
      </c>
      <c r="BC239" s="27">
        <f t="shared" si="170"/>
        <v>0</v>
      </c>
      <c r="BD239" s="41">
        <f t="shared" si="176"/>
        <v>0</v>
      </c>
      <c r="BE239" s="14"/>
      <c r="BF239" s="14"/>
      <c r="BG239" s="14"/>
      <c r="BH239" s="65"/>
      <c r="BI239" s="63"/>
      <c r="BJ239" s="352"/>
      <c r="BK239" s="19"/>
      <c r="BL239" s="14"/>
      <c r="BM239" s="14"/>
      <c r="BN239" s="14"/>
      <c r="BO239" s="14"/>
      <c r="BP239" s="14"/>
      <c r="BQ239" s="107" t="s">
        <v>54</v>
      </c>
      <c r="BR239" s="27">
        <f t="shared" si="171"/>
        <v>0</v>
      </c>
      <c r="BS239" s="41">
        <f t="shared" si="177"/>
        <v>0</v>
      </c>
      <c r="BT239" s="14"/>
      <c r="BU239" s="14"/>
      <c r="BV239" s="14"/>
      <c r="BW239" s="65"/>
      <c r="BX239" s="63"/>
      <c r="BY239" s="352"/>
      <c r="BZ239" s="14"/>
      <c r="CA239" s="14"/>
      <c r="CB239" s="21"/>
      <c r="CC239" s="21"/>
      <c r="CD239" s="180"/>
      <c r="CE239" s="181"/>
      <c r="CF239" s="97"/>
      <c r="CG239" s="29"/>
      <c r="CH239" s="29"/>
      <c r="CI239" s="14"/>
      <c r="CJ239" s="14"/>
      <c r="CK239" s="14"/>
      <c r="CL239" s="14"/>
      <c r="CM239" s="14"/>
      <c r="CN239" s="14"/>
      <c r="CO239" s="129"/>
      <c r="CP239" s="14"/>
      <c r="CQ239" s="47"/>
      <c r="CR239" s="14"/>
      <c r="CS239" s="14"/>
      <c r="CT239" s="14"/>
      <c r="CU239" s="14"/>
      <c r="CV239" s="180"/>
      <c r="CW239" s="190"/>
      <c r="CX239" s="191"/>
      <c r="CY239" s="52"/>
      <c r="CZ239" s="52"/>
      <c r="DA239" s="14"/>
      <c r="DB239" s="14"/>
      <c r="DC239" s="14"/>
      <c r="DD239" s="14"/>
      <c r="DE239" s="14"/>
      <c r="DF239" s="14"/>
      <c r="DG239" s="129"/>
      <c r="DH239" s="14"/>
      <c r="DI239" s="47"/>
      <c r="DJ239" s="14"/>
      <c r="DK239" s="14"/>
      <c r="DL239" s="14"/>
      <c r="DM239" s="14"/>
      <c r="DN239" s="14"/>
      <c r="DO239" s="14"/>
      <c r="DP239" s="86" t="s">
        <v>145</v>
      </c>
      <c r="DQ239" s="111">
        <f t="shared" si="172"/>
        <v>9</v>
      </c>
      <c r="DR239" s="119">
        <f t="shared" si="173"/>
        <v>1</v>
      </c>
      <c r="DS239" s="14"/>
      <c r="DT239" s="14"/>
      <c r="DU239" s="14"/>
      <c r="DV239" s="14"/>
      <c r="DW239" s="14"/>
      <c r="DX239" s="14"/>
      <c r="DY239" s="14"/>
      <c r="DZ239" s="14"/>
      <c r="EA239" s="14"/>
      <c r="EB239" s="14"/>
      <c r="EC239" s="14"/>
      <c r="ED239" s="14"/>
      <c r="EE239" s="14"/>
      <c r="EF239" s="14"/>
      <c r="EG239" s="14"/>
      <c r="EH239" s="14"/>
      <c r="EI239" s="14"/>
      <c r="EJ239" s="14"/>
      <c r="EK239" s="14"/>
      <c r="EL239" s="14"/>
    </row>
    <row r="240" spans="1:142" ht="13.5" customHeight="1" x14ac:dyDescent="0.25">
      <c r="A240" s="14"/>
      <c r="B240" s="14"/>
      <c r="C240" s="14"/>
      <c r="D240" s="21"/>
      <c r="E240" s="14"/>
      <c r="F240" s="14"/>
      <c r="G240" s="14"/>
      <c r="H240" s="21"/>
      <c r="I240" s="21"/>
      <c r="J240" s="14"/>
      <c r="K240" s="14"/>
      <c r="L240" s="14"/>
      <c r="M240" s="14"/>
      <c r="N240" s="14"/>
      <c r="O240" s="14"/>
      <c r="P240" s="14"/>
      <c r="Q240" s="47"/>
      <c r="R240" s="19"/>
      <c r="S240" s="14"/>
      <c r="T240" s="14"/>
      <c r="U240" s="14"/>
      <c r="V240" s="14"/>
      <c r="W240" s="14"/>
      <c r="X240" s="107" t="s">
        <v>39</v>
      </c>
      <c r="Y240" s="27">
        <f t="shared" si="167"/>
        <v>3</v>
      </c>
      <c r="Z240" s="41">
        <f t="shared" si="168"/>
        <v>0.3</v>
      </c>
      <c r="AA240" s="14"/>
      <c r="AB240" s="14"/>
      <c r="AC240" s="14"/>
      <c r="AD240" s="65"/>
      <c r="AE240" s="63"/>
      <c r="AF240" s="47"/>
      <c r="AG240" s="19"/>
      <c r="AH240" s="14"/>
      <c r="AI240" s="14"/>
      <c r="AJ240" s="14"/>
      <c r="AK240" s="14"/>
      <c r="AL240" s="14"/>
      <c r="AM240" s="107" t="s">
        <v>39</v>
      </c>
      <c r="AN240" s="27">
        <f t="shared" si="169"/>
        <v>0</v>
      </c>
      <c r="AO240" s="41">
        <f t="shared" si="175"/>
        <v>0</v>
      </c>
      <c r="AP240" s="14"/>
      <c r="AQ240" s="14"/>
      <c r="AR240" s="14"/>
      <c r="AS240" s="65"/>
      <c r="AT240" s="63"/>
      <c r="AU240" s="47"/>
      <c r="AV240" s="14"/>
      <c r="AW240" s="14"/>
      <c r="AX240" s="14"/>
      <c r="AY240" s="14"/>
      <c r="AZ240" s="14"/>
      <c r="BA240" s="14"/>
      <c r="BB240" s="107" t="s">
        <v>39</v>
      </c>
      <c r="BC240" s="27">
        <f t="shared" si="170"/>
        <v>0</v>
      </c>
      <c r="BD240" s="41">
        <f t="shared" si="176"/>
        <v>0</v>
      </c>
      <c r="BE240" s="14"/>
      <c r="BF240" s="14"/>
      <c r="BG240" s="14"/>
      <c r="BH240" s="65"/>
      <c r="BI240" s="63"/>
      <c r="BJ240" s="352"/>
      <c r="BK240" s="19"/>
      <c r="BL240" s="14"/>
      <c r="BM240" s="14"/>
      <c r="BN240" s="14"/>
      <c r="BO240" s="14"/>
      <c r="BP240" s="14"/>
      <c r="BQ240" s="107" t="s">
        <v>39</v>
      </c>
      <c r="BR240" s="27">
        <f t="shared" si="171"/>
        <v>0</v>
      </c>
      <c r="BS240" s="41">
        <f t="shared" si="177"/>
        <v>0</v>
      </c>
      <c r="BT240" s="14"/>
      <c r="BU240" s="14"/>
      <c r="BV240" s="14"/>
      <c r="BW240" s="65"/>
      <c r="BX240" s="63"/>
      <c r="BY240" s="352"/>
      <c r="BZ240" s="14"/>
      <c r="CA240" s="14"/>
      <c r="CB240" s="21"/>
      <c r="CC240" s="21"/>
      <c r="CD240" s="180"/>
      <c r="CE240" s="181"/>
      <c r="CF240" s="97"/>
      <c r="CG240" s="29"/>
      <c r="CH240" s="29"/>
      <c r="CI240" s="14"/>
      <c r="CJ240" s="14"/>
      <c r="CK240" s="14"/>
      <c r="CL240" s="14"/>
      <c r="CM240" s="14"/>
      <c r="CN240" s="14"/>
      <c r="CO240" s="129"/>
      <c r="CP240" s="14"/>
      <c r="CQ240" s="47"/>
      <c r="CR240" s="14"/>
      <c r="CS240" s="14"/>
      <c r="CT240" s="14"/>
      <c r="CU240" s="14"/>
      <c r="CV240" s="180"/>
      <c r="CW240" s="190"/>
      <c r="CX240" s="191"/>
      <c r="CY240" s="52"/>
      <c r="CZ240" s="52"/>
      <c r="DA240" s="14"/>
      <c r="DB240" s="14"/>
      <c r="DC240" s="14"/>
      <c r="DD240" s="14"/>
      <c r="DE240" s="14"/>
      <c r="DF240" s="14"/>
      <c r="DG240" s="129"/>
      <c r="DH240" s="14"/>
      <c r="DI240" s="47"/>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row>
    <row r="241" spans="1:142" x14ac:dyDescent="0.25">
      <c r="A241" s="14"/>
      <c r="B241" s="14"/>
      <c r="C241" s="14"/>
      <c r="D241" s="21"/>
      <c r="E241" s="14"/>
      <c r="F241" s="14"/>
      <c r="G241" s="14"/>
      <c r="H241" s="21"/>
      <c r="I241" s="21"/>
      <c r="J241" s="14"/>
      <c r="K241" s="14"/>
      <c r="L241" s="14"/>
      <c r="M241" s="14"/>
      <c r="N241" s="14"/>
      <c r="O241" s="14"/>
      <c r="P241" s="14"/>
      <c r="Q241" s="47"/>
      <c r="R241" s="19"/>
      <c r="S241" s="14"/>
      <c r="T241" s="14"/>
      <c r="U241" s="14"/>
      <c r="V241" s="14"/>
      <c r="W241" s="14"/>
      <c r="X241" s="86" t="s">
        <v>145</v>
      </c>
      <c r="Y241" s="111">
        <f t="shared" si="167"/>
        <v>10</v>
      </c>
      <c r="Z241" s="119">
        <f t="shared" si="168"/>
        <v>1</v>
      </c>
      <c r="AA241" s="14"/>
      <c r="AB241" s="14"/>
      <c r="AC241" s="14"/>
      <c r="AD241" s="65"/>
      <c r="AE241" s="63"/>
      <c r="AF241" s="47"/>
      <c r="AG241" s="19"/>
      <c r="AH241" s="14"/>
      <c r="AI241" s="14"/>
      <c r="AJ241" s="14"/>
      <c r="AK241" s="14"/>
      <c r="AL241" s="14"/>
      <c r="AM241" s="86" t="s">
        <v>145</v>
      </c>
      <c r="AN241" s="111">
        <f t="shared" si="169"/>
        <v>6</v>
      </c>
      <c r="AO241" s="119">
        <f t="shared" si="175"/>
        <v>1</v>
      </c>
      <c r="AP241" s="14"/>
      <c r="AQ241" s="14"/>
      <c r="AR241" s="14"/>
      <c r="AS241" s="65"/>
      <c r="AT241" s="63"/>
      <c r="AU241" s="47"/>
      <c r="AV241" s="14"/>
      <c r="AW241" s="14"/>
      <c r="AX241" s="14"/>
      <c r="AY241" s="14"/>
      <c r="AZ241" s="14"/>
      <c r="BA241" s="14"/>
      <c r="BB241" s="86" t="s">
        <v>145</v>
      </c>
      <c r="BC241" s="111">
        <f t="shared" si="170"/>
        <v>6</v>
      </c>
      <c r="BD241" s="119">
        <f t="shared" si="176"/>
        <v>1</v>
      </c>
      <c r="BE241" s="14"/>
      <c r="BF241" s="14"/>
      <c r="BG241" s="14"/>
      <c r="BH241" s="65"/>
      <c r="BI241" s="63"/>
      <c r="BJ241" s="352"/>
      <c r="BK241" s="19"/>
      <c r="BL241" s="14"/>
      <c r="BM241" s="14"/>
      <c r="BN241" s="14"/>
      <c r="BO241" s="14"/>
      <c r="BP241" s="14"/>
      <c r="BQ241" s="86" t="s">
        <v>145</v>
      </c>
      <c r="BR241" s="111">
        <f t="shared" si="171"/>
        <v>7</v>
      </c>
      <c r="BS241" s="119">
        <f t="shared" si="177"/>
        <v>1</v>
      </c>
      <c r="BT241" s="14"/>
      <c r="BU241" s="14"/>
      <c r="BV241" s="14"/>
      <c r="BW241" s="65"/>
      <c r="BX241" s="63"/>
      <c r="BY241" s="352"/>
      <c r="BZ241" s="14"/>
      <c r="CA241" s="14"/>
      <c r="CB241" s="21"/>
      <c r="CC241" s="21"/>
      <c r="CD241" s="180"/>
      <c r="CE241" s="181"/>
      <c r="CF241" s="97"/>
      <c r="CG241" s="29"/>
      <c r="CH241" s="29"/>
      <c r="CI241" s="14"/>
      <c r="CJ241" s="14"/>
      <c r="CK241" s="14"/>
      <c r="CL241" s="14"/>
      <c r="CM241" s="14"/>
      <c r="CN241" s="14"/>
      <c r="CO241" s="129"/>
      <c r="CP241" s="14"/>
      <c r="CQ241" s="47"/>
      <c r="CR241" s="14"/>
      <c r="CS241" s="14"/>
      <c r="CT241" s="14"/>
      <c r="CU241" s="14"/>
      <c r="CV241" s="180"/>
      <c r="CW241" s="190"/>
      <c r="CX241" s="191"/>
      <c r="CY241" s="52"/>
      <c r="CZ241" s="52"/>
      <c r="DA241" s="14"/>
      <c r="DB241" s="14"/>
      <c r="DC241" s="14"/>
      <c r="DD241" s="14"/>
      <c r="DE241" s="14"/>
      <c r="DF241" s="14"/>
      <c r="DG241" s="129"/>
      <c r="DH241" s="14"/>
      <c r="DI241" s="47"/>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row>
    <row r="242" spans="1:142" x14ac:dyDescent="0.25">
      <c r="A242" s="14"/>
      <c r="B242" s="14"/>
      <c r="C242" s="14"/>
      <c r="D242" s="21"/>
      <c r="E242" s="14"/>
      <c r="F242" s="14"/>
      <c r="G242" s="14"/>
      <c r="H242" s="21"/>
      <c r="I242" s="21"/>
      <c r="J242" s="14"/>
      <c r="K242" s="14"/>
      <c r="L242" s="14"/>
      <c r="M242" s="14"/>
      <c r="N242" s="14"/>
      <c r="O242" s="14"/>
      <c r="P242" s="14"/>
      <c r="Q242" s="47"/>
      <c r="R242" s="19"/>
      <c r="S242" s="14"/>
      <c r="T242" s="14"/>
      <c r="U242" s="14"/>
      <c r="V242" s="14"/>
      <c r="W242" s="14"/>
      <c r="X242" s="14"/>
      <c r="Y242" s="14"/>
      <c r="Z242" s="14"/>
      <c r="AA242" s="14"/>
      <c r="AB242" s="14"/>
      <c r="AC242" s="14"/>
      <c r="AD242" s="65"/>
      <c r="AE242" s="63"/>
      <c r="AF242" s="47"/>
      <c r="AG242" s="19"/>
      <c r="AH242" s="14"/>
      <c r="AI242" s="14"/>
      <c r="AJ242" s="14"/>
      <c r="AK242" s="14"/>
      <c r="AL242" s="14"/>
      <c r="AM242" s="14"/>
      <c r="AN242" s="14"/>
      <c r="AO242" s="14"/>
      <c r="AP242" s="14"/>
      <c r="AQ242" s="14"/>
      <c r="AR242" s="14"/>
      <c r="AS242" s="65"/>
      <c r="AT242" s="63"/>
      <c r="AU242" s="47"/>
      <c r="AV242" s="14"/>
      <c r="AW242" s="14"/>
      <c r="AX242" s="14"/>
      <c r="AY242" s="14"/>
      <c r="AZ242" s="14"/>
      <c r="BA242" s="14"/>
      <c r="BB242" s="14"/>
      <c r="BC242" s="14"/>
      <c r="BD242" s="14"/>
      <c r="BE242" s="14"/>
      <c r="BF242" s="14"/>
      <c r="BG242" s="14"/>
      <c r="BH242" s="65"/>
      <c r="BI242" s="63"/>
      <c r="BJ242" s="352"/>
      <c r="BK242" s="19"/>
      <c r="BL242" s="14"/>
      <c r="BM242" s="14"/>
      <c r="BN242" s="14"/>
      <c r="BO242" s="14"/>
      <c r="BP242" s="14"/>
      <c r="BQ242" s="14"/>
      <c r="BR242" s="14"/>
      <c r="BS242" s="14"/>
      <c r="BT242" s="14"/>
      <c r="BU242" s="14"/>
      <c r="BV242" s="14"/>
      <c r="BW242" s="65"/>
      <c r="BX242" s="63"/>
      <c r="BY242" s="352"/>
      <c r="BZ242" s="14"/>
      <c r="CA242" s="14"/>
      <c r="CB242" s="21"/>
      <c r="CC242" s="21"/>
      <c r="CD242" s="180"/>
      <c r="CE242" s="181"/>
      <c r="CF242" s="97"/>
      <c r="CG242" s="29"/>
      <c r="CH242" s="29"/>
      <c r="CI242" s="14"/>
      <c r="CJ242" s="14"/>
      <c r="CK242" s="14"/>
      <c r="CL242" s="14"/>
      <c r="CM242" s="14"/>
      <c r="CN242" s="14"/>
      <c r="CO242" s="129"/>
      <c r="CP242" s="14"/>
      <c r="CQ242" s="47"/>
      <c r="CR242" s="14"/>
      <c r="CS242" s="14"/>
      <c r="CT242" s="14"/>
      <c r="CU242" s="14"/>
      <c r="CV242" s="180"/>
      <c r="CW242" s="190"/>
      <c r="CX242" s="191"/>
      <c r="CY242" s="31"/>
      <c r="CZ242" s="31"/>
      <c r="DA242" s="14"/>
      <c r="DB242" s="14"/>
      <c r="DC242" s="14"/>
      <c r="DD242" s="14"/>
      <c r="DE242" s="14"/>
      <c r="DF242" s="14"/>
      <c r="DG242" s="129"/>
      <c r="DH242" s="14"/>
      <c r="DI242" s="47"/>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row>
    <row r="243" spans="1:142" x14ac:dyDescent="0.25">
      <c r="A243" s="14"/>
      <c r="B243" s="14"/>
      <c r="C243" s="14"/>
      <c r="D243" s="21"/>
      <c r="E243" s="14"/>
      <c r="F243" s="14"/>
      <c r="G243" s="14"/>
      <c r="H243" s="21"/>
      <c r="I243" s="21"/>
      <c r="J243" s="14"/>
      <c r="K243" s="14"/>
      <c r="L243" s="14"/>
      <c r="M243" s="14"/>
      <c r="N243" s="14"/>
      <c r="O243" s="14"/>
      <c r="P243" s="14"/>
      <c r="Q243" s="47"/>
      <c r="R243" s="19"/>
      <c r="S243" s="14"/>
      <c r="T243" s="14"/>
      <c r="U243" s="14"/>
      <c r="V243" s="14"/>
      <c r="W243" s="14"/>
      <c r="X243" s="14"/>
      <c r="Y243" s="14"/>
      <c r="Z243" s="14"/>
      <c r="AA243" s="14"/>
      <c r="AB243" s="14"/>
      <c r="AC243" s="14"/>
      <c r="AD243" s="65"/>
      <c r="AE243" s="63"/>
      <c r="AF243" s="47"/>
      <c r="AG243" s="19"/>
      <c r="AH243" s="14"/>
      <c r="AI243" s="14"/>
      <c r="AJ243" s="14"/>
      <c r="AK243" s="14"/>
      <c r="AL243" s="14"/>
      <c r="AM243" s="14"/>
      <c r="AN243" s="14"/>
      <c r="AO243" s="14"/>
      <c r="AP243" s="14"/>
      <c r="AQ243" s="14"/>
      <c r="AR243" s="14"/>
      <c r="AS243" s="65"/>
      <c r="AT243" s="63"/>
      <c r="AU243" s="47"/>
      <c r="AV243" s="14"/>
      <c r="AW243" s="14"/>
      <c r="AX243" s="14"/>
      <c r="AY243" s="14"/>
      <c r="AZ243" s="14"/>
      <c r="BA243" s="14"/>
      <c r="BB243" s="14"/>
      <c r="BC243" s="14"/>
      <c r="BD243" s="14"/>
      <c r="BE243" s="14"/>
      <c r="BF243" s="14"/>
      <c r="BG243" s="14"/>
      <c r="BH243" s="65"/>
      <c r="BI243" s="63"/>
      <c r="BJ243" s="352"/>
      <c r="BK243" s="19"/>
      <c r="BL243" s="14"/>
      <c r="BM243" s="14"/>
      <c r="BN243" s="14"/>
      <c r="BO243" s="14"/>
      <c r="BP243" s="14"/>
      <c r="BQ243" s="14"/>
      <c r="BR243" s="14"/>
      <c r="BS243" s="14"/>
      <c r="BT243" s="14"/>
      <c r="BU243" s="14"/>
      <c r="BV243" s="14"/>
      <c r="BW243" s="65"/>
      <c r="BX243" s="63"/>
      <c r="BY243" s="352"/>
      <c r="BZ243" s="14"/>
      <c r="CA243" s="14"/>
      <c r="CB243" s="21"/>
      <c r="CC243" s="21"/>
      <c r="CD243" s="180"/>
      <c r="CE243" s="180"/>
      <c r="CF243" s="21"/>
      <c r="CG243" s="14"/>
      <c r="CH243" s="14"/>
      <c r="CI243" s="14"/>
      <c r="CJ243" s="14"/>
      <c r="CK243" s="14"/>
      <c r="CL243" s="14"/>
      <c r="CM243" s="14"/>
      <c r="CN243" s="14"/>
      <c r="CO243" s="129"/>
      <c r="CP243" s="14"/>
      <c r="CQ243" s="47"/>
      <c r="CR243" s="14"/>
      <c r="CS243" s="14"/>
      <c r="CT243" s="14"/>
      <c r="CU243" s="14"/>
      <c r="CV243" s="180"/>
      <c r="CW243" s="189"/>
      <c r="CX243" s="189"/>
      <c r="CY243" s="14"/>
      <c r="CZ243" s="14"/>
      <c r="DA243" s="14"/>
      <c r="DB243" s="14"/>
      <c r="DC243" s="14"/>
      <c r="DD243" s="14"/>
      <c r="DE243" s="14"/>
      <c r="DF243" s="14"/>
      <c r="DG243" s="129"/>
      <c r="DH243" s="14"/>
      <c r="DI243" s="47"/>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row>
    <row r="244" spans="1:142" x14ac:dyDescent="0.25">
      <c r="A244" s="14"/>
      <c r="B244" s="14"/>
      <c r="C244" s="14"/>
      <c r="D244" s="21"/>
      <c r="E244" s="14"/>
      <c r="F244" s="14"/>
      <c r="G244" s="14"/>
      <c r="H244" s="21"/>
      <c r="I244" s="21"/>
      <c r="J244" s="14"/>
      <c r="K244" s="14"/>
      <c r="L244" s="14"/>
      <c r="M244" s="14"/>
      <c r="N244" s="14"/>
      <c r="O244" s="14"/>
      <c r="P244" s="14"/>
      <c r="Q244" s="47"/>
      <c r="R244" s="19"/>
      <c r="S244" s="14"/>
      <c r="T244" s="14"/>
      <c r="U244" s="14"/>
      <c r="V244" s="14"/>
      <c r="W244" s="14"/>
      <c r="X244" s="14"/>
      <c r="Y244" s="14"/>
      <c r="Z244" s="14"/>
      <c r="AA244" s="14"/>
      <c r="AB244" s="14"/>
      <c r="AC244" s="14"/>
      <c r="AD244" s="65"/>
      <c r="AE244" s="63"/>
      <c r="AF244" s="47"/>
      <c r="AG244" s="19"/>
      <c r="AH244" s="14"/>
      <c r="AI244" s="14"/>
      <c r="AJ244" s="14"/>
      <c r="AK244" s="14"/>
      <c r="AL244" s="14"/>
      <c r="AM244" s="14"/>
      <c r="AN244" s="14"/>
      <c r="AO244" s="14"/>
      <c r="AP244" s="14"/>
      <c r="AQ244" s="14"/>
      <c r="AR244" s="14"/>
      <c r="AS244" s="65"/>
      <c r="AT244" s="63"/>
      <c r="AU244" s="47"/>
      <c r="AV244" s="14"/>
      <c r="AW244" s="14"/>
      <c r="AX244" s="14"/>
      <c r="AY244" s="14"/>
      <c r="AZ244" s="14"/>
      <c r="BA244" s="14"/>
      <c r="BB244" s="14"/>
      <c r="BC244" s="14"/>
      <c r="BD244" s="14"/>
      <c r="BE244" s="14"/>
      <c r="BF244" s="14"/>
      <c r="BG244" s="14"/>
      <c r="BH244" s="65"/>
      <c r="BI244" s="63"/>
      <c r="BJ244" s="352"/>
      <c r="BK244" s="19"/>
      <c r="BL244" s="14"/>
      <c r="BM244" s="14"/>
      <c r="BN244" s="14"/>
      <c r="BO244" s="14"/>
      <c r="BP244" s="14"/>
      <c r="BQ244" s="14"/>
      <c r="BR244" s="14"/>
      <c r="BS244" s="14"/>
      <c r="BT244" s="14"/>
      <c r="BU244" s="14"/>
      <c r="BV244" s="14"/>
      <c r="BW244" s="65"/>
      <c r="BX244" s="63"/>
      <c r="BY244" s="352"/>
      <c r="BZ244" s="14"/>
      <c r="CA244" s="14"/>
      <c r="CB244" s="21"/>
      <c r="CC244" s="21"/>
      <c r="CD244" s="180"/>
      <c r="CE244" s="180"/>
      <c r="CF244" s="21"/>
      <c r="CG244" s="14"/>
      <c r="CH244" s="14"/>
      <c r="CI244" s="14"/>
      <c r="CJ244" s="14"/>
      <c r="CK244" s="14"/>
      <c r="CL244" s="14"/>
      <c r="CM244" s="14"/>
      <c r="CN244" s="14"/>
      <c r="CO244" s="129"/>
      <c r="CP244" s="14"/>
      <c r="CQ244" s="47"/>
      <c r="CR244" s="14"/>
      <c r="CS244" s="14"/>
      <c r="CT244" s="14"/>
      <c r="CU244" s="14"/>
      <c r="CV244" s="180"/>
      <c r="CW244" s="189"/>
      <c r="CX244" s="189"/>
      <c r="CY244" s="14"/>
      <c r="CZ244" s="14"/>
      <c r="DA244" s="14"/>
      <c r="DB244" s="14"/>
      <c r="DC244" s="14"/>
      <c r="DD244" s="14"/>
      <c r="DE244" s="14"/>
      <c r="DF244" s="14"/>
      <c r="DG244" s="129"/>
      <c r="DH244" s="14"/>
      <c r="DI244" s="47"/>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row>
    <row r="245" spans="1:142" s="131" customFormat="1" x14ac:dyDescent="0.25">
      <c r="A245" s="78"/>
      <c r="B245" s="78" t="s">
        <v>156</v>
      </c>
      <c r="C245" s="78"/>
      <c r="D245" s="79"/>
      <c r="E245" s="78"/>
      <c r="F245" s="78"/>
      <c r="G245" s="78"/>
      <c r="H245" s="79"/>
      <c r="I245" s="79"/>
      <c r="J245" s="78"/>
      <c r="K245" s="78"/>
      <c r="L245" s="78"/>
      <c r="M245" s="78"/>
      <c r="N245" s="78"/>
      <c r="O245" s="78"/>
      <c r="P245" s="78"/>
      <c r="Q245" s="82"/>
      <c r="R245" s="83"/>
      <c r="S245" s="78" t="s">
        <v>156</v>
      </c>
      <c r="T245" s="78"/>
      <c r="U245" s="78"/>
      <c r="V245" s="78"/>
      <c r="W245" s="78"/>
      <c r="X245" s="78"/>
      <c r="Y245" s="78"/>
      <c r="Z245" s="78"/>
      <c r="AA245" s="78"/>
      <c r="AB245" s="78"/>
      <c r="AC245" s="78"/>
      <c r="AD245" s="80"/>
      <c r="AE245" s="81"/>
      <c r="AF245" s="82"/>
      <c r="AG245" s="83"/>
      <c r="AH245" s="78" t="s">
        <v>156</v>
      </c>
      <c r="AI245" s="78"/>
      <c r="AJ245" s="78"/>
      <c r="AK245" s="78"/>
      <c r="AL245" s="78"/>
      <c r="AM245" s="78"/>
      <c r="AN245" s="78"/>
      <c r="AO245" s="78"/>
      <c r="AP245" s="78"/>
      <c r="AQ245" s="78"/>
      <c r="AR245" s="78"/>
      <c r="AS245" s="80"/>
      <c r="AT245" s="81"/>
      <c r="AU245" s="82"/>
      <c r="AV245" s="78"/>
      <c r="AW245" s="78" t="s">
        <v>156</v>
      </c>
      <c r="AX245" s="78"/>
      <c r="AY245" s="78"/>
      <c r="AZ245" s="78"/>
      <c r="BA245" s="78"/>
      <c r="BB245" s="78"/>
      <c r="BC245" s="78"/>
      <c r="BD245" s="78"/>
      <c r="BE245" s="78"/>
      <c r="BF245" s="78"/>
      <c r="BG245" s="78"/>
      <c r="BH245" s="80"/>
      <c r="BI245" s="81"/>
      <c r="BJ245" s="373"/>
      <c r="BK245" s="83"/>
      <c r="BL245" s="78" t="s">
        <v>156</v>
      </c>
      <c r="BM245" s="78"/>
      <c r="BN245" s="78"/>
      <c r="BO245" s="78"/>
      <c r="BP245" s="78"/>
      <c r="BQ245" s="78"/>
      <c r="BR245" s="78"/>
      <c r="BS245" s="78"/>
      <c r="BT245" s="78"/>
      <c r="BU245" s="78"/>
      <c r="BV245" s="78"/>
      <c r="BW245" s="80"/>
      <c r="BX245" s="81"/>
      <c r="BY245" s="373"/>
      <c r="BZ245" s="78"/>
      <c r="CA245" s="78"/>
      <c r="CB245" s="79"/>
      <c r="CC245" s="79"/>
      <c r="CD245" s="182"/>
      <c r="CE245" s="182"/>
      <c r="CF245" s="79"/>
      <c r="CG245" s="78"/>
      <c r="CH245" s="78"/>
      <c r="CI245" s="78"/>
      <c r="CJ245" s="78"/>
      <c r="CK245" s="78"/>
      <c r="CL245" s="78"/>
      <c r="CM245" s="78"/>
      <c r="CN245" s="78"/>
      <c r="CO245" s="78"/>
      <c r="CP245" s="78"/>
      <c r="CQ245" s="82"/>
      <c r="CR245" s="78"/>
      <c r="CS245" s="78"/>
      <c r="CT245" s="78"/>
      <c r="CU245" s="78"/>
      <c r="CV245" s="182"/>
      <c r="CW245" s="192"/>
      <c r="CX245" s="192"/>
      <c r="CY245" s="78"/>
      <c r="CZ245" s="78"/>
      <c r="DA245" s="78"/>
      <c r="DB245" s="78"/>
      <c r="DC245" s="78"/>
      <c r="DD245" s="78"/>
      <c r="DE245" s="78"/>
      <c r="DF245" s="78"/>
      <c r="DG245" s="78"/>
      <c r="DH245" s="78"/>
      <c r="DI245" s="82"/>
      <c r="DJ245" s="78"/>
      <c r="DK245" s="78" t="s">
        <v>562</v>
      </c>
      <c r="DL245" s="78"/>
      <c r="DM245" s="78"/>
      <c r="DN245" s="78"/>
      <c r="DO245" s="78"/>
      <c r="DP245" s="78"/>
      <c r="DQ245" s="78"/>
      <c r="DR245" s="78"/>
      <c r="DS245" s="78"/>
      <c r="DT245" s="78"/>
      <c r="DU245" s="78"/>
      <c r="DV245" s="78"/>
      <c r="DW245" s="78"/>
      <c r="DX245" s="78"/>
      <c r="DY245" s="78"/>
      <c r="DZ245" s="78"/>
      <c r="EA245" s="78"/>
      <c r="EB245" s="78"/>
      <c r="EC245" s="78"/>
      <c r="ED245" s="78"/>
      <c r="EE245" s="78"/>
      <c r="EF245" s="78"/>
      <c r="EG245" s="78"/>
      <c r="EH245" s="78"/>
      <c r="EI245" s="78"/>
      <c r="EJ245" s="78"/>
      <c r="EK245" s="78"/>
      <c r="EL245" s="78"/>
    </row>
    <row r="246" spans="1:142" x14ac:dyDescent="0.25">
      <c r="A246" s="14"/>
      <c r="B246" s="14"/>
      <c r="C246" s="14"/>
      <c r="D246" s="21"/>
      <c r="E246" s="14"/>
      <c r="F246" s="14"/>
      <c r="G246" s="14"/>
      <c r="H246" s="21"/>
      <c r="I246" s="21"/>
      <c r="J246" s="14"/>
      <c r="K246" s="14"/>
      <c r="L246" s="14"/>
      <c r="M246" s="14"/>
      <c r="N246" s="14"/>
      <c r="O246" s="14"/>
      <c r="P246" s="14"/>
      <c r="Q246" s="47"/>
      <c r="R246" s="19"/>
      <c r="S246" s="14"/>
      <c r="T246" s="14"/>
      <c r="U246" s="14"/>
      <c r="V246" s="14"/>
      <c r="W246" s="14"/>
      <c r="X246" s="14"/>
      <c r="Y246" s="14"/>
      <c r="Z246" s="14"/>
      <c r="AA246" s="14"/>
      <c r="AB246" s="14"/>
      <c r="AC246" s="14"/>
      <c r="AD246" s="65"/>
      <c r="AE246" s="63"/>
      <c r="AF246" s="47"/>
      <c r="AG246" s="19"/>
      <c r="AH246" s="14"/>
      <c r="AI246" s="14"/>
      <c r="AJ246" s="14"/>
      <c r="AK246" s="14"/>
      <c r="AL246" s="14"/>
      <c r="AM246" s="14"/>
      <c r="AN246" s="14"/>
      <c r="AO246" s="14"/>
      <c r="AP246" s="14"/>
      <c r="AQ246" s="14"/>
      <c r="AR246" s="14"/>
      <c r="AS246" s="65"/>
      <c r="AT246" s="63"/>
      <c r="AU246" s="47"/>
      <c r="AV246" s="14"/>
      <c r="AW246" s="14"/>
      <c r="AX246" s="14"/>
      <c r="AY246" s="14"/>
      <c r="AZ246" s="14"/>
      <c r="BA246" s="14"/>
      <c r="BB246" s="14"/>
      <c r="BC246" s="14"/>
      <c r="BD246" s="14"/>
      <c r="BE246" s="14"/>
      <c r="BF246" s="14"/>
      <c r="BG246" s="14"/>
      <c r="BH246" s="65"/>
      <c r="BI246" s="63"/>
      <c r="BJ246" s="352"/>
      <c r="BK246" s="19"/>
      <c r="BL246" s="14"/>
      <c r="BM246" s="14"/>
      <c r="BN246" s="14"/>
      <c r="BO246" s="14"/>
      <c r="BP246" s="14"/>
      <c r="BQ246" s="14"/>
      <c r="BR246" s="14"/>
      <c r="BS246" s="14"/>
      <c r="BT246" s="14"/>
      <c r="BU246" s="14"/>
      <c r="BV246" s="14"/>
      <c r="BW246" s="65"/>
      <c r="BX246" s="63"/>
      <c r="BY246" s="352"/>
      <c r="BZ246" s="14"/>
      <c r="CA246" s="14"/>
      <c r="CB246" s="21"/>
      <c r="CC246" s="21"/>
      <c r="CD246" s="180"/>
      <c r="CE246" s="180"/>
      <c r="CF246" s="21"/>
      <c r="CG246" s="14"/>
      <c r="CH246" s="14"/>
      <c r="CI246" s="14"/>
      <c r="CJ246" s="14"/>
      <c r="CK246" s="14"/>
      <c r="CL246" s="14"/>
      <c r="CM246" s="14"/>
      <c r="CN246" s="14"/>
      <c r="CO246" s="129"/>
      <c r="CP246" s="14"/>
      <c r="CQ246" s="47"/>
      <c r="CR246" s="14"/>
      <c r="CS246" s="14"/>
      <c r="CT246" s="14"/>
      <c r="CU246" s="14"/>
      <c r="CV246" s="180"/>
      <c r="CW246" s="189"/>
      <c r="CX246" s="189"/>
      <c r="CY246" s="14"/>
      <c r="CZ246" s="14"/>
      <c r="DA246" s="14"/>
      <c r="DB246" s="14"/>
      <c r="DC246" s="14"/>
      <c r="DD246" s="14"/>
      <c r="DE246" s="14"/>
      <c r="DF246" s="14"/>
      <c r="DG246" s="129"/>
      <c r="DH246" s="14"/>
      <c r="DI246" s="47"/>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row>
    <row r="247" spans="1:142" ht="27.6" x14ac:dyDescent="0.25">
      <c r="A247" s="14"/>
      <c r="B247" s="109" t="s">
        <v>14</v>
      </c>
      <c r="C247" s="110" t="str">
        <f>B54</f>
        <v>Forest owners/managers</v>
      </c>
      <c r="D247" s="110" t="str">
        <f>B81</f>
        <v>Pellet producers</v>
      </c>
      <c r="E247" s="110" t="str">
        <f>B108</f>
        <v>Pellet users</v>
      </c>
      <c r="F247" s="110" t="str">
        <f>B135</f>
        <v>Non-bioenergy wood users</v>
      </c>
      <c r="G247" s="110" t="str">
        <f>B162</f>
        <v>Policy makers and academia</v>
      </c>
      <c r="H247" s="110" t="str">
        <f>B189</f>
        <v>NGOs</v>
      </c>
      <c r="I247" s="110" t="s">
        <v>8</v>
      </c>
      <c r="J247" s="14"/>
      <c r="K247" s="14"/>
      <c r="L247" s="14"/>
      <c r="M247" s="14"/>
      <c r="N247" s="14"/>
      <c r="O247" s="14"/>
      <c r="P247" s="14"/>
      <c r="Q247" s="47"/>
      <c r="R247" s="19"/>
      <c r="S247" s="109" t="s">
        <v>14</v>
      </c>
      <c r="T247" s="110" t="str">
        <f>S54</f>
        <v>Forest owners/managers</v>
      </c>
      <c r="U247" s="110" t="str">
        <f>S81</f>
        <v>Pellet producers</v>
      </c>
      <c r="V247" s="110" t="str">
        <f>S108</f>
        <v>Pellet users</v>
      </c>
      <c r="W247" s="110" t="str">
        <f>S135</f>
        <v>Non-bioenergy wood users</v>
      </c>
      <c r="X247" s="110" t="str">
        <f>S162</f>
        <v>Policy makers and academia</v>
      </c>
      <c r="Y247" s="110" t="str">
        <f>S189</f>
        <v>NGOs</v>
      </c>
      <c r="Z247" s="110" t="s">
        <v>8</v>
      </c>
      <c r="AA247" s="56"/>
      <c r="AB247" s="56"/>
      <c r="AC247" s="56"/>
      <c r="AD247" s="65"/>
      <c r="AE247" s="63"/>
      <c r="AF247" s="47"/>
      <c r="AG247" s="19"/>
      <c r="AH247" s="109" t="s">
        <v>14</v>
      </c>
      <c r="AI247" s="110" t="str">
        <f>AH54</f>
        <v>Forest owners/managers</v>
      </c>
      <c r="AJ247" s="110" t="str">
        <f>AH81</f>
        <v>Pellet producers</v>
      </c>
      <c r="AK247" s="110" t="str">
        <f>AH108</f>
        <v>Pellet users</v>
      </c>
      <c r="AL247" s="110" t="str">
        <f>AH135</f>
        <v>Non-bioenergy wood users</v>
      </c>
      <c r="AM247" s="110" t="str">
        <f>AH162</f>
        <v>Policy makers and academia</v>
      </c>
      <c r="AN247" s="110" t="str">
        <f>AH189</f>
        <v>NGOs</v>
      </c>
      <c r="AO247" s="110" t="s">
        <v>8</v>
      </c>
      <c r="AP247" s="56"/>
      <c r="AQ247" s="56"/>
      <c r="AR247" s="56"/>
      <c r="AS247" s="65"/>
      <c r="AT247" s="63"/>
      <c r="AU247" s="47"/>
      <c r="AV247" s="14"/>
      <c r="AW247" s="109" t="s">
        <v>14</v>
      </c>
      <c r="AX247" s="110" t="str">
        <f>AW54</f>
        <v>Forest owners/managers</v>
      </c>
      <c r="AY247" s="110" t="str">
        <f>AW81</f>
        <v>Pellet producers</v>
      </c>
      <c r="AZ247" s="110" t="str">
        <f>AW108</f>
        <v>Pellet users</v>
      </c>
      <c r="BA247" s="110" t="str">
        <f>AW135</f>
        <v>Non-bioenergy wood users</v>
      </c>
      <c r="BB247" s="110" t="str">
        <f>AW162</f>
        <v>Policy makers and academia</v>
      </c>
      <c r="BC247" s="110" t="str">
        <f>AW189</f>
        <v>NGOs</v>
      </c>
      <c r="BD247" s="110" t="s">
        <v>8</v>
      </c>
      <c r="BE247" s="56"/>
      <c r="BF247" s="56"/>
      <c r="BG247" s="56"/>
      <c r="BH247" s="65"/>
      <c r="BI247" s="63"/>
      <c r="BJ247" s="352"/>
      <c r="BK247" s="19"/>
      <c r="BL247" s="109" t="s">
        <v>14</v>
      </c>
      <c r="BM247" s="110" t="str">
        <f>BL54</f>
        <v>Forest owners/managers</v>
      </c>
      <c r="BN247" s="110" t="str">
        <f>BL81</f>
        <v>Pellet producers</v>
      </c>
      <c r="BO247" s="110" t="str">
        <f>BL108</f>
        <v>Pellet users</v>
      </c>
      <c r="BP247" s="110" t="str">
        <f>BL135</f>
        <v>Non-bioenergy wood users</v>
      </c>
      <c r="BQ247" s="110" t="str">
        <f>BL162</f>
        <v>Policy makers and academia</v>
      </c>
      <c r="BR247" s="110" t="str">
        <f>BL189</f>
        <v>NGOs</v>
      </c>
      <c r="BS247" s="110" t="s">
        <v>8</v>
      </c>
      <c r="BT247" s="56"/>
      <c r="BU247" s="56"/>
      <c r="BV247" s="56"/>
      <c r="BW247" s="65"/>
      <c r="BX247" s="63"/>
      <c r="BY247" s="352"/>
      <c r="BZ247" s="14"/>
      <c r="CA247" s="14"/>
      <c r="CB247" s="21"/>
      <c r="CC247" s="21"/>
      <c r="CD247" s="180"/>
      <c r="CE247" s="180"/>
      <c r="CF247" s="21"/>
      <c r="CG247" s="14"/>
      <c r="CH247" s="14"/>
      <c r="CI247" s="14"/>
      <c r="CJ247" s="14"/>
      <c r="CK247" s="14"/>
      <c r="CL247" s="14"/>
      <c r="CM247" s="14"/>
      <c r="CN247" s="14"/>
      <c r="CO247" s="129"/>
      <c r="CP247" s="14"/>
      <c r="CQ247" s="47"/>
      <c r="CR247" s="14"/>
      <c r="CS247" s="14"/>
      <c r="CT247" s="14"/>
      <c r="CU247" s="14"/>
      <c r="CV247" s="180"/>
      <c r="CW247" s="189"/>
      <c r="CX247" s="189"/>
      <c r="CY247" s="14"/>
      <c r="CZ247" s="14"/>
      <c r="DA247" s="14"/>
      <c r="DB247" s="14"/>
      <c r="DC247" s="14"/>
      <c r="DD247" s="14"/>
      <c r="DE247" s="14"/>
      <c r="DF247" s="14"/>
      <c r="DG247" s="129"/>
      <c r="DH247" s="14"/>
      <c r="DI247" s="47"/>
      <c r="DJ247" s="14"/>
      <c r="DK247" s="109" t="s">
        <v>14</v>
      </c>
      <c r="DL247" s="110" t="str">
        <f>DK54</f>
        <v>Forest owners/managers</v>
      </c>
      <c r="DM247" s="110" t="str">
        <f>DK81</f>
        <v>Pellet producers</v>
      </c>
      <c r="DN247" s="110" t="str">
        <f>DK108</f>
        <v>Pellet users</v>
      </c>
      <c r="DO247" s="110" t="str">
        <f>DK135</f>
        <v>Non-bioenergy wood users</v>
      </c>
      <c r="DP247" s="110" t="str">
        <f>DK162</f>
        <v>Policy makers and academia</v>
      </c>
      <c r="DQ247" s="110" t="str">
        <f>DK189</f>
        <v>NGOs</v>
      </c>
      <c r="DR247" s="110" t="s">
        <v>8</v>
      </c>
      <c r="DS247" s="14"/>
      <c r="DT247" s="14"/>
      <c r="DU247" s="14"/>
      <c r="DV247" s="14"/>
      <c r="DW247" s="14"/>
      <c r="DX247" s="14"/>
      <c r="DY247" s="14"/>
      <c r="DZ247" s="14"/>
      <c r="EA247" s="14"/>
      <c r="EB247" s="14"/>
      <c r="EC247" s="14"/>
      <c r="ED247" s="14"/>
      <c r="EE247" s="14"/>
      <c r="EF247" s="14"/>
      <c r="EG247" s="14"/>
      <c r="EH247" s="14"/>
      <c r="EI247" s="14"/>
      <c r="EJ247" s="14"/>
      <c r="EK247" s="14"/>
      <c r="EL247" s="14"/>
    </row>
    <row r="248" spans="1:142" x14ac:dyDescent="0.25">
      <c r="A248" s="14"/>
      <c r="B248" s="107" t="s">
        <v>34</v>
      </c>
      <c r="C248" s="33">
        <f>H72</f>
        <v>2</v>
      </c>
      <c r="D248" s="117">
        <f>H99</f>
        <v>0</v>
      </c>
      <c r="E248" s="116">
        <f>H126</f>
        <v>2</v>
      </c>
      <c r="F248" s="33">
        <f>H153</f>
        <v>0</v>
      </c>
      <c r="G248" s="117">
        <f>H180</f>
        <v>1</v>
      </c>
      <c r="H248" s="116">
        <f>H207</f>
        <v>0</v>
      </c>
      <c r="I248" s="27">
        <f t="shared" ref="I248:I253" si="178">SUM(C248:H248)</f>
        <v>5</v>
      </c>
      <c r="J248" s="14"/>
      <c r="K248" s="14"/>
      <c r="L248" s="14"/>
      <c r="M248" s="14"/>
      <c r="N248" s="14"/>
      <c r="O248" s="14"/>
      <c r="P248" s="14"/>
      <c r="Q248" s="47"/>
      <c r="R248" s="19"/>
      <c r="S248" s="107" t="s">
        <v>5</v>
      </c>
      <c r="T248" s="33">
        <f t="shared" ref="T248:T254" si="179">Y72</f>
        <v>2</v>
      </c>
      <c r="U248" s="117">
        <f t="shared" ref="U248:U254" si="180">Y99</f>
        <v>0</v>
      </c>
      <c r="V248" s="116">
        <f t="shared" ref="V248:V254" si="181">Y126</f>
        <v>0</v>
      </c>
      <c r="W248" s="33">
        <f t="shared" ref="W248:W254" si="182">Y153</f>
        <v>0</v>
      </c>
      <c r="X248" s="117">
        <f t="shared" ref="X248:X254" si="183">Y180</f>
        <v>1</v>
      </c>
      <c r="Y248" s="116">
        <f t="shared" ref="Y248:Y254" si="184">Y207</f>
        <v>0</v>
      </c>
      <c r="Z248" s="27">
        <f>SUM(T248:Y248)</f>
        <v>3</v>
      </c>
      <c r="AA248" s="19"/>
      <c r="AB248" s="19"/>
      <c r="AC248" s="19"/>
      <c r="AD248" s="65"/>
      <c r="AE248" s="63"/>
      <c r="AF248" s="47"/>
      <c r="AG248" s="19"/>
      <c r="AH248" s="107" t="s">
        <v>5</v>
      </c>
      <c r="AI248" s="33">
        <f t="shared" ref="AI248:AI254" si="185">AN72</f>
        <v>2</v>
      </c>
      <c r="AJ248" s="117">
        <f t="shared" ref="AJ248:AJ254" si="186">AN99</f>
        <v>1</v>
      </c>
      <c r="AK248" s="116">
        <f t="shared" ref="AK248:AK254" si="187">AN126</f>
        <v>0</v>
      </c>
      <c r="AL248" s="33">
        <f t="shared" ref="AL248:AL254" si="188">AN153</f>
        <v>1</v>
      </c>
      <c r="AM248" s="117">
        <f t="shared" ref="AM248:AM254" si="189">AN180</f>
        <v>1</v>
      </c>
      <c r="AN248" s="116">
        <f t="shared" ref="AN248:AN254" si="190">AN207</f>
        <v>0</v>
      </c>
      <c r="AO248" s="27">
        <f>SUM(AI248:AN248)</f>
        <v>5</v>
      </c>
      <c r="AP248" s="19"/>
      <c r="AQ248" s="19"/>
      <c r="AR248" s="19"/>
      <c r="AS248" s="65"/>
      <c r="AT248" s="63"/>
      <c r="AU248" s="47"/>
      <c r="AV248" s="14"/>
      <c r="AW248" s="107" t="s">
        <v>5</v>
      </c>
      <c r="AX248" s="33">
        <f t="shared" ref="AX248:AX254" si="191">BC72</f>
        <v>2</v>
      </c>
      <c r="AY248" s="117">
        <f t="shared" ref="AY248:AY254" si="192">BC99</f>
        <v>1</v>
      </c>
      <c r="AZ248" s="116">
        <f t="shared" ref="AZ248:AZ254" si="193">BC126</f>
        <v>0</v>
      </c>
      <c r="BA248" s="33">
        <f t="shared" ref="BA248:BA254" si="194">BC153</f>
        <v>1</v>
      </c>
      <c r="BB248" s="117">
        <f t="shared" ref="BB248:BB254" si="195">BC180</f>
        <v>1</v>
      </c>
      <c r="BC248" s="116">
        <f t="shared" ref="BC248:BC254" si="196">BC207</f>
        <v>0</v>
      </c>
      <c r="BD248" s="27">
        <f>SUM(AX248:BC248)</f>
        <v>5</v>
      </c>
      <c r="BE248" s="19"/>
      <c r="BF248" s="19"/>
      <c r="BG248" s="19"/>
      <c r="BH248" s="65"/>
      <c r="BI248" s="63"/>
      <c r="BJ248" s="352"/>
      <c r="BK248" s="19"/>
      <c r="BL248" s="107" t="s">
        <v>5</v>
      </c>
      <c r="BM248" s="33">
        <f t="shared" ref="BM248:BM254" si="197">BR72</f>
        <v>2</v>
      </c>
      <c r="BN248" s="117">
        <f t="shared" ref="BN248:BN254" si="198">BR99</f>
        <v>1</v>
      </c>
      <c r="BO248" s="116">
        <f t="shared" ref="BO248:BO254" si="199">BR126</f>
        <v>0</v>
      </c>
      <c r="BP248" s="33">
        <f t="shared" ref="BP248:BP254" si="200">BR153</f>
        <v>0</v>
      </c>
      <c r="BQ248" s="117">
        <f t="shared" ref="BQ248:BQ254" si="201">BR180</f>
        <v>0</v>
      </c>
      <c r="BR248" s="116">
        <f t="shared" ref="BR248:BR254" si="202">BR207</f>
        <v>0</v>
      </c>
      <c r="BS248" s="27">
        <f>SUM(BM248:BR248)</f>
        <v>3</v>
      </c>
      <c r="BT248" s="19"/>
      <c r="BU248" s="19"/>
      <c r="BV248" s="19"/>
      <c r="BW248" s="65"/>
      <c r="BX248" s="63"/>
      <c r="BY248" s="352"/>
      <c r="BZ248" s="14"/>
      <c r="CA248" s="14"/>
      <c r="CB248" s="21"/>
      <c r="CC248" s="21"/>
      <c r="CD248" s="180"/>
      <c r="CE248" s="180"/>
      <c r="CF248" s="21"/>
      <c r="CG248" s="14"/>
      <c r="CH248" s="14"/>
      <c r="CI248" s="14"/>
      <c r="CJ248" s="14"/>
      <c r="CK248" s="14"/>
      <c r="CL248" s="14"/>
      <c r="CM248" s="14"/>
      <c r="CN248" s="14"/>
      <c r="CO248" s="129"/>
      <c r="CP248" s="14"/>
      <c r="CQ248" s="47"/>
      <c r="CR248" s="14"/>
      <c r="CS248" s="14"/>
      <c r="CT248" s="14"/>
      <c r="CU248" s="14"/>
      <c r="CV248" s="180"/>
      <c r="CW248" s="189"/>
      <c r="CX248" s="189"/>
      <c r="CY248" s="14"/>
      <c r="CZ248" s="14"/>
      <c r="DA248" s="14"/>
      <c r="DB248" s="14"/>
      <c r="DC248" s="14"/>
      <c r="DD248" s="14"/>
      <c r="DE248" s="14"/>
      <c r="DF248" s="14"/>
      <c r="DG248" s="129"/>
      <c r="DH248" s="14"/>
      <c r="DI248" s="47"/>
      <c r="DJ248" s="14"/>
      <c r="DK248" s="107" t="s">
        <v>34</v>
      </c>
      <c r="DL248" s="33">
        <f>DQ72</f>
        <v>1</v>
      </c>
      <c r="DM248" s="117">
        <f>DQ99</f>
        <v>0</v>
      </c>
      <c r="DN248" s="116">
        <f>DQ126</f>
        <v>0</v>
      </c>
      <c r="DO248" s="33">
        <f>DQ153</f>
        <v>0</v>
      </c>
      <c r="DP248" s="117">
        <f>DQ180</f>
        <v>0</v>
      </c>
      <c r="DQ248" s="116">
        <f>DQ207</f>
        <v>0</v>
      </c>
      <c r="DR248" s="27">
        <f t="shared" ref="DR248:DR253" si="203">SUM(DL248:DQ248)</f>
        <v>1</v>
      </c>
      <c r="DS248" s="14"/>
      <c r="DT248" s="14"/>
      <c r="DU248" s="14"/>
      <c r="DV248" s="14"/>
      <c r="DW248" s="14"/>
      <c r="DX248" s="14"/>
      <c r="DY248" s="14"/>
      <c r="DZ248" s="14"/>
      <c r="EA248" s="14"/>
      <c r="EB248" s="14"/>
      <c r="EC248" s="14"/>
      <c r="ED248" s="14"/>
      <c r="EE248" s="14"/>
      <c r="EF248" s="14"/>
      <c r="EG248" s="14"/>
      <c r="EH248" s="14"/>
      <c r="EI248" s="14"/>
      <c r="EJ248" s="14"/>
      <c r="EK248" s="14"/>
      <c r="EL248" s="14"/>
    </row>
    <row r="249" spans="1:142" x14ac:dyDescent="0.25">
      <c r="A249" s="14"/>
      <c r="B249" s="107" t="s">
        <v>35</v>
      </c>
      <c r="C249" s="33">
        <f>H73</f>
        <v>0</v>
      </c>
      <c r="D249" s="117">
        <f>H100</f>
        <v>0</v>
      </c>
      <c r="E249" s="116">
        <f>H127</f>
        <v>0</v>
      </c>
      <c r="F249" s="33">
        <f>H154</f>
        <v>0</v>
      </c>
      <c r="G249" s="117">
        <f>H181</f>
        <v>1</v>
      </c>
      <c r="H249" s="116">
        <f>H208</f>
        <v>0</v>
      </c>
      <c r="I249" s="27">
        <f t="shared" si="178"/>
        <v>1</v>
      </c>
      <c r="J249" s="14"/>
      <c r="K249" s="14"/>
      <c r="L249" s="14"/>
      <c r="M249" s="14"/>
      <c r="N249" s="14"/>
      <c r="O249" s="14"/>
      <c r="P249" s="14"/>
      <c r="Q249" s="47"/>
      <c r="R249" s="19"/>
      <c r="S249" s="107" t="s">
        <v>4</v>
      </c>
      <c r="T249" s="33">
        <f t="shared" si="179"/>
        <v>0</v>
      </c>
      <c r="U249" s="117">
        <f t="shared" si="180"/>
        <v>0</v>
      </c>
      <c r="V249" s="116">
        <f t="shared" si="181"/>
        <v>1</v>
      </c>
      <c r="W249" s="33">
        <f t="shared" si="182"/>
        <v>1</v>
      </c>
      <c r="X249" s="117">
        <f t="shared" si="183"/>
        <v>0</v>
      </c>
      <c r="Y249" s="116">
        <f t="shared" si="184"/>
        <v>0</v>
      </c>
      <c r="Z249" s="27">
        <f t="shared" ref="Z249:Z255" si="204">SUM(T249:Y249)</f>
        <v>2</v>
      </c>
      <c r="AA249" s="19"/>
      <c r="AB249" s="19"/>
      <c r="AC249" s="19"/>
      <c r="AD249" s="65"/>
      <c r="AE249" s="63"/>
      <c r="AF249" s="47"/>
      <c r="AG249" s="19"/>
      <c r="AH249" s="107" t="s">
        <v>4</v>
      </c>
      <c r="AI249" s="33">
        <f t="shared" si="185"/>
        <v>0</v>
      </c>
      <c r="AJ249" s="117">
        <f t="shared" si="186"/>
        <v>0</v>
      </c>
      <c r="AK249" s="116">
        <f t="shared" si="187"/>
        <v>1</v>
      </c>
      <c r="AL249" s="33">
        <f t="shared" si="188"/>
        <v>0</v>
      </c>
      <c r="AM249" s="117">
        <f t="shared" si="189"/>
        <v>0</v>
      </c>
      <c r="AN249" s="116">
        <f t="shared" si="190"/>
        <v>0</v>
      </c>
      <c r="AO249" s="27">
        <f t="shared" ref="AO249:AO255" si="205">SUM(AI249:AN249)</f>
        <v>1</v>
      </c>
      <c r="AP249" s="19"/>
      <c r="AQ249" s="19"/>
      <c r="AR249" s="19"/>
      <c r="AS249" s="65"/>
      <c r="AT249" s="63"/>
      <c r="AU249" s="47"/>
      <c r="AV249" s="14"/>
      <c r="AW249" s="107" t="s">
        <v>4</v>
      </c>
      <c r="AX249" s="33">
        <f t="shared" si="191"/>
        <v>0</v>
      </c>
      <c r="AY249" s="117">
        <f t="shared" si="192"/>
        <v>0</v>
      </c>
      <c r="AZ249" s="116">
        <f t="shared" si="193"/>
        <v>1</v>
      </c>
      <c r="BA249" s="33">
        <f t="shared" si="194"/>
        <v>0</v>
      </c>
      <c r="BB249" s="117">
        <f t="shared" si="195"/>
        <v>0</v>
      </c>
      <c r="BC249" s="116">
        <f t="shared" si="196"/>
        <v>0</v>
      </c>
      <c r="BD249" s="27">
        <f t="shared" ref="BD249:BD255" si="206">SUM(AX249:BC249)</f>
        <v>1</v>
      </c>
      <c r="BE249" s="19"/>
      <c r="BF249" s="19"/>
      <c r="BG249" s="19"/>
      <c r="BH249" s="65"/>
      <c r="BI249" s="63"/>
      <c r="BJ249" s="352"/>
      <c r="BK249" s="19"/>
      <c r="BL249" s="107" t="s">
        <v>4</v>
      </c>
      <c r="BM249" s="33">
        <f t="shared" si="197"/>
        <v>0</v>
      </c>
      <c r="BN249" s="117">
        <f t="shared" si="198"/>
        <v>0</v>
      </c>
      <c r="BO249" s="116">
        <f t="shared" si="199"/>
        <v>1</v>
      </c>
      <c r="BP249" s="33">
        <f t="shared" si="200"/>
        <v>1</v>
      </c>
      <c r="BQ249" s="117">
        <f t="shared" si="201"/>
        <v>0</v>
      </c>
      <c r="BR249" s="116">
        <f t="shared" si="202"/>
        <v>0</v>
      </c>
      <c r="BS249" s="27">
        <f t="shared" ref="BS249:BS255" si="207">SUM(BM249:BR249)</f>
        <v>2</v>
      </c>
      <c r="BT249" s="19"/>
      <c r="BU249" s="19"/>
      <c r="BV249" s="19"/>
      <c r="BW249" s="65"/>
      <c r="BX249" s="63"/>
      <c r="BY249" s="352"/>
      <c r="BZ249" s="14"/>
      <c r="CA249" s="14"/>
      <c r="CB249" s="21"/>
      <c r="CC249" s="21"/>
      <c r="CD249" s="180"/>
      <c r="CE249" s="180"/>
      <c r="CF249" s="21"/>
      <c r="CG249" s="14"/>
      <c r="CH249" s="14"/>
      <c r="CI249" s="14"/>
      <c r="CJ249" s="14"/>
      <c r="CK249" s="14"/>
      <c r="CL249" s="14"/>
      <c r="CM249" s="14"/>
      <c r="CN249" s="14"/>
      <c r="CO249" s="129"/>
      <c r="CP249" s="14"/>
      <c r="CQ249" s="47"/>
      <c r="CR249" s="14"/>
      <c r="CS249" s="14"/>
      <c r="CT249" s="14"/>
      <c r="CU249" s="14"/>
      <c r="CV249" s="180"/>
      <c r="CW249" s="189"/>
      <c r="CX249" s="189"/>
      <c r="CY249" s="14"/>
      <c r="CZ249" s="14"/>
      <c r="DA249" s="14"/>
      <c r="DB249" s="14"/>
      <c r="DC249" s="14"/>
      <c r="DD249" s="14"/>
      <c r="DE249" s="14"/>
      <c r="DF249" s="14"/>
      <c r="DG249" s="129"/>
      <c r="DH249" s="14"/>
      <c r="DI249" s="47"/>
      <c r="DJ249" s="14"/>
      <c r="DK249" s="107" t="s">
        <v>35</v>
      </c>
      <c r="DL249" s="33">
        <f>DQ73</f>
        <v>1</v>
      </c>
      <c r="DM249" s="117">
        <f>DQ100</f>
        <v>0</v>
      </c>
      <c r="DN249" s="116">
        <f>DQ127</f>
        <v>1</v>
      </c>
      <c r="DO249" s="33">
        <f>DQ154</f>
        <v>0</v>
      </c>
      <c r="DP249" s="117">
        <f>DQ181</f>
        <v>0</v>
      </c>
      <c r="DQ249" s="116">
        <f>DQ208</f>
        <v>0</v>
      </c>
      <c r="DR249" s="27">
        <f t="shared" si="203"/>
        <v>2</v>
      </c>
      <c r="DS249" s="14"/>
      <c r="DT249" s="14"/>
      <c r="DU249" s="14"/>
      <c r="DV249" s="14"/>
      <c r="DW249" s="14"/>
      <c r="DX249" s="14"/>
      <c r="DY249" s="14"/>
      <c r="DZ249" s="14"/>
      <c r="EA249" s="14"/>
      <c r="EB249" s="14"/>
      <c r="EC249" s="14"/>
      <c r="ED249" s="14"/>
      <c r="EE249" s="14"/>
      <c r="EF249" s="14"/>
      <c r="EG249" s="14"/>
      <c r="EH249" s="14"/>
      <c r="EI249" s="14"/>
      <c r="EJ249" s="14"/>
      <c r="EK249" s="14"/>
      <c r="EL249" s="14"/>
    </row>
    <row r="250" spans="1:142" x14ac:dyDescent="0.25">
      <c r="A250" s="14"/>
      <c r="B250" s="107" t="s">
        <v>36</v>
      </c>
      <c r="C250" s="33">
        <f>H74</f>
        <v>0</v>
      </c>
      <c r="D250" s="117">
        <f>H101</f>
        <v>0</v>
      </c>
      <c r="E250" s="116">
        <f>H128</f>
        <v>0</v>
      </c>
      <c r="F250" s="33">
        <f>H155</f>
        <v>0</v>
      </c>
      <c r="G250" s="117">
        <f>H182</f>
        <v>0</v>
      </c>
      <c r="H250" s="116">
        <f>H209</f>
        <v>0</v>
      </c>
      <c r="I250" s="27">
        <f t="shared" si="178"/>
        <v>0</v>
      </c>
      <c r="J250" s="14"/>
      <c r="K250" s="14"/>
      <c r="L250" s="14"/>
      <c r="M250" s="14"/>
      <c r="N250" s="14"/>
      <c r="O250" s="14"/>
      <c r="P250" s="14"/>
      <c r="Q250" s="47"/>
      <c r="R250" s="19"/>
      <c r="S250" s="107" t="s">
        <v>33</v>
      </c>
      <c r="T250" s="33">
        <f t="shared" si="179"/>
        <v>0</v>
      </c>
      <c r="U250" s="117">
        <f t="shared" si="180"/>
        <v>0</v>
      </c>
      <c r="V250" s="116">
        <f t="shared" si="181"/>
        <v>0</v>
      </c>
      <c r="W250" s="33">
        <f t="shared" si="182"/>
        <v>0</v>
      </c>
      <c r="X250" s="117">
        <f t="shared" si="183"/>
        <v>0</v>
      </c>
      <c r="Y250" s="116">
        <f t="shared" si="184"/>
        <v>0</v>
      </c>
      <c r="Z250" s="27">
        <f t="shared" si="204"/>
        <v>0</v>
      </c>
      <c r="AA250" s="19"/>
      <c r="AB250" s="19"/>
      <c r="AC250" s="19"/>
      <c r="AD250" s="65"/>
      <c r="AE250" s="63"/>
      <c r="AF250" s="47"/>
      <c r="AG250" s="19"/>
      <c r="AH250" s="107" t="s">
        <v>33</v>
      </c>
      <c r="AI250" s="33">
        <f t="shared" si="185"/>
        <v>0</v>
      </c>
      <c r="AJ250" s="117">
        <f t="shared" si="186"/>
        <v>0</v>
      </c>
      <c r="AK250" s="116">
        <f t="shared" si="187"/>
        <v>0</v>
      </c>
      <c r="AL250" s="33">
        <f t="shared" si="188"/>
        <v>0</v>
      </c>
      <c r="AM250" s="117">
        <f t="shared" si="189"/>
        <v>0</v>
      </c>
      <c r="AN250" s="116">
        <f t="shared" si="190"/>
        <v>0</v>
      </c>
      <c r="AO250" s="27">
        <f t="shared" si="205"/>
        <v>0</v>
      </c>
      <c r="AP250" s="19"/>
      <c r="AQ250" s="19"/>
      <c r="AR250" s="19"/>
      <c r="AS250" s="65"/>
      <c r="AT250" s="63"/>
      <c r="AU250" s="47"/>
      <c r="AV250" s="14"/>
      <c r="AW250" s="107" t="s">
        <v>33</v>
      </c>
      <c r="AX250" s="33">
        <f t="shared" si="191"/>
        <v>0</v>
      </c>
      <c r="AY250" s="117">
        <f t="shared" si="192"/>
        <v>0</v>
      </c>
      <c r="AZ250" s="116">
        <f t="shared" si="193"/>
        <v>0</v>
      </c>
      <c r="BA250" s="33">
        <f t="shared" si="194"/>
        <v>0</v>
      </c>
      <c r="BB250" s="117">
        <f t="shared" si="195"/>
        <v>0</v>
      </c>
      <c r="BC250" s="116">
        <f t="shared" si="196"/>
        <v>0</v>
      </c>
      <c r="BD250" s="27">
        <f t="shared" si="206"/>
        <v>0</v>
      </c>
      <c r="BE250" s="19"/>
      <c r="BF250" s="19"/>
      <c r="BG250" s="19"/>
      <c r="BH250" s="65"/>
      <c r="BI250" s="63"/>
      <c r="BJ250" s="352"/>
      <c r="BK250" s="19"/>
      <c r="BL250" s="107" t="s">
        <v>33</v>
      </c>
      <c r="BM250" s="33">
        <f t="shared" si="197"/>
        <v>0</v>
      </c>
      <c r="BN250" s="117">
        <f t="shared" si="198"/>
        <v>0</v>
      </c>
      <c r="BO250" s="116">
        <f t="shared" si="199"/>
        <v>0</v>
      </c>
      <c r="BP250" s="33">
        <f t="shared" si="200"/>
        <v>0</v>
      </c>
      <c r="BQ250" s="117">
        <f t="shared" si="201"/>
        <v>0</v>
      </c>
      <c r="BR250" s="116">
        <f t="shared" si="202"/>
        <v>0</v>
      </c>
      <c r="BS250" s="27">
        <f t="shared" si="207"/>
        <v>0</v>
      </c>
      <c r="BT250" s="19"/>
      <c r="BU250" s="19"/>
      <c r="BV250" s="19"/>
      <c r="BW250" s="65"/>
      <c r="BX250" s="63"/>
      <c r="BY250" s="352"/>
      <c r="BZ250" s="14"/>
      <c r="CA250" s="14"/>
      <c r="CB250" s="21"/>
      <c r="CC250" s="21"/>
      <c r="CD250" s="180"/>
      <c r="CE250" s="180"/>
      <c r="CF250" s="21"/>
      <c r="CG250" s="14"/>
      <c r="CH250" s="14"/>
      <c r="CI250" s="14"/>
      <c r="CJ250" s="14"/>
      <c r="CK250" s="14"/>
      <c r="CL250" s="14"/>
      <c r="CM250" s="14"/>
      <c r="CN250" s="14"/>
      <c r="CO250" s="129"/>
      <c r="CP250" s="14"/>
      <c r="CQ250" s="47"/>
      <c r="CR250" s="14"/>
      <c r="CS250" s="14"/>
      <c r="CT250" s="14"/>
      <c r="CU250" s="14"/>
      <c r="CV250" s="180"/>
      <c r="CW250" s="189"/>
      <c r="CX250" s="189"/>
      <c r="CY250" s="14"/>
      <c r="CZ250" s="14"/>
      <c r="DA250" s="14"/>
      <c r="DB250" s="14"/>
      <c r="DC250" s="14"/>
      <c r="DD250" s="14"/>
      <c r="DE250" s="14"/>
      <c r="DF250" s="14"/>
      <c r="DG250" s="129"/>
      <c r="DH250" s="14"/>
      <c r="DI250" s="47"/>
      <c r="DJ250" s="14"/>
      <c r="DK250" s="107" t="s">
        <v>36</v>
      </c>
      <c r="DL250" s="33">
        <f>DQ74</f>
        <v>1</v>
      </c>
      <c r="DM250" s="117">
        <f>DQ101</f>
        <v>0</v>
      </c>
      <c r="DN250" s="116">
        <f>DQ128</f>
        <v>0</v>
      </c>
      <c r="DO250" s="33">
        <f>DQ155</f>
        <v>0</v>
      </c>
      <c r="DP250" s="117">
        <f>DQ182</f>
        <v>1</v>
      </c>
      <c r="DQ250" s="116">
        <f>DQ209</f>
        <v>0</v>
      </c>
      <c r="DR250" s="27">
        <f t="shared" si="203"/>
        <v>2</v>
      </c>
      <c r="DS250" s="14"/>
      <c r="DT250" s="14"/>
      <c r="DU250" s="14"/>
      <c r="DV250" s="14"/>
      <c r="DW250" s="14"/>
      <c r="DX250" s="14"/>
      <c r="DY250" s="14"/>
      <c r="DZ250" s="14"/>
      <c r="EA250" s="14"/>
      <c r="EB250" s="14"/>
      <c r="EC250" s="14"/>
      <c r="ED250" s="14"/>
      <c r="EE250" s="14"/>
      <c r="EF250" s="14"/>
      <c r="EG250" s="14"/>
      <c r="EH250" s="14"/>
      <c r="EI250" s="14"/>
      <c r="EJ250" s="14"/>
      <c r="EK250" s="14"/>
      <c r="EL250" s="14"/>
    </row>
    <row r="251" spans="1:142" x14ac:dyDescent="0.25">
      <c r="A251" s="14"/>
      <c r="B251" s="107" t="s">
        <v>38</v>
      </c>
      <c r="C251" s="33">
        <f>H75</f>
        <v>0</v>
      </c>
      <c r="D251" s="117">
        <f>H102</f>
        <v>0</v>
      </c>
      <c r="E251" s="116">
        <f>H129</f>
        <v>0</v>
      </c>
      <c r="F251" s="33">
        <f>H156</f>
        <v>0</v>
      </c>
      <c r="G251" s="117">
        <f>H183</f>
        <v>0</v>
      </c>
      <c r="H251" s="116">
        <f>H210</f>
        <v>0</v>
      </c>
      <c r="I251" s="27">
        <f t="shared" si="178"/>
        <v>0</v>
      </c>
      <c r="J251" s="14"/>
      <c r="K251" s="14"/>
      <c r="L251" s="14"/>
      <c r="M251" s="14"/>
      <c r="N251" s="14"/>
      <c r="O251" s="14"/>
      <c r="P251" s="14"/>
      <c r="Q251" s="47"/>
      <c r="R251" s="19"/>
      <c r="S251" s="107" t="s">
        <v>29</v>
      </c>
      <c r="T251" s="33">
        <f t="shared" si="179"/>
        <v>0</v>
      </c>
      <c r="U251" s="117">
        <f t="shared" si="180"/>
        <v>0</v>
      </c>
      <c r="V251" s="116">
        <f t="shared" si="181"/>
        <v>1</v>
      </c>
      <c r="W251" s="33">
        <f t="shared" si="182"/>
        <v>0</v>
      </c>
      <c r="X251" s="117">
        <f t="shared" si="183"/>
        <v>0</v>
      </c>
      <c r="Y251" s="116">
        <f t="shared" si="184"/>
        <v>0</v>
      </c>
      <c r="Z251" s="27">
        <f t="shared" si="204"/>
        <v>1</v>
      </c>
      <c r="AA251" s="19"/>
      <c r="AB251" s="19"/>
      <c r="AC251" s="19"/>
      <c r="AD251" s="65"/>
      <c r="AE251" s="63"/>
      <c r="AF251" s="47"/>
      <c r="AG251" s="19"/>
      <c r="AH251" s="107" t="s">
        <v>29</v>
      </c>
      <c r="AI251" s="33">
        <f t="shared" si="185"/>
        <v>0</v>
      </c>
      <c r="AJ251" s="117">
        <f t="shared" si="186"/>
        <v>0</v>
      </c>
      <c r="AK251" s="116">
        <f t="shared" si="187"/>
        <v>0</v>
      </c>
      <c r="AL251" s="33">
        <f t="shared" si="188"/>
        <v>0</v>
      </c>
      <c r="AM251" s="117">
        <f t="shared" si="189"/>
        <v>0</v>
      </c>
      <c r="AN251" s="116">
        <f t="shared" si="190"/>
        <v>0</v>
      </c>
      <c r="AO251" s="27">
        <f t="shared" si="205"/>
        <v>0</v>
      </c>
      <c r="AP251" s="19"/>
      <c r="AQ251" s="19"/>
      <c r="AR251" s="19"/>
      <c r="AS251" s="65"/>
      <c r="AT251" s="63"/>
      <c r="AU251" s="47"/>
      <c r="AV251" s="14"/>
      <c r="AW251" s="107" t="s">
        <v>29</v>
      </c>
      <c r="AX251" s="33">
        <f t="shared" si="191"/>
        <v>0</v>
      </c>
      <c r="AY251" s="117">
        <f t="shared" si="192"/>
        <v>0</v>
      </c>
      <c r="AZ251" s="116">
        <f t="shared" si="193"/>
        <v>0</v>
      </c>
      <c r="BA251" s="33">
        <f t="shared" si="194"/>
        <v>0</v>
      </c>
      <c r="BB251" s="117">
        <f t="shared" si="195"/>
        <v>0</v>
      </c>
      <c r="BC251" s="116">
        <f t="shared" si="196"/>
        <v>0</v>
      </c>
      <c r="BD251" s="27">
        <f t="shared" si="206"/>
        <v>0</v>
      </c>
      <c r="BE251" s="19"/>
      <c r="BF251" s="19"/>
      <c r="BG251" s="19"/>
      <c r="BH251" s="65"/>
      <c r="BI251" s="63"/>
      <c r="BJ251" s="352"/>
      <c r="BK251" s="19"/>
      <c r="BL251" s="107" t="s">
        <v>29</v>
      </c>
      <c r="BM251" s="33">
        <f t="shared" si="197"/>
        <v>0</v>
      </c>
      <c r="BN251" s="117">
        <f t="shared" si="198"/>
        <v>0</v>
      </c>
      <c r="BO251" s="116">
        <f t="shared" si="199"/>
        <v>1</v>
      </c>
      <c r="BP251" s="33">
        <f t="shared" si="200"/>
        <v>0</v>
      </c>
      <c r="BQ251" s="117">
        <f t="shared" si="201"/>
        <v>0</v>
      </c>
      <c r="BR251" s="116">
        <f t="shared" si="202"/>
        <v>0</v>
      </c>
      <c r="BS251" s="27">
        <f t="shared" si="207"/>
        <v>1</v>
      </c>
      <c r="BT251" s="19"/>
      <c r="BU251" s="19"/>
      <c r="BV251" s="19"/>
      <c r="BW251" s="65"/>
      <c r="BX251" s="63"/>
      <c r="BY251" s="352"/>
      <c r="BZ251" s="14"/>
      <c r="CA251" s="14"/>
      <c r="CB251" s="21"/>
      <c r="CC251" s="21"/>
      <c r="CD251" s="180"/>
      <c r="CE251" s="180"/>
      <c r="CF251" s="21"/>
      <c r="CG251" s="14"/>
      <c r="CH251" s="14"/>
      <c r="CI251" s="14"/>
      <c r="CJ251" s="14"/>
      <c r="CK251" s="14"/>
      <c r="CL251" s="14"/>
      <c r="CM251" s="14"/>
      <c r="CN251" s="14"/>
      <c r="CO251" s="129"/>
      <c r="CP251" s="14"/>
      <c r="CQ251" s="47"/>
      <c r="CR251" s="14"/>
      <c r="CS251" s="14"/>
      <c r="CT251" s="14"/>
      <c r="CU251" s="14"/>
      <c r="CV251" s="180"/>
      <c r="CW251" s="189"/>
      <c r="CX251" s="189"/>
      <c r="CY251" s="14"/>
      <c r="CZ251" s="14"/>
      <c r="DA251" s="14"/>
      <c r="DB251" s="14"/>
      <c r="DC251" s="14"/>
      <c r="DD251" s="14"/>
      <c r="DE251" s="14"/>
      <c r="DF251" s="14"/>
      <c r="DG251" s="129"/>
      <c r="DH251" s="14"/>
      <c r="DI251" s="47"/>
      <c r="DJ251" s="14"/>
      <c r="DK251" s="107" t="s">
        <v>38</v>
      </c>
      <c r="DL251" s="33">
        <f>DQ75</f>
        <v>1</v>
      </c>
      <c r="DM251" s="117">
        <f>DQ102</f>
        <v>0</v>
      </c>
      <c r="DN251" s="116">
        <f>DQ129</f>
        <v>1</v>
      </c>
      <c r="DO251" s="33">
        <f>DQ156</f>
        <v>1</v>
      </c>
      <c r="DP251" s="117">
        <f>DQ183</f>
        <v>1</v>
      </c>
      <c r="DQ251" s="116">
        <f>DQ210</f>
        <v>0</v>
      </c>
      <c r="DR251" s="27">
        <f t="shared" si="203"/>
        <v>4</v>
      </c>
      <c r="DS251" s="14"/>
      <c r="DT251" s="14"/>
      <c r="DU251" s="14"/>
      <c r="DV251" s="14"/>
      <c r="DW251" s="14"/>
      <c r="DX251" s="14"/>
      <c r="DY251" s="14"/>
      <c r="DZ251" s="14"/>
      <c r="EA251" s="14"/>
      <c r="EB251" s="14"/>
      <c r="EC251" s="14"/>
      <c r="ED251" s="14"/>
      <c r="EE251" s="14"/>
      <c r="EF251" s="14"/>
      <c r="EG251" s="14"/>
      <c r="EH251" s="14"/>
      <c r="EI251" s="14"/>
      <c r="EJ251" s="14"/>
      <c r="EK251" s="14"/>
      <c r="EL251" s="14"/>
    </row>
    <row r="252" spans="1:142" x14ac:dyDescent="0.25">
      <c r="A252" s="14"/>
      <c r="B252" s="107" t="s">
        <v>39</v>
      </c>
      <c r="C252" s="33">
        <f>H76</f>
        <v>2</v>
      </c>
      <c r="D252" s="117">
        <f>H103</f>
        <v>0</v>
      </c>
      <c r="E252" s="116">
        <f>H130</f>
        <v>0</v>
      </c>
      <c r="F252" s="33">
        <f>H157</f>
        <v>1</v>
      </c>
      <c r="G252" s="117">
        <f>H184</f>
        <v>0</v>
      </c>
      <c r="H252" s="116">
        <f>H211</f>
        <v>0</v>
      </c>
      <c r="I252" s="27">
        <f t="shared" si="178"/>
        <v>3</v>
      </c>
      <c r="J252" s="14"/>
      <c r="K252" s="14"/>
      <c r="L252" s="14"/>
      <c r="M252" s="14"/>
      <c r="N252" s="14"/>
      <c r="O252" s="14"/>
      <c r="P252" s="14"/>
      <c r="Q252" s="47"/>
      <c r="R252" s="19"/>
      <c r="S252" s="107" t="s">
        <v>3</v>
      </c>
      <c r="T252" s="33">
        <f t="shared" si="179"/>
        <v>0</v>
      </c>
      <c r="U252" s="117">
        <f t="shared" si="180"/>
        <v>0</v>
      </c>
      <c r="V252" s="116">
        <f t="shared" si="181"/>
        <v>0</v>
      </c>
      <c r="W252" s="33">
        <f t="shared" si="182"/>
        <v>0</v>
      </c>
      <c r="X252" s="117">
        <f t="shared" si="183"/>
        <v>1</v>
      </c>
      <c r="Y252" s="116">
        <f t="shared" si="184"/>
        <v>0</v>
      </c>
      <c r="Z252" s="27">
        <f t="shared" si="204"/>
        <v>1</v>
      </c>
      <c r="AA252" s="19"/>
      <c r="AB252" s="19"/>
      <c r="AC252" s="19"/>
      <c r="AD252" s="65"/>
      <c r="AE252" s="63"/>
      <c r="AF252" s="47"/>
      <c r="AG252" s="19"/>
      <c r="AH252" s="107" t="s">
        <v>3</v>
      </c>
      <c r="AI252" s="33">
        <f t="shared" si="185"/>
        <v>0</v>
      </c>
      <c r="AJ252" s="117">
        <f t="shared" si="186"/>
        <v>0</v>
      </c>
      <c r="AK252" s="116">
        <f t="shared" si="187"/>
        <v>0</v>
      </c>
      <c r="AL252" s="33">
        <f t="shared" si="188"/>
        <v>0</v>
      </c>
      <c r="AM252" s="117">
        <f t="shared" si="189"/>
        <v>0</v>
      </c>
      <c r="AN252" s="116">
        <f t="shared" si="190"/>
        <v>0</v>
      </c>
      <c r="AO252" s="27">
        <f t="shared" si="205"/>
        <v>0</v>
      </c>
      <c r="AP252" s="19"/>
      <c r="AQ252" s="19"/>
      <c r="AR252" s="19"/>
      <c r="AS252" s="65"/>
      <c r="AT252" s="63"/>
      <c r="AU252" s="47"/>
      <c r="AV252" s="14"/>
      <c r="AW252" s="107" t="s">
        <v>3</v>
      </c>
      <c r="AX252" s="33">
        <f t="shared" si="191"/>
        <v>0</v>
      </c>
      <c r="AY252" s="117">
        <f t="shared" si="192"/>
        <v>0</v>
      </c>
      <c r="AZ252" s="116">
        <f t="shared" si="193"/>
        <v>0</v>
      </c>
      <c r="BA252" s="33">
        <f t="shared" si="194"/>
        <v>0</v>
      </c>
      <c r="BB252" s="117">
        <f t="shared" si="195"/>
        <v>0</v>
      </c>
      <c r="BC252" s="116">
        <f t="shared" si="196"/>
        <v>0</v>
      </c>
      <c r="BD252" s="27">
        <f t="shared" si="206"/>
        <v>0</v>
      </c>
      <c r="BE252" s="19"/>
      <c r="BF252" s="19"/>
      <c r="BG252" s="19"/>
      <c r="BH252" s="65"/>
      <c r="BI252" s="63"/>
      <c r="BJ252" s="352"/>
      <c r="BK252" s="19"/>
      <c r="BL252" s="107" t="s">
        <v>3</v>
      </c>
      <c r="BM252" s="33">
        <f t="shared" si="197"/>
        <v>0</v>
      </c>
      <c r="BN252" s="117">
        <f t="shared" si="198"/>
        <v>0</v>
      </c>
      <c r="BO252" s="116">
        <f t="shared" si="199"/>
        <v>0</v>
      </c>
      <c r="BP252" s="33">
        <f t="shared" si="200"/>
        <v>0</v>
      </c>
      <c r="BQ252" s="117">
        <f t="shared" si="201"/>
        <v>1</v>
      </c>
      <c r="BR252" s="116">
        <f t="shared" si="202"/>
        <v>0</v>
      </c>
      <c r="BS252" s="27">
        <f t="shared" si="207"/>
        <v>1</v>
      </c>
      <c r="BT252" s="19"/>
      <c r="BU252" s="19"/>
      <c r="BV252" s="19"/>
      <c r="BW252" s="65"/>
      <c r="BX252" s="63"/>
      <c r="BY252" s="352"/>
      <c r="BZ252" s="14"/>
      <c r="CA252" s="14"/>
      <c r="CB252" s="21"/>
      <c r="CC252" s="21"/>
      <c r="CD252" s="180"/>
      <c r="CE252" s="180"/>
      <c r="CF252" s="21"/>
      <c r="CG252" s="14"/>
      <c r="CH252" s="14"/>
      <c r="CI252" s="14"/>
      <c r="CJ252" s="14"/>
      <c r="CK252" s="14"/>
      <c r="CL252" s="14"/>
      <c r="CM252" s="14"/>
      <c r="CN252" s="14"/>
      <c r="CO252" s="129"/>
      <c r="CP252" s="14"/>
      <c r="CQ252" s="47"/>
      <c r="CR252" s="14"/>
      <c r="CS252" s="14"/>
      <c r="CT252" s="14"/>
      <c r="CU252" s="14"/>
      <c r="CV252" s="180"/>
      <c r="CW252" s="189"/>
      <c r="CX252" s="189"/>
      <c r="CY252" s="14"/>
      <c r="CZ252" s="14"/>
      <c r="DA252" s="14"/>
      <c r="DB252" s="14"/>
      <c r="DC252" s="14"/>
      <c r="DD252" s="14"/>
      <c r="DE252" s="14"/>
      <c r="DF252" s="14"/>
      <c r="DG252" s="129"/>
      <c r="DH252" s="14"/>
      <c r="DI252" s="47"/>
      <c r="DJ252" s="14"/>
      <c r="DK252" s="107" t="s">
        <v>39</v>
      </c>
      <c r="DL252" s="33">
        <f>DQ76</f>
        <v>0</v>
      </c>
      <c r="DM252" s="117">
        <f>DQ103</f>
        <v>0</v>
      </c>
      <c r="DN252" s="116">
        <f>DQ130</f>
        <v>0</v>
      </c>
      <c r="DO252" s="33">
        <f>DQ157</f>
        <v>0</v>
      </c>
      <c r="DP252" s="117">
        <f>DQ184</f>
        <v>0</v>
      </c>
      <c r="DQ252" s="116">
        <f>DQ211</f>
        <v>0</v>
      </c>
      <c r="DR252" s="27">
        <f t="shared" si="203"/>
        <v>0</v>
      </c>
      <c r="DS252" s="14"/>
      <c r="DT252" s="14"/>
      <c r="DU252" s="14"/>
      <c r="DV252" s="14"/>
      <c r="DW252" s="14"/>
      <c r="DX252" s="14"/>
      <c r="DY252" s="14"/>
      <c r="DZ252" s="14"/>
      <c r="EA252" s="14"/>
      <c r="EB252" s="14"/>
      <c r="EC252" s="14"/>
      <c r="ED252" s="14"/>
      <c r="EE252" s="14"/>
      <c r="EF252" s="14"/>
      <c r="EG252" s="14"/>
      <c r="EH252" s="14"/>
      <c r="EI252" s="14"/>
      <c r="EJ252" s="14"/>
      <c r="EK252" s="14"/>
      <c r="EL252" s="14"/>
    </row>
    <row r="253" spans="1:142" x14ac:dyDescent="0.25">
      <c r="A253" s="14"/>
      <c r="B253" s="86" t="s">
        <v>8</v>
      </c>
      <c r="C253" s="111">
        <f t="shared" ref="C253:H253" si="208">SUM(C248:C252)</f>
        <v>4</v>
      </c>
      <c r="D253" s="111">
        <f t="shared" si="208"/>
        <v>0</v>
      </c>
      <c r="E253" s="111">
        <f t="shared" si="208"/>
        <v>2</v>
      </c>
      <c r="F253" s="111">
        <f t="shared" si="208"/>
        <v>1</v>
      </c>
      <c r="G253" s="111">
        <f t="shared" si="208"/>
        <v>2</v>
      </c>
      <c r="H253" s="111">
        <f t="shared" si="208"/>
        <v>0</v>
      </c>
      <c r="I253" s="111">
        <f t="shared" si="178"/>
        <v>9</v>
      </c>
      <c r="J253" s="14"/>
      <c r="K253" s="14"/>
      <c r="L253" s="14"/>
      <c r="M253" s="14"/>
      <c r="N253" s="14"/>
      <c r="O253" s="14"/>
      <c r="P253" s="14"/>
      <c r="Q253" s="47"/>
      <c r="R253" s="19"/>
      <c r="S253" s="107" t="s">
        <v>54</v>
      </c>
      <c r="T253" s="33">
        <f t="shared" si="179"/>
        <v>0</v>
      </c>
      <c r="U253" s="117">
        <f t="shared" si="180"/>
        <v>0</v>
      </c>
      <c r="V253" s="116">
        <f t="shared" si="181"/>
        <v>0</v>
      </c>
      <c r="W253" s="33">
        <f t="shared" si="182"/>
        <v>0</v>
      </c>
      <c r="X253" s="117">
        <f t="shared" si="183"/>
        <v>0</v>
      </c>
      <c r="Y253" s="116">
        <f t="shared" si="184"/>
        <v>0</v>
      </c>
      <c r="Z253" s="27">
        <f t="shared" si="204"/>
        <v>0</v>
      </c>
      <c r="AA253" s="19"/>
      <c r="AB253" s="19"/>
      <c r="AC253" s="19"/>
      <c r="AD253" s="65"/>
      <c r="AE253" s="63"/>
      <c r="AF253" s="47"/>
      <c r="AG253" s="19"/>
      <c r="AH253" s="107" t="s">
        <v>54</v>
      </c>
      <c r="AI253" s="33">
        <f t="shared" si="185"/>
        <v>0</v>
      </c>
      <c r="AJ253" s="117">
        <f t="shared" si="186"/>
        <v>0</v>
      </c>
      <c r="AK253" s="116">
        <f t="shared" si="187"/>
        <v>0</v>
      </c>
      <c r="AL253" s="33">
        <f t="shared" si="188"/>
        <v>0</v>
      </c>
      <c r="AM253" s="117">
        <f t="shared" si="189"/>
        <v>0</v>
      </c>
      <c r="AN253" s="116">
        <f t="shared" si="190"/>
        <v>0</v>
      </c>
      <c r="AO253" s="27">
        <f t="shared" si="205"/>
        <v>0</v>
      </c>
      <c r="AP253" s="19"/>
      <c r="AQ253" s="19"/>
      <c r="AR253" s="19"/>
      <c r="AS253" s="65"/>
      <c r="AT253" s="63"/>
      <c r="AU253" s="47"/>
      <c r="AV253" s="14"/>
      <c r="AW253" s="107" t="s">
        <v>54</v>
      </c>
      <c r="AX253" s="33">
        <f t="shared" si="191"/>
        <v>0</v>
      </c>
      <c r="AY253" s="117">
        <f t="shared" si="192"/>
        <v>0</v>
      </c>
      <c r="AZ253" s="116">
        <f t="shared" si="193"/>
        <v>0</v>
      </c>
      <c r="BA253" s="33">
        <f t="shared" si="194"/>
        <v>0</v>
      </c>
      <c r="BB253" s="117">
        <f t="shared" si="195"/>
        <v>0</v>
      </c>
      <c r="BC253" s="116">
        <f t="shared" si="196"/>
        <v>0</v>
      </c>
      <c r="BD253" s="27">
        <f t="shared" si="206"/>
        <v>0</v>
      </c>
      <c r="BE253" s="19"/>
      <c r="BF253" s="19"/>
      <c r="BG253" s="19"/>
      <c r="BH253" s="65"/>
      <c r="BI253" s="63"/>
      <c r="BJ253" s="352"/>
      <c r="BK253" s="19"/>
      <c r="BL253" s="107" t="s">
        <v>54</v>
      </c>
      <c r="BM253" s="33">
        <f t="shared" si="197"/>
        <v>0</v>
      </c>
      <c r="BN253" s="117">
        <f t="shared" si="198"/>
        <v>0</v>
      </c>
      <c r="BO253" s="116">
        <f t="shared" si="199"/>
        <v>0</v>
      </c>
      <c r="BP253" s="33">
        <f t="shared" si="200"/>
        <v>0</v>
      </c>
      <c r="BQ253" s="117">
        <f t="shared" si="201"/>
        <v>0</v>
      </c>
      <c r="BR253" s="116">
        <f t="shared" si="202"/>
        <v>0</v>
      </c>
      <c r="BS253" s="27">
        <f t="shared" si="207"/>
        <v>0</v>
      </c>
      <c r="BT253" s="19"/>
      <c r="BU253" s="19"/>
      <c r="BV253" s="19"/>
      <c r="BW253" s="65"/>
      <c r="BX253" s="63"/>
      <c r="BY253" s="352"/>
      <c r="BZ253" s="14"/>
      <c r="CA253" s="14"/>
      <c r="CB253" s="21"/>
      <c r="CC253" s="21"/>
      <c r="CD253" s="180"/>
      <c r="CE253" s="180"/>
      <c r="CF253" s="21"/>
      <c r="CG253" s="14"/>
      <c r="CH253" s="14"/>
      <c r="CI253" s="14"/>
      <c r="CJ253" s="14"/>
      <c r="CK253" s="14"/>
      <c r="CL253" s="14"/>
      <c r="CM253" s="14"/>
      <c r="CN253" s="14"/>
      <c r="CO253" s="129"/>
      <c r="CP253" s="14"/>
      <c r="CQ253" s="47"/>
      <c r="CR253" s="14"/>
      <c r="CS253" s="14"/>
      <c r="CT253" s="14"/>
      <c r="CU253" s="14"/>
      <c r="CV253" s="180"/>
      <c r="CW253" s="189"/>
      <c r="CX253" s="189"/>
      <c r="CY253" s="14"/>
      <c r="CZ253" s="14"/>
      <c r="DA253" s="14"/>
      <c r="DB253" s="14"/>
      <c r="DC253" s="14"/>
      <c r="DD253" s="14"/>
      <c r="DE253" s="14"/>
      <c r="DF253" s="14"/>
      <c r="DG253" s="129"/>
      <c r="DH253" s="14"/>
      <c r="DI253" s="47"/>
      <c r="DJ253" s="14"/>
      <c r="DK253" s="86" t="s">
        <v>8</v>
      </c>
      <c r="DL253" s="111">
        <f t="shared" ref="DL253:DQ253" si="209">SUM(DL248:DL252)</f>
        <v>4</v>
      </c>
      <c r="DM253" s="111">
        <f t="shared" si="209"/>
        <v>0</v>
      </c>
      <c r="DN253" s="111">
        <f t="shared" si="209"/>
        <v>2</v>
      </c>
      <c r="DO253" s="111">
        <f t="shared" si="209"/>
        <v>1</v>
      </c>
      <c r="DP253" s="111">
        <f t="shared" si="209"/>
        <v>2</v>
      </c>
      <c r="DQ253" s="111">
        <f t="shared" si="209"/>
        <v>0</v>
      </c>
      <c r="DR253" s="111">
        <f t="shared" si="203"/>
        <v>9</v>
      </c>
      <c r="DS253" s="14"/>
      <c r="DT253" s="14"/>
      <c r="DU253" s="14"/>
      <c r="DV253" s="14"/>
      <c r="DW253" s="14"/>
      <c r="DX253" s="14"/>
      <c r="DY253" s="14"/>
      <c r="DZ253" s="14"/>
      <c r="EA253" s="14"/>
      <c r="EB253" s="14"/>
      <c r="EC253" s="14"/>
      <c r="ED253" s="14"/>
      <c r="EE253" s="14"/>
      <c r="EF253" s="14"/>
      <c r="EG253" s="14"/>
      <c r="EH253" s="14"/>
      <c r="EI253" s="14"/>
      <c r="EJ253" s="14"/>
      <c r="EK253" s="14"/>
      <c r="EL253" s="14"/>
    </row>
    <row r="254" spans="1:142" x14ac:dyDescent="0.25">
      <c r="A254" s="14"/>
      <c r="B254" s="107"/>
      <c r="C254" s="33"/>
      <c r="D254" s="117"/>
      <c r="E254" s="116"/>
      <c r="F254" s="33"/>
      <c r="G254" s="117"/>
      <c r="H254" s="116"/>
      <c r="I254" s="27"/>
      <c r="J254" s="14"/>
      <c r="K254" s="14"/>
      <c r="L254" s="14"/>
      <c r="M254" s="14"/>
      <c r="N254" s="14"/>
      <c r="O254" s="14"/>
      <c r="P254" s="14"/>
      <c r="Q254" s="47"/>
      <c r="R254" s="19"/>
      <c r="S254" s="107" t="s">
        <v>39</v>
      </c>
      <c r="T254" s="33">
        <f t="shared" si="179"/>
        <v>3</v>
      </c>
      <c r="U254" s="117">
        <f t="shared" si="180"/>
        <v>0</v>
      </c>
      <c r="V254" s="116">
        <f t="shared" si="181"/>
        <v>0</v>
      </c>
      <c r="W254" s="33">
        <f t="shared" si="182"/>
        <v>0</v>
      </c>
      <c r="X254" s="117">
        <f t="shared" si="183"/>
        <v>0</v>
      </c>
      <c r="Y254" s="116">
        <f t="shared" si="184"/>
        <v>0</v>
      </c>
      <c r="Z254" s="27">
        <f t="shared" si="204"/>
        <v>3</v>
      </c>
      <c r="AA254" s="19"/>
      <c r="AB254" s="19"/>
      <c r="AC254" s="19"/>
      <c r="AD254" s="65"/>
      <c r="AE254" s="63"/>
      <c r="AF254" s="47"/>
      <c r="AG254" s="19"/>
      <c r="AH254" s="107" t="s">
        <v>39</v>
      </c>
      <c r="AI254" s="33">
        <f t="shared" si="185"/>
        <v>0</v>
      </c>
      <c r="AJ254" s="117">
        <f t="shared" si="186"/>
        <v>0</v>
      </c>
      <c r="AK254" s="116">
        <f t="shared" si="187"/>
        <v>0</v>
      </c>
      <c r="AL254" s="33">
        <f t="shared" si="188"/>
        <v>0</v>
      </c>
      <c r="AM254" s="117">
        <f t="shared" si="189"/>
        <v>0</v>
      </c>
      <c r="AN254" s="116">
        <f t="shared" si="190"/>
        <v>0</v>
      </c>
      <c r="AO254" s="27">
        <f t="shared" si="205"/>
        <v>0</v>
      </c>
      <c r="AP254" s="19"/>
      <c r="AQ254" s="19"/>
      <c r="AR254" s="19"/>
      <c r="AS254" s="65"/>
      <c r="AT254" s="63"/>
      <c r="AU254" s="47"/>
      <c r="AV254" s="14"/>
      <c r="AW254" s="107" t="s">
        <v>39</v>
      </c>
      <c r="AX254" s="33">
        <f t="shared" si="191"/>
        <v>0</v>
      </c>
      <c r="AY254" s="117">
        <f t="shared" si="192"/>
        <v>0</v>
      </c>
      <c r="AZ254" s="116">
        <f t="shared" si="193"/>
        <v>0</v>
      </c>
      <c r="BA254" s="33">
        <f t="shared" si="194"/>
        <v>0</v>
      </c>
      <c r="BB254" s="117">
        <f t="shared" si="195"/>
        <v>0</v>
      </c>
      <c r="BC254" s="116">
        <f t="shared" si="196"/>
        <v>0</v>
      </c>
      <c r="BD254" s="27">
        <f t="shared" si="206"/>
        <v>0</v>
      </c>
      <c r="BE254" s="19"/>
      <c r="BF254" s="19"/>
      <c r="BG254" s="19"/>
      <c r="BH254" s="65"/>
      <c r="BI254" s="63"/>
      <c r="BJ254" s="352"/>
      <c r="BK254" s="19"/>
      <c r="BL254" s="107" t="s">
        <v>39</v>
      </c>
      <c r="BM254" s="33">
        <f t="shared" si="197"/>
        <v>0</v>
      </c>
      <c r="BN254" s="117">
        <f t="shared" si="198"/>
        <v>0</v>
      </c>
      <c r="BO254" s="116">
        <f t="shared" si="199"/>
        <v>0</v>
      </c>
      <c r="BP254" s="33">
        <f t="shared" si="200"/>
        <v>0</v>
      </c>
      <c r="BQ254" s="117">
        <f t="shared" si="201"/>
        <v>0</v>
      </c>
      <c r="BR254" s="116">
        <f t="shared" si="202"/>
        <v>0</v>
      </c>
      <c r="BS254" s="27">
        <f t="shared" si="207"/>
        <v>0</v>
      </c>
      <c r="BT254" s="19"/>
      <c r="BU254" s="19"/>
      <c r="BV254" s="19"/>
      <c r="BW254" s="65"/>
      <c r="BX254" s="63"/>
      <c r="BY254" s="352"/>
      <c r="BZ254" s="14"/>
      <c r="CA254" s="14"/>
      <c r="CB254" s="21"/>
      <c r="CC254" s="21"/>
      <c r="CD254" s="180"/>
      <c r="CE254" s="180"/>
      <c r="CF254" s="21"/>
      <c r="CG254" s="14"/>
      <c r="CH254" s="14"/>
      <c r="CI254" s="14"/>
      <c r="CJ254" s="14"/>
      <c r="CK254" s="14"/>
      <c r="CL254" s="14"/>
      <c r="CM254" s="14"/>
      <c r="CN254" s="14"/>
      <c r="CO254" s="129"/>
      <c r="CP254" s="14"/>
      <c r="CQ254" s="47"/>
      <c r="CR254" s="14"/>
      <c r="CS254" s="14"/>
      <c r="CT254" s="14"/>
      <c r="CU254" s="14"/>
      <c r="CV254" s="180"/>
      <c r="CW254" s="189"/>
      <c r="CX254" s="189"/>
      <c r="CY254" s="14"/>
      <c r="CZ254" s="14"/>
      <c r="DA254" s="14"/>
      <c r="DB254" s="14"/>
      <c r="DC254" s="14"/>
      <c r="DD254" s="14"/>
      <c r="DE254" s="14"/>
      <c r="DF254" s="14"/>
      <c r="DG254" s="129"/>
      <c r="DH254" s="14"/>
      <c r="DI254" s="47"/>
      <c r="DJ254" s="14"/>
      <c r="DK254" s="107"/>
      <c r="DL254" s="33"/>
      <c r="DM254" s="117"/>
      <c r="DN254" s="116"/>
      <c r="DO254" s="33"/>
      <c r="DP254" s="117"/>
      <c r="DQ254" s="116"/>
      <c r="DR254" s="27"/>
      <c r="DS254" s="14"/>
      <c r="DT254" s="14"/>
      <c r="DU254" s="14"/>
      <c r="DV254" s="14"/>
      <c r="DW254" s="14"/>
      <c r="DX254" s="14"/>
      <c r="DY254" s="14"/>
      <c r="DZ254" s="14"/>
      <c r="EA254" s="14"/>
      <c r="EB254" s="14"/>
      <c r="EC254" s="14"/>
      <c r="ED254" s="14"/>
      <c r="EE254" s="14"/>
      <c r="EF254" s="14"/>
      <c r="EG254" s="14"/>
      <c r="EH254" s="14"/>
      <c r="EI254" s="14"/>
      <c r="EJ254" s="14"/>
      <c r="EK254" s="14"/>
      <c r="EL254" s="14"/>
    </row>
    <row r="255" spans="1:142" x14ac:dyDescent="0.25">
      <c r="A255" s="14"/>
      <c r="B255" s="103"/>
      <c r="C255" s="114"/>
      <c r="D255" s="114"/>
      <c r="E255" s="114"/>
      <c r="F255" s="114"/>
      <c r="G255" s="114"/>
      <c r="H255" s="114"/>
      <c r="I255" s="114"/>
      <c r="J255" s="14"/>
      <c r="K255" s="14"/>
      <c r="L255" s="14"/>
      <c r="M255" s="14"/>
      <c r="N255" s="14"/>
      <c r="O255" s="14"/>
      <c r="P255" s="14"/>
      <c r="Q255" s="47"/>
      <c r="R255" s="19"/>
      <c r="S255" s="86" t="s">
        <v>8</v>
      </c>
      <c r="T255" s="111">
        <f t="shared" ref="T255:Y255" si="210">SUM(T248:T254)</f>
        <v>5</v>
      </c>
      <c r="U255" s="111">
        <f t="shared" si="210"/>
        <v>0</v>
      </c>
      <c r="V255" s="111">
        <f t="shared" si="210"/>
        <v>2</v>
      </c>
      <c r="W255" s="111">
        <f t="shared" si="210"/>
        <v>1</v>
      </c>
      <c r="X255" s="111">
        <f t="shared" si="210"/>
        <v>2</v>
      </c>
      <c r="Y255" s="111">
        <f t="shared" si="210"/>
        <v>0</v>
      </c>
      <c r="Z255" s="111">
        <f t="shared" si="204"/>
        <v>10</v>
      </c>
      <c r="AA255" s="19"/>
      <c r="AB255" s="19"/>
      <c r="AC255" s="19"/>
      <c r="AD255" s="65"/>
      <c r="AE255" s="63"/>
      <c r="AF255" s="47"/>
      <c r="AG255" s="19"/>
      <c r="AH255" s="86" t="s">
        <v>8</v>
      </c>
      <c r="AI255" s="111">
        <f t="shared" ref="AI255:AN255" si="211">SUM(AI248:AI254)</f>
        <v>2</v>
      </c>
      <c r="AJ255" s="111">
        <f t="shared" si="211"/>
        <v>1</v>
      </c>
      <c r="AK255" s="111">
        <f t="shared" si="211"/>
        <v>1</v>
      </c>
      <c r="AL255" s="111">
        <f t="shared" si="211"/>
        <v>1</v>
      </c>
      <c r="AM255" s="111">
        <f t="shared" si="211"/>
        <v>1</v>
      </c>
      <c r="AN255" s="111">
        <f t="shared" si="211"/>
        <v>0</v>
      </c>
      <c r="AO255" s="111">
        <f t="shared" si="205"/>
        <v>6</v>
      </c>
      <c r="AP255" s="19"/>
      <c r="AQ255" s="19"/>
      <c r="AR255" s="19"/>
      <c r="AS255" s="65"/>
      <c r="AT255" s="63"/>
      <c r="AU255" s="47"/>
      <c r="AV255" s="14"/>
      <c r="AW255" s="86" t="s">
        <v>8</v>
      </c>
      <c r="AX255" s="111">
        <f t="shared" ref="AX255:BC255" si="212">SUM(AX248:AX254)</f>
        <v>2</v>
      </c>
      <c r="AY255" s="111">
        <f t="shared" si="212"/>
        <v>1</v>
      </c>
      <c r="AZ255" s="111">
        <f t="shared" si="212"/>
        <v>1</v>
      </c>
      <c r="BA255" s="111">
        <f t="shared" si="212"/>
        <v>1</v>
      </c>
      <c r="BB255" s="111">
        <f t="shared" si="212"/>
        <v>1</v>
      </c>
      <c r="BC255" s="111">
        <f t="shared" si="212"/>
        <v>0</v>
      </c>
      <c r="BD255" s="111">
        <f t="shared" si="206"/>
        <v>6</v>
      </c>
      <c r="BE255" s="19"/>
      <c r="BF255" s="19"/>
      <c r="BG255" s="19"/>
      <c r="BH255" s="65"/>
      <c r="BI255" s="63"/>
      <c r="BJ255" s="352"/>
      <c r="BK255" s="19"/>
      <c r="BL255" s="86" t="s">
        <v>8</v>
      </c>
      <c r="BM255" s="111">
        <f t="shared" ref="BM255:BR255" si="213">SUM(BM248:BM254)</f>
        <v>2</v>
      </c>
      <c r="BN255" s="111">
        <f t="shared" si="213"/>
        <v>1</v>
      </c>
      <c r="BO255" s="111">
        <f t="shared" si="213"/>
        <v>2</v>
      </c>
      <c r="BP255" s="111">
        <f t="shared" si="213"/>
        <v>1</v>
      </c>
      <c r="BQ255" s="111">
        <f t="shared" si="213"/>
        <v>1</v>
      </c>
      <c r="BR255" s="111">
        <f t="shared" si="213"/>
        <v>0</v>
      </c>
      <c r="BS255" s="111">
        <f t="shared" si="207"/>
        <v>7</v>
      </c>
      <c r="BT255" s="19"/>
      <c r="BU255" s="19"/>
      <c r="BV255" s="19"/>
      <c r="BW255" s="65"/>
      <c r="BX255" s="63"/>
      <c r="BY255" s="352"/>
      <c r="BZ255" s="14"/>
      <c r="CA255" s="14"/>
      <c r="CB255" s="21"/>
      <c r="CC255" s="21"/>
      <c r="CD255" s="180"/>
      <c r="CE255" s="180"/>
      <c r="CF255" s="21"/>
      <c r="CG255" s="14"/>
      <c r="CH255" s="14"/>
      <c r="CI255" s="14"/>
      <c r="CJ255" s="14"/>
      <c r="CK255" s="14"/>
      <c r="CL255" s="14"/>
      <c r="CM255" s="14"/>
      <c r="CN255" s="14"/>
      <c r="CO255" s="129"/>
      <c r="CP255" s="14"/>
      <c r="CQ255" s="47"/>
      <c r="CR255" s="14"/>
      <c r="CS255" s="14"/>
      <c r="CT255" s="14"/>
      <c r="CU255" s="14"/>
      <c r="CV255" s="180"/>
      <c r="CW255" s="189"/>
      <c r="CX255" s="189"/>
      <c r="CY255" s="14"/>
      <c r="CZ255" s="14"/>
      <c r="DA255" s="14"/>
      <c r="DB255" s="14"/>
      <c r="DC255" s="14"/>
      <c r="DD255" s="14"/>
      <c r="DE255" s="14"/>
      <c r="DF255" s="14"/>
      <c r="DG255" s="129"/>
      <c r="DH255" s="14"/>
      <c r="DI255" s="47"/>
      <c r="DJ255" s="14"/>
      <c r="DK255" s="103"/>
      <c r="DL255" s="114"/>
      <c r="DM255" s="114"/>
      <c r="DN255" s="114"/>
      <c r="DO255" s="114"/>
      <c r="DP255" s="114"/>
      <c r="DQ255" s="114"/>
      <c r="DR255" s="114"/>
      <c r="DS255" s="14"/>
      <c r="DT255" s="14"/>
      <c r="DU255" s="14"/>
      <c r="DV255" s="14"/>
      <c r="DW255" s="14"/>
      <c r="DX255" s="14"/>
      <c r="DY255" s="14"/>
      <c r="DZ255" s="14"/>
      <c r="EA255" s="14"/>
      <c r="EB255" s="14"/>
      <c r="EC255" s="14"/>
      <c r="ED255" s="14"/>
      <c r="EE255" s="14"/>
      <c r="EF255" s="14"/>
      <c r="EG255" s="14"/>
      <c r="EH255" s="14"/>
      <c r="EI255" s="14"/>
      <c r="EJ255" s="14"/>
      <c r="EK255" s="14"/>
      <c r="EL255" s="14"/>
    </row>
    <row r="256" spans="1:142" x14ac:dyDescent="0.25">
      <c r="A256" s="14"/>
      <c r="B256" s="19"/>
      <c r="C256" s="40"/>
      <c r="D256" s="41"/>
      <c r="E256" s="40"/>
      <c r="F256" s="40"/>
      <c r="G256" s="40"/>
      <c r="H256" s="41"/>
      <c r="I256" s="72"/>
      <c r="J256" s="14"/>
      <c r="K256" s="14"/>
      <c r="L256" s="14"/>
      <c r="M256" s="14"/>
      <c r="N256" s="14"/>
      <c r="O256" s="14"/>
      <c r="P256" s="14"/>
      <c r="Q256" s="47"/>
      <c r="R256" s="19"/>
      <c r="S256" s="19"/>
      <c r="T256" s="14"/>
      <c r="U256" s="14"/>
      <c r="V256" s="14"/>
      <c r="W256" s="14"/>
      <c r="X256" s="14"/>
      <c r="Y256" s="14"/>
      <c r="Z256" s="14"/>
      <c r="AA256" s="14"/>
      <c r="AB256" s="14"/>
      <c r="AC256" s="14"/>
      <c r="AD256" s="65"/>
      <c r="AE256" s="63"/>
      <c r="AF256" s="47"/>
      <c r="AG256" s="19"/>
      <c r="AH256" s="19"/>
      <c r="AI256" s="14"/>
      <c r="AJ256" s="14"/>
      <c r="AK256" s="14"/>
      <c r="AL256" s="14"/>
      <c r="AM256" s="14"/>
      <c r="AN256" s="14"/>
      <c r="AO256" s="14"/>
      <c r="AP256" s="14"/>
      <c r="AQ256" s="14"/>
      <c r="AR256" s="14"/>
      <c r="AS256" s="65"/>
      <c r="AT256" s="63"/>
      <c r="AU256" s="47"/>
      <c r="AV256" s="14"/>
      <c r="AW256" s="19"/>
      <c r="AX256" s="14"/>
      <c r="AY256" s="14"/>
      <c r="AZ256" s="14"/>
      <c r="BA256" s="14"/>
      <c r="BB256" s="14"/>
      <c r="BC256" s="14"/>
      <c r="BD256" s="14"/>
      <c r="BE256" s="14"/>
      <c r="BF256" s="14"/>
      <c r="BG256" s="14"/>
      <c r="BH256" s="65"/>
      <c r="BI256" s="63"/>
      <c r="BJ256" s="352"/>
      <c r="BK256" s="19"/>
      <c r="BL256" s="19"/>
      <c r="BM256" s="14"/>
      <c r="BN256" s="14"/>
      <c r="BO256" s="14"/>
      <c r="BP256" s="14"/>
      <c r="BQ256" s="14"/>
      <c r="BR256" s="14"/>
      <c r="BS256" s="14"/>
      <c r="BT256" s="14"/>
      <c r="BU256" s="14"/>
      <c r="BV256" s="14"/>
      <c r="BW256" s="65"/>
      <c r="BX256" s="63"/>
      <c r="BY256" s="352"/>
      <c r="BZ256" s="14"/>
      <c r="CA256" s="14"/>
      <c r="CB256" s="21"/>
      <c r="CC256" s="21"/>
      <c r="CD256" s="180"/>
      <c r="CE256" s="180"/>
      <c r="CF256" s="21"/>
      <c r="CG256" s="14"/>
      <c r="CH256" s="14"/>
      <c r="CI256" s="14"/>
      <c r="CJ256" s="14"/>
      <c r="CK256" s="14"/>
      <c r="CL256" s="14"/>
      <c r="CM256" s="14"/>
      <c r="CN256" s="14"/>
      <c r="CO256" s="129"/>
      <c r="CP256" s="14"/>
      <c r="CQ256" s="47"/>
      <c r="CR256" s="14"/>
      <c r="CS256" s="14"/>
      <c r="CT256" s="14"/>
      <c r="CU256" s="14"/>
      <c r="CV256" s="180"/>
      <c r="CW256" s="189"/>
      <c r="CX256" s="189"/>
      <c r="CY256" s="14"/>
      <c r="CZ256" s="14"/>
      <c r="DA256" s="14"/>
      <c r="DB256" s="14"/>
      <c r="DC256" s="14"/>
      <c r="DD256" s="14"/>
      <c r="DE256" s="14"/>
      <c r="DF256" s="14"/>
      <c r="DG256" s="129"/>
      <c r="DH256" s="14"/>
      <c r="DI256" s="47"/>
      <c r="DJ256" s="14"/>
      <c r="DK256" s="19"/>
      <c r="DL256" s="40"/>
      <c r="DM256" s="41"/>
      <c r="DN256" s="40"/>
      <c r="DO256" s="40"/>
      <c r="DP256" s="40"/>
      <c r="DQ256" s="41"/>
      <c r="DR256" s="72"/>
      <c r="DS256" s="14"/>
      <c r="DT256" s="14"/>
      <c r="DU256" s="14"/>
      <c r="DV256" s="14"/>
      <c r="DW256" s="14"/>
      <c r="DX256" s="14"/>
      <c r="DY256" s="14"/>
      <c r="DZ256" s="14"/>
      <c r="EA256" s="14"/>
      <c r="EB256" s="14"/>
      <c r="EC256" s="14"/>
      <c r="ED256" s="14"/>
      <c r="EE256" s="14"/>
      <c r="EF256" s="14"/>
      <c r="EG256" s="14"/>
      <c r="EH256" s="14"/>
      <c r="EI256" s="14"/>
      <c r="EJ256" s="14"/>
      <c r="EK256" s="14"/>
      <c r="EL256" s="14"/>
    </row>
    <row r="257" spans="1:142" x14ac:dyDescent="0.25">
      <c r="A257" s="14"/>
      <c r="B257" s="19"/>
      <c r="C257" s="40"/>
      <c r="D257" s="41"/>
      <c r="E257" s="40"/>
      <c r="F257" s="40"/>
      <c r="G257" s="40"/>
      <c r="H257" s="41"/>
      <c r="I257" s="72"/>
      <c r="J257" s="14"/>
      <c r="K257" s="14"/>
      <c r="L257" s="14"/>
      <c r="M257" s="14"/>
      <c r="N257" s="14"/>
      <c r="O257" s="14"/>
      <c r="P257" s="14"/>
      <c r="Q257" s="47"/>
      <c r="R257" s="19"/>
      <c r="S257" s="19"/>
      <c r="T257" s="14"/>
      <c r="U257" s="14"/>
      <c r="V257" s="14"/>
      <c r="W257" s="14"/>
      <c r="X257" s="14"/>
      <c r="Y257" s="14"/>
      <c r="Z257" s="14"/>
      <c r="AA257" s="14"/>
      <c r="AB257" s="14"/>
      <c r="AC257" s="14"/>
      <c r="AD257" s="65"/>
      <c r="AE257" s="63"/>
      <c r="AF257" s="47"/>
      <c r="AG257" s="19"/>
      <c r="AH257" s="19"/>
      <c r="AI257" s="14"/>
      <c r="AJ257" s="14"/>
      <c r="AK257" s="14"/>
      <c r="AL257" s="14"/>
      <c r="AM257" s="14"/>
      <c r="AN257" s="14"/>
      <c r="AO257" s="14"/>
      <c r="AP257" s="14"/>
      <c r="AQ257" s="14"/>
      <c r="AR257" s="14"/>
      <c r="AS257" s="65"/>
      <c r="AT257" s="63"/>
      <c r="AU257" s="47"/>
      <c r="AV257" s="14"/>
      <c r="AW257" s="19"/>
      <c r="AX257" s="14"/>
      <c r="AY257" s="14"/>
      <c r="AZ257" s="14"/>
      <c r="BA257" s="14"/>
      <c r="BB257" s="14"/>
      <c r="BC257" s="14"/>
      <c r="BD257" s="14"/>
      <c r="BE257" s="14"/>
      <c r="BF257" s="14"/>
      <c r="BG257" s="14"/>
      <c r="BH257" s="65"/>
      <c r="BI257" s="63"/>
      <c r="BJ257" s="352"/>
      <c r="BK257" s="19"/>
      <c r="BL257" s="19"/>
      <c r="BM257" s="14"/>
      <c r="BN257" s="14"/>
      <c r="BO257" s="14"/>
      <c r="BP257" s="14"/>
      <c r="BQ257" s="14"/>
      <c r="BR257" s="14"/>
      <c r="BS257" s="14"/>
      <c r="BT257" s="14"/>
      <c r="BU257" s="14"/>
      <c r="BV257" s="14"/>
      <c r="BW257" s="65"/>
      <c r="BX257" s="63"/>
      <c r="BY257" s="352"/>
      <c r="BZ257" s="14"/>
      <c r="CA257" s="14"/>
      <c r="CB257" s="21"/>
      <c r="CC257" s="21"/>
      <c r="CD257" s="180"/>
      <c r="CE257" s="180"/>
      <c r="CF257" s="21"/>
      <c r="CG257" s="14"/>
      <c r="CH257" s="14"/>
      <c r="CI257" s="14"/>
      <c r="CJ257" s="14"/>
      <c r="CK257" s="14"/>
      <c r="CL257" s="14"/>
      <c r="CM257" s="14"/>
      <c r="CN257" s="14"/>
      <c r="CO257" s="129"/>
      <c r="CP257" s="14"/>
      <c r="CQ257" s="47"/>
      <c r="CR257" s="14"/>
      <c r="CS257" s="14"/>
      <c r="CT257" s="14"/>
      <c r="CU257" s="14"/>
      <c r="CV257" s="180"/>
      <c r="CW257" s="189"/>
      <c r="CX257" s="189"/>
      <c r="CY257" s="14"/>
      <c r="CZ257" s="14"/>
      <c r="DA257" s="14"/>
      <c r="DB257" s="14"/>
      <c r="DC257" s="14"/>
      <c r="DD257" s="14"/>
      <c r="DE257" s="14"/>
      <c r="DF257" s="14"/>
      <c r="DG257" s="129"/>
      <c r="DH257" s="14"/>
      <c r="DI257" s="47"/>
      <c r="DJ257" s="14"/>
      <c r="DK257" s="19"/>
      <c r="DL257" s="40"/>
      <c r="DM257" s="41"/>
      <c r="DN257" s="40"/>
      <c r="DO257" s="40"/>
      <c r="DP257" s="40"/>
      <c r="DQ257" s="41"/>
      <c r="DR257" s="72"/>
      <c r="DS257" s="14"/>
      <c r="DT257" s="14"/>
      <c r="DU257" s="14"/>
      <c r="DV257" s="14"/>
      <c r="DW257" s="14"/>
      <c r="DX257" s="14"/>
      <c r="DY257" s="14"/>
      <c r="DZ257" s="14"/>
      <c r="EA257" s="14"/>
      <c r="EB257" s="14"/>
      <c r="EC257" s="14"/>
      <c r="ED257" s="14"/>
      <c r="EE257" s="14"/>
      <c r="EF257" s="14"/>
      <c r="EG257" s="14"/>
      <c r="EH257" s="14"/>
      <c r="EI257" s="14"/>
      <c r="EJ257" s="14"/>
      <c r="EK257" s="14"/>
      <c r="EL257" s="14"/>
    </row>
    <row r="258" spans="1:142" x14ac:dyDescent="0.25">
      <c r="A258" s="14"/>
      <c r="B258" s="19"/>
      <c r="C258" s="40"/>
      <c r="D258" s="41"/>
      <c r="E258" s="40"/>
      <c r="F258" s="40"/>
      <c r="G258" s="40"/>
      <c r="H258" s="41"/>
      <c r="I258" s="72"/>
      <c r="J258" s="14"/>
      <c r="K258" s="14"/>
      <c r="L258" s="14"/>
      <c r="M258" s="14"/>
      <c r="N258" s="14"/>
      <c r="O258" s="14"/>
      <c r="P258" s="14"/>
      <c r="Q258" s="47"/>
      <c r="R258" s="19"/>
      <c r="S258" s="19"/>
      <c r="T258" s="14"/>
      <c r="U258" s="14"/>
      <c r="V258" s="14"/>
      <c r="W258" s="14"/>
      <c r="X258" s="14"/>
      <c r="Y258" s="14"/>
      <c r="Z258" s="14"/>
      <c r="AA258" s="14"/>
      <c r="AB258" s="14"/>
      <c r="AC258" s="14"/>
      <c r="AD258" s="65"/>
      <c r="AE258" s="63"/>
      <c r="AF258" s="47"/>
      <c r="AG258" s="19"/>
      <c r="AH258" s="19"/>
      <c r="AI258" s="14"/>
      <c r="AJ258" s="14"/>
      <c r="AK258" s="14"/>
      <c r="AL258" s="14"/>
      <c r="AM258" s="14"/>
      <c r="AN258" s="14"/>
      <c r="AO258" s="14"/>
      <c r="AP258" s="14"/>
      <c r="AQ258" s="14"/>
      <c r="AR258" s="14"/>
      <c r="AS258" s="65"/>
      <c r="AT258" s="63"/>
      <c r="AU258" s="47"/>
      <c r="AV258" s="14"/>
      <c r="AW258" s="19"/>
      <c r="AX258" s="14"/>
      <c r="AY258" s="14"/>
      <c r="AZ258" s="14"/>
      <c r="BA258" s="14"/>
      <c r="BB258" s="14"/>
      <c r="BC258" s="14"/>
      <c r="BD258" s="14"/>
      <c r="BE258" s="14"/>
      <c r="BF258" s="14"/>
      <c r="BG258" s="14"/>
      <c r="BH258" s="65"/>
      <c r="BI258" s="63"/>
      <c r="BJ258" s="352"/>
      <c r="BK258" s="19"/>
      <c r="BL258" s="19"/>
      <c r="BM258" s="14"/>
      <c r="BN258" s="14"/>
      <c r="BO258" s="14"/>
      <c r="BP258" s="14"/>
      <c r="BQ258" s="14"/>
      <c r="BR258" s="14"/>
      <c r="BS258" s="14"/>
      <c r="BT258" s="14"/>
      <c r="BU258" s="14"/>
      <c r="BV258" s="14"/>
      <c r="BW258" s="65"/>
      <c r="BX258" s="63"/>
      <c r="BY258" s="352"/>
      <c r="BZ258" s="14"/>
      <c r="CA258" s="14"/>
      <c r="CB258" s="21"/>
      <c r="CC258" s="21"/>
      <c r="CD258" s="180"/>
      <c r="CE258" s="180"/>
      <c r="CF258" s="21"/>
      <c r="CG258" s="14"/>
      <c r="CH258" s="14"/>
      <c r="CI258" s="14"/>
      <c r="CJ258" s="14"/>
      <c r="CK258" s="14"/>
      <c r="CL258" s="14"/>
      <c r="CM258" s="14"/>
      <c r="CN258" s="14"/>
      <c r="CO258" s="129"/>
      <c r="CP258" s="14"/>
      <c r="CQ258" s="47"/>
      <c r="CR258" s="14"/>
      <c r="CS258" s="14"/>
      <c r="CT258" s="14"/>
      <c r="CU258" s="14"/>
      <c r="CV258" s="180"/>
      <c r="CW258" s="189"/>
      <c r="CX258" s="189"/>
      <c r="CY258" s="14"/>
      <c r="CZ258" s="14"/>
      <c r="DA258" s="14"/>
      <c r="DB258" s="14"/>
      <c r="DC258" s="14"/>
      <c r="DD258" s="14"/>
      <c r="DE258" s="14"/>
      <c r="DF258" s="14"/>
      <c r="DG258" s="129"/>
      <c r="DH258" s="14"/>
      <c r="DI258" s="47"/>
      <c r="DJ258" s="14"/>
      <c r="DK258" s="19"/>
      <c r="DL258" s="40"/>
      <c r="DM258" s="41"/>
      <c r="DN258" s="40"/>
      <c r="DO258" s="40"/>
      <c r="DP258" s="40"/>
      <c r="DQ258" s="41"/>
      <c r="DR258" s="72"/>
      <c r="DS258" s="14"/>
      <c r="DT258" s="14"/>
      <c r="DU258" s="14"/>
      <c r="DV258" s="14"/>
      <c r="DW258" s="14"/>
      <c r="DX258" s="14"/>
      <c r="DY258" s="14"/>
      <c r="DZ258" s="14"/>
      <c r="EA258" s="14"/>
      <c r="EB258" s="14"/>
      <c r="EC258" s="14"/>
      <c r="ED258" s="14"/>
      <c r="EE258" s="14"/>
      <c r="EF258" s="14"/>
      <c r="EG258" s="14"/>
      <c r="EH258" s="14"/>
      <c r="EI258" s="14"/>
      <c r="EJ258" s="14"/>
      <c r="EK258" s="14"/>
      <c r="EL258" s="14"/>
    </row>
    <row r="259" spans="1:142" x14ac:dyDescent="0.25">
      <c r="A259" s="14"/>
      <c r="B259" s="19"/>
      <c r="C259" s="40"/>
      <c r="D259" s="41"/>
      <c r="E259" s="40"/>
      <c r="F259" s="40"/>
      <c r="G259" s="40"/>
      <c r="H259" s="41"/>
      <c r="I259" s="72"/>
      <c r="J259" s="14"/>
      <c r="K259" s="14"/>
      <c r="L259" s="14"/>
      <c r="M259" s="14"/>
      <c r="N259" s="14"/>
      <c r="O259" s="14"/>
      <c r="P259" s="14"/>
      <c r="Q259" s="47"/>
      <c r="R259" s="19"/>
      <c r="S259" s="19"/>
      <c r="T259" s="14"/>
      <c r="U259" s="14"/>
      <c r="V259" s="14"/>
      <c r="W259" s="14"/>
      <c r="X259" s="14"/>
      <c r="Y259" s="14"/>
      <c r="Z259" s="14"/>
      <c r="AA259" s="14"/>
      <c r="AB259" s="14"/>
      <c r="AC259" s="14"/>
      <c r="AD259" s="65"/>
      <c r="AE259" s="63"/>
      <c r="AF259" s="47"/>
      <c r="AG259" s="19"/>
      <c r="AH259" s="19"/>
      <c r="AI259" s="14"/>
      <c r="AJ259" s="14"/>
      <c r="AK259" s="14"/>
      <c r="AL259" s="14"/>
      <c r="AM259" s="14"/>
      <c r="AN259" s="14"/>
      <c r="AO259" s="14"/>
      <c r="AP259" s="14"/>
      <c r="AQ259" s="14"/>
      <c r="AR259" s="14"/>
      <c r="AS259" s="65"/>
      <c r="AT259" s="63"/>
      <c r="AU259" s="47"/>
      <c r="AV259" s="14"/>
      <c r="AW259" s="19"/>
      <c r="AX259" s="14"/>
      <c r="AY259" s="14"/>
      <c r="AZ259" s="14"/>
      <c r="BA259" s="14"/>
      <c r="BB259" s="14"/>
      <c r="BC259" s="14"/>
      <c r="BD259" s="14"/>
      <c r="BE259" s="14"/>
      <c r="BF259" s="14"/>
      <c r="BG259" s="14"/>
      <c r="BH259" s="65"/>
      <c r="BI259" s="63"/>
      <c r="BJ259" s="352"/>
      <c r="BK259" s="19"/>
      <c r="BL259" s="19"/>
      <c r="BM259" s="14"/>
      <c r="BN259" s="14"/>
      <c r="BO259" s="14"/>
      <c r="BP259" s="14"/>
      <c r="BQ259" s="14"/>
      <c r="BR259" s="14"/>
      <c r="BS259" s="14"/>
      <c r="BT259" s="14"/>
      <c r="BU259" s="14"/>
      <c r="BV259" s="14"/>
      <c r="BW259" s="65"/>
      <c r="BX259" s="63"/>
      <c r="BY259" s="352"/>
      <c r="BZ259" s="14"/>
      <c r="CA259" s="14"/>
      <c r="CB259" s="21"/>
      <c r="CC259" s="21"/>
      <c r="CD259" s="180"/>
      <c r="CE259" s="180"/>
      <c r="CF259" s="21"/>
      <c r="CG259" s="14"/>
      <c r="CH259" s="14"/>
      <c r="CI259" s="14"/>
      <c r="CJ259" s="14"/>
      <c r="CK259" s="14"/>
      <c r="CL259" s="14"/>
      <c r="CM259" s="14"/>
      <c r="CN259" s="14"/>
      <c r="CO259" s="129"/>
      <c r="CP259" s="14"/>
      <c r="CQ259" s="47"/>
      <c r="CR259" s="14"/>
      <c r="CS259" s="14"/>
      <c r="CT259" s="14"/>
      <c r="CU259" s="14"/>
      <c r="CV259" s="180"/>
      <c r="CW259" s="189"/>
      <c r="CX259" s="189"/>
      <c r="CY259" s="14"/>
      <c r="CZ259" s="14"/>
      <c r="DA259" s="14"/>
      <c r="DB259" s="14"/>
      <c r="DC259" s="14"/>
      <c r="DD259" s="14"/>
      <c r="DE259" s="14"/>
      <c r="DF259" s="14"/>
      <c r="DG259" s="129"/>
      <c r="DH259" s="14"/>
      <c r="DI259" s="47"/>
      <c r="DJ259" s="14"/>
      <c r="DK259" s="19"/>
      <c r="DL259" s="40"/>
      <c r="DM259" s="41"/>
      <c r="DN259" s="40"/>
      <c r="DO259" s="40"/>
      <c r="DP259" s="40"/>
      <c r="DQ259" s="41"/>
      <c r="DR259" s="72"/>
      <c r="DS259" s="14"/>
      <c r="DT259" s="14"/>
      <c r="DU259" s="14"/>
      <c r="DV259" s="14"/>
      <c r="DW259" s="14"/>
      <c r="DX259" s="14"/>
      <c r="DY259" s="14"/>
      <c r="DZ259" s="14"/>
      <c r="EA259" s="14"/>
      <c r="EB259" s="14"/>
      <c r="EC259" s="14"/>
      <c r="ED259" s="14"/>
      <c r="EE259" s="14"/>
      <c r="EF259" s="14"/>
      <c r="EG259" s="14"/>
      <c r="EH259" s="14"/>
      <c r="EI259" s="14"/>
      <c r="EJ259" s="14"/>
      <c r="EK259" s="14"/>
      <c r="EL259" s="14"/>
    </row>
    <row r="260" spans="1:142" x14ac:dyDescent="0.25">
      <c r="A260" s="14"/>
      <c r="B260" s="19"/>
      <c r="C260" s="40"/>
      <c r="D260" s="41"/>
      <c r="E260" s="40"/>
      <c r="F260" s="40"/>
      <c r="G260" s="40"/>
      <c r="H260" s="41"/>
      <c r="I260" s="72"/>
      <c r="J260" s="14"/>
      <c r="K260" s="14"/>
      <c r="L260" s="14"/>
      <c r="M260" s="14"/>
      <c r="N260" s="14"/>
      <c r="O260" s="14"/>
      <c r="P260" s="14"/>
      <c r="Q260" s="47"/>
      <c r="R260" s="19"/>
      <c r="S260" s="19"/>
      <c r="T260" s="14"/>
      <c r="U260" s="14"/>
      <c r="V260" s="14"/>
      <c r="W260" s="14"/>
      <c r="X260" s="14"/>
      <c r="Y260" s="14"/>
      <c r="Z260" s="14"/>
      <c r="AA260" s="14"/>
      <c r="AB260" s="14"/>
      <c r="AC260" s="14"/>
      <c r="AD260" s="65"/>
      <c r="AE260" s="63"/>
      <c r="AF260" s="47"/>
      <c r="AG260" s="19"/>
      <c r="AH260" s="19"/>
      <c r="AI260" s="14"/>
      <c r="AJ260" s="14"/>
      <c r="AK260" s="14"/>
      <c r="AL260" s="14"/>
      <c r="AM260" s="14"/>
      <c r="AN260" s="14"/>
      <c r="AO260" s="14"/>
      <c r="AP260" s="14"/>
      <c r="AQ260" s="14"/>
      <c r="AR260" s="14"/>
      <c r="AS260" s="65"/>
      <c r="AT260" s="63"/>
      <c r="AU260" s="47"/>
      <c r="AV260" s="14"/>
      <c r="AW260" s="19"/>
      <c r="AX260" s="14"/>
      <c r="AY260" s="14"/>
      <c r="AZ260" s="14"/>
      <c r="BA260" s="14"/>
      <c r="BB260" s="14"/>
      <c r="BC260" s="14"/>
      <c r="BD260" s="14"/>
      <c r="BE260" s="14"/>
      <c r="BF260" s="14"/>
      <c r="BG260" s="14"/>
      <c r="BH260" s="65"/>
      <c r="BI260" s="63"/>
      <c r="BJ260" s="352"/>
      <c r="BK260" s="19"/>
      <c r="BL260" s="19"/>
      <c r="BM260" s="14"/>
      <c r="BN260" s="14"/>
      <c r="BO260" s="14"/>
      <c r="BP260" s="14"/>
      <c r="BQ260" s="14"/>
      <c r="BR260" s="14"/>
      <c r="BS260" s="14"/>
      <c r="BT260" s="14"/>
      <c r="BU260" s="14"/>
      <c r="BV260" s="14"/>
      <c r="BW260" s="65"/>
      <c r="BX260" s="63"/>
      <c r="BY260" s="352"/>
      <c r="BZ260" s="14"/>
      <c r="CA260" s="14"/>
      <c r="CB260" s="21"/>
      <c r="CC260" s="21"/>
      <c r="CD260" s="180"/>
      <c r="CE260" s="180"/>
      <c r="CF260" s="21"/>
      <c r="CG260" s="14"/>
      <c r="CH260" s="14"/>
      <c r="CI260" s="14"/>
      <c r="CJ260" s="14"/>
      <c r="CK260" s="14"/>
      <c r="CL260" s="14"/>
      <c r="CM260" s="14"/>
      <c r="CN260" s="14"/>
      <c r="CO260" s="129"/>
      <c r="CP260" s="14"/>
      <c r="CQ260" s="47"/>
      <c r="CR260" s="14"/>
      <c r="CS260" s="14"/>
      <c r="CT260" s="14"/>
      <c r="CU260" s="14"/>
      <c r="CV260" s="180"/>
      <c r="CW260" s="189"/>
      <c r="CX260" s="189"/>
      <c r="CY260" s="14"/>
      <c r="CZ260" s="14"/>
      <c r="DA260" s="14"/>
      <c r="DB260" s="14"/>
      <c r="DC260" s="14"/>
      <c r="DD260" s="14"/>
      <c r="DE260" s="14"/>
      <c r="DF260" s="14"/>
      <c r="DG260" s="129"/>
      <c r="DH260" s="14"/>
      <c r="DI260" s="47"/>
      <c r="DJ260" s="14"/>
      <c r="DK260" s="19"/>
      <c r="DL260" s="40"/>
      <c r="DM260" s="41"/>
      <c r="DN260" s="40"/>
      <c r="DO260" s="40"/>
      <c r="DP260" s="40"/>
      <c r="DQ260" s="41"/>
      <c r="DR260" s="72"/>
      <c r="DS260" s="14"/>
      <c r="DT260" s="14"/>
      <c r="DU260" s="14"/>
      <c r="DV260" s="14"/>
      <c r="DW260" s="14"/>
      <c r="DX260" s="14"/>
      <c r="DY260" s="14"/>
      <c r="DZ260" s="14"/>
      <c r="EA260" s="14"/>
      <c r="EB260" s="14"/>
      <c r="EC260" s="14"/>
      <c r="ED260" s="14"/>
      <c r="EE260" s="14"/>
      <c r="EF260" s="14"/>
      <c r="EG260" s="14"/>
      <c r="EH260" s="14"/>
      <c r="EI260" s="14"/>
      <c r="EJ260" s="14"/>
      <c r="EK260" s="14"/>
      <c r="EL260" s="14"/>
    </row>
    <row r="261" spans="1:142" x14ac:dyDescent="0.25">
      <c r="A261" s="14"/>
      <c r="B261" s="19"/>
      <c r="C261" s="40"/>
      <c r="D261" s="41"/>
      <c r="E261" s="40"/>
      <c r="F261" s="40"/>
      <c r="G261" s="40"/>
      <c r="H261" s="41"/>
      <c r="I261" s="72"/>
      <c r="J261" s="14"/>
      <c r="K261" s="14"/>
      <c r="L261" s="14"/>
      <c r="M261" s="14"/>
      <c r="N261" s="14"/>
      <c r="O261" s="14"/>
      <c r="P261" s="14"/>
      <c r="Q261" s="47"/>
      <c r="R261" s="19"/>
      <c r="S261" s="19"/>
      <c r="T261" s="14"/>
      <c r="U261" s="14"/>
      <c r="V261" s="14"/>
      <c r="W261" s="14"/>
      <c r="X261" s="14"/>
      <c r="Y261" s="14"/>
      <c r="Z261" s="14"/>
      <c r="AA261" s="14"/>
      <c r="AB261" s="14"/>
      <c r="AC261" s="14"/>
      <c r="AD261" s="65"/>
      <c r="AE261" s="63"/>
      <c r="AF261" s="47"/>
      <c r="AG261" s="19"/>
      <c r="AH261" s="19"/>
      <c r="AI261" s="14"/>
      <c r="AJ261" s="14"/>
      <c r="AK261" s="14"/>
      <c r="AL261" s="14"/>
      <c r="AM261" s="14"/>
      <c r="AN261" s="14"/>
      <c r="AO261" s="14"/>
      <c r="AP261" s="14"/>
      <c r="AQ261" s="14"/>
      <c r="AR261" s="14"/>
      <c r="AS261" s="65"/>
      <c r="AT261" s="63"/>
      <c r="AU261" s="47"/>
      <c r="AV261" s="14"/>
      <c r="AW261" s="19"/>
      <c r="AX261" s="14"/>
      <c r="AY261" s="14"/>
      <c r="AZ261" s="14"/>
      <c r="BA261" s="14"/>
      <c r="BB261" s="14"/>
      <c r="BC261" s="14"/>
      <c r="BD261" s="14"/>
      <c r="BE261" s="14"/>
      <c r="BF261" s="14"/>
      <c r="BG261" s="14"/>
      <c r="BH261" s="65"/>
      <c r="BI261" s="63"/>
      <c r="BJ261" s="352"/>
      <c r="BK261" s="19"/>
      <c r="BL261" s="19"/>
      <c r="BM261" s="14"/>
      <c r="BN261" s="14"/>
      <c r="BO261" s="14"/>
      <c r="BP261" s="14"/>
      <c r="BQ261" s="14"/>
      <c r="BR261" s="14"/>
      <c r="BS261" s="14"/>
      <c r="BT261" s="14"/>
      <c r="BU261" s="14"/>
      <c r="BV261" s="14"/>
      <c r="BW261" s="65"/>
      <c r="BX261" s="63"/>
      <c r="BY261" s="352"/>
      <c r="BZ261" s="14"/>
      <c r="CA261" s="14"/>
      <c r="CB261" s="21"/>
      <c r="CC261" s="21"/>
      <c r="CD261" s="180"/>
      <c r="CE261" s="180"/>
      <c r="CF261" s="21"/>
      <c r="CG261" s="14"/>
      <c r="CH261" s="14"/>
      <c r="CI261" s="14"/>
      <c r="CJ261" s="14"/>
      <c r="CK261" s="14"/>
      <c r="CL261" s="14"/>
      <c r="CM261" s="14"/>
      <c r="CN261" s="14"/>
      <c r="CO261" s="129"/>
      <c r="CP261" s="14"/>
      <c r="CQ261" s="47"/>
      <c r="CR261" s="14"/>
      <c r="CS261" s="14"/>
      <c r="CT261" s="14"/>
      <c r="CU261" s="14"/>
      <c r="CV261" s="180"/>
      <c r="CW261" s="189"/>
      <c r="CX261" s="189"/>
      <c r="CY261" s="14"/>
      <c r="CZ261" s="14"/>
      <c r="DA261" s="14"/>
      <c r="DB261" s="14"/>
      <c r="DC261" s="14"/>
      <c r="DD261" s="14"/>
      <c r="DE261" s="14"/>
      <c r="DF261" s="14"/>
      <c r="DG261" s="129"/>
      <c r="DH261" s="14"/>
      <c r="DI261" s="47"/>
      <c r="DJ261" s="14"/>
      <c r="DK261" s="19"/>
      <c r="DL261" s="40"/>
      <c r="DM261" s="41"/>
      <c r="DN261" s="40"/>
      <c r="DO261" s="40"/>
      <c r="DP261" s="40"/>
      <c r="DQ261" s="41"/>
      <c r="DR261" s="72"/>
      <c r="DS261" s="14"/>
      <c r="DT261" s="14"/>
      <c r="DU261" s="14"/>
      <c r="DV261" s="14"/>
      <c r="DW261" s="14"/>
      <c r="DX261" s="14"/>
      <c r="DY261" s="14"/>
      <c r="DZ261" s="14"/>
      <c r="EA261" s="14"/>
      <c r="EB261" s="14"/>
      <c r="EC261" s="14"/>
      <c r="ED261" s="14"/>
      <c r="EE261" s="14"/>
      <c r="EF261" s="14"/>
      <c r="EG261" s="14"/>
      <c r="EH261" s="14"/>
      <c r="EI261" s="14"/>
      <c r="EJ261" s="14"/>
      <c r="EK261" s="14"/>
      <c r="EL261" s="14"/>
    </row>
    <row r="262" spans="1:142" x14ac:dyDescent="0.25">
      <c r="A262" s="14"/>
      <c r="B262" s="19"/>
      <c r="C262" s="40"/>
      <c r="D262" s="41"/>
      <c r="E262" s="40"/>
      <c r="F262" s="40"/>
      <c r="G262" s="40"/>
      <c r="H262" s="41"/>
      <c r="I262" s="72"/>
      <c r="J262" s="14"/>
      <c r="K262" s="14"/>
      <c r="L262" s="14"/>
      <c r="M262" s="14"/>
      <c r="N262" s="14"/>
      <c r="O262" s="14"/>
      <c r="P262" s="14"/>
      <c r="Q262" s="47"/>
      <c r="R262" s="19"/>
      <c r="S262" s="19"/>
      <c r="T262" s="14"/>
      <c r="U262" s="14"/>
      <c r="V262" s="14"/>
      <c r="W262" s="14"/>
      <c r="X262" s="14"/>
      <c r="Y262" s="14"/>
      <c r="Z262" s="14"/>
      <c r="AA262" s="14"/>
      <c r="AB262" s="14"/>
      <c r="AC262" s="14"/>
      <c r="AD262" s="65"/>
      <c r="AE262" s="63"/>
      <c r="AF262" s="47"/>
      <c r="AG262" s="19"/>
      <c r="AH262" s="19"/>
      <c r="AI262" s="14"/>
      <c r="AJ262" s="14"/>
      <c r="AK262" s="14"/>
      <c r="AL262" s="14"/>
      <c r="AM262" s="14"/>
      <c r="AN262" s="14"/>
      <c r="AO262" s="14"/>
      <c r="AP262" s="14"/>
      <c r="AQ262" s="14"/>
      <c r="AR262" s="14"/>
      <c r="AS262" s="65"/>
      <c r="AT262" s="63"/>
      <c r="AU262" s="47"/>
      <c r="AV262" s="14"/>
      <c r="AW262" s="19"/>
      <c r="AX262" s="14"/>
      <c r="AY262" s="14"/>
      <c r="AZ262" s="14"/>
      <c r="BA262" s="14"/>
      <c r="BB262" s="14"/>
      <c r="BC262" s="14"/>
      <c r="BD262" s="14"/>
      <c r="BE262" s="14"/>
      <c r="BF262" s="14"/>
      <c r="BG262" s="14"/>
      <c r="BH262" s="65"/>
      <c r="BI262" s="63"/>
      <c r="BJ262" s="352"/>
      <c r="BK262" s="19"/>
      <c r="BL262" s="19"/>
      <c r="BM262" s="14"/>
      <c r="BN262" s="14"/>
      <c r="BO262" s="14"/>
      <c r="BP262" s="14"/>
      <c r="BQ262" s="14"/>
      <c r="BR262" s="14"/>
      <c r="BS262" s="14"/>
      <c r="BT262" s="14"/>
      <c r="BU262" s="14"/>
      <c r="BV262" s="14"/>
      <c r="BW262" s="65"/>
      <c r="BX262" s="63"/>
      <c r="BY262" s="352"/>
      <c r="BZ262" s="14"/>
      <c r="CA262" s="14"/>
      <c r="CB262" s="21"/>
      <c r="CC262" s="21"/>
      <c r="CD262" s="180"/>
      <c r="CE262" s="180"/>
      <c r="CF262" s="21"/>
      <c r="CG262" s="14"/>
      <c r="CH262" s="14"/>
      <c r="CI262" s="14"/>
      <c r="CJ262" s="14"/>
      <c r="CK262" s="14"/>
      <c r="CL262" s="14"/>
      <c r="CM262" s="14"/>
      <c r="CN262" s="14"/>
      <c r="CO262" s="129"/>
      <c r="CP262" s="14"/>
      <c r="CQ262" s="47"/>
      <c r="CR262" s="14"/>
      <c r="CS262" s="14"/>
      <c r="CT262" s="14"/>
      <c r="CU262" s="14"/>
      <c r="CV262" s="180"/>
      <c r="CW262" s="189"/>
      <c r="CX262" s="189"/>
      <c r="CY262" s="14"/>
      <c r="CZ262" s="14"/>
      <c r="DA262" s="14"/>
      <c r="DB262" s="14"/>
      <c r="DC262" s="14"/>
      <c r="DD262" s="14"/>
      <c r="DE262" s="14"/>
      <c r="DF262" s="14"/>
      <c r="DG262" s="129"/>
      <c r="DH262" s="14"/>
      <c r="DI262" s="47"/>
      <c r="DJ262" s="14"/>
      <c r="DK262" s="19"/>
      <c r="DL262" s="40"/>
      <c r="DM262" s="41"/>
      <c r="DN262" s="40"/>
      <c r="DO262" s="40"/>
      <c r="DP262" s="40"/>
      <c r="DQ262" s="41"/>
      <c r="DR262" s="72"/>
      <c r="DS262" s="14"/>
      <c r="DT262" s="14"/>
      <c r="DU262" s="14"/>
      <c r="DV262" s="14"/>
      <c r="DW262" s="14"/>
      <c r="DX262" s="14"/>
      <c r="DY262" s="14"/>
      <c r="DZ262" s="14"/>
      <c r="EA262" s="14"/>
      <c r="EB262" s="14"/>
      <c r="EC262" s="14"/>
      <c r="ED262" s="14"/>
      <c r="EE262" s="14"/>
      <c r="EF262" s="14"/>
      <c r="EG262" s="14"/>
      <c r="EH262" s="14"/>
      <c r="EI262" s="14"/>
      <c r="EJ262" s="14"/>
      <c r="EK262" s="14"/>
      <c r="EL262" s="14"/>
    </row>
    <row r="263" spans="1:142" x14ac:dyDescent="0.25">
      <c r="A263" s="14"/>
      <c r="B263" s="19"/>
      <c r="C263" s="40"/>
      <c r="D263" s="41"/>
      <c r="E263" s="40"/>
      <c r="F263" s="40"/>
      <c r="G263" s="40"/>
      <c r="H263" s="41"/>
      <c r="I263" s="72"/>
      <c r="J263" s="14"/>
      <c r="K263" s="14"/>
      <c r="L263" s="14"/>
      <c r="M263" s="14"/>
      <c r="N263" s="14"/>
      <c r="O263" s="14"/>
      <c r="P263" s="14"/>
      <c r="Q263" s="47"/>
      <c r="R263" s="19"/>
      <c r="S263" s="19"/>
      <c r="T263" s="14"/>
      <c r="U263" s="14"/>
      <c r="V263" s="14"/>
      <c r="W263" s="14"/>
      <c r="X263" s="14"/>
      <c r="Y263" s="14"/>
      <c r="Z263" s="14"/>
      <c r="AA263" s="14"/>
      <c r="AB263" s="14"/>
      <c r="AC263" s="14"/>
      <c r="AD263" s="65"/>
      <c r="AE263" s="63"/>
      <c r="AF263" s="47"/>
      <c r="AG263" s="19"/>
      <c r="AH263" s="19"/>
      <c r="AI263" s="14"/>
      <c r="AJ263" s="14"/>
      <c r="AK263" s="14"/>
      <c r="AL263" s="14"/>
      <c r="AM263" s="14"/>
      <c r="AN263" s="14"/>
      <c r="AO263" s="14"/>
      <c r="AP263" s="14"/>
      <c r="AQ263" s="14"/>
      <c r="AR263" s="14"/>
      <c r="AS263" s="65"/>
      <c r="AT263" s="63"/>
      <c r="AU263" s="47"/>
      <c r="AV263" s="14"/>
      <c r="AW263" s="19"/>
      <c r="AX263" s="14"/>
      <c r="AY263" s="14"/>
      <c r="AZ263" s="14"/>
      <c r="BA263" s="14"/>
      <c r="BB263" s="14"/>
      <c r="BC263" s="14"/>
      <c r="BD263" s="14"/>
      <c r="BE263" s="14"/>
      <c r="BF263" s="14"/>
      <c r="BG263" s="14"/>
      <c r="BH263" s="65"/>
      <c r="BI263" s="63"/>
      <c r="BJ263" s="352"/>
      <c r="BK263" s="19"/>
      <c r="BL263" s="19"/>
      <c r="BM263" s="14"/>
      <c r="BN263" s="14"/>
      <c r="BO263" s="14"/>
      <c r="BP263" s="14"/>
      <c r="BQ263" s="14"/>
      <c r="BR263" s="14"/>
      <c r="BS263" s="14"/>
      <c r="BT263" s="14"/>
      <c r="BU263" s="14"/>
      <c r="BV263" s="14"/>
      <c r="BW263" s="65"/>
      <c r="BX263" s="63"/>
      <c r="BY263" s="352"/>
      <c r="BZ263" s="14"/>
      <c r="CA263" s="14"/>
      <c r="CB263" s="21"/>
      <c r="CC263" s="21"/>
      <c r="CD263" s="180"/>
      <c r="CE263" s="180"/>
      <c r="CF263" s="21"/>
      <c r="CG263" s="14"/>
      <c r="CH263" s="14"/>
      <c r="CI263" s="14"/>
      <c r="CJ263" s="14"/>
      <c r="CK263" s="14"/>
      <c r="CL263" s="14"/>
      <c r="CM263" s="14"/>
      <c r="CN263" s="14"/>
      <c r="CO263" s="129"/>
      <c r="CP263" s="14"/>
      <c r="CQ263" s="47"/>
      <c r="CR263" s="14"/>
      <c r="CS263" s="14"/>
      <c r="CT263" s="14"/>
      <c r="CU263" s="14"/>
      <c r="CV263" s="180"/>
      <c r="CW263" s="189"/>
      <c r="CX263" s="189"/>
      <c r="CY263" s="14"/>
      <c r="CZ263" s="14"/>
      <c r="DA263" s="14"/>
      <c r="DB263" s="14"/>
      <c r="DC263" s="14"/>
      <c r="DD263" s="14"/>
      <c r="DE263" s="14"/>
      <c r="DF263" s="14"/>
      <c r="DG263" s="129"/>
      <c r="DH263" s="14"/>
      <c r="DI263" s="47"/>
      <c r="DJ263" s="14"/>
      <c r="DK263" s="19"/>
      <c r="DL263" s="40"/>
      <c r="DM263" s="41"/>
      <c r="DN263" s="40"/>
      <c r="DO263" s="40"/>
      <c r="DP263" s="40"/>
      <c r="DQ263" s="41"/>
      <c r="DR263" s="72"/>
      <c r="DS263" s="14"/>
      <c r="DT263" s="14"/>
      <c r="DU263" s="14"/>
      <c r="DV263" s="14"/>
      <c r="DW263" s="14"/>
      <c r="DX263" s="14"/>
      <c r="DY263" s="14"/>
      <c r="DZ263" s="14"/>
      <c r="EA263" s="14"/>
      <c r="EB263" s="14"/>
      <c r="EC263" s="14"/>
      <c r="ED263" s="14"/>
      <c r="EE263" s="14"/>
      <c r="EF263" s="14"/>
      <c r="EG263" s="14"/>
      <c r="EH263" s="14"/>
      <c r="EI263" s="14"/>
      <c r="EJ263" s="14"/>
      <c r="EK263" s="14"/>
      <c r="EL263" s="14"/>
    </row>
    <row r="264" spans="1:142" x14ac:dyDescent="0.25">
      <c r="A264" s="14"/>
      <c r="B264" s="19"/>
      <c r="C264" s="40"/>
      <c r="D264" s="41"/>
      <c r="E264" s="40"/>
      <c r="F264" s="40"/>
      <c r="G264" s="40"/>
      <c r="H264" s="41"/>
      <c r="I264" s="72"/>
      <c r="J264" s="14"/>
      <c r="K264" s="14"/>
      <c r="L264" s="14"/>
      <c r="M264" s="14"/>
      <c r="N264" s="14"/>
      <c r="O264" s="14"/>
      <c r="P264" s="14"/>
      <c r="Q264" s="47"/>
      <c r="R264" s="19"/>
      <c r="S264" s="19"/>
      <c r="T264" s="14"/>
      <c r="U264" s="14"/>
      <c r="V264" s="14"/>
      <c r="W264" s="14"/>
      <c r="X264" s="14"/>
      <c r="Y264" s="14"/>
      <c r="Z264" s="14"/>
      <c r="AA264" s="14"/>
      <c r="AB264" s="14"/>
      <c r="AC264" s="14"/>
      <c r="AD264" s="65"/>
      <c r="AE264" s="63"/>
      <c r="AF264" s="47"/>
      <c r="AG264" s="19"/>
      <c r="AH264" s="19"/>
      <c r="AI264" s="14"/>
      <c r="AJ264" s="14"/>
      <c r="AK264" s="14"/>
      <c r="AL264" s="14"/>
      <c r="AM264" s="14"/>
      <c r="AN264" s="14"/>
      <c r="AO264" s="14"/>
      <c r="AP264" s="14"/>
      <c r="AQ264" s="14"/>
      <c r="AR264" s="14"/>
      <c r="AS264" s="65"/>
      <c r="AT264" s="63"/>
      <c r="AU264" s="47"/>
      <c r="AV264" s="14"/>
      <c r="AW264" s="19"/>
      <c r="AX264" s="14"/>
      <c r="AY264" s="14"/>
      <c r="AZ264" s="14"/>
      <c r="BA264" s="14"/>
      <c r="BB264" s="14"/>
      <c r="BC264" s="14"/>
      <c r="BD264" s="14"/>
      <c r="BE264" s="14"/>
      <c r="BF264" s="14"/>
      <c r="BG264" s="14"/>
      <c r="BH264" s="65"/>
      <c r="BI264" s="63"/>
      <c r="BJ264" s="352"/>
      <c r="BK264" s="19"/>
      <c r="BL264" s="19"/>
      <c r="BM264" s="14"/>
      <c r="BN264" s="14"/>
      <c r="BO264" s="14"/>
      <c r="BP264" s="14"/>
      <c r="BQ264" s="14"/>
      <c r="BR264" s="14"/>
      <c r="BS264" s="14"/>
      <c r="BT264" s="14"/>
      <c r="BU264" s="14"/>
      <c r="BV264" s="14"/>
      <c r="BW264" s="65"/>
      <c r="BX264" s="63"/>
      <c r="BY264" s="352"/>
      <c r="BZ264" s="14"/>
      <c r="CA264" s="14"/>
      <c r="CB264" s="21"/>
      <c r="CC264" s="21"/>
      <c r="CD264" s="180"/>
      <c r="CE264" s="180"/>
      <c r="CF264" s="21"/>
      <c r="CG264" s="14"/>
      <c r="CH264" s="14"/>
      <c r="CI264" s="14"/>
      <c r="CJ264" s="14"/>
      <c r="CK264" s="14"/>
      <c r="CL264" s="14"/>
      <c r="CM264" s="14"/>
      <c r="CN264" s="14"/>
      <c r="CO264" s="129"/>
      <c r="CP264" s="14"/>
      <c r="CQ264" s="47"/>
      <c r="CR264" s="14"/>
      <c r="CS264" s="14"/>
      <c r="CT264" s="14"/>
      <c r="CU264" s="14"/>
      <c r="CV264" s="180"/>
      <c r="CW264" s="189"/>
      <c r="CX264" s="189"/>
      <c r="CY264" s="14"/>
      <c r="CZ264" s="14"/>
      <c r="DA264" s="14"/>
      <c r="DB264" s="14"/>
      <c r="DC264" s="14"/>
      <c r="DD264" s="14"/>
      <c r="DE264" s="14"/>
      <c r="DF264" s="14"/>
      <c r="DG264" s="129"/>
      <c r="DH264" s="14"/>
      <c r="DI264" s="47"/>
      <c r="DJ264" s="14"/>
      <c r="DK264" s="19"/>
      <c r="DL264" s="40"/>
      <c r="DM264" s="41"/>
      <c r="DN264" s="40"/>
      <c r="DO264" s="40"/>
      <c r="DP264" s="40"/>
      <c r="DQ264" s="41"/>
      <c r="DR264" s="72"/>
      <c r="DS264" s="14"/>
      <c r="DT264" s="14"/>
      <c r="DU264" s="14"/>
      <c r="DV264" s="14"/>
      <c r="DW264" s="14"/>
      <c r="DX264" s="14"/>
      <c r="DY264" s="14"/>
      <c r="DZ264" s="14"/>
      <c r="EA264" s="14"/>
      <c r="EB264" s="14"/>
      <c r="EC264" s="14"/>
      <c r="ED264" s="14"/>
      <c r="EE264" s="14"/>
      <c r="EF264" s="14"/>
      <c r="EG264" s="14"/>
      <c r="EH264" s="14"/>
      <c r="EI264" s="14"/>
      <c r="EJ264" s="14"/>
      <c r="EK264" s="14"/>
      <c r="EL264" s="14"/>
    </row>
    <row r="265" spans="1:142" x14ac:dyDescent="0.25">
      <c r="A265" s="14"/>
      <c r="B265" s="19"/>
      <c r="C265" s="40"/>
      <c r="D265" s="41"/>
      <c r="E265" s="40"/>
      <c r="F265" s="40"/>
      <c r="G265" s="40"/>
      <c r="H265" s="41"/>
      <c r="I265" s="72"/>
      <c r="J265" s="14"/>
      <c r="K265" s="14"/>
      <c r="L265" s="14"/>
      <c r="M265" s="14"/>
      <c r="N265" s="14"/>
      <c r="O265" s="14"/>
      <c r="P265" s="14"/>
      <c r="Q265" s="47"/>
      <c r="R265" s="19"/>
      <c r="S265" s="19"/>
      <c r="T265" s="14"/>
      <c r="U265" s="14"/>
      <c r="V265" s="14"/>
      <c r="W265" s="14"/>
      <c r="X265" s="14"/>
      <c r="Y265" s="14"/>
      <c r="Z265" s="14"/>
      <c r="AA265" s="14"/>
      <c r="AB265" s="14"/>
      <c r="AC265" s="14"/>
      <c r="AD265" s="65"/>
      <c r="AE265" s="63"/>
      <c r="AF265" s="47"/>
      <c r="AG265" s="19"/>
      <c r="AH265" s="19"/>
      <c r="AI265" s="14"/>
      <c r="AJ265" s="14"/>
      <c r="AK265" s="14"/>
      <c r="AL265" s="14"/>
      <c r="AM265" s="14"/>
      <c r="AN265" s="14"/>
      <c r="AO265" s="14"/>
      <c r="AP265" s="14"/>
      <c r="AQ265" s="14"/>
      <c r="AR265" s="14"/>
      <c r="AS265" s="65"/>
      <c r="AT265" s="63"/>
      <c r="AU265" s="47"/>
      <c r="AV265" s="14"/>
      <c r="AW265" s="19"/>
      <c r="AX265" s="14"/>
      <c r="AY265" s="14"/>
      <c r="AZ265" s="14"/>
      <c r="BA265" s="14"/>
      <c r="BB265" s="14"/>
      <c r="BC265" s="14"/>
      <c r="BD265" s="14"/>
      <c r="BE265" s="14"/>
      <c r="BF265" s="14"/>
      <c r="BG265" s="14"/>
      <c r="BH265" s="65"/>
      <c r="BI265" s="63"/>
      <c r="BJ265" s="352"/>
      <c r="BK265" s="19"/>
      <c r="BL265" s="19"/>
      <c r="BM265" s="14"/>
      <c r="BN265" s="14"/>
      <c r="BO265" s="14"/>
      <c r="BP265" s="14"/>
      <c r="BQ265" s="14"/>
      <c r="BR265" s="14"/>
      <c r="BS265" s="14"/>
      <c r="BT265" s="14"/>
      <c r="BU265" s="14"/>
      <c r="BV265" s="14"/>
      <c r="BW265" s="65"/>
      <c r="BX265" s="63"/>
      <c r="BY265" s="352"/>
      <c r="BZ265" s="14"/>
      <c r="CA265" s="14"/>
      <c r="CB265" s="21"/>
      <c r="CC265" s="21"/>
      <c r="CD265" s="180"/>
      <c r="CE265" s="180"/>
      <c r="CF265" s="21"/>
      <c r="CG265" s="14"/>
      <c r="CH265" s="14"/>
      <c r="CI265" s="14"/>
      <c r="CJ265" s="14"/>
      <c r="CK265" s="14"/>
      <c r="CL265" s="14"/>
      <c r="CM265" s="14"/>
      <c r="CN265" s="14"/>
      <c r="CO265" s="129"/>
      <c r="CP265" s="14"/>
      <c r="CQ265" s="47"/>
      <c r="CR265" s="14"/>
      <c r="CS265" s="14"/>
      <c r="CT265" s="14"/>
      <c r="CU265" s="14"/>
      <c r="CV265" s="180"/>
      <c r="CW265" s="189"/>
      <c r="CX265" s="189"/>
      <c r="CY265" s="14"/>
      <c r="CZ265" s="14"/>
      <c r="DA265" s="14"/>
      <c r="DB265" s="14"/>
      <c r="DC265" s="14"/>
      <c r="DD265" s="14"/>
      <c r="DE265" s="14"/>
      <c r="DF265" s="14"/>
      <c r="DG265" s="129"/>
      <c r="DH265" s="14"/>
      <c r="DI265" s="47"/>
      <c r="DJ265" s="14"/>
      <c r="DK265" s="19"/>
      <c r="DL265" s="40"/>
      <c r="DM265" s="41"/>
      <c r="DN265" s="40"/>
      <c r="DO265" s="40"/>
      <c r="DP265" s="40"/>
      <c r="DQ265" s="41"/>
      <c r="DR265" s="72"/>
      <c r="DS265" s="14"/>
      <c r="DT265" s="14"/>
      <c r="DU265" s="14"/>
      <c r="DV265" s="14"/>
      <c r="DW265" s="14"/>
      <c r="DX265" s="14"/>
      <c r="DY265" s="14"/>
      <c r="DZ265" s="14"/>
      <c r="EA265" s="14"/>
      <c r="EB265" s="14"/>
      <c r="EC265" s="14"/>
      <c r="ED265" s="14"/>
      <c r="EE265" s="14"/>
      <c r="EF265" s="14"/>
      <c r="EG265" s="14"/>
      <c r="EH265" s="14"/>
      <c r="EI265" s="14"/>
      <c r="EJ265" s="14"/>
      <c r="EK265" s="14"/>
      <c r="EL265" s="14"/>
    </row>
    <row r="266" spans="1:142" x14ac:dyDescent="0.25">
      <c r="A266" s="14"/>
      <c r="B266" s="19"/>
      <c r="C266" s="40"/>
      <c r="D266" s="41"/>
      <c r="E266" s="40"/>
      <c r="F266" s="40"/>
      <c r="G266" s="40"/>
      <c r="H266" s="41"/>
      <c r="I266" s="72"/>
      <c r="J266" s="14"/>
      <c r="K266" s="14"/>
      <c r="L266" s="14"/>
      <c r="M266" s="14"/>
      <c r="N266" s="14"/>
      <c r="O266" s="14"/>
      <c r="P266" s="14"/>
      <c r="Q266" s="47"/>
      <c r="R266" s="19"/>
      <c r="S266" s="19"/>
      <c r="T266" s="14"/>
      <c r="U266" s="14"/>
      <c r="V266" s="14"/>
      <c r="W266" s="14"/>
      <c r="X266" s="14"/>
      <c r="Y266" s="14"/>
      <c r="Z266" s="14"/>
      <c r="AA266" s="14"/>
      <c r="AB266" s="14"/>
      <c r="AC266" s="14"/>
      <c r="AD266" s="65"/>
      <c r="AE266" s="63"/>
      <c r="AF266" s="47"/>
      <c r="AG266" s="19"/>
      <c r="AH266" s="19"/>
      <c r="AI266" s="14"/>
      <c r="AJ266" s="14"/>
      <c r="AK266" s="14"/>
      <c r="AL266" s="14"/>
      <c r="AM266" s="14"/>
      <c r="AN266" s="14"/>
      <c r="AO266" s="14"/>
      <c r="AP266" s="14"/>
      <c r="AQ266" s="14"/>
      <c r="AR266" s="14"/>
      <c r="AS266" s="65"/>
      <c r="AT266" s="63"/>
      <c r="AU266" s="47"/>
      <c r="AV266" s="14"/>
      <c r="AW266" s="19"/>
      <c r="AX266" s="14"/>
      <c r="AY266" s="14"/>
      <c r="AZ266" s="14"/>
      <c r="BA266" s="14"/>
      <c r="BB266" s="14"/>
      <c r="BC266" s="14"/>
      <c r="BD266" s="14"/>
      <c r="BE266" s="14"/>
      <c r="BF266" s="14"/>
      <c r="BG266" s="14"/>
      <c r="BH266" s="65"/>
      <c r="BI266" s="63"/>
      <c r="BJ266" s="352"/>
      <c r="BK266" s="19"/>
      <c r="BL266" s="19"/>
      <c r="BM266" s="14"/>
      <c r="BN266" s="14"/>
      <c r="BO266" s="14"/>
      <c r="BP266" s="14"/>
      <c r="BQ266" s="14"/>
      <c r="BR266" s="14"/>
      <c r="BS266" s="14"/>
      <c r="BT266" s="14"/>
      <c r="BU266" s="14"/>
      <c r="BV266" s="14"/>
      <c r="BW266" s="65"/>
      <c r="BX266" s="63"/>
      <c r="BY266" s="352"/>
      <c r="BZ266" s="14"/>
      <c r="CA266" s="14"/>
      <c r="CB266" s="21"/>
      <c r="CC266" s="21"/>
      <c r="CD266" s="180"/>
      <c r="CE266" s="180"/>
      <c r="CF266" s="21"/>
      <c r="CG266" s="14"/>
      <c r="CH266" s="14"/>
      <c r="CI266" s="14"/>
      <c r="CJ266" s="14"/>
      <c r="CK266" s="14"/>
      <c r="CL266" s="14"/>
      <c r="CM266" s="14"/>
      <c r="CN266" s="14"/>
      <c r="CO266" s="129"/>
      <c r="CP266" s="14"/>
      <c r="CQ266" s="47"/>
      <c r="CR266" s="14"/>
      <c r="CS266" s="14"/>
      <c r="CT266" s="14"/>
      <c r="CU266" s="14"/>
      <c r="CV266" s="180"/>
      <c r="CW266" s="189"/>
      <c r="CX266" s="189"/>
      <c r="CY266" s="14"/>
      <c r="CZ266" s="14"/>
      <c r="DA266" s="14"/>
      <c r="DB266" s="14"/>
      <c r="DC266" s="14"/>
      <c r="DD266" s="14"/>
      <c r="DE266" s="14"/>
      <c r="DF266" s="14"/>
      <c r="DG266" s="129"/>
      <c r="DH266" s="14"/>
      <c r="DI266" s="47"/>
      <c r="DJ266" s="14"/>
      <c r="DK266" s="19"/>
      <c r="DL266" s="40"/>
      <c r="DM266" s="41"/>
      <c r="DN266" s="40"/>
      <c r="DO266" s="40"/>
      <c r="DP266" s="40"/>
      <c r="DQ266" s="41"/>
      <c r="DR266" s="72"/>
      <c r="DS266" s="14"/>
      <c r="DT266" s="14"/>
      <c r="DU266" s="14"/>
      <c r="DV266" s="14"/>
      <c r="DW266" s="14"/>
      <c r="DX266" s="14"/>
      <c r="DY266" s="14"/>
      <c r="DZ266" s="14"/>
      <c r="EA266" s="14"/>
      <c r="EB266" s="14"/>
      <c r="EC266" s="14"/>
      <c r="ED266" s="14"/>
      <c r="EE266" s="14"/>
      <c r="EF266" s="14"/>
      <c r="EG266" s="14"/>
      <c r="EH266" s="14"/>
      <c r="EI266" s="14"/>
      <c r="EJ266" s="14"/>
      <c r="EK266" s="14"/>
      <c r="EL266" s="14"/>
    </row>
    <row r="267" spans="1:142" x14ac:dyDescent="0.25">
      <c r="A267" s="14"/>
      <c r="B267" s="19"/>
      <c r="C267" s="40"/>
      <c r="D267" s="41"/>
      <c r="E267" s="40"/>
      <c r="F267" s="40"/>
      <c r="G267" s="40"/>
      <c r="H267" s="41"/>
      <c r="I267" s="72"/>
      <c r="J267" s="14"/>
      <c r="K267" s="14"/>
      <c r="L267" s="14"/>
      <c r="M267" s="14"/>
      <c r="N267" s="14"/>
      <c r="O267" s="14"/>
      <c r="P267" s="14"/>
      <c r="Q267" s="47"/>
      <c r="R267" s="19"/>
      <c r="S267" s="19"/>
      <c r="T267" s="14"/>
      <c r="U267" s="14"/>
      <c r="V267" s="14"/>
      <c r="W267" s="14"/>
      <c r="X267" s="14"/>
      <c r="Y267" s="14"/>
      <c r="Z267" s="14"/>
      <c r="AA267" s="14"/>
      <c r="AB267" s="14"/>
      <c r="AC267" s="14"/>
      <c r="AD267" s="65"/>
      <c r="AE267" s="63"/>
      <c r="AF267" s="47"/>
      <c r="AG267" s="19"/>
      <c r="AH267" s="19"/>
      <c r="AI267" s="14"/>
      <c r="AJ267" s="14"/>
      <c r="AK267" s="14"/>
      <c r="AL267" s="14"/>
      <c r="AM267" s="14"/>
      <c r="AN267" s="14"/>
      <c r="AO267" s="14"/>
      <c r="AP267" s="14"/>
      <c r="AQ267" s="14"/>
      <c r="AR267" s="14"/>
      <c r="AS267" s="65"/>
      <c r="AT267" s="63"/>
      <c r="AU267" s="47"/>
      <c r="AV267" s="14"/>
      <c r="AW267" s="19"/>
      <c r="AX267" s="14"/>
      <c r="AY267" s="14"/>
      <c r="AZ267" s="14"/>
      <c r="BA267" s="14"/>
      <c r="BB267" s="14"/>
      <c r="BC267" s="14"/>
      <c r="BD267" s="14"/>
      <c r="BE267" s="14"/>
      <c r="BF267" s="14"/>
      <c r="BG267" s="14"/>
      <c r="BH267" s="65"/>
      <c r="BI267" s="63"/>
      <c r="BJ267" s="352"/>
      <c r="BK267" s="19"/>
      <c r="BL267" s="19"/>
      <c r="BM267" s="14"/>
      <c r="BN267" s="14"/>
      <c r="BO267" s="14"/>
      <c r="BP267" s="14"/>
      <c r="BQ267" s="14"/>
      <c r="BR267" s="14"/>
      <c r="BS267" s="14"/>
      <c r="BT267" s="14"/>
      <c r="BU267" s="14"/>
      <c r="BV267" s="14"/>
      <c r="BW267" s="65"/>
      <c r="BX267" s="63"/>
      <c r="BY267" s="352"/>
      <c r="BZ267" s="14"/>
      <c r="CA267" s="14"/>
      <c r="CB267" s="21"/>
      <c r="CC267" s="21"/>
      <c r="CD267" s="180"/>
      <c r="CE267" s="180"/>
      <c r="CF267" s="21"/>
      <c r="CG267" s="14"/>
      <c r="CH267" s="14"/>
      <c r="CI267" s="14"/>
      <c r="CJ267" s="14"/>
      <c r="CK267" s="14"/>
      <c r="CL267" s="14"/>
      <c r="CM267" s="14"/>
      <c r="CN267" s="14"/>
      <c r="CO267" s="129"/>
      <c r="CP267" s="14"/>
      <c r="CQ267" s="47"/>
      <c r="CR267" s="14"/>
      <c r="CS267" s="14"/>
      <c r="CT267" s="14"/>
      <c r="CU267" s="14"/>
      <c r="CV267" s="180"/>
      <c r="CW267" s="189"/>
      <c r="CX267" s="189"/>
      <c r="CY267" s="14"/>
      <c r="CZ267" s="14"/>
      <c r="DA267" s="14"/>
      <c r="DB267" s="14"/>
      <c r="DC267" s="14"/>
      <c r="DD267" s="14"/>
      <c r="DE267" s="14"/>
      <c r="DF267" s="14"/>
      <c r="DG267" s="129"/>
      <c r="DH267" s="14"/>
      <c r="DI267" s="47"/>
      <c r="DJ267" s="14"/>
      <c r="DK267" s="19"/>
      <c r="DL267" s="40"/>
      <c r="DM267" s="41"/>
      <c r="DN267" s="40"/>
      <c r="DO267" s="40"/>
      <c r="DP267" s="40"/>
      <c r="DQ267" s="41"/>
      <c r="DR267" s="72"/>
      <c r="DS267" s="14"/>
      <c r="DT267" s="14"/>
      <c r="DU267" s="14"/>
      <c r="DV267" s="14"/>
      <c r="DW267" s="14"/>
      <c r="DX267" s="14"/>
      <c r="DY267" s="14"/>
      <c r="DZ267" s="14"/>
      <c r="EA267" s="14"/>
      <c r="EB267" s="14"/>
      <c r="EC267" s="14"/>
      <c r="ED267" s="14"/>
      <c r="EE267" s="14"/>
      <c r="EF267" s="14"/>
      <c r="EG267" s="14"/>
      <c r="EH267" s="14"/>
      <c r="EI267" s="14"/>
      <c r="EJ267" s="14"/>
      <c r="EK267" s="14"/>
      <c r="EL267" s="14"/>
    </row>
    <row r="268" spans="1:142" x14ac:dyDescent="0.25">
      <c r="A268" s="14"/>
      <c r="B268" s="19"/>
      <c r="C268" s="40"/>
      <c r="D268" s="41"/>
      <c r="E268" s="40"/>
      <c r="F268" s="40"/>
      <c r="G268" s="40"/>
      <c r="H268" s="41"/>
      <c r="I268" s="72"/>
      <c r="J268" s="14"/>
      <c r="K268" s="14"/>
      <c r="L268" s="14"/>
      <c r="M268" s="14"/>
      <c r="N268" s="14"/>
      <c r="O268" s="14"/>
      <c r="P268" s="14"/>
      <c r="Q268" s="47"/>
      <c r="R268" s="19"/>
      <c r="S268" s="19"/>
      <c r="T268" s="14"/>
      <c r="U268" s="14"/>
      <c r="V268" s="14"/>
      <c r="W268" s="14"/>
      <c r="X268" s="14"/>
      <c r="Y268" s="14"/>
      <c r="Z268" s="14"/>
      <c r="AA268" s="14"/>
      <c r="AB268" s="14"/>
      <c r="AC268" s="14"/>
      <c r="AD268" s="65"/>
      <c r="AE268" s="63"/>
      <c r="AF268" s="47"/>
      <c r="AG268" s="19"/>
      <c r="AH268" s="19"/>
      <c r="AI268" s="14"/>
      <c r="AJ268" s="14"/>
      <c r="AK268" s="14"/>
      <c r="AL268" s="14"/>
      <c r="AM268" s="14"/>
      <c r="AN268" s="14"/>
      <c r="AO268" s="14"/>
      <c r="AP268" s="14"/>
      <c r="AQ268" s="14"/>
      <c r="AR268" s="14"/>
      <c r="AS268" s="65"/>
      <c r="AT268" s="63"/>
      <c r="AU268" s="47"/>
      <c r="AV268" s="14"/>
      <c r="AW268" s="19"/>
      <c r="AX268" s="14"/>
      <c r="AY268" s="14"/>
      <c r="AZ268" s="14"/>
      <c r="BA268" s="14"/>
      <c r="BB268" s="14"/>
      <c r="BC268" s="14"/>
      <c r="BD268" s="14"/>
      <c r="BE268" s="14"/>
      <c r="BF268" s="14"/>
      <c r="BG268" s="14"/>
      <c r="BH268" s="65"/>
      <c r="BI268" s="63"/>
      <c r="BJ268" s="352"/>
      <c r="BK268" s="19"/>
      <c r="BL268" s="19"/>
      <c r="BM268" s="14"/>
      <c r="BN268" s="14"/>
      <c r="BO268" s="14"/>
      <c r="BP268" s="14"/>
      <c r="BQ268" s="14"/>
      <c r="BR268" s="14"/>
      <c r="BS268" s="14"/>
      <c r="BT268" s="14"/>
      <c r="BU268" s="14"/>
      <c r="BV268" s="14"/>
      <c r="BW268" s="65"/>
      <c r="BX268" s="63"/>
      <c r="BY268" s="352"/>
      <c r="BZ268" s="14"/>
      <c r="CA268" s="14"/>
      <c r="CB268" s="21"/>
      <c r="CC268" s="21"/>
      <c r="CD268" s="180"/>
      <c r="CE268" s="180"/>
      <c r="CF268" s="21"/>
      <c r="CG268" s="14"/>
      <c r="CH268" s="14"/>
      <c r="CI268" s="14"/>
      <c r="CJ268" s="14"/>
      <c r="CK268" s="14"/>
      <c r="CL268" s="14"/>
      <c r="CM268" s="14"/>
      <c r="CN268" s="14"/>
      <c r="CO268" s="129"/>
      <c r="CP268" s="14"/>
      <c r="CQ268" s="47"/>
      <c r="CR268" s="14"/>
      <c r="CS268" s="14"/>
      <c r="CT268" s="14"/>
      <c r="CU268" s="14"/>
      <c r="CV268" s="180"/>
      <c r="CW268" s="189"/>
      <c r="CX268" s="189"/>
      <c r="CY268" s="14"/>
      <c r="CZ268" s="14"/>
      <c r="DA268" s="14"/>
      <c r="DB268" s="14"/>
      <c r="DC268" s="14"/>
      <c r="DD268" s="14"/>
      <c r="DE268" s="14"/>
      <c r="DF268" s="14"/>
      <c r="DG268" s="129"/>
      <c r="DH268" s="14"/>
      <c r="DI268" s="47"/>
      <c r="DJ268" s="14"/>
      <c r="DK268" s="19"/>
      <c r="DL268" s="40"/>
      <c r="DM268" s="41"/>
      <c r="DN268" s="40"/>
      <c r="DO268" s="40"/>
      <c r="DP268" s="40"/>
      <c r="DQ268" s="41"/>
      <c r="DR268" s="72"/>
      <c r="DS268" s="14"/>
      <c r="DT268" s="14"/>
      <c r="DU268" s="14"/>
      <c r="DV268" s="14"/>
      <c r="DW268" s="14"/>
      <c r="DX268" s="14"/>
      <c r="DY268" s="14"/>
      <c r="DZ268" s="14"/>
      <c r="EA268" s="14"/>
      <c r="EB268" s="14"/>
      <c r="EC268" s="14"/>
      <c r="ED268" s="14"/>
      <c r="EE268" s="14"/>
      <c r="EF268" s="14"/>
      <c r="EG268" s="14"/>
      <c r="EH268" s="14"/>
      <c r="EI268" s="14"/>
      <c r="EJ268" s="14"/>
      <c r="EK268" s="14"/>
      <c r="EL268" s="14"/>
    </row>
    <row r="269" spans="1:142" x14ac:dyDescent="0.25">
      <c r="A269" s="14"/>
      <c r="B269" s="19"/>
      <c r="C269" s="40"/>
      <c r="D269" s="41"/>
      <c r="E269" s="40"/>
      <c r="F269" s="40"/>
      <c r="G269" s="40"/>
      <c r="H269" s="41"/>
      <c r="I269" s="72"/>
      <c r="J269" s="14"/>
      <c r="K269" s="14"/>
      <c r="L269" s="14"/>
      <c r="M269" s="14"/>
      <c r="N269" s="14"/>
      <c r="O269" s="14"/>
      <c r="P269" s="14"/>
      <c r="Q269" s="47"/>
      <c r="R269" s="19"/>
      <c r="S269" s="19"/>
      <c r="T269" s="14"/>
      <c r="U269" s="14"/>
      <c r="V269" s="14"/>
      <c r="W269" s="14"/>
      <c r="X269" s="14"/>
      <c r="Y269" s="14"/>
      <c r="Z269" s="14"/>
      <c r="AA269" s="14"/>
      <c r="AB269" s="14"/>
      <c r="AC269" s="14"/>
      <c r="AD269" s="65"/>
      <c r="AE269" s="63"/>
      <c r="AF269" s="47"/>
      <c r="AG269" s="19"/>
      <c r="AH269" s="19"/>
      <c r="AI269" s="14"/>
      <c r="AJ269" s="14"/>
      <c r="AK269" s="14"/>
      <c r="AL269" s="14"/>
      <c r="AM269" s="14"/>
      <c r="AN269" s="14"/>
      <c r="AO269" s="14"/>
      <c r="AP269" s="14"/>
      <c r="AQ269" s="14"/>
      <c r="AR269" s="14"/>
      <c r="AS269" s="65"/>
      <c r="AT269" s="63"/>
      <c r="AU269" s="47"/>
      <c r="AV269" s="14"/>
      <c r="AW269" s="19"/>
      <c r="AX269" s="14"/>
      <c r="AY269" s="14"/>
      <c r="AZ269" s="14"/>
      <c r="BA269" s="14"/>
      <c r="BB269" s="14"/>
      <c r="BC269" s="14"/>
      <c r="BD269" s="14"/>
      <c r="BE269" s="14"/>
      <c r="BF269" s="14"/>
      <c r="BG269" s="14"/>
      <c r="BH269" s="65"/>
      <c r="BI269" s="63"/>
      <c r="BJ269" s="352"/>
      <c r="BK269" s="19"/>
      <c r="BL269" s="19"/>
      <c r="BM269" s="14"/>
      <c r="BN269" s="14"/>
      <c r="BO269" s="14"/>
      <c r="BP269" s="14"/>
      <c r="BQ269" s="14"/>
      <c r="BR269" s="14"/>
      <c r="BS269" s="14"/>
      <c r="BT269" s="14"/>
      <c r="BU269" s="14"/>
      <c r="BV269" s="14"/>
      <c r="BW269" s="65"/>
      <c r="BX269" s="63"/>
      <c r="BY269" s="352"/>
      <c r="BZ269" s="14"/>
      <c r="CA269" s="14"/>
      <c r="CB269" s="21"/>
      <c r="CC269" s="21"/>
      <c r="CD269" s="180"/>
      <c r="CE269" s="180"/>
      <c r="CF269" s="21"/>
      <c r="CG269" s="14"/>
      <c r="CH269" s="14"/>
      <c r="CI269" s="14"/>
      <c r="CJ269" s="14"/>
      <c r="CK269" s="14"/>
      <c r="CL269" s="14"/>
      <c r="CM269" s="14"/>
      <c r="CN269" s="14"/>
      <c r="CO269" s="129"/>
      <c r="CP269" s="14"/>
      <c r="CQ269" s="47"/>
      <c r="CR269" s="14"/>
      <c r="CS269" s="14"/>
      <c r="CT269" s="14"/>
      <c r="CU269" s="14"/>
      <c r="CV269" s="180"/>
      <c r="CW269" s="189"/>
      <c r="CX269" s="189"/>
      <c r="CY269" s="14"/>
      <c r="CZ269" s="14"/>
      <c r="DA269" s="14"/>
      <c r="DB269" s="14"/>
      <c r="DC269" s="14"/>
      <c r="DD269" s="14"/>
      <c r="DE269" s="14"/>
      <c r="DF269" s="14"/>
      <c r="DG269" s="129"/>
      <c r="DH269" s="14"/>
      <c r="DI269" s="47"/>
      <c r="DJ269" s="14"/>
      <c r="DK269" s="19"/>
      <c r="DL269" s="40"/>
      <c r="DM269" s="41"/>
      <c r="DN269" s="40"/>
      <c r="DO269" s="40"/>
      <c r="DP269" s="40"/>
      <c r="DQ269" s="41"/>
      <c r="DR269" s="72"/>
      <c r="DS269" s="14"/>
      <c r="DT269" s="14"/>
      <c r="DU269" s="14"/>
      <c r="DV269" s="14"/>
      <c r="DW269" s="14"/>
      <c r="DX269" s="14"/>
      <c r="DY269" s="14"/>
      <c r="DZ269" s="14"/>
      <c r="EA269" s="14"/>
      <c r="EB269" s="14"/>
      <c r="EC269" s="14"/>
      <c r="ED269" s="14"/>
      <c r="EE269" s="14"/>
      <c r="EF269" s="14"/>
      <c r="EG269" s="14"/>
      <c r="EH269" s="14"/>
      <c r="EI269" s="14"/>
      <c r="EJ269" s="14"/>
      <c r="EK269" s="14"/>
      <c r="EL269" s="14"/>
    </row>
    <row r="270" spans="1:142" x14ac:dyDescent="0.25">
      <c r="A270" s="14"/>
      <c r="B270" s="19"/>
      <c r="C270" s="40"/>
      <c r="D270" s="41"/>
      <c r="E270" s="40"/>
      <c r="F270" s="40"/>
      <c r="G270" s="40"/>
      <c r="H270" s="41"/>
      <c r="I270" s="72"/>
      <c r="J270" s="14"/>
      <c r="K270" s="14"/>
      <c r="L270" s="14"/>
      <c r="M270" s="14"/>
      <c r="N270" s="14"/>
      <c r="O270" s="14"/>
      <c r="P270" s="14"/>
      <c r="Q270" s="47"/>
      <c r="R270" s="19"/>
      <c r="S270" s="19"/>
      <c r="T270" s="14"/>
      <c r="U270" s="14"/>
      <c r="V270" s="14"/>
      <c r="W270" s="14"/>
      <c r="X270" s="14"/>
      <c r="Y270" s="14"/>
      <c r="Z270" s="14"/>
      <c r="AA270" s="14"/>
      <c r="AB270" s="14"/>
      <c r="AC270" s="14"/>
      <c r="AD270" s="65"/>
      <c r="AE270" s="63"/>
      <c r="AF270" s="47"/>
      <c r="AG270" s="19"/>
      <c r="AH270" s="19"/>
      <c r="AI270" s="14"/>
      <c r="AJ270" s="14"/>
      <c r="AK270" s="14"/>
      <c r="AL270" s="14"/>
      <c r="AM270" s="14"/>
      <c r="AN270" s="14"/>
      <c r="AO270" s="14"/>
      <c r="AP270" s="14"/>
      <c r="AQ270" s="14"/>
      <c r="AR270" s="14"/>
      <c r="AS270" s="65"/>
      <c r="AT270" s="63"/>
      <c r="AU270" s="47"/>
      <c r="AV270" s="14"/>
      <c r="AW270" s="19"/>
      <c r="AX270" s="14"/>
      <c r="AY270" s="14"/>
      <c r="AZ270" s="14"/>
      <c r="BA270" s="14"/>
      <c r="BB270" s="14"/>
      <c r="BC270" s="14"/>
      <c r="BD270" s="14"/>
      <c r="BE270" s="14"/>
      <c r="BF270" s="14"/>
      <c r="BG270" s="14"/>
      <c r="BH270" s="65"/>
      <c r="BI270" s="63"/>
      <c r="BJ270" s="352"/>
      <c r="BK270" s="19"/>
      <c r="BL270" s="19"/>
      <c r="BM270" s="14"/>
      <c r="BN270" s="14"/>
      <c r="BO270" s="14"/>
      <c r="BP270" s="14"/>
      <c r="BQ270" s="14"/>
      <c r="BR270" s="14"/>
      <c r="BS270" s="14"/>
      <c r="BT270" s="14"/>
      <c r="BU270" s="14"/>
      <c r="BV270" s="14"/>
      <c r="BW270" s="65"/>
      <c r="BX270" s="63"/>
      <c r="BY270" s="352"/>
      <c r="BZ270" s="14"/>
      <c r="CA270" s="14"/>
      <c r="CB270" s="21"/>
      <c r="CC270" s="21"/>
      <c r="CD270" s="180"/>
      <c r="CE270" s="180"/>
      <c r="CF270" s="21"/>
      <c r="CG270" s="14"/>
      <c r="CH270" s="14"/>
      <c r="CI270" s="14"/>
      <c r="CJ270" s="14"/>
      <c r="CK270" s="14"/>
      <c r="CL270" s="14"/>
      <c r="CM270" s="14"/>
      <c r="CN270" s="14"/>
      <c r="CO270" s="129"/>
      <c r="CP270" s="14"/>
      <c r="CQ270" s="47"/>
      <c r="CR270" s="14"/>
      <c r="CS270" s="14"/>
      <c r="CT270" s="14"/>
      <c r="CU270" s="14"/>
      <c r="CV270" s="180"/>
      <c r="CW270" s="189"/>
      <c r="CX270" s="189"/>
      <c r="CY270" s="14"/>
      <c r="CZ270" s="14"/>
      <c r="DA270" s="14"/>
      <c r="DB270" s="14"/>
      <c r="DC270" s="14"/>
      <c r="DD270" s="14"/>
      <c r="DE270" s="14"/>
      <c r="DF270" s="14"/>
      <c r="DG270" s="129"/>
      <c r="DH270" s="14"/>
      <c r="DI270" s="47"/>
      <c r="DJ270" s="14"/>
      <c r="DK270" s="19"/>
      <c r="DL270" s="40"/>
      <c r="DM270" s="41"/>
      <c r="DN270" s="40"/>
      <c r="DO270" s="40"/>
      <c r="DP270" s="40"/>
      <c r="DQ270" s="41"/>
      <c r="DR270" s="72"/>
      <c r="DS270" s="14"/>
      <c r="DT270" s="14"/>
      <c r="DU270" s="14"/>
      <c r="DV270" s="14"/>
      <c r="DW270" s="14"/>
      <c r="DX270" s="14"/>
      <c r="DY270" s="14"/>
      <c r="DZ270" s="14"/>
      <c r="EA270" s="14"/>
      <c r="EB270" s="14"/>
      <c r="EC270" s="14"/>
      <c r="ED270" s="14"/>
      <c r="EE270" s="14"/>
      <c r="EF270" s="14"/>
      <c r="EG270" s="14"/>
      <c r="EH270" s="14"/>
      <c r="EI270" s="14"/>
      <c r="EJ270" s="14"/>
      <c r="EK270" s="14"/>
      <c r="EL270" s="14"/>
    </row>
    <row r="271" spans="1:142" x14ac:dyDescent="0.25">
      <c r="A271" s="14"/>
      <c r="B271" s="19"/>
      <c r="C271" s="40"/>
      <c r="D271" s="41"/>
      <c r="E271" s="40"/>
      <c r="F271" s="40"/>
      <c r="G271" s="40"/>
      <c r="H271" s="41"/>
      <c r="I271" s="72"/>
      <c r="J271" s="14"/>
      <c r="K271" s="14"/>
      <c r="L271" s="14"/>
      <c r="M271" s="14"/>
      <c r="N271" s="14"/>
      <c r="O271" s="14"/>
      <c r="P271" s="14"/>
      <c r="Q271" s="47"/>
      <c r="R271" s="19"/>
      <c r="S271" s="19"/>
      <c r="T271" s="14"/>
      <c r="U271" s="14"/>
      <c r="V271" s="14"/>
      <c r="W271" s="14"/>
      <c r="X271" s="14"/>
      <c r="Y271" s="14"/>
      <c r="Z271" s="14"/>
      <c r="AA271" s="14"/>
      <c r="AB271" s="14"/>
      <c r="AC271" s="14"/>
      <c r="AD271" s="65"/>
      <c r="AE271" s="63"/>
      <c r="AF271" s="47"/>
      <c r="AG271" s="19"/>
      <c r="AH271" s="19"/>
      <c r="AI271" s="14"/>
      <c r="AJ271" s="14"/>
      <c r="AK271" s="14"/>
      <c r="AL271" s="14"/>
      <c r="AM271" s="14"/>
      <c r="AN271" s="14"/>
      <c r="AO271" s="14"/>
      <c r="AP271" s="14"/>
      <c r="AQ271" s="14"/>
      <c r="AR271" s="14"/>
      <c r="AS271" s="65"/>
      <c r="AT271" s="63"/>
      <c r="AU271" s="47"/>
      <c r="AV271" s="14"/>
      <c r="AW271" s="19"/>
      <c r="AX271" s="14"/>
      <c r="AY271" s="14"/>
      <c r="AZ271" s="14"/>
      <c r="BA271" s="14"/>
      <c r="BB271" s="14"/>
      <c r="BC271" s="14"/>
      <c r="BD271" s="14"/>
      <c r="BE271" s="14"/>
      <c r="BF271" s="14"/>
      <c r="BG271" s="14"/>
      <c r="BH271" s="65"/>
      <c r="BI271" s="63"/>
      <c r="BJ271" s="352"/>
      <c r="BK271" s="19"/>
      <c r="BL271" s="19"/>
      <c r="BM271" s="14"/>
      <c r="BN271" s="14"/>
      <c r="BO271" s="14"/>
      <c r="BP271" s="14"/>
      <c r="BQ271" s="14"/>
      <c r="BR271" s="14"/>
      <c r="BS271" s="14"/>
      <c r="BT271" s="14"/>
      <c r="BU271" s="14"/>
      <c r="BV271" s="14"/>
      <c r="BW271" s="65"/>
      <c r="BX271" s="63"/>
      <c r="BY271" s="352"/>
      <c r="BZ271" s="14"/>
      <c r="CA271" s="14"/>
      <c r="CB271" s="21"/>
      <c r="CC271" s="21"/>
      <c r="CD271" s="180"/>
      <c r="CE271" s="180"/>
      <c r="CF271" s="21"/>
      <c r="CG271" s="14"/>
      <c r="CH271" s="14"/>
      <c r="CI271" s="14"/>
      <c r="CJ271" s="14"/>
      <c r="CK271" s="14"/>
      <c r="CL271" s="14"/>
      <c r="CM271" s="14"/>
      <c r="CN271" s="14"/>
      <c r="CO271" s="129"/>
      <c r="CP271" s="14"/>
      <c r="CQ271" s="47"/>
      <c r="CR271" s="14"/>
      <c r="CS271" s="14"/>
      <c r="CT271" s="14"/>
      <c r="CU271" s="14"/>
      <c r="CV271" s="180"/>
      <c r="CW271" s="189"/>
      <c r="CX271" s="189"/>
      <c r="CY271" s="14"/>
      <c r="CZ271" s="14"/>
      <c r="DA271" s="14"/>
      <c r="DB271" s="14"/>
      <c r="DC271" s="14"/>
      <c r="DD271" s="14"/>
      <c r="DE271" s="14"/>
      <c r="DF271" s="14"/>
      <c r="DG271" s="129"/>
      <c r="DH271" s="14"/>
      <c r="DI271" s="47"/>
      <c r="DJ271" s="14"/>
      <c r="DK271" s="19"/>
      <c r="DL271" s="40"/>
      <c r="DM271" s="41"/>
      <c r="DN271" s="40"/>
      <c r="DO271" s="40"/>
      <c r="DP271" s="40"/>
      <c r="DQ271" s="41"/>
      <c r="DR271" s="72"/>
      <c r="DS271" s="14"/>
      <c r="DT271" s="14"/>
      <c r="DU271" s="14"/>
      <c r="DV271" s="14"/>
      <c r="DW271" s="14"/>
      <c r="DX271" s="14"/>
      <c r="DY271" s="14"/>
      <c r="DZ271" s="14"/>
      <c r="EA271" s="14"/>
      <c r="EB271" s="14"/>
      <c r="EC271" s="14"/>
      <c r="ED271" s="14"/>
      <c r="EE271" s="14"/>
      <c r="EF271" s="14"/>
      <c r="EG271" s="14"/>
      <c r="EH271" s="14"/>
      <c r="EI271" s="14"/>
      <c r="EJ271" s="14"/>
      <c r="EK271" s="14"/>
      <c r="EL271" s="14"/>
    </row>
    <row r="272" spans="1:142" x14ac:dyDescent="0.25">
      <c r="A272" s="14"/>
      <c r="B272" s="19"/>
      <c r="C272" s="40"/>
      <c r="D272" s="41"/>
      <c r="E272" s="40"/>
      <c r="F272" s="40"/>
      <c r="G272" s="40"/>
      <c r="H272" s="41"/>
      <c r="I272" s="72"/>
      <c r="J272" s="14"/>
      <c r="K272" s="14"/>
      <c r="L272" s="14"/>
      <c r="M272" s="14"/>
      <c r="N272" s="14"/>
      <c r="O272" s="14"/>
      <c r="P272" s="14"/>
      <c r="Q272" s="47"/>
      <c r="R272" s="19"/>
      <c r="S272" s="19"/>
      <c r="T272" s="14"/>
      <c r="U272" s="14"/>
      <c r="V272" s="14"/>
      <c r="W272" s="14"/>
      <c r="X272" s="14"/>
      <c r="Y272" s="14"/>
      <c r="Z272" s="14"/>
      <c r="AA272" s="14"/>
      <c r="AB272" s="14"/>
      <c r="AC272" s="14"/>
      <c r="AD272" s="65"/>
      <c r="AE272" s="63"/>
      <c r="AF272" s="47"/>
      <c r="AG272" s="19"/>
      <c r="AH272" s="19"/>
      <c r="AI272" s="14"/>
      <c r="AJ272" s="14"/>
      <c r="AK272" s="14"/>
      <c r="AL272" s="14"/>
      <c r="AM272" s="14"/>
      <c r="AN272" s="14"/>
      <c r="AO272" s="14"/>
      <c r="AP272" s="14"/>
      <c r="AQ272" s="14"/>
      <c r="AR272" s="14"/>
      <c r="AS272" s="65"/>
      <c r="AT272" s="63"/>
      <c r="AU272" s="47"/>
      <c r="AV272" s="14"/>
      <c r="AW272" s="19"/>
      <c r="AX272" s="14"/>
      <c r="AY272" s="14"/>
      <c r="AZ272" s="14"/>
      <c r="BA272" s="14"/>
      <c r="BB272" s="14"/>
      <c r="BC272" s="14"/>
      <c r="BD272" s="14"/>
      <c r="BE272" s="14"/>
      <c r="BF272" s="14"/>
      <c r="BG272" s="14"/>
      <c r="BH272" s="65"/>
      <c r="BI272" s="63"/>
      <c r="BJ272" s="352"/>
      <c r="BK272" s="19"/>
      <c r="BL272" s="19"/>
      <c r="BM272" s="14"/>
      <c r="BN272" s="14"/>
      <c r="BO272" s="14"/>
      <c r="BP272" s="14"/>
      <c r="BQ272" s="14"/>
      <c r="BR272" s="14"/>
      <c r="BS272" s="14"/>
      <c r="BT272" s="14"/>
      <c r="BU272" s="14"/>
      <c r="BV272" s="14"/>
      <c r="BW272" s="65"/>
      <c r="BX272" s="63"/>
      <c r="BY272" s="352"/>
      <c r="BZ272" s="14"/>
      <c r="CA272" s="14"/>
      <c r="CB272" s="21"/>
      <c r="CC272" s="21"/>
      <c r="CD272" s="180"/>
      <c r="CE272" s="180"/>
      <c r="CF272" s="21"/>
      <c r="CG272" s="14"/>
      <c r="CH272" s="14"/>
      <c r="CI272" s="14"/>
      <c r="CJ272" s="14"/>
      <c r="CK272" s="14"/>
      <c r="CL272" s="14"/>
      <c r="CM272" s="14"/>
      <c r="CN272" s="14"/>
      <c r="CO272" s="129"/>
      <c r="CP272" s="14"/>
      <c r="CQ272" s="47"/>
      <c r="CR272" s="14"/>
      <c r="CS272" s="14"/>
      <c r="CT272" s="14"/>
      <c r="CU272" s="14"/>
      <c r="CV272" s="180"/>
      <c r="CW272" s="189"/>
      <c r="CX272" s="189"/>
      <c r="CY272" s="14"/>
      <c r="CZ272" s="14"/>
      <c r="DA272" s="14"/>
      <c r="DB272" s="14"/>
      <c r="DC272" s="14"/>
      <c r="DD272" s="14"/>
      <c r="DE272" s="14"/>
      <c r="DF272" s="14"/>
      <c r="DG272" s="129"/>
      <c r="DH272" s="14"/>
      <c r="DI272" s="47"/>
      <c r="DJ272" s="14"/>
      <c r="DK272" s="19"/>
      <c r="DL272" s="40"/>
      <c r="DM272" s="41"/>
      <c r="DN272" s="40"/>
      <c r="DO272" s="40"/>
      <c r="DP272" s="40"/>
      <c r="DQ272" s="41"/>
      <c r="DR272" s="72"/>
      <c r="DS272" s="14"/>
      <c r="DT272" s="14"/>
      <c r="DU272" s="14"/>
      <c r="DV272" s="14"/>
      <c r="DW272" s="14"/>
      <c r="DX272" s="14"/>
      <c r="DY272" s="14"/>
      <c r="DZ272" s="14"/>
      <c r="EA272" s="14"/>
      <c r="EB272" s="14"/>
      <c r="EC272" s="14"/>
      <c r="ED272" s="14"/>
      <c r="EE272" s="14"/>
      <c r="EF272" s="14"/>
      <c r="EG272" s="14"/>
      <c r="EH272" s="14"/>
      <c r="EI272" s="14"/>
      <c r="EJ272" s="14"/>
      <c r="EK272" s="14"/>
      <c r="EL272" s="14"/>
    </row>
    <row r="273" spans="1:142" x14ac:dyDescent="0.25">
      <c r="A273" s="14"/>
      <c r="B273" s="19"/>
      <c r="C273" s="40"/>
      <c r="D273" s="41"/>
      <c r="E273" s="40"/>
      <c r="F273" s="40"/>
      <c r="G273" s="40"/>
      <c r="H273" s="41"/>
      <c r="I273" s="72"/>
      <c r="J273" s="14"/>
      <c r="K273" s="14"/>
      <c r="L273" s="14"/>
      <c r="M273" s="14"/>
      <c r="N273" s="14"/>
      <c r="O273" s="14"/>
      <c r="P273" s="14"/>
      <c r="Q273" s="47"/>
      <c r="R273" s="19"/>
      <c r="S273" s="19"/>
      <c r="T273" s="14"/>
      <c r="U273" s="14"/>
      <c r="V273" s="14"/>
      <c r="W273" s="14"/>
      <c r="X273" s="14"/>
      <c r="Y273" s="14"/>
      <c r="Z273" s="14"/>
      <c r="AA273" s="14"/>
      <c r="AB273" s="14"/>
      <c r="AC273" s="14"/>
      <c r="AD273" s="65"/>
      <c r="AE273" s="63"/>
      <c r="AF273" s="47"/>
      <c r="AG273" s="19"/>
      <c r="AH273" s="19"/>
      <c r="AI273" s="14"/>
      <c r="AJ273" s="14"/>
      <c r="AK273" s="14"/>
      <c r="AL273" s="14"/>
      <c r="AM273" s="14"/>
      <c r="AN273" s="14"/>
      <c r="AO273" s="14"/>
      <c r="AP273" s="14"/>
      <c r="AQ273" s="14"/>
      <c r="AR273" s="14"/>
      <c r="AS273" s="65"/>
      <c r="AT273" s="63"/>
      <c r="AU273" s="47"/>
      <c r="AV273" s="14"/>
      <c r="AW273" s="19"/>
      <c r="AX273" s="14"/>
      <c r="AY273" s="14"/>
      <c r="AZ273" s="14"/>
      <c r="BA273" s="14"/>
      <c r="BB273" s="14"/>
      <c r="BC273" s="14"/>
      <c r="BD273" s="14"/>
      <c r="BE273" s="14"/>
      <c r="BF273" s="14"/>
      <c r="BG273" s="14"/>
      <c r="BH273" s="65"/>
      <c r="BI273" s="63"/>
      <c r="BJ273" s="352"/>
      <c r="BK273" s="19"/>
      <c r="BL273" s="19"/>
      <c r="BM273" s="14"/>
      <c r="BN273" s="14"/>
      <c r="BO273" s="14"/>
      <c r="BP273" s="14"/>
      <c r="BQ273" s="14"/>
      <c r="BR273" s="14"/>
      <c r="BS273" s="14"/>
      <c r="BT273" s="14"/>
      <c r="BU273" s="14"/>
      <c r="BV273" s="14"/>
      <c r="BW273" s="65"/>
      <c r="BX273" s="63"/>
      <c r="BY273" s="352"/>
      <c r="BZ273" s="14"/>
      <c r="CA273" s="14"/>
      <c r="CB273" s="21"/>
      <c r="CC273" s="21"/>
      <c r="CD273" s="180"/>
      <c r="CE273" s="180"/>
      <c r="CF273" s="21"/>
      <c r="CG273" s="14"/>
      <c r="CH273" s="14"/>
      <c r="CI273" s="14"/>
      <c r="CJ273" s="14"/>
      <c r="CK273" s="14"/>
      <c r="CL273" s="14"/>
      <c r="CM273" s="14"/>
      <c r="CN273" s="14"/>
      <c r="CO273" s="129"/>
      <c r="CP273" s="14"/>
      <c r="CQ273" s="47"/>
      <c r="CR273" s="14"/>
      <c r="CS273" s="14"/>
      <c r="CT273" s="14"/>
      <c r="CU273" s="14"/>
      <c r="CV273" s="180"/>
      <c r="CW273" s="189"/>
      <c r="CX273" s="189"/>
      <c r="CY273" s="14"/>
      <c r="CZ273" s="14"/>
      <c r="DA273" s="14"/>
      <c r="DB273" s="14"/>
      <c r="DC273" s="14"/>
      <c r="DD273" s="14"/>
      <c r="DE273" s="14"/>
      <c r="DF273" s="14"/>
      <c r="DG273" s="129"/>
      <c r="DH273" s="14"/>
      <c r="DI273" s="47"/>
      <c r="DJ273" s="14"/>
      <c r="DK273" s="19"/>
      <c r="DL273" s="40"/>
      <c r="DM273" s="41"/>
      <c r="DN273" s="40"/>
      <c r="DO273" s="40"/>
      <c r="DP273" s="40"/>
      <c r="DQ273" s="41"/>
      <c r="DR273" s="72"/>
      <c r="DS273" s="14"/>
      <c r="DT273" s="14"/>
      <c r="DU273" s="14"/>
      <c r="DV273" s="14"/>
      <c r="DW273" s="14"/>
      <c r="DX273" s="14"/>
      <c r="DY273" s="14"/>
      <c r="DZ273" s="14"/>
      <c r="EA273" s="14"/>
      <c r="EB273" s="14"/>
      <c r="EC273" s="14"/>
      <c r="ED273" s="14"/>
      <c r="EE273" s="14"/>
      <c r="EF273" s="14"/>
      <c r="EG273" s="14"/>
      <c r="EH273" s="14"/>
      <c r="EI273" s="14"/>
      <c r="EJ273" s="14"/>
      <c r="EK273" s="14"/>
      <c r="EL273" s="14"/>
    </row>
    <row r="274" spans="1:142" x14ac:dyDescent="0.25">
      <c r="A274" s="14"/>
      <c r="B274" s="19"/>
      <c r="C274" s="40"/>
      <c r="D274" s="41"/>
      <c r="E274" s="40"/>
      <c r="F274" s="40"/>
      <c r="G274" s="40"/>
      <c r="H274" s="41"/>
      <c r="I274" s="72"/>
      <c r="J274" s="14"/>
      <c r="K274" s="14"/>
      <c r="L274" s="14"/>
      <c r="M274" s="14"/>
      <c r="N274" s="14"/>
      <c r="O274" s="14"/>
      <c r="P274" s="14"/>
      <c r="Q274" s="47"/>
      <c r="R274" s="19"/>
      <c r="S274" s="19"/>
      <c r="T274" s="14"/>
      <c r="U274" s="14"/>
      <c r="V274" s="14"/>
      <c r="W274" s="14"/>
      <c r="X274" s="14"/>
      <c r="Y274" s="14"/>
      <c r="Z274" s="14"/>
      <c r="AA274" s="14"/>
      <c r="AB274" s="14"/>
      <c r="AC274" s="14"/>
      <c r="AD274" s="65"/>
      <c r="AE274" s="63"/>
      <c r="AF274" s="47"/>
      <c r="AG274" s="19"/>
      <c r="AH274" s="19"/>
      <c r="AI274" s="14"/>
      <c r="AJ274" s="14"/>
      <c r="AK274" s="14"/>
      <c r="AL274" s="14"/>
      <c r="AM274" s="14"/>
      <c r="AN274" s="14"/>
      <c r="AO274" s="14"/>
      <c r="AP274" s="14"/>
      <c r="AQ274" s="14"/>
      <c r="AR274" s="14"/>
      <c r="AS274" s="65"/>
      <c r="AT274" s="63"/>
      <c r="AU274" s="47"/>
      <c r="AV274" s="14"/>
      <c r="AW274" s="19"/>
      <c r="AX274" s="14"/>
      <c r="AY274" s="14"/>
      <c r="AZ274" s="14"/>
      <c r="BA274" s="14"/>
      <c r="BB274" s="14"/>
      <c r="BC274" s="14"/>
      <c r="BD274" s="14"/>
      <c r="BE274" s="14"/>
      <c r="BF274" s="14"/>
      <c r="BG274" s="14"/>
      <c r="BH274" s="65"/>
      <c r="BI274" s="63"/>
      <c r="BJ274" s="352"/>
      <c r="BK274" s="19"/>
      <c r="BL274" s="19"/>
      <c r="BM274" s="14"/>
      <c r="BN274" s="14"/>
      <c r="BO274" s="14"/>
      <c r="BP274" s="14"/>
      <c r="BQ274" s="14"/>
      <c r="BR274" s="14"/>
      <c r="BS274" s="14"/>
      <c r="BT274" s="14"/>
      <c r="BU274" s="14"/>
      <c r="BV274" s="14"/>
      <c r="BW274" s="65"/>
      <c r="BX274" s="63"/>
      <c r="BY274" s="352"/>
      <c r="BZ274" s="14"/>
      <c r="CA274" s="14"/>
      <c r="CB274" s="21"/>
      <c r="CC274" s="21"/>
      <c r="CD274" s="180"/>
      <c r="CE274" s="180"/>
      <c r="CF274" s="21"/>
      <c r="CG274" s="14"/>
      <c r="CH274" s="14"/>
      <c r="CI274" s="14"/>
      <c r="CJ274" s="14"/>
      <c r="CK274" s="14"/>
      <c r="CL274" s="14"/>
      <c r="CM274" s="14"/>
      <c r="CN274" s="14"/>
      <c r="CO274" s="129"/>
      <c r="CP274" s="14"/>
      <c r="CQ274" s="47"/>
      <c r="CR274" s="14"/>
      <c r="CS274" s="14"/>
      <c r="CT274" s="14"/>
      <c r="CU274" s="14"/>
      <c r="CV274" s="180"/>
      <c r="CW274" s="189"/>
      <c r="CX274" s="189"/>
      <c r="CY274" s="14"/>
      <c r="CZ274" s="14"/>
      <c r="DA274" s="14"/>
      <c r="DB274" s="14"/>
      <c r="DC274" s="14"/>
      <c r="DD274" s="14"/>
      <c r="DE274" s="14"/>
      <c r="DF274" s="14"/>
      <c r="DG274" s="129"/>
      <c r="DH274" s="14"/>
      <c r="DI274" s="47"/>
      <c r="DJ274" s="14"/>
      <c r="DK274" s="19"/>
      <c r="DL274" s="40"/>
      <c r="DM274" s="41"/>
      <c r="DN274" s="40"/>
      <c r="DO274" s="40"/>
      <c r="DP274" s="40"/>
      <c r="DQ274" s="41"/>
      <c r="DR274" s="72"/>
      <c r="DS274" s="14"/>
      <c r="DT274" s="14"/>
      <c r="DU274" s="14"/>
      <c r="DV274" s="14"/>
      <c r="DW274" s="14"/>
      <c r="DX274" s="14"/>
      <c r="DY274" s="14"/>
      <c r="DZ274" s="14"/>
      <c r="EA274" s="14"/>
      <c r="EB274" s="14"/>
      <c r="EC274" s="14"/>
      <c r="ED274" s="14"/>
      <c r="EE274" s="14"/>
      <c r="EF274" s="14"/>
      <c r="EG274" s="14"/>
      <c r="EH274" s="14"/>
      <c r="EI274" s="14"/>
      <c r="EJ274" s="14"/>
      <c r="EK274" s="14"/>
      <c r="EL274" s="14"/>
    </row>
    <row r="275" spans="1:142" x14ac:dyDescent="0.25">
      <c r="A275" s="14"/>
      <c r="B275" s="19"/>
      <c r="C275" s="40"/>
      <c r="D275" s="41"/>
      <c r="E275" s="40"/>
      <c r="F275" s="40"/>
      <c r="G275" s="40"/>
      <c r="H275" s="41"/>
      <c r="I275" s="72"/>
      <c r="J275" s="14"/>
      <c r="K275" s="14"/>
      <c r="L275" s="14"/>
      <c r="M275" s="14"/>
      <c r="N275" s="14"/>
      <c r="O275" s="14"/>
      <c r="P275" s="14"/>
      <c r="Q275" s="47"/>
      <c r="R275" s="19"/>
      <c r="S275" s="19"/>
      <c r="T275" s="14"/>
      <c r="U275" s="14"/>
      <c r="V275" s="14"/>
      <c r="W275" s="14"/>
      <c r="X275" s="14"/>
      <c r="Y275" s="14"/>
      <c r="Z275" s="14"/>
      <c r="AA275" s="14"/>
      <c r="AB275" s="14"/>
      <c r="AC275" s="14"/>
      <c r="AD275" s="65"/>
      <c r="AE275" s="63"/>
      <c r="AF275" s="47"/>
      <c r="AG275" s="19"/>
      <c r="AH275" s="19"/>
      <c r="AI275" s="14"/>
      <c r="AJ275" s="14"/>
      <c r="AK275" s="14"/>
      <c r="AL275" s="14"/>
      <c r="AM275" s="14"/>
      <c r="AN275" s="14"/>
      <c r="AO275" s="14"/>
      <c r="AP275" s="14"/>
      <c r="AQ275" s="14"/>
      <c r="AR275" s="14"/>
      <c r="AS275" s="65"/>
      <c r="AT275" s="63"/>
      <c r="AU275" s="47"/>
      <c r="AV275" s="14"/>
      <c r="AW275" s="19"/>
      <c r="AX275" s="14"/>
      <c r="AY275" s="14"/>
      <c r="AZ275" s="14"/>
      <c r="BA275" s="14"/>
      <c r="BB275" s="14"/>
      <c r="BC275" s="14"/>
      <c r="BD275" s="14"/>
      <c r="BE275" s="14"/>
      <c r="BF275" s="14"/>
      <c r="BG275" s="14"/>
      <c r="BH275" s="65"/>
      <c r="BI275" s="63"/>
      <c r="BJ275" s="352"/>
      <c r="BK275" s="19"/>
      <c r="BL275" s="19"/>
      <c r="BM275" s="14"/>
      <c r="BN275" s="14"/>
      <c r="BO275" s="14"/>
      <c r="BP275" s="14"/>
      <c r="BQ275" s="14"/>
      <c r="BR275" s="14"/>
      <c r="BS275" s="14"/>
      <c r="BT275" s="14"/>
      <c r="BU275" s="14"/>
      <c r="BV275" s="14"/>
      <c r="BW275" s="65"/>
      <c r="BX275" s="63"/>
      <c r="BY275" s="352"/>
      <c r="BZ275" s="14"/>
      <c r="CA275" s="14"/>
      <c r="CB275" s="21"/>
      <c r="CC275" s="21"/>
      <c r="CD275" s="180"/>
      <c r="CE275" s="180"/>
      <c r="CF275" s="21"/>
      <c r="CG275" s="14"/>
      <c r="CH275" s="14"/>
      <c r="CI275" s="14"/>
      <c r="CJ275" s="14"/>
      <c r="CK275" s="14"/>
      <c r="CL275" s="14"/>
      <c r="CM275" s="14"/>
      <c r="CN275" s="14"/>
      <c r="CO275" s="129"/>
      <c r="CP275" s="14"/>
      <c r="CQ275" s="47"/>
      <c r="CR275" s="14"/>
      <c r="CS275" s="14"/>
      <c r="CT275" s="14"/>
      <c r="CU275" s="14"/>
      <c r="CV275" s="180"/>
      <c r="CW275" s="189"/>
      <c r="CX275" s="189"/>
      <c r="CY275" s="14"/>
      <c r="CZ275" s="14"/>
      <c r="DA275" s="14"/>
      <c r="DB275" s="14"/>
      <c r="DC275" s="14"/>
      <c r="DD275" s="14"/>
      <c r="DE275" s="14"/>
      <c r="DF275" s="14"/>
      <c r="DG275" s="129"/>
      <c r="DH275" s="14"/>
      <c r="DI275" s="47"/>
      <c r="DJ275" s="14"/>
      <c r="DK275" s="19"/>
      <c r="DL275" s="40"/>
      <c r="DM275" s="41"/>
      <c r="DN275" s="40"/>
      <c r="DO275" s="40"/>
      <c r="DP275" s="40"/>
      <c r="DQ275" s="41"/>
      <c r="DR275" s="72"/>
      <c r="DS275" s="14"/>
      <c r="DT275" s="14"/>
      <c r="DU275" s="14"/>
      <c r="DV275" s="14"/>
      <c r="DW275" s="14"/>
      <c r="DX275" s="14"/>
      <c r="DY275" s="14"/>
      <c r="DZ275" s="14"/>
      <c r="EA275" s="14"/>
      <c r="EB275" s="14"/>
      <c r="EC275" s="14"/>
      <c r="ED275" s="14"/>
      <c r="EE275" s="14"/>
      <c r="EF275" s="14"/>
      <c r="EG275" s="14"/>
      <c r="EH275" s="14"/>
      <c r="EI275" s="14"/>
      <c r="EJ275" s="14"/>
      <c r="EK275" s="14"/>
      <c r="EL275" s="14"/>
    </row>
    <row r="276" spans="1:142" x14ac:dyDescent="0.25">
      <c r="A276" s="14"/>
      <c r="B276" s="14"/>
      <c r="C276" s="14"/>
      <c r="D276" s="21"/>
      <c r="E276" s="14"/>
      <c r="F276" s="14"/>
      <c r="G276" s="14"/>
      <c r="H276" s="21"/>
      <c r="I276" s="21"/>
      <c r="J276" s="14"/>
      <c r="K276" s="14"/>
      <c r="L276" s="14"/>
      <c r="M276" s="14"/>
      <c r="N276" s="14"/>
      <c r="O276" s="14"/>
      <c r="P276" s="14"/>
      <c r="Q276" s="47"/>
      <c r="R276" s="19"/>
      <c r="S276" s="19"/>
      <c r="T276" s="19"/>
      <c r="U276" s="14"/>
      <c r="V276" s="14"/>
      <c r="W276" s="14"/>
      <c r="X276" s="14"/>
      <c r="Y276" s="14"/>
      <c r="Z276" s="14"/>
      <c r="AA276" s="14"/>
      <c r="AB276" s="14"/>
      <c r="AC276" s="14"/>
      <c r="AD276" s="65"/>
      <c r="AE276" s="63"/>
      <c r="AF276" s="47"/>
      <c r="AG276" s="19"/>
      <c r="AH276" s="19"/>
      <c r="AI276" s="19"/>
      <c r="AJ276" s="14"/>
      <c r="AK276" s="14"/>
      <c r="AL276" s="14"/>
      <c r="AM276" s="14"/>
      <c r="AN276" s="14"/>
      <c r="AO276" s="14"/>
      <c r="AP276" s="14"/>
      <c r="AQ276" s="14"/>
      <c r="AR276" s="14"/>
      <c r="AS276" s="65"/>
      <c r="AT276" s="63"/>
      <c r="AU276" s="47"/>
      <c r="AV276" s="14"/>
      <c r="AW276" s="19"/>
      <c r="AX276" s="19"/>
      <c r="AY276" s="14"/>
      <c r="AZ276" s="14"/>
      <c r="BA276" s="14"/>
      <c r="BB276" s="14"/>
      <c r="BC276" s="14"/>
      <c r="BD276" s="14"/>
      <c r="BE276" s="14"/>
      <c r="BF276" s="14"/>
      <c r="BG276" s="14"/>
      <c r="BH276" s="65"/>
      <c r="BI276" s="63"/>
      <c r="BJ276" s="352"/>
      <c r="BK276" s="19"/>
      <c r="BL276" s="42"/>
      <c r="BM276" s="19"/>
      <c r="BN276" s="14"/>
      <c r="BO276" s="14"/>
      <c r="BP276" s="14"/>
      <c r="BQ276" s="14"/>
      <c r="BR276" s="14"/>
      <c r="BS276" s="14"/>
      <c r="BT276" s="14"/>
      <c r="BU276" s="14"/>
      <c r="BV276" s="14"/>
      <c r="BW276" s="65"/>
      <c r="BX276" s="63"/>
      <c r="BY276" s="352"/>
      <c r="BZ276" s="14"/>
      <c r="CA276" s="14"/>
      <c r="CB276" s="21"/>
      <c r="CC276" s="21"/>
      <c r="CD276" s="180"/>
      <c r="CE276" s="180"/>
      <c r="CF276" s="21"/>
      <c r="CG276" s="14"/>
      <c r="CH276" s="14"/>
      <c r="CI276" s="14"/>
      <c r="CJ276" s="14"/>
      <c r="CK276" s="14"/>
      <c r="CL276" s="14"/>
      <c r="CM276" s="14"/>
      <c r="CN276" s="14"/>
      <c r="CO276" s="129"/>
      <c r="CP276" s="14"/>
      <c r="CQ276" s="47"/>
      <c r="CR276" s="14"/>
      <c r="CS276" s="14"/>
      <c r="CT276" s="14"/>
      <c r="CU276" s="14"/>
      <c r="CV276" s="180"/>
      <c r="CW276" s="189"/>
      <c r="CX276" s="189"/>
      <c r="CY276" s="14"/>
      <c r="CZ276" s="14"/>
      <c r="DA276" s="14"/>
      <c r="DB276" s="14"/>
      <c r="DC276" s="14"/>
      <c r="DD276" s="14"/>
      <c r="DE276" s="14"/>
      <c r="DF276" s="14"/>
      <c r="DG276" s="129"/>
      <c r="DH276" s="14"/>
      <c r="DI276" s="47"/>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row>
    <row r="277" spans="1:142" s="131" customFormat="1" x14ac:dyDescent="0.25">
      <c r="A277" s="78"/>
      <c r="B277" s="78" t="s">
        <v>157</v>
      </c>
      <c r="C277" s="78"/>
      <c r="D277" s="79"/>
      <c r="E277" s="78"/>
      <c r="F277" s="78"/>
      <c r="G277" s="78"/>
      <c r="H277" s="79"/>
      <c r="I277" s="79"/>
      <c r="J277" s="78"/>
      <c r="K277" s="78"/>
      <c r="L277" s="78"/>
      <c r="M277" s="78"/>
      <c r="N277" s="78"/>
      <c r="O277" s="78"/>
      <c r="P277" s="78"/>
      <c r="Q277" s="82"/>
      <c r="R277" s="83"/>
      <c r="S277" s="83" t="s">
        <v>157</v>
      </c>
      <c r="T277" s="78"/>
      <c r="U277" s="78"/>
      <c r="V277" s="78"/>
      <c r="W277" s="78"/>
      <c r="X277" s="78"/>
      <c r="Y277" s="78"/>
      <c r="Z277" s="78"/>
      <c r="AA277" s="78"/>
      <c r="AB277" s="78"/>
      <c r="AC277" s="78"/>
      <c r="AD277" s="80"/>
      <c r="AE277" s="81"/>
      <c r="AF277" s="82"/>
      <c r="AG277" s="83"/>
      <c r="AH277" s="83" t="s">
        <v>157</v>
      </c>
      <c r="AI277" s="78"/>
      <c r="AJ277" s="78"/>
      <c r="AK277" s="78"/>
      <c r="AL277" s="78"/>
      <c r="AM277" s="78"/>
      <c r="AN277" s="78"/>
      <c r="AO277" s="78"/>
      <c r="AP277" s="78"/>
      <c r="AQ277" s="78"/>
      <c r="AR277" s="78"/>
      <c r="AS277" s="80"/>
      <c r="AT277" s="81"/>
      <c r="AU277" s="82"/>
      <c r="AV277" s="78"/>
      <c r="AW277" s="83" t="s">
        <v>157</v>
      </c>
      <c r="AX277" s="78"/>
      <c r="AY277" s="78"/>
      <c r="AZ277" s="78"/>
      <c r="BA277" s="78"/>
      <c r="BB277" s="78"/>
      <c r="BC277" s="78"/>
      <c r="BD277" s="78"/>
      <c r="BE277" s="78"/>
      <c r="BF277" s="78"/>
      <c r="BG277" s="78"/>
      <c r="BH277" s="80"/>
      <c r="BI277" s="81"/>
      <c r="BJ277" s="373"/>
      <c r="BK277" s="83"/>
      <c r="BL277" s="78" t="s">
        <v>157</v>
      </c>
      <c r="BM277" s="78"/>
      <c r="BN277" s="78"/>
      <c r="BO277" s="78"/>
      <c r="BP277" s="78"/>
      <c r="BQ277" s="78"/>
      <c r="BR277" s="78"/>
      <c r="BS277" s="78"/>
      <c r="BT277" s="78"/>
      <c r="BU277" s="78"/>
      <c r="BV277" s="78"/>
      <c r="BW277" s="80"/>
      <c r="BX277" s="81"/>
      <c r="BY277" s="373"/>
      <c r="BZ277" s="78"/>
      <c r="CA277" s="78"/>
      <c r="CB277" s="79"/>
      <c r="CC277" s="79"/>
      <c r="CD277" s="182"/>
      <c r="CE277" s="182"/>
      <c r="CF277" s="79"/>
      <c r="CG277" s="78"/>
      <c r="CH277" s="78"/>
      <c r="CI277" s="78"/>
      <c r="CJ277" s="78"/>
      <c r="CK277" s="78"/>
      <c r="CL277" s="78"/>
      <c r="CM277" s="78"/>
      <c r="CN277" s="78"/>
      <c r="CO277" s="78"/>
      <c r="CP277" s="78"/>
      <c r="CQ277" s="82"/>
      <c r="CR277" s="78"/>
      <c r="CS277" s="78"/>
      <c r="CT277" s="78"/>
      <c r="CU277" s="78"/>
      <c r="CV277" s="182"/>
      <c r="CW277" s="192"/>
      <c r="CX277" s="192"/>
      <c r="CY277" s="78"/>
      <c r="CZ277" s="78"/>
      <c r="DA277" s="78"/>
      <c r="DB277" s="78"/>
      <c r="DC277" s="78"/>
      <c r="DD277" s="78"/>
      <c r="DE277" s="78"/>
      <c r="DF277" s="78"/>
      <c r="DG277" s="78"/>
      <c r="DH277" s="78"/>
      <c r="DI277" s="82"/>
      <c r="DJ277" s="78"/>
      <c r="DK277" s="78" t="s">
        <v>157</v>
      </c>
      <c r="DL277" s="78"/>
      <c r="DM277" s="78"/>
      <c r="DN277" s="78"/>
      <c r="DO277" s="78"/>
      <c r="DP277" s="78"/>
      <c r="DQ277" s="78"/>
      <c r="DR277" s="78"/>
      <c r="DS277" s="78"/>
      <c r="DT277" s="78"/>
      <c r="DU277" s="78"/>
      <c r="DV277" s="78"/>
      <c r="DW277" s="78"/>
      <c r="DX277" s="78"/>
      <c r="DY277" s="78"/>
      <c r="DZ277" s="78"/>
      <c r="EA277" s="78"/>
      <c r="EB277" s="78"/>
      <c r="EC277" s="78"/>
      <c r="ED277" s="78"/>
      <c r="EE277" s="78"/>
      <c r="EF277" s="78"/>
      <c r="EG277" s="78"/>
      <c r="EH277" s="78"/>
      <c r="EI277" s="78"/>
      <c r="EJ277" s="78"/>
      <c r="EK277" s="78"/>
      <c r="EL277" s="78"/>
    </row>
    <row r="278" spans="1:142" x14ac:dyDescent="0.25">
      <c r="A278" s="14"/>
      <c r="B278" s="14"/>
      <c r="C278" s="14"/>
      <c r="D278" s="21"/>
      <c r="E278" s="14"/>
      <c r="F278" s="14"/>
      <c r="G278" s="14"/>
      <c r="H278" s="21"/>
      <c r="I278" s="21"/>
      <c r="J278" s="14"/>
      <c r="K278" s="14"/>
      <c r="L278" s="14"/>
      <c r="M278" s="14"/>
      <c r="N278" s="14"/>
      <c r="O278" s="14"/>
      <c r="P278" s="14"/>
      <c r="Q278" s="47"/>
      <c r="R278" s="19"/>
      <c r="S278" s="19"/>
      <c r="T278" s="19"/>
      <c r="U278" s="14"/>
      <c r="V278" s="14"/>
      <c r="W278" s="14"/>
      <c r="X278" s="14"/>
      <c r="Y278" s="14"/>
      <c r="Z278" s="14"/>
      <c r="AA278" s="14"/>
      <c r="AB278" s="14"/>
      <c r="AC278" s="14"/>
      <c r="AD278" s="65"/>
      <c r="AE278" s="63"/>
      <c r="AF278" s="47"/>
      <c r="AG278" s="19"/>
      <c r="AH278" s="19"/>
      <c r="AI278" s="19"/>
      <c r="AJ278" s="14"/>
      <c r="AK278" s="14"/>
      <c r="AL278" s="14"/>
      <c r="AM278" s="14"/>
      <c r="AN278" s="14"/>
      <c r="AO278" s="14"/>
      <c r="AP278" s="14"/>
      <c r="AQ278" s="14"/>
      <c r="AR278" s="14"/>
      <c r="AS278" s="65"/>
      <c r="AT278" s="63"/>
      <c r="AU278" s="47"/>
      <c r="AV278" s="14"/>
      <c r="AW278" s="19"/>
      <c r="AX278" s="19"/>
      <c r="AY278" s="14"/>
      <c r="AZ278" s="14"/>
      <c r="BA278" s="14"/>
      <c r="BB278" s="14"/>
      <c r="BC278" s="14"/>
      <c r="BD278" s="14"/>
      <c r="BE278" s="14"/>
      <c r="BF278" s="14"/>
      <c r="BG278" s="14"/>
      <c r="BH278" s="65"/>
      <c r="BI278" s="63"/>
      <c r="BJ278" s="352"/>
      <c r="BK278" s="19"/>
      <c r="BL278" s="19"/>
      <c r="BM278" s="19"/>
      <c r="BN278" s="19"/>
      <c r="BO278" s="19"/>
      <c r="BP278" s="19"/>
      <c r="BQ278" s="19"/>
      <c r="BR278" s="19"/>
      <c r="BS278" s="19"/>
      <c r="BT278" s="14"/>
      <c r="BU278" s="14"/>
      <c r="BV278" s="14"/>
      <c r="BW278" s="65"/>
      <c r="BX278" s="63"/>
      <c r="BY278" s="352"/>
      <c r="BZ278" s="14"/>
      <c r="CA278" s="14"/>
      <c r="CB278" s="21"/>
      <c r="CC278" s="21"/>
      <c r="CD278" s="180"/>
      <c r="CE278" s="180"/>
      <c r="CF278" s="21"/>
      <c r="CG278" s="14"/>
      <c r="CH278" s="14"/>
      <c r="CI278" s="14"/>
      <c r="CJ278" s="14"/>
      <c r="CK278" s="14"/>
      <c r="CL278" s="14"/>
      <c r="CM278" s="14"/>
      <c r="CN278" s="14"/>
      <c r="CO278" s="129"/>
      <c r="CP278" s="14"/>
      <c r="CQ278" s="47"/>
      <c r="CR278" s="14"/>
      <c r="CS278" s="14"/>
      <c r="CT278" s="14"/>
      <c r="CU278" s="14"/>
      <c r="CV278" s="180"/>
      <c r="CW278" s="189"/>
      <c r="CX278" s="189"/>
      <c r="CY278" s="14"/>
      <c r="CZ278" s="14"/>
      <c r="DA278" s="14"/>
      <c r="DB278" s="14"/>
      <c r="DC278" s="14"/>
      <c r="DD278" s="14"/>
      <c r="DE278" s="14"/>
      <c r="DF278" s="14"/>
      <c r="DG278" s="129"/>
      <c r="DH278" s="14"/>
      <c r="DI278" s="47"/>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row>
    <row r="279" spans="1:142" s="134" customFormat="1" ht="24.75" customHeight="1" x14ac:dyDescent="0.25">
      <c r="A279" s="8"/>
      <c r="B279" s="109"/>
      <c r="C279" s="110" t="str">
        <f t="shared" ref="C279:H279" si="214">C247</f>
        <v>Forest owners/managers</v>
      </c>
      <c r="D279" s="110" t="str">
        <f t="shared" si="214"/>
        <v>Pellet producers</v>
      </c>
      <c r="E279" s="110" t="str">
        <f t="shared" si="214"/>
        <v>Pellet users</v>
      </c>
      <c r="F279" s="110" t="str">
        <f t="shared" si="214"/>
        <v>Non-bioenergy wood users</v>
      </c>
      <c r="G279" s="110" t="str">
        <f t="shared" si="214"/>
        <v>Policy makers and academia</v>
      </c>
      <c r="H279" s="110" t="str">
        <f t="shared" si="214"/>
        <v>NGOs</v>
      </c>
      <c r="I279" s="110" t="s">
        <v>8</v>
      </c>
      <c r="J279" s="8"/>
      <c r="K279" s="8"/>
      <c r="L279" s="8"/>
      <c r="M279" s="8"/>
      <c r="N279" s="8"/>
      <c r="O279" s="8"/>
      <c r="P279" s="8"/>
      <c r="Q279" s="48"/>
      <c r="R279" s="44"/>
      <c r="S279" s="109"/>
      <c r="T279" s="110" t="str">
        <f t="shared" ref="T279:Y279" si="215">T247</f>
        <v>Forest owners/managers</v>
      </c>
      <c r="U279" s="110" t="str">
        <f t="shared" si="215"/>
        <v>Pellet producers</v>
      </c>
      <c r="V279" s="110" t="str">
        <f t="shared" si="215"/>
        <v>Pellet users</v>
      </c>
      <c r="W279" s="110" t="str">
        <f t="shared" si="215"/>
        <v>Non-bioenergy wood users</v>
      </c>
      <c r="X279" s="110" t="str">
        <f t="shared" si="215"/>
        <v>Policy makers and academia</v>
      </c>
      <c r="Y279" s="110" t="str">
        <f t="shared" si="215"/>
        <v>NGOs</v>
      </c>
      <c r="Z279" s="110" t="s">
        <v>8</v>
      </c>
      <c r="AA279" s="17"/>
      <c r="AB279" s="17"/>
      <c r="AC279" s="17"/>
      <c r="AD279" s="102"/>
      <c r="AE279" s="101"/>
      <c r="AF279" s="48"/>
      <c r="AG279" s="44"/>
      <c r="AH279" s="109"/>
      <c r="AI279" s="110" t="str">
        <f t="shared" ref="AI279:AN279" si="216">AI247</f>
        <v>Forest owners/managers</v>
      </c>
      <c r="AJ279" s="110" t="str">
        <f t="shared" si="216"/>
        <v>Pellet producers</v>
      </c>
      <c r="AK279" s="110" t="str">
        <f t="shared" si="216"/>
        <v>Pellet users</v>
      </c>
      <c r="AL279" s="110" t="str">
        <f t="shared" si="216"/>
        <v>Non-bioenergy wood users</v>
      </c>
      <c r="AM279" s="110" t="str">
        <f t="shared" si="216"/>
        <v>Policy makers and academia</v>
      </c>
      <c r="AN279" s="110" t="str">
        <f t="shared" si="216"/>
        <v>NGOs</v>
      </c>
      <c r="AO279" s="110" t="s">
        <v>8</v>
      </c>
      <c r="AP279" s="17"/>
      <c r="AQ279" s="17"/>
      <c r="AR279" s="17"/>
      <c r="AS279" s="102"/>
      <c r="AT279" s="101"/>
      <c r="AU279" s="48"/>
      <c r="AV279" s="8"/>
      <c r="AW279" s="109"/>
      <c r="AX279" s="110" t="str">
        <f t="shared" ref="AX279:BC279" si="217">AX247</f>
        <v>Forest owners/managers</v>
      </c>
      <c r="AY279" s="110" t="str">
        <f t="shared" si="217"/>
        <v>Pellet producers</v>
      </c>
      <c r="AZ279" s="110" t="str">
        <f t="shared" si="217"/>
        <v>Pellet users</v>
      </c>
      <c r="BA279" s="110" t="str">
        <f t="shared" si="217"/>
        <v>Non-bioenergy wood users</v>
      </c>
      <c r="BB279" s="110" t="str">
        <f t="shared" si="217"/>
        <v>Policy makers and academia</v>
      </c>
      <c r="BC279" s="110" t="str">
        <f t="shared" si="217"/>
        <v>NGOs</v>
      </c>
      <c r="BD279" s="110" t="s">
        <v>8</v>
      </c>
      <c r="BE279" s="17"/>
      <c r="BF279" s="17"/>
      <c r="BG279" s="17"/>
      <c r="BH279" s="102"/>
      <c r="BI279" s="101"/>
      <c r="BJ279" s="371"/>
      <c r="BK279" s="44"/>
      <c r="BL279" s="109"/>
      <c r="BM279" s="110" t="str">
        <f t="shared" ref="BM279:BR279" si="218">BM247</f>
        <v>Forest owners/managers</v>
      </c>
      <c r="BN279" s="110" t="str">
        <f t="shared" si="218"/>
        <v>Pellet producers</v>
      </c>
      <c r="BO279" s="110" t="str">
        <f t="shared" si="218"/>
        <v>Pellet users</v>
      </c>
      <c r="BP279" s="110" t="str">
        <f t="shared" si="218"/>
        <v>Non-bioenergy wood users</v>
      </c>
      <c r="BQ279" s="110" t="str">
        <f t="shared" si="218"/>
        <v>Policy makers and academia</v>
      </c>
      <c r="BR279" s="110" t="str">
        <f t="shared" si="218"/>
        <v>NGOs</v>
      </c>
      <c r="BS279" s="110" t="s">
        <v>8</v>
      </c>
      <c r="BT279" s="17"/>
      <c r="BU279" s="17"/>
      <c r="BV279" s="17"/>
      <c r="BW279" s="102"/>
      <c r="BX279" s="101"/>
      <c r="BY279" s="371"/>
      <c r="BZ279" s="8"/>
      <c r="CA279" s="8"/>
      <c r="CB279" s="77"/>
      <c r="CC279" s="77"/>
      <c r="CD279" s="187"/>
      <c r="CE279" s="187"/>
      <c r="CF279" s="77"/>
      <c r="CG279" s="8"/>
      <c r="CH279" s="8"/>
      <c r="CI279" s="8"/>
      <c r="CJ279" s="8"/>
      <c r="CK279" s="8"/>
      <c r="CL279" s="8"/>
      <c r="CM279" s="8"/>
      <c r="CN279" s="8"/>
      <c r="CO279" s="315"/>
      <c r="CP279" s="8"/>
      <c r="CQ279" s="48"/>
      <c r="CR279" s="8"/>
      <c r="CS279" s="8"/>
      <c r="CT279" s="8"/>
      <c r="CU279" s="8"/>
      <c r="CV279" s="187"/>
      <c r="CW279" s="195"/>
      <c r="CX279" s="195"/>
      <c r="CY279" s="8"/>
      <c r="CZ279" s="8"/>
      <c r="DA279" s="8"/>
      <c r="DB279" s="8"/>
      <c r="DC279" s="8"/>
      <c r="DD279" s="8"/>
      <c r="DE279" s="8"/>
      <c r="DF279" s="8"/>
      <c r="DG279" s="315"/>
      <c r="DH279" s="8"/>
      <c r="DI279" s="48"/>
      <c r="DJ279" s="8"/>
      <c r="DK279" s="109"/>
      <c r="DL279" s="110" t="str">
        <f t="shared" ref="DL279:DQ279" si="219">DL247</f>
        <v>Forest owners/managers</v>
      </c>
      <c r="DM279" s="110" t="str">
        <f t="shared" si="219"/>
        <v>Pellet producers</v>
      </c>
      <c r="DN279" s="110" t="str">
        <f t="shared" si="219"/>
        <v>Pellet users</v>
      </c>
      <c r="DO279" s="110" t="str">
        <f t="shared" si="219"/>
        <v>Non-bioenergy wood users</v>
      </c>
      <c r="DP279" s="110" t="str">
        <f t="shared" si="219"/>
        <v>Policy makers and academia</v>
      </c>
      <c r="DQ279" s="110" t="str">
        <f t="shared" si="219"/>
        <v>NGOs</v>
      </c>
      <c r="DR279" s="110" t="s">
        <v>8</v>
      </c>
      <c r="DS279" s="8"/>
      <c r="DT279" s="8"/>
      <c r="DU279" s="8"/>
      <c r="DV279" s="8"/>
      <c r="DW279" s="8"/>
      <c r="DX279" s="8"/>
      <c r="DY279" s="8"/>
      <c r="DZ279" s="8"/>
      <c r="EA279" s="8"/>
      <c r="EB279" s="8"/>
      <c r="EC279" s="8"/>
      <c r="ED279" s="8"/>
      <c r="EE279" s="8"/>
      <c r="EF279" s="8"/>
      <c r="EG279" s="8"/>
      <c r="EH279" s="8"/>
      <c r="EI279" s="8"/>
      <c r="EJ279" s="8"/>
      <c r="EK279" s="8"/>
      <c r="EL279" s="8"/>
    </row>
    <row r="280" spans="1:142" x14ac:dyDescent="0.25">
      <c r="A280" s="14"/>
      <c r="B280" s="107" t="s">
        <v>34</v>
      </c>
      <c r="C280" s="41">
        <f t="shared" ref="C280:H284" si="220">IF(OR(C$253=0,C248=0),"",C248/C$253/6)</f>
        <v>8.3333333333333329E-2</v>
      </c>
      <c r="D280" s="41" t="str">
        <f t="shared" si="220"/>
        <v/>
      </c>
      <c r="E280" s="118">
        <f t="shared" si="220"/>
        <v>0.16666666666666666</v>
      </c>
      <c r="F280" s="41" t="str">
        <f t="shared" si="220"/>
        <v/>
      </c>
      <c r="G280" s="41">
        <f t="shared" si="220"/>
        <v>8.3333333333333329E-2</v>
      </c>
      <c r="H280" s="118" t="str">
        <f t="shared" si="220"/>
        <v/>
      </c>
      <c r="I280" s="41">
        <f>SUM(C280:H280)</f>
        <v>0.33333333333333331</v>
      </c>
      <c r="J280" s="14"/>
      <c r="K280" s="14"/>
      <c r="L280" s="14"/>
      <c r="M280" s="14"/>
      <c r="N280" s="14"/>
      <c r="O280" s="14"/>
      <c r="P280" s="14"/>
      <c r="Q280" s="47"/>
      <c r="R280" s="19"/>
      <c r="S280" s="107" t="s">
        <v>5</v>
      </c>
      <c r="T280" s="41">
        <f t="shared" ref="T280:Y286" si="221">IF(OR(T$255=0,T248=0),"",T248/T$255/6)</f>
        <v>6.6666666666666666E-2</v>
      </c>
      <c r="U280" s="41" t="str">
        <f t="shared" si="221"/>
        <v/>
      </c>
      <c r="V280" s="118" t="str">
        <f t="shared" si="221"/>
        <v/>
      </c>
      <c r="W280" s="41" t="str">
        <f t="shared" si="221"/>
        <v/>
      </c>
      <c r="X280" s="41">
        <f t="shared" si="221"/>
        <v>8.3333333333333329E-2</v>
      </c>
      <c r="Y280" s="118" t="str">
        <f t="shared" si="221"/>
        <v/>
      </c>
      <c r="Z280" s="41">
        <f>SUM(T280:Y280)</f>
        <v>0.15</v>
      </c>
      <c r="AA280" s="35"/>
      <c r="AB280" s="35"/>
      <c r="AC280" s="35"/>
      <c r="AD280" s="65"/>
      <c r="AE280" s="63"/>
      <c r="AF280" s="47"/>
      <c r="AG280" s="19"/>
      <c r="AH280" s="107" t="s">
        <v>5</v>
      </c>
      <c r="AI280" s="41">
        <f t="shared" ref="AI280:AN286" si="222">IF(OR(AI$255=0,AI248=0),"",AI248/AI$255/6)</f>
        <v>0.16666666666666666</v>
      </c>
      <c r="AJ280" s="41">
        <f t="shared" si="222"/>
        <v>0.16666666666666666</v>
      </c>
      <c r="AK280" s="118" t="str">
        <f t="shared" si="222"/>
        <v/>
      </c>
      <c r="AL280" s="41">
        <f t="shared" si="222"/>
        <v>0.16666666666666666</v>
      </c>
      <c r="AM280" s="41">
        <f t="shared" si="222"/>
        <v>0.16666666666666666</v>
      </c>
      <c r="AN280" s="118" t="str">
        <f t="shared" si="222"/>
        <v/>
      </c>
      <c r="AO280" s="41">
        <f>SUM(AI280:AN280)</f>
        <v>0.66666666666666663</v>
      </c>
      <c r="AP280" s="35"/>
      <c r="AQ280" s="35"/>
      <c r="AR280" s="35"/>
      <c r="AS280" s="65"/>
      <c r="AT280" s="63"/>
      <c r="AU280" s="47"/>
      <c r="AV280" s="14"/>
      <c r="AW280" s="107" t="s">
        <v>5</v>
      </c>
      <c r="AX280" s="41">
        <f t="shared" ref="AX280:BC286" si="223">IF(OR(AX$255=0,AX248=0),"",AX248/AX$255/6)</f>
        <v>0.16666666666666666</v>
      </c>
      <c r="AY280" s="41">
        <f t="shared" si="223"/>
        <v>0.16666666666666666</v>
      </c>
      <c r="AZ280" s="118" t="str">
        <f t="shared" si="223"/>
        <v/>
      </c>
      <c r="BA280" s="41">
        <f t="shared" si="223"/>
        <v>0.16666666666666666</v>
      </c>
      <c r="BB280" s="41">
        <f t="shared" si="223"/>
        <v>0.16666666666666666</v>
      </c>
      <c r="BC280" s="118" t="str">
        <f t="shared" si="223"/>
        <v/>
      </c>
      <c r="BD280" s="41">
        <f>SUM(AX280:BC280)</f>
        <v>0.66666666666666663</v>
      </c>
      <c r="BE280" s="35"/>
      <c r="BF280" s="35"/>
      <c r="BG280" s="35"/>
      <c r="BH280" s="65"/>
      <c r="BI280" s="63"/>
      <c r="BJ280" s="352"/>
      <c r="BK280" s="19"/>
      <c r="BL280" s="107" t="s">
        <v>5</v>
      </c>
      <c r="BM280" s="41">
        <f t="shared" ref="BM280:BR286" si="224">IF(OR(BM$255=0,BM248=0),"",BM248/BM$255/6)</f>
        <v>0.16666666666666666</v>
      </c>
      <c r="BN280" s="41">
        <f t="shared" si="224"/>
        <v>0.16666666666666666</v>
      </c>
      <c r="BO280" s="118" t="str">
        <f t="shared" si="224"/>
        <v/>
      </c>
      <c r="BP280" s="41" t="str">
        <f t="shared" si="224"/>
        <v/>
      </c>
      <c r="BQ280" s="41" t="str">
        <f t="shared" si="224"/>
        <v/>
      </c>
      <c r="BR280" s="118" t="str">
        <f t="shared" si="224"/>
        <v/>
      </c>
      <c r="BS280" s="41">
        <f>SUM(BM280:BR280)</f>
        <v>0.33333333333333331</v>
      </c>
      <c r="BT280" s="35"/>
      <c r="BU280" s="35"/>
      <c r="BV280" s="35"/>
      <c r="BW280" s="65"/>
      <c r="BX280" s="63"/>
      <c r="BY280" s="352"/>
      <c r="BZ280" s="14"/>
      <c r="CA280" s="14"/>
      <c r="CB280" s="21"/>
      <c r="CC280" s="21"/>
      <c r="CD280" s="180"/>
      <c r="CE280" s="180"/>
      <c r="CF280" s="21"/>
      <c r="CG280" s="14"/>
      <c r="CH280" s="14"/>
      <c r="CI280" s="14"/>
      <c r="CJ280" s="14"/>
      <c r="CK280" s="14"/>
      <c r="CL280" s="14"/>
      <c r="CM280" s="14"/>
      <c r="CN280" s="14"/>
      <c r="CO280" s="129"/>
      <c r="CP280" s="14"/>
      <c r="CQ280" s="47"/>
      <c r="CR280" s="14"/>
      <c r="CS280" s="14"/>
      <c r="CT280" s="14"/>
      <c r="CU280" s="14"/>
      <c r="CV280" s="180"/>
      <c r="CW280" s="189"/>
      <c r="CX280" s="189"/>
      <c r="CY280" s="14"/>
      <c r="CZ280" s="14"/>
      <c r="DA280" s="14"/>
      <c r="DB280" s="14"/>
      <c r="DC280" s="14"/>
      <c r="DD280" s="14"/>
      <c r="DE280" s="14"/>
      <c r="DF280" s="14"/>
      <c r="DG280" s="129"/>
      <c r="DH280" s="14"/>
      <c r="DI280" s="47"/>
      <c r="DJ280" s="14"/>
      <c r="DK280" s="107" t="s">
        <v>34</v>
      </c>
      <c r="DL280" s="41">
        <f t="shared" ref="DL280:DQ284" si="225">IF(OR(DL$253=0,DL248=0),"",DL248/DL$253/6)</f>
        <v>4.1666666666666664E-2</v>
      </c>
      <c r="DM280" s="41" t="str">
        <f t="shared" si="225"/>
        <v/>
      </c>
      <c r="DN280" s="118" t="str">
        <f t="shared" si="225"/>
        <v/>
      </c>
      <c r="DO280" s="41" t="str">
        <f t="shared" si="225"/>
        <v/>
      </c>
      <c r="DP280" s="41" t="str">
        <f t="shared" si="225"/>
        <v/>
      </c>
      <c r="DQ280" s="118" t="str">
        <f t="shared" si="225"/>
        <v/>
      </c>
      <c r="DR280" s="41">
        <f>SUM(DL280:DQ280)</f>
        <v>4.1666666666666664E-2</v>
      </c>
      <c r="DS280" s="14"/>
      <c r="DT280" s="14"/>
      <c r="DU280" s="14"/>
      <c r="DV280" s="14"/>
      <c r="DW280" s="14"/>
      <c r="DX280" s="14"/>
      <c r="DY280" s="14"/>
      <c r="DZ280" s="14"/>
      <c r="EA280" s="14"/>
      <c r="EB280" s="14"/>
      <c r="EC280" s="14"/>
      <c r="ED280" s="14"/>
      <c r="EE280" s="14"/>
      <c r="EF280" s="14"/>
      <c r="EG280" s="14"/>
      <c r="EH280" s="14"/>
      <c r="EI280" s="14"/>
      <c r="EJ280" s="14"/>
      <c r="EK280" s="14"/>
      <c r="EL280" s="14"/>
    </row>
    <row r="281" spans="1:142" x14ac:dyDescent="0.25">
      <c r="A281" s="14"/>
      <c r="B281" s="107" t="s">
        <v>35</v>
      </c>
      <c r="C281" s="41" t="str">
        <f t="shared" si="220"/>
        <v/>
      </c>
      <c r="D281" s="41" t="str">
        <f t="shared" si="220"/>
        <v/>
      </c>
      <c r="E281" s="118" t="str">
        <f t="shared" si="220"/>
        <v/>
      </c>
      <c r="F281" s="41" t="str">
        <f t="shared" si="220"/>
        <v/>
      </c>
      <c r="G281" s="41">
        <f t="shared" si="220"/>
        <v>8.3333333333333329E-2</v>
      </c>
      <c r="H281" s="118" t="str">
        <f t="shared" si="220"/>
        <v/>
      </c>
      <c r="I281" s="41">
        <f>SUM(C281:H281)</f>
        <v>8.3333333333333329E-2</v>
      </c>
      <c r="J281" s="14"/>
      <c r="K281" s="14"/>
      <c r="L281" s="14"/>
      <c r="M281" s="14"/>
      <c r="N281" s="14"/>
      <c r="O281" s="14"/>
      <c r="P281" s="14"/>
      <c r="Q281" s="47"/>
      <c r="R281" s="19"/>
      <c r="S281" s="107" t="s">
        <v>4</v>
      </c>
      <c r="T281" s="41" t="str">
        <f t="shared" si="221"/>
        <v/>
      </c>
      <c r="U281" s="41" t="str">
        <f t="shared" si="221"/>
        <v/>
      </c>
      <c r="V281" s="118">
        <f t="shared" si="221"/>
        <v>8.3333333333333329E-2</v>
      </c>
      <c r="W281" s="41">
        <f t="shared" si="221"/>
        <v>0.16666666666666666</v>
      </c>
      <c r="X281" s="41" t="str">
        <f t="shared" si="221"/>
        <v/>
      </c>
      <c r="Y281" s="118" t="str">
        <f t="shared" si="221"/>
        <v/>
      </c>
      <c r="Z281" s="41">
        <f t="shared" ref="Z281:Z286" si="226">SUM(T281:Y281)</f>
        <v>0.25</v>
      </c>
      <c r="AA281" s="35"/>
      <c r="AB281" s="35"/>
      <c r="AC281" s="35"/>
      <c r="AD281" s="65"/>
      <c r="AE281" s="63"/>
      <c r="AF281" s="47"/>
      <c r="AG281" s="19"/>
      <c r="AH281" s="107" t="s">
        <v>4</v>
      </c>
      <c r="AI281" s="41" t="str">
        <f t="shared" si="222"/>
        <v/>
      </c>
      <c r="AJ281" s="41" t="str">
        <f t="shared" si="222"/>
        <v/>
      </c>
      <c r="AK281" s="118">
        <f t="shared" si="222"/>
        <v>0.16666666666666666</v>
      </c>
      <c r="AL281" s="41" t="str">
        <f t="shared" si="222"/>
        <v/>
      </c>
      <c r="AM281" s="41" t="str">
        <f t="shared" si="222"/>
        <v/>
      </c>
      <c r="AN281" s="118" t="str">
        <f t="shared" si="222"/>
        <v/>
      </c>
      <c r="AO281" s="41">
        <f t="shared" ref="AO281:AO286" si="227">SUM(AI281:AN281)</f>
        <v>0.16666666666666666</v>
      </c>
      <c r="AP281" s="35"/>
      <c r="AQ281" s="35"/>
      <c r="AR281" s="35"/>
      <c r="AS281" s="65"/>
      <c r="AT281" s="63"/>
      <c r="AU281" s="47"/>
      <c r="AV281" s="14"/>
      <c r="AW281" s="107" t="s">
        <v>4</v>
      </c>
      <c r="AX281" s="41" t="str">
        <f t="shared" si="223"/>
        <v/>
      </c>
      <c r="AY281" s="41" t="str">
        <f t="shared" si="223"/>
        <v/>
      </c>
      <c r="AZ281" s="118">
        <f t="shared" si="223"/>
        <v>0.16666666666666666</v>
      </c>
      <c r="BA281" s="41" t="str">
        <f t="shared" si="223"/>
        <v/>
      </c>
      <c r="BB281" s="41" t="str">
        <f t="shared" si="223"/>
        <v/>
      </c>
      <c r="BC281" s="118" t="str">
        <f t="shared" si="223"/>
        <v/>
      </c>
      <c r="BD281" s="41">
        <f t="shared" ref="BD281:BD286" si="228">SUM(AX281:BC281)</f>
        <v>0.16666666666666666</v>
      </c>
      <c r="BE281" s="35"/>
      <c r="BF281" s="35"/>
      <c r="BG281" s="35"/>
      <c r="BH281" s="65"/>
      <c r="BI281" s="63"/>
      <c r="BJ281" s="352"/>
      <c r="BK281" s="19"/>
      <c r="BL281" s="107" t="s">
        <v>4</v>
      </c>
      <c r="BM281" s="41" t="str">
        <f t="shared" si="224"/>
        <v/>
      </c>
      <c r="BN281" s="41" t="str">
        <f t="shared" si="224"/>
        <v/>
      </c>
      <c r="BO281" s="118">
        <f t="shared" si="224"/>
        <v>8.3333333333333329E-2</v>
      </c>
      <c r="BP281" s="41">
        <f t="shared" si="224"/>
        <v>0.16666666666666666</v>
      </c>
      <c r="BQ281" s="41" t="str">
        <f t="shared" si="224"/>
        <v/>
      </c>
      <c r="BR281" s="118" t="str">
        <f t="shared" si="224"/>
        <v/>
      </c>
      <c r="BS281" s="41">
        <f t="shared" ref="BS281:BS286" si="229">SUM(BM281:BR281)</f>
        <v>0.25</v>
      </c>
      <c r="BT281" s="35"/>
      <c r="BU281" s="35"/>
      <c r="BV281" s="35"/>
      <c r="BW281" s="65"/>
      <c r="BX281" s="63"/>
      <c r="BY281" s="352"/>
      <c r="BZ281" s="14"/>
      <c r="CA281" s="14"/>
      <c r="CB281" s="21"/>
      <c r="CC281" s="21"/>
      <c r="CD281" s="180"/>
      <c r="CE281" s="180"/>
      <c r="CF281" s="21"/>
      <c r="CG281" s="14"/>
      <c r="CH281" s="14"/>
      <c r="CI281" s="14"/>
      <c r="CJ281" s="14"/>
      <c r="CK281" s="14"/>
      <c r="CL281" s="14"/>
      <c r="CM281" s="14"/>
      <c r="CN281" s="14"/>
      <c r="CO281" s="129"/>
      <c r="CP281" s="14"/>
      <c r="CQ281" s="47"/>
      <c r="CR281" s="14"/>
      <c r="CS281" s="14"/>
      <c r="CT281" s="14"/>
      <c r="CU281" s="14"/>
      <c r="CV281" s="180"/>
      <c r="CW281" s="189"/>
      <c r="CX281" s="189"/>
      <c r="CY281" s="14"/>
      <c r="CZ281" s="14"/>
      <c r="DA281" s="14"/>
      <c r="DB281" s="14"/>
      <c r="DC281" s="14"/>
      <c r="DD281" s="14"/>
      <c r="DE281" s="14"/>
      <c r="DF281" s="14"/>
      <c r="DG281" s="129"/>
      <c r="DH281" s="14"/>
      <c r="DI281" s="47"/>
      <c r="DJ281" s="14"/>
      <c r="DK281" s="107" t="s">
        <v>35</v>
      </c>
      <c r="DL281" s="41">
        <f t="shared" si="225"/>
        <v>4.1666666666666664E-2</v>
      </c>
      <c r="DM281" s="41" t="str">
        <f t="shared" si="225"/>
        <v/>
      </c>
      <c r="DN281" s="118">
        <f t="shared" si="225"/>
        <v>8.3333333333333329E-2</v>
      </c>
      <c r="DO281" s="41" t="str">
        <f t="shared" si="225"/>
        <v/>
      </c>
      <c r="DP281" s="41" t="str">
        <f t="shared" si="225"/>
        <v/>
      </c>
      <c r="DQ281" s="118" t="str">
        <f>IF(OR(DQ$253=0,DQ249=0),"",DQ249/DQ$253/6)</f>
        <v/>
      </c>
      <c r="DR281" s="41">
        <f>SUM(DL281:DQ281)</f>
        <v>0.125</v>
      </c>
      <c r="DS281" s="14"/>
      <c r="DT281" s="14"/>
      <c r="DU281" s="14"/>
      <c r="DV281" s="14"/>
      <c r="DW281" s="14"/>
      <c r="DX281" s="14"/>
      <c r="DY281" s="14"/>
      <c r="DZ281" s="14"/>
      <c r="EA281" s="14"/>
      <c r="EB281" s="14"/>
      <c r="EC281" s="14"/>
      <c r="ED281" s="14"/>
      <c r="EE281" s="14"/>
      <c r="EF281" s="14"/>
      <c r="EG281" s="14"/>
      <c r="EH281" s="14"/>
      <c r="EI281" s="14"/>
      <c r="EJ281" s="14"/>
      <c r="EK281" s="14"/>
      <c r="EL281" s="14"/>
    </row>
    <row r="282" spans="1:142" x14ac:dyDescent="0.25">
      <c r="A282" s="14"/>
      <c r="B282" s="107" t="s">
        <v>36</v>
      </c>
      <c r="C282" s="41" t="str">
        <f t="shared" si="220"/>
        <v/>
      </c>
      <c r="D282" s="41" t="str">
        <f t="shared" si="220"/>
        <v/>
      </c>
      <c r="E282" s="118" t="str">
        <f t="shared" si="220"/>
        <v/>
      </c>
      <c r="F282" s="41" t="str">
        <f t="shared" si="220"/>
        <v/>
      </c>
      <c r="G282" s="41" t="str">
        <f t="shared" si="220"/>
        <v/>
      </c>
      <c r="H282" s="118" t="str">
        <f t="shared" si="220"/>
        <v/>
      </c>
      <c r="I282" s="41">
        <f>SUM(C282:H282)</f>
        <v>0</v>
      </c>
      <c r="J282" s="14"/>
      <c r="K282" s="14"/>
      <c r="L282" s="14"/>
      <c r="M282" s="14"/>
      <c r="N282" s="14"/>
      <c r="O282" s="14"/>
      <c r="P282" s="14"/>
      <c r="Q282" s="47"/>
      <c r="R282" s="14"/>
      <c r="S282" s="107" t="s">
        <v>33</v>
      </c>
      <c r="T282" s="41" t="str">
        <f t="shared" si="221"/>
        <v/>
      </c>
      <c r="U282" s="41" t="str">
        <f t="shared" si="221"/>
        <v/>
      </c>
      <c r="V282" s="118" t="str">
        <f t="shared" si="221"/>
        <v/>
      </c>
      <c r="W282" s="41" t="str">
        <f t="shared" si="221"/>
        <v/>
      </c>
      <c r="X282" s="41" t="str">
        <f t="shared" si="221"/>
        <v/>
      </c>
      <c r="Y282" s="118" t="str">
        <f t="shared" si="221"/>
        <v/>
      </c>
      <c r="Z282" s="41">
        <f t="shared" si="226"/>
        <v>0</v>
      </c>
      <c r="AA282" s="35"/>
      <c r="AB282" s="35"/>
      <c r="AC282" s="35"/>
      <c r="AD282" s="65"/>
      <c r="AE282" s="63"/>
      <c r="AF282" s="47"/>
      <c r="AG282" s="14"/>
      <c r="AH282" s="107" t="s">
        <v>33</v>
      </c>
      <c r="AI282" s="41" t="str">
        <f t="shared" si="222"/>
        <v/>
      </c>
      <c r="AJ282" s="41" t="str">
        <f t="shared" si="222"/>
        <v/>
      </c>
      <c r="AK282" s="118" t="str">
        <f t="shared" si="222"/>
        <v/>
      </c>
      <c r="AL282" s="41" t="str">
        <f t="shared" si="222"/>
        <v/>
      </c>
      <c r="AM282" s="41" t="str">
        <f t="shared" si="222"/>
        <v/>
      </c>
      <c r="AN282" s="118" t="str">
        <f t="shared" si="222"/>
        <v/>
      </c>
      <c r="AO282" s="41">
        <f t="shared" si="227"/>
        <v>0</v>
      </c>
      <c r="AP282" s="35"/>
      <c r="AQ282" s="35"/>
      <c r="AR282" s="35"/>
      <c r="AS282" s="65"/>
      <c r="AT282" s="63"/>
      <c r="AU282" s="47"/>
      <c r="AV282" s="14"/>
      <c r="AW282" s="107" t="s">
        <v>33</v>
      </c>
      <c r="AX282" s="41" t="str">
        <f t="shared" si="223"/>
        <v/>
      </c>
      <c r="AY282" s="41" t="str">
        <f t="shared" si="223"/>
        <v/>
      </c>
      <c r="AZ282" s="118" t="str">
        <f t="shared" si="223"/>
        <v/>
      </c>
      <c r="BA282" s="41" t="str">
        <f t="shared" si="223"/>
        <v/>
      </c>
      <c r="BB282" s="41" t="str">
        <f t="shared" si="223"/>
        <v/>
      </c>
      <c r="BC282" s="118" t="str">
        <f t="shared" si="223"/>
        <v/>
      </c>
      <c r="BD282" s="41">
        <f t="shared" si="228"/>
        <v>0</v>
      </c>
      <c r="BE282" s="35"/>
      <c r="BF282" s="35"/>
      <c r="BG282" s="35"/>
      <c r="BH282" s="65"/>
      <c r="BI282" s="63"/>
      <c r="BJ282" s="352"/>
      <c r="BK282" s="14"/>
      <c r="BL282" s="107" t="s">
        <v>33</v>
      </c>
      <c r="BM282" s="41" t="str">
        <f t="shared" si="224"/>
        <v/>
      </c>
      <c r="BN282" s="41" t="str">
        <f t="shared" si="224"/>
        <v/>
      </c>
      <c r="BO282" s="118" t="str">
        <f t="shared" si="224"/>
        <v/>
      </c>
      <c r="BP282" s="41" t="str">
        <f t="shared" si="224"/>
        <v/>
      </c>
      <c r="BQ282" s="41" t="str">
        <f t="shared" si="224"/>
        <v/>
      </c>
      <c r="BR282" s="118" t="str">
        <f t="shared" si="224"/>
        <v/>
      </c>
      <c r="BS282" s="41">
        <f t="shared" si="229"/>
        <v>0</v>
      </c>
      <c r="BT282" s="35"/>
      <c r="BU282" s="35"/>
      <c r="BV282" s="35"/>
      <c r="BW282" s="65"/>
      <c r="BX282" s="63"/>
      <c r="BY282" s="352"/>
      <c r="BZ282" s="14"/>
      <c r="CA282" s="14"/>
      <c r="CB282" s="21"/>
      <c r="CC282" s="21"/>
      <c r="CD282" s="180"/>
      <c r="CE282" s="180"/>
      <c r="CF282" s="21"/>
      <c r="CG282" s="14"/>
      <c r="CH282" s="14"/>
      <c r="CI282" s="14"/>
      <c r="CJ282" s="14"/>
      <c r="CK282" s="14"/>
      <c r="CL282" s="14"/>
      <c r="CM282" s="14"/>
      <c r="CN282" s="14"/>
      <c r="CO282" s="129"/>
      <c r="CP282" s="14"/>
      <c r="CQ282" s="47"/>
      <c r="CR282" s="14"/>
      <c r="CS282" s="14"/>
      <c r="CT282" s="14"/>
      <c r="CU282" s="14"/>
      <c r="CV282" s="180"/>
      <c r="CW282" s="189"/>
      <c r="CX282" s="189"/>
      <c r="CY282" s="14"/>
      <c r="CZ282" s="14"/>
      <c r="DA282" s="14"/>
      <c r="DB282" s="14"/>
      <c r="DC282" s="14"/>
      <c r="DD282" s="14"/>
      <c r="DE282" s="14"/>
      <c r="DF282" s="14"/>
      <c r="DG282" s="129"/>
      <c r="DH282" s="14"/>
      <c r="DI282" s="47"/>
      <c r="DJ282" s="14"/>
      <c r="DK282" s="107" t="s">
        <v>36</v>
      </c>
      <c r="DL282" s="41">
        <f t="shared" si="225"/>
        <v>4.1666666666666664E-2</v>
      </c>
      <c r="DM282" s="41" t="str">
        <f t="shared" si="225"/>
        <v/>
      </c>
      <c r="DN282" s="118" t="str">
        <f t="shared" si="225"/>
        <v/>
      </c>
      <c r="DO282" s="41" t="str">
        <f t="shared" si="225"/>
        <v/>
      </c>
      <c r="DP282" s="41">
        <f t="shared" si="225"/>
        <v>8.3333333333333329E-2</v>
      </c>
      <c r="DQ282" s="118" t="str">
        <f t="shared" si="225"/>
        <v/>
      </c>
      <c r="DR282" s="41">
        <f>SUM(DL282:DQ282)</f>
        <v>0.125</v>
      </c>
      <c r="DS282" s="14"/>
      <c r="DT282" s="14"/>
      <c r="DU282" s="14"/>
      <c r="DV282" s="14"/>
      <c r="DW282" s="14"/>
      <c r="DX282" s="14"/>
      <c r="DY282" s="14"/>
      <c r="DZ282" s="14"/>
      <c r="EA282" s="14"/>
      <c r="EB282" s="14"/>
      <c r="EC282" s="14"/>
      <c r="ED282" s="14"/>
      <c r="EE282" s="14"/>
      <c r="EF282" s="14"/>
      <c r="EG282" s="14"/>
      <c r="EH282" s="14"/>
      <c r="EI282" s="14"/>
      <c r="EJ282" s="14"/>
      <c r="EK282" s="14"/>
      <c r="EL282" s="14"/>
    </row>
    <row r="283" spans="1:142" x14ac:dyDescent="0.25">
      <c r="A283" s="14"/>
      <c r="B283" s="107" t="s">
        <v>38</v>
      </c>
      <c r="C283" s="41" t="str">
        <f t="shared" si="220"/>
        <v/>
      </c>
      <c r="D283" s="41" t="str">
        <f t="shared" si="220"/>
        <v/>
      </c>
      <c r="E283" s="118" t="str">
        <f t="shared" si="220"/>
        <v/>
      </c>
      <c r="F283" s="41" t="str">
        <f t="shared" si="220"/>
        <v/>
      </c>
      <c r="G283" s="41" t="str">
        <f t="shared" si="220"/>
        <v/>
      </c>
      <c r="H283" s="118" t="str">
        <f t="shared" si="220"/>
        <v/>
      </c>
      <c r="I283" s="41">
        <f>SUM(C283:H283)</f>
        <v>0</v>
      </c>
      <c r="J283" s="14"/>
      <c r="K283" s="14"/>
      <c r="L283" s="14"/>
      <c r="M283" s="14"/>
      <c r="N283" s="14"/>
      <c r="O283" s="14"/>
      <c r="P283" s="14"/>
      <c r="Q283" s="47"/>
      <c r="R283" s="14"/>
      <c r="S283" s="107" t="s">
        <v>29</v>
      </c>
      <c r="T283" s="41" t="str">
        <f t="shared" si="221"/>
        <v/>
      </c>
      <c r="U283" s="41" t="str">
        <f t="shared" si="221"/>
        <v/>
      </c>
      <c r="V283" s="118">
        <f t="shared" si="221"/>
        <v>8.3333333333333329E-2</v>
      </c>
      <c r="W283" s="41" t="str">
        <f t="shared" si="221"/>
        <v/>
      </c>
      <c r="X283" s="41" t="str">
        <f t="shared" si="221"/>
        <v/>
      </c>
      <c r="Y283" s="118" t="str">
        <f t="shared" si="221"/>
        <v/>
      </c>
      <c r="Z283" s="41">
        <f t="shared" si="226"/>
        <v>8.3333333333333329E-2</v>
      </c>
      <c r="AA283" s="35"/>
      <c r="AB283" s="35"/>
      <c r="AC283" s="35"/>
      <c r="AD283" s="65"/>
      <c r="AE283" s="63"/>
      <c r="AF283" s="47"/>
      <c r="AG283" s="14"/>
      <c r="AH283" s="107" t="s">
        <v>29</v>
      </c>
      <c r="AI283" s="41" t="str">
        <f t="shared" si="222"/>
        <v/>
      </c>
      <c r="AJ283" s="41" t="str">
        <f t="shared" si="222"/>
        <v/>
      </c>
      <c r="AK283" s="118" t="str">
        <f t="shared" si="222"/>
        <v/>
      </c>
      <c r="AL283" s="41" t="str">
        <f t="shared" si="222"/>
        <v/>
      </c>
      <c r="AM283" s="41" t="str">
        <f t="shared" si="222"/>
        <v/>
      </c>
      <c r="AN283" s="118" t="str">
        <f t="shared" si="222"/>
        <v/>
      </c>
      <c r="AO283" s="41">
        <f t="shared" si="227"/>
        <v>0</v>
      </c>
      <c r="AP283" s="35"/>
      <c r="AQ283" s="35"/>
      <c r="AR283" s="35"/>
      <c r="AS283" s="65"/>
      <c r="AT283" s="63"/>
      <c r="AU283" s="47"/>
      <c r="AV283" s="14"/>
      <c r="AW283" s="107" t="s">
        <v>29</v>
      </c>
      <c r="AX283" s="41" t="str">
        <f t="shared" si="223"/>
        <v/>
      </c>
      <c r="AY283" s="41" t="str">
        <f t="shared" si="223"/>
        <v/>
      </c>
      <c r="AZ283" s="118" t="str">
        <f t="shared" si="223"/>
        <v/>
      </c>
      <c r="BA283" s="41" t="str">
        <f t="shared" si="223"/>
        <v/>
      </c>
      <c r="BB283" s="41" t="str">
        <f t="shared" si="223"/>
        <v/>
      </c>
      <c r="BC283" s="118" t="str">
        <f t="shared" si="223"/>
        <v/>
      </c>
      <c r="BD283" s="41">
        <f t="shared" si="228"/>
        <v>0</v>
      </c>
      <c r="BE283" s="35"/>
      <c r="BF283" s="35"/>
      <c r="BG283" s="35"/>
      <c r="BH283" s="65"/>
      <c r="BI283" s="63"/>
      <c r="BJ283" s="352"/>
      <c r="BK283" s="14"/>
      <c r="BL283" s="107" t="s">
        <v>29</v>
      </c>
      <c r="BM283" s="41" t="str">
        <f t="shared" si="224"/>
        <v/>
      </c>
      <c r="BN283" s="41" t="str">
        <f t="shared" si="224"/>
        <v/>
      </c>
      <c r="BO283" s="118">
        <f t="shared" si="224"/>
        <v>8.3333333333333329E-2</v>
      </c>
      <c r="BP283" s="41" t="str">
        <f t="shared" si="224"/>
        <v/>
      </c>
      <c r="BQ283" s="41" t="str">
        <f t="shared" si="224"/>
        <v/>
      </c>
      <c r="BR283" s="118" t="str">
        <f t="shared" si="224"/>
        <v/>
      </c>
      <c r="BS283" s="41">
        <f t="shared" si="229"/>
        <v>8.3333333333333329E-2</v>
      </c>
      <c r="BT283" s="35"/>
      <c r="BU283" s="35"/>
      <c r="BV283" s="35"/>
      <c r="BW283" s="65"/>
      <c r="BX283" s="63"/>
      <c r="BY283" s="352"/>
      <c r="BZ283" s="14"/>
      <c r="CA283" s="14"/>
      <c r="CB283" s="21"/>
      <c r="CC283" s="21"/>
      <c r="CD283" s="180"/>
      <c r="CE283" s="180"/>
      <c r="CF283" s="21"/>
      <c r="CG283" s="14"/>
      <c r="CH283" s="14"/>
      <c r="CI283" s="14"/>
      <c r="CJ283" s="14"/>
      <c r="CK283" s="14"/>
      <c r="CL283" s="14"/>
      <c r="CM283" s="14"/>
      <c r="CN283" s="14"/>
      <c r="CO283" s="129"/>
      <c r="CP283" s="14"/>
      <c r="CQ283" s="47"/>
      <c r="CR283" s="14"/>
      <c r="CS283" s="14"/>
      <c r="CT283" s="14"/>
      <c r="CU283" s="14"/>
      <c r="CV283" s="180"/>
      <c r="CW283" s="189"/>
      <c r="CX283" s="189"/>
      <c r="CY283" s="14"/>
      <c r="CZ283" s="14"/>
      <c r="DA283" s="14"/>
      <c r="DB283" s="14"/>
      <c r="DC283" s="14"/>
      <c r="DD283" s="14"/>
      <c r="DE283" s="14"/>
      <c r="DF283" s="14"/>
      <c r="DG283" s="129"/>
      <c r="DH283" s="14"/>
      <c r="DI283" s="47"/>
      <c r="DJ283" s="14"/>
      <c r="DK283" s="107" t="s">
        <v>38</v>
      </c>
      <c r="DL283" s="41">
        <f t="shared" si="225"/>
        <v>4.1666666666666664E-2</v>
      </c>
      <c r="DM283" s="41" t="str">
        <f t="shared" si="225"/>
        <v/>
      </c>
      <c r="DN283" s="118">
        <f t="shared" si="225"/>
        <v>8.3333333333333329E-2</v>
      </c>
      <c r="DO283" s="41">
        <f t="shared" si="225"/>
        <v>0.16666666666666666</v>
      </c>
      <c r="DP283" s="41">
        <f t="shared" si="225"/>
        <v>8.3333333333333329E-2</v>
      </c>
      <c r="DQ283" s="118" t="str">
        <f t="shared" si="225"/>
        <v/>
      </c>
      <c r="DR283" s="41">
        <f>SUM(DL283:DQ283)</f>
        <v>0.37499999999999994</v>
      </c>
      <c r="DS283" s="14"/>
      <c r="DT283" s="14"/>
      <c r="DU283" s="14"/>
      <c r="DV283" s="14"/>
      <c r="DW283" s="14"/>
      <c r="DX283" s="14"/>
      <c r="DY283" s="14"/>
      <c r="DZ283" s="14"/>
      <c r="EA283" s="14"/>
      <c r="EB283" s="14"/>
      <c r="EC283" s="14"/>
      <c r="ED283" s="14"/>
      <c r="EE283" s="14"/>
      <c r="EF283" s="14"/>
      <c r="EG283" s="14"/>
      <c r="EH283" s="14"/>
      <c r="EI283" s="14"/>
      <c r="EJ283" s="14"/>
      <c r="EK283" s="14"/>
      <c r="EL283" s="14"/>
    </row>
    <row r="284" spans="1:142" x14ac:dyDescent="0.25">
      <c r="A284" s="14"/>
      <c r="B284" s="107" t="s">
        <v>39</v>
      </c>
      <c r="C284" s="41">
        <f t="shared" si="220"/>
        <v>8.3333333333333329E-2</v>
      </c>
      <c r="D284" s="41" t="str">
        <f t="shared" si="220"/>
        <v/>
      </c>
      <c r="E284" s="118" t="str">
        <f t="shared" si="220"/>
        <v/>
      </c>
      <c r="F284" s="41">
        <f t="shared" si="220"/>
        <v>0.16666666666666666</v>
      </c>
      <c r="G284" s="41" t="str">
        <f t="shared" si="220"/>
        <v/>
      </c>
      <c r="H284" s="118" t="str">
        <f t="shared" si="220"/>
        <v/>
      </c>
      <c r="I284" s="41">
        <f>SUM(C284:H284)</f>
        <v>0.25</v>
      </c>
      <c r="J284" s="14"/>
      <c r="K284" s="14"/>
      <c r="L284" s="14"/>
      <c r="M284" s="14"/>
      <c r="N284" s="14"/>
      <c r="O284" s="14"/>
      <c r="P284" s="14"/>
      <c r="Q284" s="47"/>
      <c r="R284" s="14"/>
      <c r="S284" s="107" t="s">
        <v>3</v>
      </c>
      <c r="T284" s="41" t="str">
        <f t="shared" si="221"/>
        <v/>
      </c>
      <c r="U284" s="41" t="str">
        <f t="shared" si="221"/>
        <v/>
      </c>
      <c r="V284" s="118" t="str">
        <f t="shared" si="221"/>
        <v/>
      </c>
      <c r="W284" s="41" t="str">
        <f t="shared" si="221"/>
        <v/>
      </c>
      <c r="X284" s="41">
        <f t="shared" si="221"/>
        <v>8.3333333333333329E-2</v>
      </c>
      <c r="Y284" s="118" t="str">
        <f t="shared" si="221"/>
        <v/>
      </c>
      <c r="Z284" s="41">
        <f t="shared" si="226"/>
        <v>8.3333333333333329E-2</v>
      </c>
      <c r="AA284" s="35"/>
      <c r="AB284" s="35"/>
      <c r="AC284" s="35"/>
      <c r="AD284" s="65"/>
      <c r="AE284" s="63"/>
      <c r="AF284" s="47"/>
      <c r="AG284" s="14"/>
      <c r="AH284" s="107" t="s">
        <v>3</v>
      </c>
      <c r="AI284" s="41" t="str">
        <f t="shared" si="222"/>
        <v/>
      </c>
      <c r="AJ284" s="41" t="str">
        <f t="shared" si="222"/>
        <v/>
      </c>
      <c r="AK284" s="118" t="str">
        <f t="shared" si="222"/>
        <v/>
      </c>
      <c r="AL284" s="41" t="str">
        <f t="shared" si="222"/>
        <v/>
      </c>
      <c r="AM284" s="41" t="str">
        <f t="shared" si="222"/>
        <v/>
      </c>
      <c r="AN284" s="118" t="str">
        <f t="shared" si="222"/>
        <v/>
      </c>
      <c r="AO284" s="41">
        <f t="shared" si="227"/>
        <v>0</v>
      </c>
      <c r="AP284" s="35"/>
      <c r="AQ284" s="35"/>
      <c r="AR284" s="35"/>
      <c r="AS284" s="65"/>
      <c r="AT284" s="63"/>
      <c r="AU284" s="47"/>
      <c r="AV284" s="14"/>
      <c r="AW284" s="107" t="s">
        <v>3</v>
      </c>
      <c r="AX284" s="41" t="str">
        <f t="shared" si="223"/>
        <v/>
      </c>
      <c r="AY284" s="41" t="str">
        <f t="shared" si="223"/>
        <v/>
      </c>
      <c r="AZ284" s="118" t="str">
        <f t="shared" si="223"/>
        <v/>
      </c>
      <c r="BA284" s="41" t="str">
        <f t="shared" si="223"/>
        <v/>
      </c>
      <c r="BB284" s="41" t="str">
        <f t="shared" si="223"/>
        <v/>
      </c>
      <c r="BC284" s="118" t="str">
        <f t="shared" si="223"/>
        <v/>
      </c>
      <c r="BD284" s="41">
        <f t="shared" si="228"/>
        <v>0</v>
      </c>
      <c r="BE284" s="35"/>
      <c r="BF284" s="35"/>
      <c r="BG284" s="35"/>
      <c r="BH284" s="65"/>
      <c r="BI284" s="63"/>
      <c r="BJ284" s="352"/>
      <c r="BK284" s="14"/>
      <c r="BL284" s="107" t="s">
        <v>3</v>
      </c>
      <c r="BM284" s="41" t="str">
        <f t="shared" si="224"/>
        <v/>
      </c>
      <c r="BN284" s="41" t="str">
        <f t="shared" si="224"/>
        <v/>
      </c>
      <c r="BO284" s="118" t="str">
        <f t="shared" si="224"/>
        <v/>
      </c>
      <c r="BP284" s="41" t="str">
        <f t="shared" si="224"/>
        <v/>
      </c>
      <c r="BQ284" s="41">
        <f t="shared" si="224"/>
        <v>0.16666666666666666</v>
      </c>
      <c r="BR284" s="118" t="str">
        <f t="shared" si="224"/>
        <v/>
      </c>
      <c r="BS284" s="41">
        <f t="shared" si="229"/>
        <v>0.16666666666666666</v>
      </c>
      <c r="BT284" s="35"/>
      <c r="BU284" s="35"/>
      <c r="BV284" s="35"/>
      <c r="BW284" s="65"/>
      <c r="BX284" s="63"/>
      <c r="BY284" s="352"/>
      <c r="BZ284" s="14"/>
      <c r="CA284" s="14"/>
      <c r="CB284" s="21"/>
      <c r="CC284" s="21"/>
      <c r="CD284" s="180"/>
      <c r="CE284" s="180"/>
      <c r="CF284" s="21"/>
      <c r="CG284" s="14"/>
      <c r="CH284" s="14"/>
      <c r="CI284" s="14"/>
      <c r="CJ284" s="14"/>
      <c r="CK284" s="14"/>
      <c r="CL284" s="14"/>
      <c r="CM284" s="14"/>
      <c r="CN284" s="14"/>
      <c r="CO284" s="129"/>
      <c r="CP284" s="14"/>
      <c r="CQ284" s="47"/>
      <c r="CR284" s="14"/>
      <c r="CS284" s="14"/>
      <c r="CT284" s="14"/>
      <c r="CU284" s="14"/>
      <c r="CV284" s="180"/>
      <c r="CW284" s="189"/>
      <c r="CX284" s="189"/>
      <c r="CY284" s="14"/>
      <c r="CZ284" s="14"/>
      <c r="DA284" s="14"/>
      <c r="DB284" s="14"/>
      <c r="DC284" s="14"/>
      <c r="DD284" s="14"/>
      <c r="DE284" s="14"/>
      <c r="DF284" s="14"/>
      <c r="DG284" s="129"/>
      <c r="DH284" s="14"/>
      <c r="DI284" s="47"/>
      <c r="DJ284" s="14"/>
      <c r="DK284" s="107" t="s">
        <v>39</v>
      </c>
      <c r="DL284" s="41" t="str">
        <f t="shared" si="225"/>
        <v/>
      </c>
      <c r="DM284" s="41" t="str">
        <f t="shared" si="225"/>
        <v/>
      </c>
      <c r="DN284" s="118" t="str">
        <f t="shared" si="225"/>
        <v/>
      </c>
      <c r="DO284" s="41" t="str">
        <f t="shared" si="225"/>
        <v/>
      </c>
      <c r="DP284" s="41" t="str">
        <f t="shared" si="225"/>
        <v/>
      </c>
      <c r="DQ284" s="118" t="str">
        <f t="shared" si="225"/>
        <v/>
      </c>
      <c r="DR284" s="41">
        <f>SUM(DL284:DQ284)</f>
        <v>0</v>
      </c>
      <c r="DS284" s="14"/>
      <c r="DT284" s="14"/>
      <c r="DU284" s="14"/>
      <c r="DV284" s="14"/>
      <c r="DW284" s="14"/>
      <c r="DX284" s="14"/>
      <c r="DY284" s="14"/>
      <c r="DZ284" s="14"/>
      <c r="EA284" s="14"/>
      <c r="EB284" s="14"/>
      <c r="EC284" s="14"/>
      <c r="ED284" s="14"/>
      <c r="EE284" s="14"/>
      <c r="EF284" s="14"/>
      <c r="EG284" s="14"/>
      <c r="EH284" s="14"/>
      <c r="EI284" s="14"/>
      <c r="EJ284" s="14"/>
      <c r="EK284" s="14"/>
      <c r="EL284" s="14"/>
    </row>
    <row r="285" spans="1:142" x14ac:dyDescent="0.25">
      <c r="A285" s="14"/>
      <c r="B285" s="86" t="s">
        <v>8</v>
      </c>
      <c r="C285" s="119">
        <f t="shared" ref="C285:I285" si="230">SUM(C280:C284)</f>
        <v>0.16666666666666666</v>
      </c>
      <c r="D285" s="119">
        <f t="shared" si="230"/>
        <v>0</v>
      </c>
      <c r="E285" s="119">
        <f t="shared" si="230"/>
        <v>0.16666666666666666</v>
      </c>
      <c r="F285" s="119">
        <f t="shared" si="230"/>
        <v>0.16666666666666666</v>
      </c>
      <c r="G285" s="119">
        <f t="shared" si="230"/>
        <v>0.16666666666666666</v>
      </c>
      <c r="H285" s="119">
        <f t="shared" si="230"/>
        <v>0</v>
      </c>
      <c r="I285" s="119">
        <f t="shared" si="230"/>
        <v>0.66666666666666663</v>
      </c>
      <c r="J285" s="14"/>
      <c r="K285" s="14"/>
      <c r="L285" s="14"/>
      <c r="M285" s="14"/>
      <c r="N285" s="14"/>
      <c r="O285" s="14"/>
      <c r="P285" s="14"/>
      <c r="Q285" s="47"/>
      <c r="R285" s="14"/>
      <c r="S285" s="107" t="s">
        <v>54</v>
      </c>
      <c r="T285" s="41" t="str">
        <f t="shared" si="221"/>
        <v/>
      </c>
      <c r="U285" s="41" t="str">
        <f t="shared" si="221"/>
        <v/>
      </c>
      <c r="V285" s="118" t="str">
        <f t="shared" si="221"/>
        <v/>
      </c>
      <c r="W285" s="41" t="str">
        <f t="shared" si="221"/>
        <v/>
      </c>
      <c r="X285" s="41" t="str">
        <f t="shared" si="221"/>
        <v/>
      </c>
      <c r="Y285" s="118" t="str">
        <f t="shared" si="221"/>
        <v/>
      </c>
      <c r="Z285" s="41">
        <f t="shared" si="226"/>
        <v>0</v>
      </c>
      <c r="AA285" s="35"/>
      <c r="AB285" s="35"/>
      <c r="AC285" s="35"/>
      <c r="AD285" s="65"/>
      <c r="AE285" s="63"/>
      <c r="AF285" s="47"/>
      <c r="AG285" s="14"/>
      <c r="AH285" s="107" t="s">
        <v>54</v>
      </c>
      <c r="AI285" s="41" t="str">
        <f t="shared" si="222"/>
        <v/>
      </c>
      <c r="AJ285" s="41" t="str">
        <f t="shared" si="222"/>
        <v/>
      </c>
      <c r="AK285" s="118" t="str">
        <f t="shared" si="222"/>
        <v/>
      </c>
      <c r="AL285" s="41" t="str">
        <f t="shared" si="222"/>
        <v/>
      </c>
      <c r="AM285" s="41" t="str">
        <f t="shared" si="222"/>
        <v/>
      </c>
      <c r="AN285" s="118" t="str">
        <f t="shared" si="222"/>
        <v/>
      </c>
      <c r="AO285" s="41">
        <f t="shared" si="227"/>
        <v>0</v>
      </c>
      <c r="AP285" s="35"/>
      <c r="AQ285" s="35"/>
      <c r="AR285" s="35"/>
      <c r="AS285" s="65"/>
      <c r="AT285" s="63"/>
      <c r="AU285" s="47"/>
      <c r="AV285" s="14"/>
      <c r="AW285" s="107" t="s">
        <v>54</v>
      </c>
      <c r="AX285" s="41" t="str">
        <f t="shared" si="223"/>
        <v/>
      </c>
      <c r="AY285" s="41" t="str">
        <f t="shared" si="223"/>
        <v/>
      </c>
      <c r="AZ285" s="118" t="str">
        <f t="shared" si="223"/>
        <v/>
      </c>
      <c r="BA285" s="41" t="str">
        <f t="shared" si="223"/>
        <v/>
      </c>
      <c r="BB285" s="41" t="str">
        <f t="shared" si="223"/>
        <v/>
      </c>
      <c r="BC285" s="118" t="str">
        <f t="shared" si="223"/>
        <v/>
      </c>
      <c r="BD285" s="41">
        <f t="shared" si="228"/>
        <v>0</v>
      </c>
      <c r="BE285" s="35"/>
      <c r="BF285" s="35"/>
      <c r="BG285" s="35"/>
      <c r="BH285" s="65"/>
      <c r="BI285" s="63"/>
      <c r="BJ285" s="352"/>
      <c r="BK285" s="14"/>
      <c r="BL285" s="107" t="s">
        <v>54</v>
      </c>
      <c r="BM285" s="41" t="str">
        <f t="shared" si="224"/>
        <v/>
      </c>
      <c r="BN285" s="41" t="str">
        <f t="shared" si="224"/>
        <v/>
      </c>
      <c r="BO285" s="118" t="str">
        <f t="shared" si="224"/>
        <v/>
      </c>
      <c r="BP285" s="41" t="str">
        <f t="shared" si="224"/>
        <v/>
      </c>
      <c r="BQ285" s="41" t="str">
        <f t="shared" si="224"/>
        <v/>
      </c>
      <c r="BR285" s="118" t="str">
        <f t="shared" si="224"/>
        <v/>
      </c>
      <c r="BS285" s="41">
        <f t="shared" si="229"/>
        <v>0</v>
      </c>
      <c r="BT285" s="35"/>
      <c r="BU285" s="35"/>
      <c r="BV285" s="35"/>
      <c r="BW285" s="65"/>
      <c r="BX285" s="63"/>
      <c r="BY285" s="352"/>
      <c r="BZ285" s="14"/>
      <c r="CA285" s="14"/>
      <c r="CB285" s="21"/>
      <c r="CC285" s="21"/>
      <c r="CD285" s="180"/>
      <c r="CE285" s="180"/>
      <c r="CF285" s="21"/>
      <c r="CG285" s="14"/>
      <c r="CH285" s="14"/>
      <c r="CI285" s="14"/>
      <c r="CJ285" s="14"/>
      <c r="CK285" s="14"/>
      <c r="CL285" s="14"/>
      <c r="CM285" s="14"/>
      <c r="CN285" s="14"/>
      <c r="CO285" s="129"/>
      <c r="CP285" s="14"/>
      <c r="CQ285" s="47"/>
      <c r="CR285" s="14"/>
      <c r="CS285" s="14"/>
      <c r="CT285" s="14"/>
      <c r="CU285" s="14"/>
      <c r="CV285" s="180"/>
      <c r="CW285" s="189"/>
      <c r="CX285" s="189"/>
      <c r="CY285" s="14"/>
      <c r="CZ285" s="14"/>
      <c r="DA285" s="14"/>
      <c r="DB285" s="14"/>
      <c r="DC285" s="14"/>
      <c r="DD285" s="14"/>
      <c r="DE285" s="14"/>
      <c r="DF285" s="14"/>
      <c r="DG285" s="129"/>
      <c r="DH285" s="14"/>
      <c r="DI285" s="47"/>
      <c r="DJ285" s="14"/>
      <c r="DK285" s="86" t="s">
        <v>8</v>
      </c>
      <c r="DL285" s="119">
        <f t="shared" ref="DL285:DR285" si="231">SUM(DL280:DL284)</f>
        <v>0.16666666666666666</v>
      </c>
      <c r="DM285" s="119">
        <f t="shared" si="231"/>
        <v>0</v>
      </c>
      <c r="DN285" s="119">
        <f t="shared" si="231"/>
        <v>0.16666666666666666</v>
      </c>
      <c r="DO285" s="119">
        <f t="shared" si="231"/>
        <v>0.16666666666666666</v>
      </c>
      <c r="DP285" s="119">
        <f t="shared" si="231"/>
        <v>0.16666666666666666</v>
      </c>
      <c r="DQ285" s="119">
        <f t="shared" si="231"/>
        <v>0</v>
      </c>
      <c r="DR285" s="119">
        <f t="shared" si="231"/>
        <v>0.66666666666666652</v>
      </c>
      <c r="DS285" s="14"/>
      <c r="DT285" s="14"/>
      <c r="DU285" s="14"/>
      <c r="DV285" s="14"/>
      <c r="DW285" s="14"/>
      <c r="DX285" s="14"/>
      <c r="DY285" s="14"/>
      <c r="DZ285" s="14"/>
      <c r="EA285" s="14"/>
      <c r="EB285" s="14"/>
      <c r="EC285" s="14"/>
      <c r="ED285" s="14"/>
      <c r="EE285" s="14"/>
      <c r="EF285" s="14"/>
      <c r="EG285" s="14"/>
      <c r="EH285" s="14"/>
      <c r="EI285" s="14"/>
      <c r="EJ285" s="14"/>
      <c r="EK285" s="14"/>
      <c r="EL285" s="14"/>
    </row>
    <row r="286" spans="1:142" x14ac:dyDescent="0.25">
      <c r="A286" s="14"/>
      <c r="B286" s="107"/>
      <c r="C286" s="41"/>
      <c r="D286" s="41"/>
      <c r="E286" s="118"/>
      <c r="F286" s="41"/>
      <c r="G286" s="41"/>
      <c r="H286" s="118"/>
      <c r="I286" s="41"/>
      <c r="J286" s="14"/>
      <c r="K286" s="14"/>
      <c r="L286" s="14"/>
      <c r="M286" s="14"/>
      <c r="N286" s="14"/>
      <c r="O286" s="14"/>
      <c r="P286" s="14"/>
      <c r="Q286" s="47"/>
      <c r="R286" s="14"/>
      <c r="S286" s="107" t="s">
        <v>39</v>
      </c>
      <c r="T286" s="41">
        <f t="shared" si="221"/>
        <v>9.9999999999999992E-2</v>
      </c>
      <c r="U286" s="41" t="str">
        <f t="shared" si="221"/>
        <v/>
      </c>
      <c r="V286" s="118" t="str">
        <f t="shared" si="221"/>
        <v/>
      </c>
      <c r="W286" s="41" t="str">
        <f t="shared" si="221"/>
        <v/>
      </c>
      <c r="X286" s="41" t="str">
        <f t="shared" si="221"/>
        <v/>
      </c>
      <c r="Y286" s="118" t="str">
        <f t="shared" si="221"/>
        <v/>
      </c>
      <c r="Z286" s="41">
        <f t="shared" si="226"/>
        <v>9.9999999999999992E-2</v>
      </c>
      <c r="AA286" s="35"/>
      <c r="AB286" s="35"/>
      <c r="AC286" s="35"/>
      <c r="AD286" s="65"/>
      <c r="AE286" s="63"/>
      <c r="AF286" s="47"/>
      <c r="AG286" s="14"/>
      <c r="AH286" s="107" t="s">
        <v>39</v>
      </c>
      <c r="AI286" s="41" t="str">
        <f t="shared" si="222"/>
        <v/>
      </c>
      <c r="AJ286" s="41" t="str">
        <f t="shared" si="222"/>
        <v/>
      </c>
      <c r="AK286" s="118" t="str">
        <f t="shared" si="222"/>
        <v/>
      </c>
      <c r="AL286" s="41" t="str">
        <f t="shared" si="222"/>
        <v/>
      </c>
      <c r="AM286" s="41" t="str">
        <f t="shared" si="222"/>
        <v/>
      </c>
      <c r="AN286" s="118" t="str">
        <f t="shared" si="222"/>
        <v/>
      </c>
      <c r="AO286" s="41">
        <f t="shared" si="227"/>
        <v>0</v>
      </c>
      <c r="AP286" s="35"/>
      <c r="AQ286" s="35"/>
      <c r="AR286" s="35"/>
      <c r="AS286" s="65"/>
      <c r="AT286" s="63"/>
      <c r="AU286" s="47"/>
      <c r="AV286" s="14"/>
      <c r="AW286" s="107" t="s">
        <v>39</v>
      </c>
      <c r="AX286" s="41" t="str">
        <f t="shared" si="223"/>
        <v/>
      </c>
      <c r="AY286" s="41" t="str">
        <f t="shared" si="223"/>
        <v/>
      </c>
      <c r="AZ286" s="118" t="str">
        <f t="shared" si="223"/>
        <v/>
      </c>
      <c r="BA286" s="41" t="str">
        <f t="shared" si="223"/>
        <v/>
      </c>
      <c r="BB286" s="41" t="str">
        <f t="shared" si="223"/>
        <v/>
      </c>
      <c r="BC286" s="118" t="str">
        <f t="shared" si="223"/>
        <v/>
      </c>
      <c r="BD286" s="41">
        <f t="shared" si="228"/>
        <v>0</v>
      </c>
      <c r="BE286" s="35"/>
      <c r="BF286" s="35"/>
      <c r="BG286" s="35"/>
      <c r="BH286" s="65"/>
      <c r="BI286" s="63"/>
      <c r="BJ286" s="352"/>
      <c r="BK286" s="14"/>
      <c r="BL286" s="107" t="s">
        <v>39</v>
      </c>
      <c r="BM286" s="41" t="str">
        <f t="shared" si="224"/>
        <v/>
      </c>
      <c r="BN286" s="41" t="str">
        <f t="shared" si="224"/>
        <v/>
      </c>
      <c r="BO286" s="118" t="str">
        <f t="shared" si="224"/>
        <v/>
      </c>
      <c r="BP286" s="41" t="str">
        <f t="shared" si="224"/>
        <v/>
      </c>
      <c r="BQ286" s="41" t="str">
        <f t="shared" si="224"/>
        <v/>
      </c>
      <c r="BR286" s="118" t="str">
        <f t="shared" si="224"/>
        <v/>
      </c>
      <c r="BS286" s="41">
        <f t="shared" si="229"/>
        <v>0</v>
      </c>
      <c r="BT286" s="35"/>
      <c r="BU286" s="35"/>
      <c r="BV286" s="35"/>
      <c r="BW286" s="65"/>
      <c r="BX286" s="63"/>
      <c r="BY286" s="352"/>
      <c r="BZ286" s="14"/>
      <c r="CA286" s="14"/>
      <c r="CB286" s="21"/>
      <c r="CC286" s="21"/>
      <c r="CD286" s="180"/>
      <c r="CE286" s="180"/>
      <c r="CF286" s="21"/>
      <c r="CG286" s="14"/>
      <c r="CH286" s="14"/>
      <c r="CI286" s="14"/>
      <c r="CJ286" s="14"/>
      <c r="CK286" s="14"/>
      <c r="CL286" s="14"/>
      <c r="CM286" s="14"/>
      <c r="CN286" s="14"/>
      <c r="CO286" s="129"/>
      <c r="CP286" s="14"/>
      <c r="CQ286" s="47"/>
      <c r="CR286" s="14"/>
      <c r="CS286" s="14"/>
      <c r="CT286" s="14"/>
      <c r="CU286" s="14"/>
      <c r="CV286" s="180"/>
      <c r="CW286" s="189"/>
      <c r="CX286" s="189"/>
      <c r="CY286" s="14"/>
      <c r="CZ286" s="14"/>
      <c r="DA286" s="14"/>
      <c r="DB286" s="14"/>
      <c r="DC286" s="14"/>
      <c r="DD286" s="14"/>
      <c r="DE286" s="14"/>
      <c r="DF286" s="14"/>
      <c r="DG286" s="129"/>
      <c r="DH286" s="14"/>
      <c r="DI286" s="47"/>
      <c r="DJ286" s="14"/>
      <c r="DK286" s="107"/>
      <c r="DL286" s="41"/>
      <c r="DM286" s="41"/>
      <c r="DN286" s="118"/>
      <c r="DO286" s="41"/>
      <c r="DP286" s="41"/>
      <c r="DQ286" s="118"/>
      <c r="DR286" s="41"/>
      <c r="DS286" s="14"/>
      <c r="DT286" s="14"/>
      <c r="DU286" s="14"/>
      <c r="DV286" s="14"/>
      <c r="DW286" s="14"/>
      <c r="DX286" s="14"/>
      <c r="DY286" s="14"/>
      <c r="DZ286" s="14"/>
      <c r="EA286" s="14"/>
      <c r="EB286" s="14"/>
      <c r="EC286" s="14"/>
      <c r="ED286" s="14"/>
      <c r="EE286" s="14"/>
      <c r="EF286" s="14"/>
      <c r="EG286" s="14"/>
      <c r="EH286" s="14"/>
      <c r="EI286" s="14"/>
      <c r="EJ286" s="14"/>
      <c r="EK286" s="14"/>
      <c r="EL286" s="14"/>
    </row>
    <row r="287" spans="1:142" x14ac:dyDescent="0.25">
      <c r="A287" s="14"/>
      <c r="B287" s="103"/>
      <c r="C287" s="120"/>
      <c r="D287" s="120"/>
      <c r="E287" s="120"/>
      <c r="F287" s="120"/>
      <c r="G287" s="120"/>
      <c r="H287" s="120"/>
      <c r="I287" s="120"/>
      <c r="J287" s="14"/>
      <c r="K287" s="14"/>
      <c r="L287" s="14"/>
      <c r="M287" s="14"/>
      <c r="N287" s="14"/>
      <c r="O287" s="14"/>
      <c r="P287" s="14"/>
      <c r="Q287" s="47"/>
      <c r="R287" s="14"/>
      <c r="S287" s="86" t="s">
        <v>8</v>
      </c>
      <c r="T287" s="119">
        <f t="shared" ref="T287:Y287" si="232">SUM(T280:T286)</f>
        <v>0.16666666666666666</v>
      </c>
      <c r="U287" s="119">
        <f t="shared" si="232"/>
        <v>0</v>
      </c>
      <c r="V287" s="119">
        <f t="shared" si="232"/>
        <v>0.16666666666666666</v>
      </c>
      <c r="W287" s="119">
        <f t="shared" si="232"/>
        <v>0.16666666666666666</v>
      </c>
      <c r="X287" s="119">
        <f t="shared" si="232"/>
        <v>0.16666666666666666</v>
      </c>
      <c r="Y287" s="119">
        <f t="shared" si="232"/>
        <v>0</v>
      </c>
      <c r="Z287" s="119">
        <f>SUM(T287:Y287)</f>
        <v>0.66666666666666663</v>
      </c>
      <c r="AA287" s="35"/>
      <c r="AB287" s="35"/>
      <c r="AC287" s="35"/>
      <c r="AD287" s="65"/>
      <c r="AE287" s="63"/>
      <c r="AF287" s="47"/>
      <c r="AG287" s="14"/>
      <c r="AH287" s="86" t="s">
        <v>8</v>
      </c>
      <c r="AI287" s="119">
        <f t="shared" ref="AI287:AN287" si="233">SUM(AI280:AI286)</f>
        <v>0.16666666666666666</v>
      </c>
      <c r="AJ287" s="119">
        <f t="shared" si="233"/>
        <v>0.16666666666666666</v>
      </c>
      <c r="AK287" s="119">
        <f t="shared" si="233"/>
        <v>0.16666666666666666</v>
      </c>
      <c r="AL287" s="119">
        <f t="shared" si="233"/>
        <v>0.16666666666666666</v>
      </c>
      <c r="AM287" s="119">
        <f t="shared" si="233"/>
        <v>0.16666666666666666</v>
      </c>
      <c r="AN287" s="119">
        <f t="shared" si="233"/>
        <v>0</v>
      </c>
      <c r="AO287" s="119">
        <f>SUM(AI287:AN287)</f>
        <v>0.83333333333333326</v>
      </c>
      <c r="AP287" s="35"/>
      <c r="AQ287" s="35"/>
      <c r="AR287" s="35"/>
      <c r="AS287" s="65"/>
      <c r="AT287" s="63"/>
      <c r="AU287" s="47"/>
      <c r="AV287" s="14"/>
      <c r="AW287" s="86" t="s">
        <v>8</v>
      </c>
      <c r="AX287" s="119">
        <f t="shared" ref="AX287:BC287" si="234">SUM(AX280:AX286)</f>
        <v>0.16666666666666666</v>
      </c>
      <c r="AY287" s="119">
        <f t="shared" si="234"/>
        <v>0.16666666666666666</v>
      </c>
      <c r="AZ287" s="119">
        <f t="shared" si="234"/>
        <v>0.16666666666666666</v>
      </c>
      <c r="BA287" s="119">
        <f t="shared" si="234"/>
        <v>0.16666666666666666</v>
      </c>
      <c r="BB287" s="119">
        <f t="shared" si="234"/>
        <v>0.16666666666666666</v>
      </c>
      <c r="BC287" s="119">
        <f t="shared" si="234"/>
        <v>0</v>
      </c>
      <c r="BD287" s="119">
        <f>SUM(AX287:BC287)</f>
        <v>0.83333333333333326</v>
      </c>
      <c r="BE287" s="35"/>
      <c r="BF287" s="35"/>
      <c r="BG287" s="35"/>
      <c r="BH287" s="65"/>
      <c r="BI287" s="63"/>
      <c r="BJ287" s="352"/>
      <c r="BK287" s="14"/>
      <c r="BL287" s="86" t="s">
        <v>8</v>
      </c>
      <c r="BM287" s="119">
        <f t="shared" ref="BM287:BR287" si="235">SUM(BM280:BM286)</f>
        <v>0.16666666666666666</v>
      </c>
      <c r="BN287" s="119">
        <f t="shared" si="235"/>
        <v>0.16666666666666666</v>
      </c>
      <c r="BO287" s="119">
        <f t="shared" si="235"/>
        <v>0.16666666666666666</v>
      </c>
      <c r="BP287" s="119">
        <f t="shared" si="235"/>
        <v>0.16666666666666666</v>
      </c>
      <c r="BQ287" s="119">
        <f t="shared" si="235"/>
        <v>0.16666666666666666</v>
      </c>
      <c r="BR287" s="119">
        <f t="shared" si="235"/>
        <v>0</v>
      </c>
      <c r="BS287" s="119">
        <f>SUM(BM287:BR287)</f>
        <v>0.83333333333333326</v>
      </c>
      <c r="BT287" s="35"/>
      <c r="BU287" s="35"/>
      <c r="BV287" s="35"/>
      <c r="BW287" s="65"/>
      <c r="BX287" s="63"/>
      <c r="BY287" s="352"/>
      <c r="BZ287" s="14"/>
      <c r="CA287" s="14"/>
      <c r="CB287" s="21"/>
      <c r="CC287" s="21"/>
      <c r="CD287" s="180"/>
      <c r="CE287" s="180"/>
      <c r="CF287" s="21"/>
      <c r="CG287" s="14"/>
      <c r="CH287" s="14"/>
      <c r="CI287" s="14"/>
      <c r="CJ287" s="14"/>
      <c r="CK287" s="14"/>
      <c r="CL287" s="14"/>
      <c r="CM287" s="14"/>
      <c r="CN287" s="14"/>
      <c r="CO287" s="129"/>
      <c r="CP287" s="14"/>
      <c r="CQ287" s="47"/>
      <c r="CR287" s="14"/>
      <c r="CS287" s="14"/>
      <c r="CT287" s="14"/>
      <c r="CU287" s="14"/>
      <c r="CV287" s="180"/>
      <c r="CW287" s="189"/>
      <c r="CX287" s="189"/>
      <c r="CY287" s="14"/>
      <c r="CZ287" s="14"/>
      <c r="DA287" s="14"/>
      <c r="DB287" s="14"/>
      <c r="DC287" s="14"/>
      <c r="DD287" s="14"/>
      <c r="DE287" s="14"/>
      <c r="DF287" s="14"/>
      <c r="DG287" s="129"/>
      <c r="DH287" s="14"/>
      <c r="DI287" s="47"/>
      <c r="DJ287" s="14"/>
      <c r="DK287" s="103"/>
      <c r="DL287" s="120"/>
      <c r="DM287" s="120"/>
      <c r="DN287" s="120"/>
      <c r="DO287" s="120"/>
      <c r="DP287" s="120"/>
      <c r="DQ287" s="120"/>
      <c r="DR287" s="120"/>
      <c r="DS287" s="14"/>
      <c r="DT287" s="14"/>
      <c r="DU287" s="14"/>
      <c r="DV287" s="14"/>
      <c r="DW287" s="14"/>
      <c r="DX287" s="14"/>
      <c r="DY287" s="14"/>
      <c r="DZ287" s="14"/>
      <c r="EA287" s="14"/>
      <c r="EB287" s="14"/>
      <c r="EC287" s="14"/>
      <c r="ED287" s="14"/>
      <c r="EE287" s="14"/>
      <c r="EF287" s="14"/>
      <c r="EG287" s="14"/>
      <c r="EH287" s="14"/>
      <c r="EI287" s="14"/>
      <c r="EJ287" s="14"/>
      <c r="EK287" s="14"/>
      <c r="EL287" s="14"/>
    </row>
    <row r="288" spans="1:142" x14ac:dyDescent="0.25">
      <c r="A288" s="14"/>
      <c r="B288" s="19"/>
      <c r="C288" s="19"/>
      <c r="D288" s="19"/>
      <c r="E288" s="19"/>
      <c r="F288" s="19"/>
      <c r="G288" s="19"/>
      <c r="H288" s="19"/>
      <c r="I288" s="19"/>
      <c r="J288" s="14"/>
      <c r="K288" s="14"/>
      <c r="L288" s="14"/>
      <c r="M288" s="14"/>
      <c r="N288" s="14"/>
      <c r="O288" s="14"/>
      <c r="P288" s="14"/>
      <c r="Q288" s="47"/>
      <c r="R288" s="14"/>
      <c r="S288" s="19"/>
      <c r="T288" s="14"/>
      <c r="U288" s="14"/>
      <c r="V288" s="14"/>
      <c r="W288" s="14"/>
      <c r="X288" s="14"/>
      <c r="Y288" s="14"/>
      <c r="Z288" s="14"/>
      <c r="AA288" s="14"/>
      <c r="AB288" s="14"/>
      <c r="AC288" s="14"/>
      <c r="AD288" s="65"/>
      <c r="AE288" s="63"/>
      <c r="AF288" s="47"/>
      <c r="AG288" s="14"/>
      <c r="AH288" s="19"/>
      <c r="AI288" s="19"/>
      <c r="AJ288" s="19"/>
      <c r="AK288" s="19"/>
      <c r="AL288" s="19"/>
      <c r="AM288" s="19"/>
      <c r="AN288" s="19"/>
      <c r="AO288" s="19"/>
      <c r="AP288" s="14"/>
      <c r="AQ288" s="14"/>
      <c r="AR288" s="14"/>
      <c r="AS288" s="65"/>
      <c r="AT288" s="63"/>
      <c r="AU288" s="47"/>
      <c r="AV288" s="14"/>
      <c r="AW288" s="19"/>
      <c r="AX288" s="14"/>
      <c r="AY288" s="14"/>
      <c r="AZ288" s="14"/>
      <c r="BA288" s="14"/>
      <c r="BB288" s="14"/>
      <c r="BC288" s="14"/>
      <c r="BD288" s="14"/>
      <c r="BE288" s="14"/>
      <c r="BF288" s="14"/>
      <c r="BG288" s="14"/>
      <c r="BH288" s="65"/>
      <c r="BI288" s="63"/>
      <c r="BJ288" s="352"/>
      <c r="BK288" s="14"/>
      <c r="BL288" s="19"/>
      <c r="BM288" s="14"/>
      <c r="BN288" s="14"/>
      <c r="BO288" s="14"/>
      <c r="BP288" s="14"/>
      <c r="BQ288" s="14"/>
      <c r="BR288" s="14"/>
      <c r="BS288" s="14"/>
      <c r="BT288" s="14"/>
      <c r="BU288" s="14"/>
      <c r="BV288" s="14"/>
      <c r="BW288" s="65"/>
      <c r="BX288" s="63"/>
      <c r="BY288" s="352"/>
      <c r="BZ288" s="14"/>
      <c r="CA288" s="14"/>
      <c r="CB288" s="21"/>
      <c r="CC288" s="21"/>
      <c r="CD288" s="180"/>
      <c r="CE288" s="180"/>
      <c r="CF288" s="21"/>
      <c r="CG288" s="14"/>
      <c r="CH288" s="14"/>
      <c r="CI288" s="14"/>
      <c r="CJ288" s="14"/>
      <c r="CK288" s="14"/>
      <c r="CL288" s="14"/>
      <c r="CM288" s="14"/>
      <c r="CN288" s="14"/>
      <c r="CO288" s="129"/>
      <c r="CP288" s="14"/>
      <c r="CQ288" s="47"/>
      <c r="CR288" s="14"/>
      <c r="CS288" s="14"/>
      <c r="CT288" s="14"/>
      <c r="CU288" s="14"/>
      <c r="CV288" s="180"/>
      <c r="CW288" s="189"/>
      <c r="CX288" s="189"/>
      <c r="CY288" s="14"/>
      <c r="CZ288" s="14"/>
      <c r="DA288" s="14"/>
      <c r="DB288" s="14"/>
      <c r="DC288" s="14"/>
      <c r="DD288" s="14"/>
      <c r="DE288" s="14"/>
      <c r="DF288" s="14"/>
      <c r="DG288" s="129"/>
      <c r="DH288" s="14"/>
      <c r="DI288" s="47"/>
      <c r="DJ288" s="14"/>
      <c r="DK288" s="19"/>
      <c r="DL288" s="19"/>
      <c r="DM288" s="19"/>
      <c r="DN288" s="19"/>
      <c r="DO288" s="19"/>
      <c r="DP288" s="19"/>
      <c r="DQ288" s="19"/>
      <c r="DR288" s="19"/>
      <c r="DS288" s="14"/>
      <c r="DT288" s="14"/>
      <c r="DU288" s="14"/>
      <c r="DV288" s="14"/>
      <c r="DW288" s="14"/>
      <c r="DX288" s="14"/>
      <c r="DY288" s="14"/>
      <c r="DZ288" s="14"/>
      <c r="EA288" s="14"/>
      <c r="EB288" s="14"/>
      <c r="EC288" s="14"/>
      <c r="ED288" s="14"/>
      <c r="EE288" s="14"/>
      <c r="EF288" s="14"/>
      <c r="EG288" s="14"/>
      <c r="EH288" s="14"/>
      <c r="EI288" s="14"/>
      <c r="EJ288" s="14"/>
      <c r="EK288" s="14"/>
      <c r="EL288" s="14"/>
    </row>
    <row r="289" spans="1:142" x14ac:dyDescent="0.25">
      <c r="A289" s="14"/>
      <c r="B289" s="19"/>
      <c r="C289" s="40"/>
      <c r="D289" s="41"/>
      <c r="E289" s="40"/>
      <c r="F289" s="40"/>
      <c r="G289" s="40"/>
      <c r="H289" s="41"/>
      <c r="I289" s="72"/>
      <c r="J289" s="14"/>
      <c r="K289" s="14"/>
      <c r="L289" s="14"/>
      <c r="M289" s="14"/>
      <c r="N289" s="14"/>
      <c r="O289" s="14"/>
      <c r="P289" s="14"/>
      <c r="Q289" s="47"/>
      <c r="R289" s="14"/>
      <c r="S289" s="19"/>
      <c r="T289" s="14"/>
      <c r="U289" s="14"/>
      <c r="V289" s="14"/>
      <c r="W289" s="14"/>
      <c r="X289" s="14"/>
      <c r="Y289" s="14"/>
      <c r="Z289" s="14"/>
      <c r="AA289" s="14"/>
      <c r="AB289" s="14"/>
      <c r="AC289" s="14"/>
      <c r="AD289" s="65"/>
      <c r="AE289" s="63"/>
      <c r="AF289" s="47"/>
      <c r="AG289" s="14"/>
      <c r="AH289" s="19"/>
      <c r="AI289" s="14"/>
      <c r="AJ289" s="14"/>
      <c r="AK289" s="14"/>
      <c r="AL289" s="14"/>
      <c r="AM289" s="14"/>
      <c r="AN289" s="14"/>
      <c r="AO289" s="14"/>
      <c r="AP289" s="14"/>
      <c r="AQ289" s="14"/>
      <c r="AR289" s="14"/>
      <c r="AS289" s="65"/>
      <c r="AT289" s="63"/>
      <c r="AU289" s="47"/>
      <c r="AV289" s="14"/>
      <c r="AW289" s="19"/>
      <c r="AX289" s="14"/>
      <c r="AY289" s="14"/>
      <c r="AZ289" s="14"/>
      <c r="BA289" s="14"/>
      <c r="BB289" s="14"/>
      <c r="BC289" s="14"/>
      <c r="BD289" s="14"/>
      <c r="BE289" s="14"/>
      <c r="BF289" s="14"/>
      <c r="BG289" s="14"/>
      <c r="BH289" s="65"/>
      <c r="BI289" s="63"/>
      <c r="BJ289" s="352"/>
      <c r="BK289" s="14"/>
      <c r="BL289" s="19"/>
      <c r="BM289" s="14"/>
      <c r="BN289" s="14"/>
      <c r="BO289" s="14"/>
      <c r="BP289" s="14"/>
      <c r="BQ289" s="14"/>
      <c r="BR289" s="14"/>
      <c r="BS289" s="14"/>
      <c r="BT289" s="14"/>
      <c r="BU289" s="14"/>
      <c r="BV289" s="14"/>
      <c r="BW289" s="65"/>
      <c r="BX289" s="63"/>
      <c r="BY289" s="352"/>
      <c r="BZ289" s="14"/>
      <c r="CA289" s="14"/>
      <c r="CB289" s="21"/>
      <c r="CC289" s="21"/>
      <c r="CD289" s="180"/>
      <c r="CE289" s="180"/>
      <c r="CF289" s="21"/>
      <c r="CG289" s="14"/>
      <c r="CH289" s="14"/>
      <c r="CI289" s="14"/>
      <c r="CJ289" s="14"/>
      <c r="CK289" s="14"/>
      <c r="CL289" s="14"/>
      <c r="CM289" s="14"/>
      <c r="CN289" s="14"/>
      <c r="CO289" s="129"/>
      <c r="CP289" s="14"/>
      <c r="CQ289" s="47"/>
      <c r="CR289" s="14"/>
      <c r="CS289" s="14"/>
      <c r="CT289" s="14"/>
      <c r="CU289" s="14"/>
      <c r="CV289" s="180"/>
      <c r="CW289" s="189"/>
      <c r="CX289" s="189"/>
      <c r="CY289" s="14"/>
      <c r="CZ289" s="14"/>
      <c r="DA289" s="14"/>
      <c r="DB289" s="14"/>
      <c r="DC289" s="14"/>
      <c r="DD289" s="14"/>
      <c r="DE289" s="14"/>
      <c r="DF289" s="14"/>
      <c r="DG289" s="129"/>
      <c r="DH289" s="14"/>
      <c r="DI289" s="47"/>
      <c r="DJ289" s="14"/>
      <c r="DK289" s="19"/>
      <c r="DL289" s="40"/>
      <c r="DM289" s="41"/>
      <c r="DN289" s="40"/>
      <c r="DO289" s="40"/>
      <c r="DP289" s="40"/>
      <c r="DQ289" s="41"/>
      <c r="DR289" s="72"/>
      <c r="DS289" s="14"/>
      <c r="DT289" s="14"/>
      <c r="DU289" s="14"/>
      <c r="DV289" s="14"/>
      <c r="DW289" s="14"/>
      <c r="DX289" s="14"/>
      <c r="DY289" s="14"/>
      <c r="DZ289" s="14"/>
      <c r="EA289" s="14"/>
      <c r="EB289" s="14"/>
      <c r="EC289" s="14"/>
      <c r="ED289" s="14"/>
      <c r="EE289" s="14"/>
      <c r="EF289" s="14"/>
      <c r="EG289" s="14"/>
      <c r="EH289" s="14"/>
      <c r="EI289" s="14"/>
      <c r="EJ289" s="14"/>
      <c r="EK289" s="14"/>
      <c r="EL289" s="14"/>
    </row>
    <row r="290" spans="1:142" x14ac:dyDescent="0.25">
      <c r="A290" s="14"/>
      <c r="B290" s="19"/>
      <c r="C290" s="40"/>
      <c r="D290" s="41"/>
      <c r="E290" s="40"/>
      <c r="F290" s="40"/>
      <c r="G290" s="40"/>
      <c r="H290" s="41"/>
      <c r="I290" s="72"/>
      <c r="J290" s="14"/>
      <c r="K290" s="14"/>
      <c r="L290" s="14"/>
      <c r="M290" s="14"/>
      <c r="N290" s="14"/>
      <c r="O290" s="14"/>
      <c r="P290" s="14"/>
      <c r="Q290" s="47"/>
      <c r="R290" s="14"/>
      <c r="S290" s="19"/>
      <c r="T290" s="14"/>
      <c r="U290" s="14"/>
      <c r="V290" s="14"/>
      <c r="W290" s="14"/>
      <c r="X290" s="14"/>
      <c r="Y290" s="14"/>
      <c r="Z290" s="14"/>
      <c r="AA290" s="14"/>
      <c r="AB290" s="14"/>
      <c r="AC290" s="44"/>
      <c r="AD290" s="44"/>
      <c r="AE290" s="63"/>
      <c r="AF290" s="352"/>
      <c r="AG290" s="14"/>
      <c r="AH290" s="19"/>
      <c r="AI290" s="14"/>
      <c r="AJ290" s="14"/>
      <c r="AK290" s="14"/>
      <c r="AL290" s="14"/>
      <c r="AM290" s="14"/>
      <c r="AN290" s="14"/>
      <c r="AO290" s="14"/>
      <c r="AP290" s="14"/>
      <c r="AQ290" s="14"/>
      <c r="AR290" s="14"/>
      <c r="AS290" s="65"/>
      <c r="AT290" s="63"/>
      <c r="AU290" s="47"/>
      <c r="AV290" s="14"/>
      <c r="AW290" s="19"/>
      <c r="AX290" s="14"/>
      <c r="AY290" s="14"/>
      <c r="AZ290" s="14"/>
      <c r="BA290" s="14"/>
      <c r="BB290" s="14"/>
      <c r="BC290" s="14"/>
      <c r="BD290" s="14"/>
      <c r="BE290" s="14"/>
      <c r="BF290" s="14"/>
      <c r="BG290" s="14"/>
      <c r="BH290" s="65"/>
      <c r="BI290" s="63"/>
      <c r="BJ290" s="352"/>
      <c r="BK290" s="14"/>
      <c r="BL290" s="19"/>
      <c r="BM290" s="14"/>
      <c r="BN290" s="14"/>
      <c r="BO290" s="14"/>
      <c r="BP290" s="14"/>
      <c r="BQ290" s="14"/>
      <c r="BR290" s="14"/>
      <c r="BS290" s="14"/>
      <c r="BT290" s="14"/>
      <c r="BU290" s="14"/>
      <c r="BV290" s="14"/>
      <c r="BW290" s="65"/>
      <c r="BX290" s="63"/>
      <c r="BY290" s="352"/>
      <c r="BZ290" s="14"/>
      <c r="CA290" s="14"/>
      <c r="CB290" s="21"/>
      <c r="CC290" s="21"/>
      <c r="CD290" s="180"/>
      <c r="CE290" s="180"/>
      <c r="CF290" s="21"/>
      <c r="CG290" s="14"/>
      <c r="CH290" s="14"/>
      <c r="CI290" s="14"/>
      <c r="CJ290" s="14"/>
      <c r="CK290" s="14"/>
      <c r="CL290" s="14"/>
      <c r="CM290" s="14"/>
      <c r="CN290" s="14"/>
      <c r="CO290" s="129"/>
      <c r="CP290" s="14"/>
      <c r="CQ290" s="47"/>
      <c r="CR290" s="14"/>
      <c r="CS290" s="14"/>
      <c r="CT290" s="14"/>
      <c r="CU290" s="14"/>
      <c r="CV290" s="180"/>
      <c r="CW290" s="189"/>
      <c r="CX290" s="189"/>
      <c r="CY290" s="14"/>
      <c r="CZ290" s="14"/>
      <c r="DA290" s="14"/>
      <c r="DB290" s="14"/>
      <c r="DC290" s="14"/>
      <c r="DD290" s="14"/>
      <c r="DE290" s="14"/>
      <c r="DF290" s="14"/>
      <c r="DG290" s="129"/>
      <c r="DH290" s="14"/>
      <c r="DI290" s="47"/>
      <c r="DJ290" s="14"/>
      <c r="DK290" s="19"/>
      <c r="DL290" s="40"/>
      <c r="DM290" s="41"/>
      <c r="DN290" s="40"/>
      <c r="DO290" s="40"/>
      <c r="DP290" s="40"/>
      <c r="DQ290" s="41"/>
      <c r="DR290" s="72"/>
      <c r="DS290" s="14"/>
      <c r="DT290" s="14"/>
      <c r="DU290" s="14"/>
      <c r="DV290" s="14"/>
      <c r="DW290" s="14"/>
      <c r="DX290" s="14"/>
      <c r="DY290" s="14"/>
      <c r="DZ290" s="14"/>
      <c r="EA290" s="14"/>
      <c r="EB290" s="14"/>
      <c r="EC290" s="14"/>
      <c r="ED290" s="14"/>
      <c r="EE290" s="14"/>
      <c r="EF290" s="14"/>
      <c r="EG290" s="14"/>
      <c r="EH290" s="14"/>
      <c r="EI290" s="14"/>
      <c r="EJ290" s="14"/>
      <c r="EK290" s="14"/>
      <c r="EL290" s="14"/>
    </row>
    <row r="291" spans="1:142" x14ac:dyDescent="0.25">
      <c r="A291" s="14"/>
      <c r="B291" s="19"/>
      <c r="C291" s="40"/>
      <c r="D291" s="41"/>
      <c r="E291" s="40"/>
      <c r="F291" s="40"/>
      <c r="G291" s="40"/>
      <c r="H291" s="41"/>
      <c r="I291" s="72"/>
      <c r="J291" s="14"/>
      <c r="K291" s="14"/>
      <c r="L291" s="14"/>
      <c r="M291" s="14"/>
      <c r="N291" s="14"/>
      <c r="O291" s="14"/>
      <c r="P291" s="14"/>
      <c r="Q291" s="47"/>
      <c r="R291" s="14"/>
      <c r="S291" s="19"/>
      <c r="T291" s="14"/>
      <c r="U291" s="14"/>
      <c r="V291" s="14"/>
      <c r="W291" s="14"/>
      <c r="X291" s="14"/>
      <c r="Y291" s="14"/>
      <c r="Z291" s="14"/>
      <c r="AA291" s="14"/>
      <c r="AB291" s="14"/>
      <c r="AC291" s="44"/>
      <c r="AD291" s="44"/>
      <c r="AE291" s="63"/>
      <c r="AF291" s="352"/>
      <c r="AG291" s="14"/>
      <c r="AH291" s="19"/>
      <c r="AI291" s="14"/>
      <c r="AJ291" s="14"/>
      <c r="AK291" s="14"/>
      <c r="AL291" s="14"/>
      <c r="AM291" s="14"/>
      <c r="AN291" s="14"/>
      <c r="AO291" s="14"/>
      <c r="AP291" s="14"/>
      <c r="AQ291" s="14"/>
      <c r="AR291" s="14"/>
      <c r="AS291" s="65"/>
      <c r="AT291" s="63"/>
      <c r="AU291" s="47"/>
      <c r="AV291" s="14"/>
      <c r="AW291" s="19"/>
      <c r="AX291" s="14"/>
      <c r="AY291" s="14"/>
      <c r="AZ291" s="14"/>
      <c r="BA291" s="14"/>
      <c r="BB291" s="14"/>
      <c r="BC291" s="14"/>
      <c r="BD291" s="14"/>
      <c r="BE291" s="14"/>
      <c r="BF291" s="14"/>
      <c r="BG291" s="14"/>
      <c r="BH291" s="65"/>
      <c r="BI291" s="63"/>
      <c r="BJ291" s="352"/>
      <c r="BK291" s="14"/>
      <c r="BL291" s="19"/>
      <c r="BM291" s="14"/>
      <c r="BN291" s="14"/>
      <c r="BO291" s="14"/>
      <c r="BP291" s="14"/>
      <c r="BQ291" s="14"/>
      <c r="BR291" s="14"/>
      <c r="BS291" s="14"/>
      <c r="BT291" s="14"/>
      <c r="BU291" s="14"/>
      <c r="BV291" s="14"/>
      <c r="BW291" s="65"/>
      <c r="BX291" s="63"/>
      <c r="BY291" s="352"/>
      <c r="BZ291" s="14"/>
      <c r="CA291" s="14"/>
      <c r="CB291" s="21"/>
      <c r="CC291" s="21"/>
      <c r="CD291" s="180"/>
      <c r="CE291" s="180"/>
      <c r="CF291" s="21"/>
      <c r="CG291" s="14"/>
      <c r="CH291" s="14"/>
      <c r="CI291" s="14"/>
      <c r="CJ291" s="14"/>
      <c r="CK291" s="14"/>
      <c r="CL291" s="14"/>
      <c r="CM291" s="14"/>
      <c r="CN291" s="14"/>
      <c r="CO291" s="129"/>
      <c r="CP291" s="14"/>
      <c r="CQ291" s="47"/>
      <c r="CR291" s="14"/>
      <c r="CS291" s="14"/>
      <c r="CT291" s="14"/>
      <c r="CU291" s="14"/>
      <c r="CV291" s="180"/>
      <c r="CW291" s="189"/>
      <c r="CX291" s="189"/>
      <c r="CY291" s="14"/>
      <c r="CZ291" s="14"/>
      <c r="DA291" s="14"/>
      <c r="DB291" s="14"/>
      <c r="DC291" s="14"/>
      <c r="DD291" s="14"/>
      <c r="DE291" s="14"/>
      <c r="DF291" s="14"/>
      <c r="DG291" s="129"/>
      <c r="DH291" s="14"/>
      <c r="DI291" s="47"/>
      <c r="DJ291" s="14"/>
      <c r="DK291" s="19"/>
      <c r="DL291" s="40"/>
      <c r="DM291" s="41"/>
      <c r="DN291" s="40"/>
      <c r="DO291" s="40"/>
      <c r="DP291" s="40"/>
      <c r="DQ291" s="41"/>
      <c r="DR291" s="72"/>
      <c r="DS291" s="14"/>
      <c r="DT291" s="14"/>
      <c r="DU291" s="14"/>
      <c r="DV291" s="14"/>
      <c r="DW291" s="14"/>
      <c r="DX291" s="14"/>
      <c r="DY291" s="14"/>
      <c r="DZ291" s="14"/>
      <c r="EA291" s="14"/>
      <c r="EB291" s="14"/>
      <c r="EC291" s="14"/>
      <c r="ED291" s="14"/>
      <c r="EE291" s="14"/>
      <c r="EF291" s="14"/>
      <c r="EG291" s="14"/>
      <c r="EH291" s="14"/>
      <c r="EI291" s="14"/>
      <c r="EJ291" s="14"/>
      <c r="EK291" s="14"/>
      <c r="EL291" s="14"/>
    </row>
    <row r="292" spans="1:142" x14ac:dyDescent="0.25">
      <c r="A292" s="14"/>
      <c r="B292" s="19"/>
      <c r="C292" s="40"/>
      <c r="D292" s="41"/>
      <c r="E292" s="40"/>
      <c r="F292" s="40"/>
      <c r="G292" s="40"/>
      <c r="H292" s="41"/>
      <c r="I292" s="72"/>
      <c r="J292" s="14"/>
      <c r="K292" s="14"/>
      <c r="L292" s="14"/>
      <c r="M292" s="14"/>
      <c r="N292" s="14"/>
      <c r="O292" s="14"/>
      <c r="P292" s="14"/>
      <c r="Q292" s="47"/>
      <c r="R292" s="14"/>
      <c r="S292" s="19"/>
      <c r="T292" s="14"/>
      <c r="U292" s="14"/>
      <c r="V292" s="14"/>
      <c r="W292" s="14"/>
      <c r="X292" s="14"/>
      <c r="Y292" s="14"/>
      <c r="Z292" s="14"/>
      <c r="AA292" s="14"/>
      <c r="AB292" s="14"/>
      <c r="AC292" s="44"/>
      <c r="AD292" s="44"/>
      <c r="AE292" s="63"/>
      <c r="AF292" s="352"/>
      <c r="AG292" s="14"/>
      <c r="AH292" s="19"/>
      <c r="AI292" s="14"/>
      <c r="AJ292" s="14"/>
      <c r="AK292" s="14"/>
      <c r="AL292" s="14"/>
      <c r="AM292" s="14"/>
      <c r="AN292" s="14"/>
      <c r="AO292" s="14"/>
      <c r="AP292" s="14"/>
      <c r="AQ292" s="14"/>
      <c r="AR292" s="14"/>
      <c r="AS292" s="65"/>
      <c r="AT292" s="63"/>
      <c r="AU292" s="47"/>
      <c r="AV292" s="14"/>
      <c r="AW292" s="19"/>
      <c r="AX292" s="14"/>
      <c r="AY292" s="14"/>
      <c r="AZ292" s="14"/>
      <c r="BA292" s="14"/>
      <c r="BB292" s="14"/>
      <c r="BC292" s="14"/>
      <c r="BD292" s="14"/>
      <c r="BE292" s="14"/>
      <c r="BF292" s="14"/>
      <c r="BG292" s="14"/>
      <c r="BH292" s="65"/>
      <c r="BI292" s="63"/>
      <c r="BJ292" s="352"/>
      <c r="BK292" s="14"/>
      <c r="BL292" s="19"/>
      <c r="BM292" s="14"/>
      <c r="BN292" s="14"/>
      <c r="BO292" s="14"/>
      <c r="BP292" s="14"/>
      <c r="BQ292" s="14"/>
      <c r="BR292" s="14"/>
      <c r="BS292" s="14"/>
      <c r="BT292" s="14"/>
      <c r="BU292" s="14"/>
      <c r="BV292" s="14"/>
      <c r="BW292" s="65"/>
      <c r="BX292" s="63"/>
      <c r="BY292" s="352"/>
      <c r="BZ292" s="14"/>
      <c r="CA292" s="14"/>
      <c r="CB292" s="21"/>
      <c r="CC292" s="21"/>
      <c r="CD292" s="180"/>
      <c r="CE292" s="180"/>
      <c r="CF292" s="21"/>
      <c r="CG292" s="14"/>
      <c r="CH292" s="14"/>
      <c r="CI292" s="14"/>
      <c r="CJ292" s="14"/>
      <c r="CK292" s="14"/>
      <c r="CL292" s="14"/>
      <c r="CM292" s="14"/>
      <c r="CN292" s="14"/>
      <c r="CO292" s="129"/>
      <c r="CP292" s="14"/>
      <c r="CQ292" s="47"/>
      <c r="CR292" s="14"/>
      <c r="CS292" s="14"/>
      <c r="CT292" s="14"/>
      <c r="CU292" s="14"/>
      <c r="CV292" s="180"/>
      <c r="CW292" s="189"/>
      <c r="CX292" s="189"/>
      <c r="CY292" s="14"/>
      <c r="CZ292" s="14"/>
      <c r="DA292" s="14"/>
      <c r="DB292" s="14"/>
      <c r="DC292" s="14"/>
      <c r="DD292" s="14"/>
      <c r="DE292" s="14"/>
      <c r="DF292" s="14"/>
      <c r="DG292" s="129"/>
      <c r="DH292" s="14"/>
      <c r="DI292" s="47"/>
      <c r="DJ292" s="14"/>
      <c r="DK292" s="19"/>
      <c r="DL292" s="40"/>
      <c r="DM292" s="41"/>
      <c r="DN292" s="40"/>
      <c r="DO292" s="40"/>
      <c r="DP292" s="40"/>
      <c r="DQ292" s="41"/>
      <c r="DR292" s="72"/>
      <c r="DS292" s="14"/>
      <c r="DT292" s="14"/>
      <c r="DU292" s="14"/>
      <c r="DV292" s="14"/>
      <c r="DW292" s="14"/>
      <c r="DX292" s="14"/>
      <c r="DY292" s="14"/>
      <c r="DZ292" s="14"/>
      <c r="EA292" s="14"/>
      <c r="EB292" s="14"/>
      <c r="EC292" s="14"/>
      <c r="ED292" s="14"/>
      <c r="EE292" s="14"/>
      <c r="EF292" s="14"/>
      <c r="EG292" s="14"/>
      <c r="EH292" s="14"/>
      <c r="EI292" s="14"/>
      <c r="EJ292" s="14"/>
      <c r="EK292" s="14"/>
      <c r="EL292" s="14"/>
    </row>
    <row r="293" spans="1:142" x14ac:dyDescent="0.25">
      <c r="A293" s="14"/>
      <c r="B293" s="19"/>
      <c r="C293" s="40"/>
      <c r="D293" s="41"/>
      <c r="E293" s="40"/>
      <c r="F293" s="40"/>
      <c r="G293" s="40"/>
      <c r="H293" s="41"/>
      <c r="I293" s="72"/>
      <c r="J293" s="14"/>
      <c r="K293" s="14"/>
      <c r="L293" s="14"/>
      <c r="M293" s="14"/>
      <c r="N293" s="14"/>
      <c r="O293" s="14"/>
      <c r="P293" s="14"/>
      <c r="Q293" s="47"/>
      <c r="R293" s="14"/>
      <c r="S293" s="19"/>
      <c r="T293" s="14"/>
      <c r="U293" s="14"/>
      <c r="V293" s="14"/>
      <c r="W293" s="14"/>
      <c r="X293" s="14"/>
      <c r="Y293" s="14"/>
      <c r="Z293" s="14"/>
      <c r="AA293" s="14"/>
      <c r="AB293" s="14"/>
      <c r="AC293" s="44"/>
      <c r="AD293" s="44"/>
      <c r="AE293" s="63"/>
      <c r="AF293" s="352"/>
      <c r="AG293" s="14"/>
      <c r="AH293" s="19"/>
      <c r="AI293" s="14"/>
      <c r="AJ293" s="14"/>
      <c r="AK293" s="14"/>
      <c r="AL293" s="14"/>
      <c r="AM293" s="14"/>
      <c r="AN293" s="14"/>
      <c r="AO293" s="14"/>
      <c r="AP293" s="14"/>
      <c r="AQ293" s="14"/>
      <c r="AR293" s="14"/>
      <c r="AS293" s="65"/>
      <c r="AT293" s="63"/>
      <c r="AU293" s="47"/>
      <c r="AV293" s="14"/>
      <c r="AW293" s="19"/>
      <c r="AX293" s="14"/>
      <c r="AY293" s="14"/>
      <c r="AZ293" s="14"/>
      <c r="BA293" s="14"/>
      <c r="BB293" s="14"/>
      <c r="BC293" s="14"/>
      <c r="BD293" s="14"/>
      <c r="BE293" s="14"/>
      <c r="BF293" s="14"/>
      <c r="BG293" s="14"/>
      <c r="BH293" s="65"/>
      <c r="BI293" s="63"/>
      <c r="BJ293" s="352"/>
      <c r="BK293" s="14"/>
      <c r="BL293" s="19"/>
      <c r="BM293" s="14"/>
      <c r="BN293" s="14"/>
      <c r="BO293" s="14"/>
      <c r="BP293" s="14"/>
      <c r="BQ293" s="14"/>
      <c r="BR293" s="14"/>
      <c r="BS293" s="14"/>
      <c r="BT293" s="14"/>
      <c r="BU293" s="14"/>
      <c r="BV293" s="14"/>
      <c r="BW293" s="65"/>
      <c r="BX293" s="63"/>
      <c r="BY293" s="352"/>
      <c r="BZ293" s="14"/>
      <c r="CA293" s="14"/>
      <c r="CB293" s="21"/>
      <c r="CC293" s="21"/>
      <c r="CD293" s="180"/>
      <c r="CE293" s="180"/>
      <c r="CF293" s="21"/>
      <c r="CG293" s="14"/>
      <c r="CH293" s="14"/>
      <c r="CI293" s="14"/>
      <c r="CJ293" s="14"/>
      <c r="CK293" s="14"/>
      <c r="CL293" s="14"/>
      <c r="CM293" s="14"/>
      <c r="CN293" s="14"/>
      <c r="CO293" s="129"/>
      <c r="CP293" s="14"/>
      <c r="CQ293" s="47"/>
      <c r="CR293" s="14"/>
      <c r="CS293" s="14"/>
      <c r="CT293" s="14"/>
      <c r="CU293" s="14"/>
      <c r="CV293" s="180"/>
      <c r="CW293" s="189"/>
      <c r="CX293" s="189"/>
      <c r="CY293" s="14"/>
      <c r="CZ293" s="14"/>
      <c r="DA293" s="14"/>
      <c r="DB293" s="14"/>
      <c r="DC293" s="14"/>
      <c r="DD293" s="14"/>
      <c r="DE293" s="14"/>
      <c r="DF293" s="14"/>
      <c r="DG293" s="129"/>
      <c r="DH293" s="14"/>
      <c r="DI293" s="47"/>
      <c r="DJ293" s="14"/>
      <c r="DK293" s="19"/>
      <c r="DL293" s="40"/>
      <c r="DM293" s="41"/>
      <c r="DN293" s="40"/>
      <c r="DO293" s="40"/>
      <c r="DP293" s="40"/>
      <c r="DQ293" s="41"/>
      <c r="DR293" s="72"/>
      <c r="DS293" s="14"/>
      <c r="DT293" s="14"/>
      <c r="DU293" s="14"/>
      <c r="DV293" s="14"/>
      <c r="DW293" s="14"/>
      <c r="DX293" s="14"/>
      <c r="DY293" s="14"/>
      <c r="DZ293" s="14"/>
      <c r="EA293" s="14"/>
      <c r="EB293" s="14"/>
      <c r="EC293" s="14"/>
      <c r="ED293" s="14"/>
      <c r="EE293" s="14"/>
      <c r="EF293" s="14"/>
      <c r="EG293" s="14"/>
      <c r="EH293" s="14"/>
      <c r="EI293" s="14"/>
      <c r="EJ293" s="14"/>
      <c r="EK293" s="14"/>
      <c r="EL293" s="14"/>
    </row>
    <row r="294" spans="1:142" x14ac:dyDescent="0.25">
      <c r="A294" s="14"/>
      <c r="B294" s="19"/>
      <c r="C294" s="40"/>
      <c r="D294" s="41"/>
      <c r="E294" s="40"/>
      <c r="F294" s="40"/>
      <c r="G294" s="40"/>
      <c r="H294" s="41"/>
      <c r="I294" s="72"/>
      <c r="J294" s="14"/>
      <c r="K294" s="14"/>
      <c r="L294" s="14"/>
      <c r="M294" s="14"/>
      <c r="N294" s="14"/>
      <c r="O294" s="14"/>
      <c r="P294" s="14"/>
      <c r="Q294" s="47"/>
      <c r="R294" s="14"/>
      <c r="S294" s="19"/>
      <c r="T294" s="14"/>
      <c r="U294" s="14"/>
      <c r="V294" s="14"/>
      <c r="W294" s="14"/>
      <c r="X294" s="14"/>
      <c r="Y294" s="14"/>
      <c r="Z294" s="14"/>
      <c r="AA294" s="14"/>
      <c r="AB294" s="14"/>
      <c r="AC294" s="44"/>
      <c r="AD294" s="44"/>
      <c r="AE294" s="63"/>
      <c r="AF294" s="352"/>
      <c r="AG294" s="14"/>
      <c r="AH294" s="19"/>
      <c r="AI294" s="14"/>
      <c r="AJ294" s="14"/>
      <c r="AK294" s="14"/>
      <c r="AL294" s="14"/>
      <c r="AM294" s="14"/>
      <c r="AN294" s="14"/>
      <c r="AO294" s="14"/>
      <c r="AP294" s="14"/>
      <c r="AQ294" s="14"/>
      <c r="AR294" s="14"/>
      <c r="AS294" s="65"/>
      <c r="AT294" s="63"/>
      <c r="AU294" s="47"/>
      <c r="AV294" s="14"/>
      <c r="AW294" s="19"/>
      <c r="AX294" s="14"/>
      <c r="AY294" s="14"/>
      <c r="AZ294" s="14"/>
      <c r="BA294" s="14"/>
      <c r="BB294" s="14"/>
      <c r="BC294" s="14"/>
      <c r="BD294" s="14"/>
      <c r="BE294" s="14"/>
      <c r="BF294" s="14"/>
      <c r="BG294" s="14"/>
      <c r="BH294" s="65"/>
      <c r="BI294" s="63"/>
      <c r="BJ294" s="352"/>
      <c r="BK294" s="14"/>
      <c r="BL294" s="19"/>
      <c r="BM294" s="14"/>
      <c r="BN294" s="14"/>
      <c r="BO294" s="14"/>
      <c r="BP294" s="14"/>
      <c r="BQ294" s="14"/>
      <c r="BR294" s="14"/>
      <c r="BS294" s="14"/>
      <c r="BT294" s="14"/>
      <c r="BU294" s="14"/>
      <c r="BV294" s="14"/>
      <c r="BW294" s="65"/>
      <c r="BX294" s="63"/>
      <c r="BY294" s="352"/>
      <c r="BZ294" s="14"/>
      <c r="CA294" s="14"/>
      <c r="CB294" s="21"/>
      <c r="CC294" s="21"/>
      <c r="CD294" s="180"/>
      <c r="CE294" s="180"/>
      <c r="CF294" s="21"/>
      <c r="CG294" s="14"/>
      <c r="CH294" s="14"/>
      <c r="CI294" s="14"/>
      <c r="CJ294" s="14"/>
      <c r="CK294" s="14"/>
      <c r="CL294" s="14"/>
      <c r="CM294" s="14"/>
      <c r="CN294" s="14"/>
      <c r="CO294" s="129"/>
      <c r="CP294" s="14"/>
      <c r="CQ294" s="47"/>
      <c r="CR294" s="14"/>
      <c r="CS294" s="14"/>
      <c r="CT294" s="14"/>
      <c r="CU294" s="14"/>
      <c r="CV294" s="180"/>
      <c r="CW294" s="189"/>
      <c r="CX294" s="189"/>
      <c r="CY294" s="14"/>
      <c r="CZ294" s="14"/>
      <c r="DA294" s="14"/>
      <c r="DB294" s="14"/>
      <c r="DC294" s="14"/>
      <c r="DD294" s="14"/>
      <c r="DE294" s="14"/>
      <c r="DF294" s="14"/>
      <c r="DG294" s="129"/>
      <c r="DH294" s="14"/>
      <c r="DI294" s="47"/>
      <c r="DJ294" s="14"/>
      <c r="DK294" s="19"/>
      <c r="DL294" s="40"/>
      <c r="DM294" s="41"/>
      <c r="DN294" s="40"/>
      <c r="DO294" s="40"/>
      <c r="DP294" s="40"/>
      <c r="DQ294" s="41"/>
      <c r="DR294" s="72"/>
      <c r="DS294" s="14"/>
      <c r="DT294" s="14"/>
      <c r="DU294" s="14"/>
      <c r="DV294" s="14"/>
      <c r="DW294" s="14"/>
      <c r="DX294" s="14"/>
      <c r="DY294" s="14"/>
      <c r="DZ294" s="14"/>
      <c r="EA294" s="14"/>
      <c r="EB294" s="14"/>
      <c r="EC294" s="14"/>
      <c r="ED294" s="14"/>
      <c r="EE294" s="14"/>
      <c r="EF294" s="14"/>
      <c r="EG294" s="14"/>
      <c r="EH294" s="14"/>
      <c r="EI294" s="14"/>
      <c r="EJ294" s="14"/>
      <c r="EK294" s="14"/>
      <c r="EL294" s="14"/>
    </row>
    <row r="295" spans="1:142" x14ac:dyDescent="0.25">
      <c r="A295" s="14"/>
      <c r="B295" s="19"/>
      <c r="C295" s="40"/>
      <c r="D295" s="41"/>
      <c r="E295" s="40"/>
      <c r="F295" s="40"/>
      <c r="G295" s="40"/>
      <c r="H295" s="41"/>
      <c r="I295" s="72"/>
      <c r="J295" s="14"/>
      <c r="K295" s="14"/>
      <c r="L295" s="14"/>
      <c r="M295" s="14"/>
      <c r="N295" s="14"/>
      <c r="O295" s="14"/>
      <c r="P295" s="14"/>
      <c r="Q295" s="47"/>
      <c r="R295" s="14"/>
      <c r="S295" s="19"/>
      <c r="T295" s="14"/>
      <c r="U295" s="14"/>
      <c r="V295" s="14"/>
      <c r="W295" s="14"/>
      <c r="X295" s="14"/>
      <c r="Y295" s="14"/>
      <c r="Z295" s="14"/>
      <c r="AA295" s="14"/>
      <c r="AB295" s="14"/>
      <c r="AC295" s="44"/>
      <c r="AD295" s="44"/>
      <c r="AE295" s="63"/>
      <c r="AF295" s="352"/>
      <c r="AG295" s="14"/>
      <c r="AH295" s="19"/>
      <c r="AI295" s="14"/>
      <c r="AJ295" s="14"/>
      <c r="AK295" s="14"/>
      <c r="AL295" s="14"/>
      <c r="AM295" s="14"/>
      <c r="AN295" s="14"/>
      <c r="AO295" s="14"/>
      <c r="AP295" s="14"/>
      <c r="AQ295" s="14"/>
      <c r="AR295" s="14"/>
      <c r="AS295" s="65"/>
      <c r="AT295" s="63"/>
      <c r="AU295" s="47"/>
      <c r="AV295" s="14"/>
      <c r="AW295" s="19"/>
      <c r="AX295" s="14"/>
      <c r="AY295" s="14"/>
      <c r="AZ295" s="14"/>
      <c r="BA295" s="14"/>
      <c r="BB295" s="14"/>
      <c r="BC295" s="14"/>
      <c r="BD295" s="14"/>
      <c r="BE295" s="14"/>
      <c r="BF295" s="14"/>
      <c r="BG295" s="14"/>
      <c r="BH295" s="65"/>
      <c r="BI295" s="63"/>
      <c r="BJ295" s="352"/>
      <c r="BK295" s="14"/>
      <c r="BL295" s="19"/>
      <c r="BM295" s="14"/>
      <c r="BN295" s="14"/>
      <c r="BO295" s="14"/>
      <c r="BP295" s="14"/>
      <c r="BQ295" s="14"/>
      <c r="BR295" s="14"/>
      <c r="BS295" s="14"/>
      <c r="BT295" s="14"/>
      <c r="BU295" s="14"/>
      <c r="BV295" s="14"/>
      <c r="BW295" s="65"/>
      <c r="BX295" s="63"/>
      <c r="BY295" s="352"/>
      <c r="BZ295" s="14"/>
      <c r="CA295" s="14"/>
      <c r="CB295" s="21"/>
      <c r="CC295" s="21"/>
      <c r="CD295" s="180"/>
      <c r="CE295" s="180"/>
      <c r="CF295" s="21"/>
      <c r="CG295" s="14"/>
      <c r="CH295" s="14"/>
      <c r="CI295" s="14"/>
      <c r="CJ295" s="14"/>
      <c r="CK295" s="14"/>
      <c r="CL295" s="14"/>
      <c r="CM295" s="14"/>
      <c r="CN295" s="14"/>
      <c r="CO295" s="129"/>
      <c r="CP295" s="14"/>
      <c r="CQ295" s="47"/>
      <c r="CR295" s="14"/>
      <c r="CS295" s="14"/>
      <c r="CT295" s="14"/>
      <c r="CU295" s="14"/>
      <c r="CV295" s="180"/>
      <c r="CW295" s="189"/>
      <c r="CX295" s="189"/>
      <c r="CY295" s="14"/>
      <c r="CZ295" s="14"/>
      <c r="DA295" s="14"/>
      <c r="DB295" s="14"/>
      <c r="DC295" s="14"/>
      <c r="DD295" s="14"/>
      <c r="DE295" s="14"/>
      <c r="DF295" s="14"/>
      <c r="DG295" s="129"/>
      <c r="DH295" s="14"/>
      <c r="DI295" s="47"/>
      <c r="DJ295" s="14"/>
      <c r="DK295" s="19"/>
      <c r="DL295" s="40"/>
      <c r="DM295" s="41"/>
      <c r="DN295" s="40"/>
      <c r="DO295" s="40"/>
      <c r="DP295" s="40"/>
      <c r="DQ295" s="41"/>
      <c r="DR295" s="72"/>
      <c r="DS295" s="14"/>
      <c r="DT295" s="14"/>
      <c r="DU295" s="14"/>
      <c r="DV295" s="14"/>
      <c r="DW295" s="14"/>
      <c r="DX295" s="14"/>
      <c r="DY295" s="14"/>
      <c r="DZ295" s="14"/>
      <c r="EA295" s="14"/>
      <c r="EB295" s="14"/>
      <c r="EC295" s="14"/>
      <c r="ED295" s="14"/>
      <c r="EE295" s="14"/>
      <c r="EF295" s="14"/>
      <c r="EG295" s="14"/>
      <c r="EH295" s="14"/>
      <c r="EI295" s="14"/>
      <c r="EJ295" s="14"/>
      <c r="EK295" s="14"/>
      <c r="EL295" s="14"/>
    </row>
    <row r="296" spans="1:142" x14ac:dyDescent="0.25">
      <c r="A296" s="14"/>
      <c r="B296" s="19"/>
      <c r="C296" s="40"/>
      <c r="D296" s="41"/>
      <c r="E296" s="40"/>
      <c r="F296" s="40"/>
      <c r="G296" s="40"/>
      <c r="H296" s="41"/>
      <c r="I296" s="72"/>
      <c r="J296" s="14"/>
      <c r="K296" s="14"/>
      <c r="L296" s="14"/>
      <c r="M296" s="14"/>
      <c r="N296" s="14"/>
      <c r="O296" s="14"/>
      <c r="P296" s="14"/>
      <c r="Q296" s="47"/>
      <c r="R296" s="14"/>
      <c r="S296" s="19"/>
      <c r="T296" s="14"/>
      <c r="U296" s="14"/>
      <c r="V296" s="14"/>
      <c r="W296" s="14"/>
      <c r="X296" s="14"/>
      <c r="Y296" s="14"/>
      <c r="Z296" s="14"/>
      <c r="AA296" s="14"/>
      <c r="AB296" s="14"/>
      <c r="AC296" s="44"/>
      <c r="AD296" s="44"/>
      <c r="AE296" s="63"/>
      <c r="AF296" s="352"/>
      <c r="AG296" s="14"/>
      <c r="AH296" s="19"/>
      <c r="AI296" s="14"/>
      <c r="AJ296" s="14"/>
      <c r="AK296" s="14"/>
      <c r="AL296" s="14"/>
      <c r="AM296" s="14"/>
      <c r="AN296" s="14"/>
      <c r="AO296" s="14"/>
      <c r="AP296" s="14"/>
      <c r="AQ296" s="14"/>
      <c r="AR296" s="14"/>
      <c r="AS296" s="65"/>
      <c r="AT296" s="63"/>
      <c r="AU296" s="47"/>
      <c r="AV296" s="14"/>
      <c r="AW296" s="19"/>
      <c r="AX296" s="14"/>
      <c r="AY296" s="14"/>
      <c r="AZ296" s="14"/>
      <c r="BA296" s="14"/>
      <c r="BB296" s="14"/>
      <c r="BC296" s="14"/>
      <c r="BD296" s="14"/>
      <c r="BE296" s="14"/>
      <c r="BF296" s="14"/>
      <c r="BG296" s="14"/>
      <c r="BH296" s="65"/>
      <c r="BI296" s="63"/>
      <c r="BJ296" s="352"/>
      <c r="BK296" s="14"/>
      <c r="BL296" s="19"/>
      <c r="BM296" s="14"/>
      <c r="BN296" s="14"/>
      <c r="BO296" s="14"/>
      <c r="BP296" s="14"/>
      <c r="BQ296" s="14"/>
      <c r="BR296" s="14"/>
      <c r="BS296" s="14"/>
      <c r="BT296" s="14"/>
      <c r="BU296" s="14"/>
      <c r="BV296" s="14"/>
      <c r="BW296" s="65"/>
      <c r="BX296" s="63"/>
      <c r="BY296" s="352"/>
      <c r="BZ296" s="14"/>
      <c r="CA296" s="14"/>
      <c r="CB296" s="21"/>
      <c r="CC296" s="21"/>
      <c r="CD296" s="180"/>
      <c r="CE296" s="180"/>
      <c r="CF296" s="21"/>
      <c r="CG296" s="14"/>
      <c r="CH296" s="14"/>
      <c r="CI296" s="14"/>
      <c r="CJ296" s="14"/>
      <c r="CK296" s="14"/>
      <c r="CL296" s="14"/>
      <c r="CM296" s="14"/>
      <c r="CN296" s="14"/>
      <c r="CO296" s="129"/>
      <c r="CP296" s="14"/>
      <c r="CQ296" s="47"/>
      <c r="CR296" s="14"/>
      <c r="CS296" s="14"/>
      <c r="CT296" s="14"/>
      <c r="CU296" s="14"/>
      <c r="CV296" s="180"/>
      <c r="CW296" s="189"/>
      <c r="CX296" s="189"/>
      <c r="CY296" s="14"/>
      <c r="CZ296" s="14"/>
      <c r="DA296" s="14"/>
      <c r="DB296" s="14"/>
      <c r="DC296" s="14"/>
      <c r="DD296" s="14"/>
      <c r="DE296" s="14"/>
      <c r="DF296" s="14"/>
      <c r="DG296" s="129"/>
      <c r="DH296" s="14"/>
      <c r="DI296" s="47"/>
      <c r="DJ296" s="14"/>
      <c r="DK296" s="19"/>
      <c r="DL296" s="40"/>
      <c r="DM296" s="41"/>
      <c r="DN296" s="40"/>
      <c r="DO296" s="40"/>
      <c r="DP296" s="40"/>
      <c r="DQ296" s="41"/>
      <c r="DR296" s="72"/>
      <c r="DS296" s="14"/>
      <c r="DT296" s="14"/>
      <c r="DU296" s="14"/>
      <c r="DV296" s="14"/>
      <c r="DW296" s="14"/>
      <c r="DX296" s="14"/>
      <c r="DY296" s="14"/>
      <c r="DZ296" s="14"/>
      <c r="EA296" s="14"/>
      <c r="EB296" s="14"/>
      <c r="EC296" s="14"/>
      <c r="ED296" s="14"/>
      <c r="EE296" s="14"/>
      <c r="EF296" s="14"/>
      <c r="EG296" s="14"/>
      <c r="EH296" s="14"/>
      <c r="EI296" s="14"/>
      <c r="EJ296" s="14"/>
      <c r="EK296" s="14"/>
      <c r="EL296" s="14"/>
    </row>
    <row r="297" spans="1:142" x14ac:dyDescent="0.25">
      <c r="A297" s="14"/>
      <c r="B297" s="19"/>
      <c r="C297" s="40"/>
      <c r="D297" s="41"/>
      <c r="E297" s="40"/>
      <c r="F297" s="40"/>
      <c r="G297" s="40"/>
      <c r="H297" s="41"/>
      <c r="I297" s="72"/>
      <c r="J297" s="14"/>
      <c r="K297" s="14"/>
      <c r="L297" s="14"/>
      <c r="M297" s="14"/>
      <c r="N297" s="14"/>
      <c r="O297" s="14"/>
      <c r="P297" s="14"/>
      <c r="Q297" s="47"/>
      <c r="R297" s="14"/>
      <c r="S297" s="19"/>
      <c r="T297" s="14"/>
      <c r="U297" s="14"/>
      <c r="V297" s="14"/>
      <c r="W297" s="14"/>
      <c r="X297" s="14"/>
      <c r="Y297" s="14"/>
      <c r="Z297" s="14"/>
      <c r="AA297" s="14"/>
      <c r="AB297" s="14"/>
      <c r="AC297" s="44"/>
      <c r="AD297" s="44"/>
      <c r="AE297" s="63"/>
      <c r="AF297" s="352"/>
      <c r="AG297" s="14"/>
      <c r="AH297" s="19"/>
      <c r="AI297" s="14"/>
      <c r="AJ297" s="14"/>
      <c r="AK297" s="14"/>
      <c r="AL297" s="14"/>
      <c r="AM297" s="14"/>
      <c r="AN297" s="14"/>
      <c r="AO297" s="14"/>
      <c r="AP297" s="14"/>
      <c r="AQ297" s="14"/>
      <c r="AR297" s="14"/>
      <c r="AS297" s="65"/>
      <c r="AT297" s="63"/>
      <c r="AU297" s="47"/>
      <c r="AV297" s="14"/>
      <c r="AW297" s="19"/>
      <c r="AX297" s="14"/>
      <c r="AY297" s="14"/>
      <c r="AZ297" s="14"/>
      <c r="BA297" s="14"/>
      <c r="BB297" s="14"/>
      <c r="BC297" s="14"/>
      <c r="BD297" s="14"/>
      <c r="BE297" s="14"/>
      <c r="BF297" s="14"/>
      <c r="BG297" s="14"/>
      <c r="BH297" s="65"/>
      <c r="BI297" s="63"/>
      <c r="BJ297" s="352"/>
      <c r="BK297" s="14"/>
      <c r="BL297" s="19"/>
      <c r="BM297" s="14"/>
      <c r="BN297" s="14"/>
      <c r="BO297" s="14"/>
      <c r="BP297" s="14"/>
      <c r="BQ297" s="14"/>
      <c r="BR297" s="14"/>
      <c r="BS297" s="14"/>
      <c r="BT297" s="14"/>
      <c r="BU297" s="14"/>
      <c r="BV297" s="14"/>
      <c r="BW297" s="65"/>
      <c r="BX297" s="63"/>
      <c r="BY297" s="352"/>
      <c r="BZ297" s="14"/>
      <c r="CA297" s="14"/>
      <c r="CB297" s="21"/>
      <c r="CC297" s="21"/>
      <c r="CD297" s="180"/>
      <c r="CE297" s="180"/>
      <c r="CF297" s="21"/>
      <c r="CG297" s="14"/>
      <c r="CH297" s="14"/>
      <c r="CI297" s="14"/>
      <c r="CJ297" s="14"/>
      <c r="CK297" s="14"/>
      <c r="CL297" s="14"/>
      <c r="CM297" s="14"/>
      <c r="CN297" s="14"/>
      <c r="CO297" s="129"/>
      <c r="CP297" s="14"/>
      <c r="CQ297" s="47"/>
      <c r="CR297" s="14"/>
      <c r="CS297" s="14"/>
      <c r="CT297" s="14"/>
      <c r="CU297" s="14"/>
      <c r="CV297" s="180"/>
      <c r="CW297" s="189"/>
      <c r="CX297" s="189"/>
      <c r="CY297" s="14"/>
      <c r="CZ297" s="14"/>
      <c r="DA297" s="14"/>
      <c r="DB297" s="14"/>
      <c r="DC297" s="14"/>
      <c r="DD297" s="14"/>
      <c r="DE297" s="14"/>
      <c r="DF297" s="14"/>
      <c r="DG297" s="129"/>
      <c r="DH297" s="14"/>
      <c r="DI297" s="47"/>
      <c r="DJ297" s="14"/>
      <c r="DK297" s="19"/>
      <c r="DL297" s="40"/>
      <c r="DM297" s="41"/>
      <c r="DN297" s="40"/>
      <c r="DO297" s="40"/>
      <c r="DP297" s="40"/>
      <c r="DQ297" s="41"/>
      <c r="DR297" s="72"/>
      <c r="DS297" s="14"/>
      <c r="DT297" s="14"/>
      <c r="DU297" s="14"/>
      <c r="DV297" s="14"/>
      <c r="DW297" s="14"/>
      <c r="DX297" s="14"/>
      <c r="DY297" s="14"/>
      <c r="DZ297" s="14"/>
      <c r="EA297" s="14"/>
      <c r="EB297" s="14"/>
      <c r="EC297" s="14"/>
      <c r="ED297" s="14"/>
      <c r="EE297" s="14"/>
      <c r="EF297" s="14"/>
      <c r="EG297" s="14"/>
      <c r="EH297" s="14"/>
      <c r="EI297" s="14"/>
      <c r="EJ297" s="14"/>
      <c r="EK297" s="14"/>
      <c r="EL297" s="14"/>
    </row>
    <row r="298" spans="1:142" x14ac:dyDescent="0.25">
      <c r="A298" s="14"/>
      <c r="B298" s="19"/>
      <c r="C298" s="40"/>
      <c r="D298" s="41"/>
      <c r="E298" s="40"/>
      <c r="F298" s="40"/>
      <c r="G298" s="40"/>
      <c r="H298" s="41"/>
      <c r="I298" s="72"/>
      <c r="J298" s="14"/>
      <c r="K298" s="14"/>
      <c r="L298" s="14"/>
      <c r="M298" s="14"/>
      <c r="N298" s="14"/>
      <c r="O298" s="14"/>
      <c r="P298" s="14"/>
      <c r="Q298" s="47"/>
      <c r="R298" s="14"/>
      <c r="S298" s="19"/>
      <c r="T298" s="14"/>
      <c r="U298" s="14"/>
      <c r="V298" s="14"/>
      <c r="W298" s="14"/>
      <c r="X298" s="14"/>
      <c r="Y298" s="14"/>
      <c r="Z298" s="14"/>
      <c r="AA298" s="14"/>
      <c r="AB298" s="14"/>
      <c r="AC298" s="44"/>
      <c r="AD298" s="44"/>
      <c r="AE298" s="63"/>
      <c r="AF298" s="352"/>
      <c r="AG298" s="14"/>
      <c r="AH298" s="19"/>
      <c r="AI298" s="14"/>
      <c r="AJ298" s="14"/>
      <c r="AK298" s="14"/>
      <c r="AL298" s="14"/>
      <c r="AM298" s="14"/>
      <c r="AN298" s="14"/>
      <c r="AO298" s="14"/>
      <c r="AP298" s="14"/>
      <c r="AQ298" s="14"/>
      <c r="AR298" s="14"/>
      <c r="AS298" s="65"/>
      <c r="AT298" s="63"/>
      <c r="AU298" s="47"/>
      <c r="AV298" s="14"/>
      <c r="AW298" s="19"/>
      <c r="AX298" s="14"/>
      <c r="AY298" s="14"/>
      <c r="AZ298" s="14"/>
      <c r="BA298" s="14"/>
      <c r="BB298" s="14"/>
      <c r="BC298" s="14"/>
      <c r="BD298" s="14"/>
      <c r="BE298" s="14"/>
      <c r="BF298" s="14"/>
      <c r="BG298" s="14"/>
      <c r="BH298" s="65"/>
      <c r="BI298" s="63"/>
      <c r="BJ298" s="352"/>
      <c r="BK298" s="14"/>
      <c r="BL298" s="19"/>
      <c r="BM298" s="14"/>
      <c r="BN298" s="14"/>
      <c r="BO298" s="14"/>
      <c r="BP298" s="14"/>
      <c r="BQ298" s="14"/>
      <c r="BR298" s="14"/>
      <c r="BS298" s="14"/>
      <c r="BT298" s="14"/>
      <c r="BU298" s="14"/>
      <c r="BV298" s="14"/>
      <c r="BW298" s="65"/>
      <c r="BX298" s="63"/>
      <c r="BY298" s="352"/>
      <c r="BZ298" s="14"/>
      <c r="CA298" s="14"/>
      <c r="CB298" s="21"/>
      <c r="CC298" s="21"/>
      <c r="CD298" s="180"/>
      <c r="CE298" s="180"/>
      <c r="CF298" s="21"/>
      <c r="CG298" s="14"/>
      <c r="CH298" s="14"/>
      <c r="CI298" s="14"/>
      <c r="CJ298" s="14"/>
      <c r="CK298" s="14"/>
      <c r="CL298" s="14"/>
      <c r="CM298" s="14"/>
      <c r="CN298" s="14"/>
      <c r="CO298" s="129"/>
      <c r="CP298" s="14"/>
      <c r="CQ298" s="47"/>
      <c r="CR298" s="14"/>
      <c r="CS298" s="14"/>
      <c r="CT298" s="14"/>
      <c r="CU298" s="14"/>
      <c r="CV298" s="180"/>
      <c r="CW298" s="189"/>
      <c r="CX298" s="189"/>
      <c r="CY298" s="14"/>
      <c r="CZ298" s="14"/>
      <c r="DA298" s="14"/>
      <c r="DB298" s="14"/>
      <c r="DC298" s="14"/>
      <c r="DD298" s="14"/>
      <c r="DE298" s="14"/>
      <c r="DF298" s="14"/>
      <c r="DG298" s="129"/>
      <c r="DH298" s="14"/>
      <c r="DI298" s="47"/>
      <c r="DJ298" s="14"/>
      <c r="DK298" s="19"/>
      <c r="DL298" s="40"/>
      <c r="DM298" s="41"/>
      <c r="DN298" s="40"/>
      <c r="DO298" s="40"/>
      <c r="DP298" s="40"/>
      <c r="DQ298" s="41"/>
      <c r="DR298" s="72"/>
      <c r="DS298" s="14"/>
      <c r="DT298" s="14"/>
      <c r="DU298" s="14"/>
      <c r="DV298" s="14"/>
      <c r="DW298" s="14"/>
      <c r="DX298" s="14"/>
      <c r="DY298" s="14"/>
      <c r="DZ298" s="14"/>
      <c r="EA298" s="14"/>
      <c r="EB298" s="14"/>
      <c r="EC298" s="14"/>
      <c r="ED298" s="14"/>
      <c r="EE298" s="14"/>
      <c r="EF298" s="14"/>
      <c r="EG298" s="14"/>
      <c r="EH298" s="14"/>
      <c r="EI298" s="14"/>
      <c r="EJ298" s="14"/>
      <c r="EK298" s="14"/>
      <c r="EL298" s="14"/>
    </row>
    <row r="299" spans="1:142" x14ac:dyDescent="0.25">
      <c r="A299" s="14"/>
      <c r="B299" s="19"/>
      <c r="C299" s="40"/>
      <c r="D299" s="41"/>
      <c r="E299" s="40"/>
      <c r="F299" s="40"/>
      <c r="G299" s="40"/>
      <c r="H299" s="41"/>
      <c r="I299" s="72"/>
      <c r="J299" s="14"/>
      <c r="K299" s="14"/>
      <c r="L299" s="14"/>
      <c r="M299" s="14"/>
      <c r="N299" s="14"/>
      <c r="O299" s="14"/>
      <c r="P299" s="14"/>
      <c r="Q299" s="47"/>
      <c r="R299" s="14"/>
      <c r="S299" s="19"/>
      <c r="T299" s="14"/>
      <c r="U299" s="14"/>
      <c r="V299" s="14"/>
      <c r="W299" s="14"/>
      <c r="X299" s="14"/>
      <c r="Y299" s="14"/>
      <c r="Z299" s="14"/>
      <c r="AA299" s="14"/>
      <c r="AB299" s="14"/>
      <c r="AC299" s="44"/>
      <c r="AD299" s="44"/>
      <c r="AE299" s="63"/>
      <c r="AF299" s="352"/>
      <c r="AG299" s="14"/>
      <c r="AH299" s="19"/>
      <c r="AI299" s="14"/>
      <c r="AJ299" s="14"/>
      <c r="AK299" s="14"/>
      <c r="AL299" s="14"/>
      <c r="AM299" s="14"/>
      <c r="AN299" s="14"/>
      <c r="AO299" s="14"/>
      <c r="AP299" s="14"/>
      <c r="AQ299" s="14"/>
      <c r="AR299" s="14"/>
      <c r="AS299" s="65"/>
      <c r="AT299" s="63"/>
      <c r="AU299" s="47"/>
      <c r="AV299" s="14"/>
      <c r="AW299" s="19"/>
      <c r="AX299" s="14"/>
      <c r="AY299" s="14"/>
      <c r="AZ299" s="14"/>
      <c r="BA299" s="14"/>
      <c r="BB299" s="14"/>
      <c r="BC299" s="14"/>
      <c r="BD299" s="14"/>
      <c r="BE299" s="14"/>
      <c r="BF299" s="14"/>
      <c r="BG299" s="14"/>
      <c r="BH299" s="65"/>
      <c r="BI299" s="63"/>
      <c r="BJ299" s="352"/>
      <c r="BK299" s="14"/>
      <c r="BL299" s="19"/>
      <c r="BM299" s="14"/>
      <c r="BN299" s="14"/>
      <c r="BO299" s="14"/>
      <c r="BP299" s="14"/>
      <c r="BQ299" s="14"/>
      <c r="BR299" s="14"/>
      <c r="BS299" s="14"/>
      <c r="BT299" s="14"/>
      <c r="BU299" s="14"/>
      <c r="BV299" s="14"/>
      <c r="BW299" s="65"/>
      <c r="BX299" s="63"/>
      <c r="BY299" s="352"/>
      <c r="BZ299" s="14"/>
      <c r="CA299" s="14"/>
      <c r="CB299" s="21"/>
      <c r="CC299" s="21"/>
      <c r="CD299" s="180"/>
      <c r="CE299" s="180"/>
      <c r="CF299" s="21"/>
      <c r="CG299" s="14"/>
      <c r="CH299" s="14"/>
      <c r="CI299" s="14"/>
      <c r="CJ299" s="14"/>
      <c r="CK299" s="14"/>
      <c r="CL299" s="14"/>
      <c r="CM299" s="14"/>
      <c r="CN299" s="14"/>
      <c r="CO299" s="129"/>
      <c r="CP299" s="14"/>
      <c r="CQ299" s="47"/>
      <c r="CR299" s="14"/>
      <c r="CS299" s="14"/>
      <c r="CT299" s="14"/>
      <c r="CU299" s="14"/>
      <c r="CV299" s="180"/>
      <c r="CW299" s="189"/>
      <c r="CX299" s="189"/>
      <c r="CY299" s="14"/>
      <c r="CZ299" s="14"/>
      <c r="DA299" s="14"/>
      <c r="DB299" s="14"/>
      <c r="DC299" s="14"/>
      <c r="DD299" s="14"/>
      <c r="DE299" s="14"/>
      <c r="DF299" s="14"/>
      <c r="DG299" s="129"/>
      <c r="DH299" s="14"/>
      <c r="DI299" s="47"/>
      <c r="DJ299" s="14"/>
      <c r="DK299" s="19"/>
      <c r="DL299" s="40"/>
      <c r="DM299" s="41"/>
      <c r="DN299" s="40"/>
      <c r="DO299" s="40"/>
      <c r="DP299" s="40"/>
      <c r="DQ299" s="41"/>
      <c r="DR299" s="72"/>
      <c r="DS299" s="14"/>
      <c r="DT299" s="14"/>
      <c r="DU299" s="14"/>
      <c r="DV299" s="14"/>
      <c r="DW299" s="14"/>
      <c r="DX299" s="14"/>
      <c r="DY299" s="14"/>
      <c r="DZ299" s="14"/>
      <c r="EA299" s="14"/>
      <c r="EB299" s="14"/>
      <c r="EC299" s="14"/>
      <c r="ED299" s="14"/>
      <c r="EE299" s="14"/>
      <c r="EF299" s="14"/>
      <c r="EG299" s="14"/>
      <c r="EH299" s="14"/>
      <c r="EI299" s="14"/>
      <c r="EJ299" s="14"/>
      <c r="EK299" s="14"/>
      <c r="EL299" s="14"/>
    </row>
    <row r="300" spans="1:142" x14ac:dyDescent="0.25">
      <c r="A300" s="14"/>
      <c r="B300" s="19"/>
      <c r="C300" s="40"/>
      <c r="D300" s="41"/>
      <c r="E300" s="40"/>
      <c r="F300" s="40"/>
      <c r="G300" s="40"/>
      <c r="H300" s="41"/>
      <c r="I300" s="72"/>
      <c r="J300" s="14"/>
      <c r="K300" s="14"/>
      <c r="L300" s="14"/>
      <c r="M300" s="14"/>
      <c r="N300" s="14"/>
      <c r="O300" s="14"/>
      <c r="P300" s="14"/>
      <c r="Q300" s="47"/>
      <c r="R300" s="14"/>
      <c r="S300" s="19"/>
      <c r="T300" s="14"/>
      <c r="U300" s="14"/>
      <c r="V300" s="14"/>
      <c r="W300" s="14"/>
      <c r="X300" s="14"/>
      <c r="Y300" s="14"/>
      <c r="Z300" s="14"/>
      <c r="AA300" s="14"/>
      <c r="AB300" s="14"/>
      <c r="AC300" s="44"/>
      <c r="AD300" s="44"/>
      <c r="AE300" s="63"/>
      <c r="AF300" s="352"/>
      <c r="AG300" s="14"/>
      <c r="AH300" s="19"/>
      <c r="AI300" s="14"/>
      <c r="AJ300" s="14"/>
      <c r="AK300" s="14"/>
      <c r="AL300" s="14"/>
      <c r="AM300" s="14"/>
      <c r="AN300" s="14"/>
      <c r="AO300" s="14"/>
      <c r="AP300" s="14"/>
      <c r="AQ300" s="14"/>
      <c r="AR300" s="14"/>
      <c r="AS300" s="65"/>
      <c r="AT300" s="63"/>
      <c r="AU300" s="47"/>
      <c r="AV300" s="14"/>
      <c r="AW300" s="19"/>
      <c r="AX300" s="14"/>
      <c r="AY300" s="14"/>
      <c r="AZ300" s="14"/>
      <c r="BA300" s="14"/>
      <c r="BB300" s="14"/>
      <c r="BC300" s="14"/>
      <c r="BD300" s="14"/>
      <c r="BE300" s="14"/>
      <c r="BF300" s="14"/>
      <c r="BG300" s="14"/>
      <c r="BH300" s="65"/>
      <c r="BI300" s="63"/>
      <c r="BJ300" s="352"/>
      <c r="BK300" s="14"/>
      <c r="BL300" s="19"/>
      <c r="BM300" s="14"/>
      <c r="BN300" s="14"/>
      <c r="BO300" s="14"/>
      <c r="BP300" s="14"/>
      <c r="BQ300" s="14"/>
      <c r="BR300" s="14"/>
      <c r="BS300" s="14"/>
      <c r="BT300" s="14"/>
      <c r="BU300" s="14"/>
      <c r="BV300" s="14"/>
      <c r="BW300" s="65"/>
      <c r="BX300" s="63"/>
      <c r="BY300" s="352"/>
      <c r="BZ300" s="14"/>
      <c r="CA300" s="14"/>
      <c r="CB300" s="21"/>
      <c r="CC300" s="21"/>
      <c r="CD300" s="180"/>
      <c r="CE300" s="180"/>
      <c r="CF300" s="21"/>
      <c r="CG300" s="14"/>
      <c r="CH300" s="14"/>
      <c r="CI300" s="14"/>
      <c r="CJ300" s="14"/>
      <c r="CK300" s="14"/>
      <c r="CL300" s="14"/>
      <c r="CM300" s="14"/>
      <c r="CN300" s="14"/>
      <c r="CO300" s="129"/>
      <c r="CP300" s="14"/>
      <c r="CQ300" s="47"/>
      <c r="CR300" s="14"/>
      <c r="CS300" s="14"/>
      <c r="CT300" s="14"/>
      <c r="CU300" s="14"/>
      <c r="CV300" s="180"/>
      <c r="CW300" s="189"/>
      <c r="CX300" s="189"/>
      <c r="CY300" s="14"/>
      <c r="CZ300" s="14"/>
      <c r="DA300" s="14"/>
      <c r="DB300" s="14"/>
      <c r="DC300" s="14"/>
      <c r="DD300" s="14"/>
      <c r="DE300" s="14"/>
      <c r="DF300" s="14"/>
      <c r="DG300" s="129"/>
      <c r="DH300" s="14"/>
      <c r="DI300" s="47"/>
      <c r="DJ300" s="14"/>
      <c r="DK300" s="19"/>
      <c r="DL300" s="40"/>
      <c r="DM300" s="41"/>
      <c r="DN300" s="40"/>
      <c r="DO300" s="40"/>
      <c r="DP300" s="40"/>
      <c r="DQ300" s="41"/>
      <c r="DR300" s="72"/>
      <c r="DS300" s="14"/>
      <c r="DT300" s="14"/>
      <c r="DU300" s="14"/>
      <c r="DV300" s="14"/>
      <c r="DW300" s="14"/>
      <c r="DX300" s="14"/>
      <c r="DY300" s="14"/>
      <c r="DZ300" s="14"/>
      <c r="EA300" s="14"/>
      <c r="EB300" s="14"/>
      <c r="EC300" s="14"/>
      <c r="ED300" s="14"/>
      <c r="EE300" s="14"/>
      <c r="EF300" s="14"/>
      <c r="EG300" s="14"/>
      <c r="EH300" s="14"/>
      <c r="EI300" s="14"/>
      <c r="EJ300" s="14"/>
      <c r="EK300" s="14"/>
      <c r="EL300" s="14"/>
    </row>
    <row r="301" spans="1:142" x14ac:dyDescent="0.25">
      <c r="A301" s="14"/>
      <c r="B301" s="19"/>
      <c r="C301" s="40"/>
      <c r="D301" s="41"/>
      <c r="E301" s="40"/>
      <c r="F301" s="40"/>
      <c r="G301" s="40"/>
      <c r="H301" s="41"/>
      <c r="I301" s="72"/>
      <c r="J301" s="14"/>
      <c r="K301" s="14"/>
      <c r="L301" s="14"/>
      <c r="M301" s="14"/>
      <c r="N301" s="14"/>
      <c r="O301" s="14"/>
      <c r="P301" s="14"/>
      <c r="Q301" s="47"/>
      <c r="R301" s="14"/>
      <c r="S301" s="19"/>
      <c r="T301" s="14"/>
      <c r="U301" s="14"/>
      <c r="V301" s="14"/>
      <c r="W301" s="14"/>
      <c r="X301" s="14"/>
      <c r="Y301" s="14"/>
      <c r="Z301" s="14"/>
      <c r="AA301" s="14"/>
      <c r="AB301" s="14"/>
      <c r="AC301" s="44"/>
      <c r="AD301" s="44"/>
      <c r="AE301" s="63"/>
      <c r="AF301" s="352"/>
      <c r="AG301" s="14"/>
      <c r="AH301" s="19"/>
      <c r="AI301" s="14"/>
      <c r="AJ301" s="14"/>
      <c r="AK301" s="14"/>
      <c r="AL301" s="14"/>
      <c r="AM301" s="14"/>
      <c r="AN301" s="14"/>
      <c r="AO301" s="14"/>
      <c r="AP301" s="14"/>
      <c r="AQ301" s="14"/>
      <c r="AR301" s="14"/>
      <c r="AS301" s="65"/>
      <c r="AT301" s="63"/>
      <c r="AU301" s="47"/>
      <c r="AV301" s="14"/>
      <c r="AW301" s="19"/>
      <c r="AX301" s="14"/>
      <c r="AY301" s="14"/>
      <c r="AZ301" s="14"/>
      <c r="BA301" s="14"/>
      <c r="BB301" s="14"/>
      <c r="BC301" s="14"/>
      <c r="BD301" s="14"/>
      <c r="BE301" s="14"/>
      <c r="BF301" s="14"/>
      <c r="BG301" s="14"/>
      <c r="BH301" s="65"/>
      <c r="BI301" s="63"/>
      <c r="BJ301" s="352"/>
      <c r="BK301" s="14"/>
      <c r="BL301" s="19"/>
      <c r="BM301" s="14"/>
      <c r="BN301" s="14"/>
      <c r="BO301" s="14"/>
      <c r="BP301" s="14"/>
      <c r="BQ301" s="14"/>
      <c r="BR301" s="14"/>
      <c r="BS301" s="14"/>
      <c r="BT301" s="14"/>
      <c r="BU301" s="14"/>
      <c r="BV301" s="14"/>
      <c r="BW301" s="65"/>
      <c r="BX301" s="63"/>
      <c r="BY301" s="352"/>
      <c r="BZ301" s="14"/>
      <c r="CA301" s="14"/>
      <c r="CB301" s="21"/>
      <c r="CC301" s="21"/>
      <c r="CD301" s="180"/>
      <c r="CE301" s="180"/>
      <c r="CF301" s="21"/>
      <c r="CG301" s="14"/>
      <c r="CH301" s="14"/>
      <c r="CI301" s="14"/>
      <c r="CJ301" s="14"/>
      <c r="CK301" s="14"/>
      <c r="CL301" s="14"/>
      <c r="CM301" s="14"/>
      <c r="CN301" s="14"/>
      <c r="CO301" s="129"/>
      <c r="CP301" s="14"/>
      <c r="CQ301" s="47"/>
      <c r="CR301" s="14"/>
      <c r="CS301" s="14"/>
      <c r="CT301" s="14"/>
      <c r="CU301" s="14"/>
      <c r="CV301" s="180"/>
      <c r="CW301" s="189"/>
      <c r="CX301" s="189"/>
      <c r="CY301" s="14"/>
      <c r="CZ301" s="14"/>
      <c r="DA301" s="14"/>
      <c r="DB301" s="14"/>
      <c r="DC301" s="14"/>
      <c r="DD301" s="14"/>
      <c r="DE301" s="14"/>
      <c r="DF301" s="14"/>
      <c r="DG301" s="129"/>
      <c r="DH301" s="14"/>
      <c r="DI301" s="47"/>
      <c r="DJ301" s="14"/>
      <c r="DK301" s="19"/>
      <c r="DL301" s="40"/>
      <c r="DM301" s="41"/>
      <c r="DN301" s="40"/>
      <c r="DO301" s="40"/>
      <c r="DP301" s="40"/>
      <c r="DQ301" s="41"/>
      <c r="DR301" s="72"/>
      <c r="DS301" s="14"/>
      <c r="DT301" s="14"/>
      <c r="DU301" s="14"/>
      <c r="DV301" s="14"/>
      <c r="DW301" s="14"/>
      <c r="DX301" s="14"/>
      <c r="DY301" s="14"/>
      <c r="DZ301" s="14"/>
      <c r="EA301" s="14"/>
      <c r="EB301" s="14"/>
      <c r="EC301" s="14"/>
      <c r="ED301" s="14"/>
      <c r="EE301" s="14"/>
      <c r="EF301" s="14"/>
      <c r="EG301" s="14"/>
      <c r="EH301" s="14"/>
      <c r="EI301" s="14"/>
      <c r="EJ301" s="14"/>
      <c r="EK301" s="14"/>
      <c r="EL301" s="14"/>
    </row>
    <row r="302" spans="1:142" x14ac:dyDescent="0.25">
      <c r="A302" s="14"/>
      <c r="B302" s="19"/>
      <c r="C302" s="40"/>
      <c r="D302" s="41"/>
      <c r="E302" s="40"/>
      <c r="F302" s="40"/>
      <c r="G302" s="40"/>
      <c r="H302" s="41"/>
      <c r="I302" s="72"/>
      <c r="J302" s="14"/>
      <c r="K302" s="14"/>
      <c r="L302" s="14"/>
      <c r="M302" s="14"/>
      <c r="N302" s="14"/>
      <c r="O302" s="14"/>
      <c r="P302" s="14"/>
      <c r="Q302" s="47"/>
      <c r="R302" s="14"/>
      <c r="S302" s="19"/>
      <c r="T302" s="14"/>
      <c r="U302" s="14"/>
      <c r="V302" s="14"/>
      <c r="W302" s="14"/>
      <c r="X302" s="14"/>
      <c r="Y302" s="14"/>
      <c r="Z302" s="14"/>
      <c r="AA302" s="14"/>
      <c r="AB302" s="14"/>
      <c r="AC302" s="44"/>
      <c r="AD302" s="44"/>
      <c r="AE302" s="63"/>
      <c r="AF302" s="352"/>
      <c r="AG302" s="14"/>
      <c r="AH302" s="19"/>
      <c r="AI302" s="14"/>
      <c r="AJ302" s="14"/>
      <c r="AK302" s="14"/>
      <c r="AL302" s="14"/>
      <c r="AM302" s="14"/>
      <c r="AN302" s="14"/>
      <c r="AO302" s="14"/>
      <c r="AP302" s="14"/>
      <c r="AQ302" s="14"/>
      <c r="AR302" s="14"/>
      <c r="AS302" s="65"/>
      <c r="AT302" s="63"/>
      <c r="AU302" s="47"/>
      <c r="AV302" s="14"/>
      <c r="AW302" s="19"/>
      <c r="AX302" s="14"/>
      <c r="AY302" s="14"/>
      <c r="AZ302" s="14"/>
      <c r="BA302" s="14"/>
      <c r="BB302" s="14"/>
      <c r="BC302" s="14"/>
      <c r="BD302" s="14"/>
      <c r="BE302" s="14"/>
      <c r="BF302" s="14"/>
      <c r="BG302" s="14"/>
      <c r="BH302" s="65"/>
      <c r="BI302" s="63"/>
      <c r="BJ302" s="352"/>
      <c r="BK302" s="14"/>
      <c r="BL302" s="19"/>
      <c r="BM302" s="14"/>
      <c r="BN302" s="14"/>
      <c r="BO302" s="14"/>
      <c r="BP302" s="14"/>
      <c r="BQ302" s="14"/>
      <c r="BR302" s="14"/>
      <c r="BS302" s="14"/>
      <c r="BT302" s="14"/>
      <c r="BU302" s="14"/>
      <c r="BV302" s="14"/>
      <c r="BW302" s="65"/>
      <c r="BX302" s="63"/>
      <c r="BY302" s="352"/>
      <c r="BZ302" s="14"/>
      <c r="CA302" s="14"/>
      <c r="CB302" s="21"/>
      <c r="CC302" s="21"/>
      <c r="CD302" s="180"/>
      <c r="CE302" s="180"/>
      <c r="CF302" s="21"/>
      <c r="CG302" s="14"/>
      <c r="CH302" s="14"/>
      <c r="CI302" s="14"/>
      <c r="CJ302" s="14"/>
      <c r="CK302" s="14"/>
      <c r="CL302" s="14"/>
      <c r="CM302" s="14"/>
      <c r="CN302" s="14"/>
      <c r="CO302" s="129"/>
      <c r="CP302" s="14"/>
      <c r="CQ302" s="47"/>
      <c r="CR302" s="14"/>
      <c r="CS302" s="14"/>
      <c r="CT302" s="14"/>
      <c r="CU302" s="14"/>
      <c r="CV302" s="180"/>
      <c r="CW302" s="189"/>
      <c r="CX302" s="189"/>
      <c r="CY302" s="14"/>
      <c r="CZ302" s="14"/>
      <c r="DA302" s="14"/>
      <c r="DB302" s="14"/>
      <c r="DC302" s="14"/>
      <c r="DD302" s="14"/>
      <c r="DE302" s="14"/>
      <c r="DF302" s="14"/>
      <c r="DG302" s="129"/>
      <c r="DH302" s="14"/>
      <c r="DI302" s="47"/>
      <c r="DJ302" s="14"/>
      <c r="DK302" s="19"/>
      <c r="DL302" s="40"/>
      <c r="DM302" s="41"/>
      <c r="DN302" s="40"/>
      <c r="DO302" s="40"/>
      <c r="DP302" s="40"/>
      <c r="DQ302" s="41"/>
      <c r="DR302" s="72"/>
      <c r="DS302" s="14"/>
      <c r="DT302" s="14"/>
      <c r="DU302" s="14"/>
      <c r="DV302" s="14"/>
      <c r="DW302" s="14"/>
      <c r="DX302" s="14"/>
      <c r="DY302" s="14"/>
      <c r="DZ302" s="14"/>
      <c r="EA302" s="14"/>
      <c r="EB302" s="14"/>
      <c r="EC302" s="14"/>
      <c r="ED302" s="14"/>
      <c r="EE302" s="14"/>
      <c r="EF302" s="14"/>
      <c r="EG302" s="14"/>
      <c r="EH302" s="14"/>
      <c r="EI302" s="14"/>
      <c r="EJ302" s="14"/>
      <c r="EK302" s="14"/>
      <c r="EL302" s="14"/>
    </row>
    <row r="303" spans="1:142" x14ac:dyDescent="0.25">
      <c r="A303" s="14"/>
      <c r="B303" s="19"/>
      <c r="C303" s="40"/>
      <c r="D303" s="41"/>
      <c r="E303" s="40"/>
      <c r="F303" s="40"/>
      <c r="G303" s="40"/>
      <c r="H303" s="41"/>
      <c r="I303" s="72"/>
      <c r="J303" s="14"/>
      <c r="K303" s="14"/>
      <c r="L303" s="14"/>
      <c r="M303" s="14"/>
      <c r="N303" s="14"/>
      <c r="O303" s="14"/>
      <c r="P303" s="14"/>
      <c r="Q303" s="47"/>
      <c r="R303" s="14"/>
      <c r="S303" s="19"/>
      <c r="T303" s="14"/>
      <c r="U303" s="14"/>
      <c r="V303" s="14"/>
      <c r="W303" s="14"/>
      <c r="X303" s="14"/>
      <c r="Y303" s="14"/>
      <c r="Z303" s="14"/>
      <c r="AA303" s="14"/>
      <c r="AB303" s="14"/>
      <c r="AC303" s="44"/>
      <c r="AD303" s="44"/>
      <c r="AE303" s="63"/>
      <c r="AF303" s="352"/>
      <c r="AG303" s="14"/>
      <c r="AH303" s="19"/>
      <c r="AI303" s="14"/>
      <c r="AJ303" s="14"/>
      <c r="AK303" s="14"/>
      <c r="AL303" s="14"/>
      <c r="AM303" s="14"/>
      <c r="AN303" s="14"/>
      <c r="AO303" s="14"/>
      <c r="AP303" s="14"/>
      <c r="AQ303" s="14"/>
      <c r="AR303" s="14"/>
      <c r="AS303" s="65"/>
      <c r="AT303" s="63"/>
      <c r="AU303" s="47"/>
      <c r="AV303" s="14"/>
      <c r="AW303" s="19"/>
      <c r="AX303" s="14"/>
      <c r="AY303" s="14"/>
      <c r="AZ303" s="14"/>
      <c r="BA303" s="14"/>
      <c r="BB303" s="14"/>
      <c r="BC303" s="14"/>
      <c r="BD303" s="14"/>
      <c r="BE303" s="14"/>
      <c r="BF303" s="14"/>
      <c r="BG303" s="14"/>
      <c r="BH303" s="65"/>
      <c r="BI303" s="63"/>
      <c r="BJ303" s="352"/>
      <c r="BK303" s="14"/>
      <c r="BL303" s="19"/>
      <c r="BM303" s="14"/>
      <c r="BN303" s="14"/>
      <c r="BO303" s="14"/>
      <c r="BP303" s="14"/>
      <c r="BQ303" s="14"/>
      <c r="BR303" s="14"/>
      <c r="BS303" s="14"/>
      <c r="BT303" s="14"/>
      <c r="BU303" s="14"/>
      <c r="BV303" s="14"/>
      <c r="BW303" s="65"/>
      <c r="BX303" s="63"/>
      <c r="BY303" s="352"/>
      <c r="BZ303" s="14"/>
      <c r="CA303" s="14"/>
      <c r="CB303" s="21"/>
      <c r="CC303" s="21"/>
      <c r="CD303" s="180"/>
      <c r="CE303" s="180"/>
      <c r="CF303" s="21"/>
      <c r="CG303" s="14"/>
      <c r="CH303" s="14"/>
      <c r="CI303" s="14"/>
      <c r="CJ303" s="14"/>
      <c r="CK303" s="14"/>
      <c r="CL303" s="14"/>
      <c r="CM303" s="14"/>
      <c r="CN303" s="14"/>
      <c r="CO303" s="129"/>
      <c r="CP303" s="14"/>
      <c r="CQ303" s="47"/>
      <c r="CR303" s="14"/>
      <c r="CS303" s="14"/>
      <c r="CT303" s="14"/>
      <c r="CU303" s="14"/>
      <c r="CV303" s="180"/>
      <c r="CW303" s="189"/>
      <c r="CX303" s="189"/>
      <c r="CY303" s="14"/>
      <c r="CZ303" s="14"/>
      <c r="DA303" s="14"/>
      <c r="DB303" s="14"/>
      <c r="DC303" s="14"/>
      <c r="DD303" s="14"/>
      <c r="DE303" s="14"/>
      <c r="DF303" s="14"/>
      <c r="DG303" s="129"/>
      <c r="DH303" s="14"/>
      <c r="DI303" s="47"/>
      <c r="DJ303" s="14"/>
      <c r="DK303" s="19"/>
      <c r="DL303" s="40"/>
      <c r="DM303" s="41"/>
      <c r="DN303" s="40"/>
      <c r="DO303" s="40"/>
      <c r="DP303" s="40"/>
      <c r="DQ303" s="41"/>
      <c r="DR303" s="72"/>
      <c r="DS303" s="14"/>
      <c r="DT303" s="14"/>
      <c r="DU303" s="14"/>
      <c r="DV303" s="14"/>
      <c r="DW303" s="14"/>
      <c r="DX303" s="14"/>
      <c r="DY303" s="14"/>
      <c r="DZ303" s="14"/>
      <c r="EA303" s="14"/>
      <c r="EB303" s="14"/>
      <c r="EC303" s="14"/>
      <c r="ED303" s="14"/>
      <c r="EE303" s="14"/>
      <c r="EF303" s="14"/>
      <c r="EG303" s="14"/>
      <c r="EH303" s="14"/>
      <c r="EI303" s="14"/>
      <c r="EJ303" s="14"/>
      <c r="EK303" s="14"/>
      <c r="EL303" s="14"/>
    </row>
    <row r="304" spans="1:142" x14ac:dyDescent="0.25">
      <c r="A304" s="14"/>
      <c r="B304" s="19"/>
      <c r="C304" s="40"/>
      <c r="D304" s="41"/>
      <c r="E304" s="40"/>
      <c r="F304" s="40"/>
      <c r="G304" s="40"/>
      <c r="H304" s="41"/>
      <c r="I304" s="72"/>
      <c r="J304" s="14"/>
      <c r="K304" s="14"/>
      <c r="L304" s="14"/>
      <c r="M304" s="14"/>
      <c r="N304" s="14"/>
      <c r="O304" s="14"/>
      <c r="P304" s="14"/>
      <c r="Q304" s="47"/>
      <c r="R304" s="14"/>
      <c r="S304" s="19"/>
      <c r="T304" s="14"/>
      <c r="U304" s="14"/>
      <c r="V304" s="14"/>
      <c r="W304" s="14"/>
      <c r="X304" s="14"/>
      <c r="Y304" s="14"/>
      <c r="Z304" s="14"/>
      <c r="AA304" s="14"/>
      <c r="AB304" s="14"/>
      <c r="AC304" s="44"/>
      <c r="AD304" s="44"/>
      <c r="AE304" s="63"/>
      <c r="AF304" s="352"/>
      <c r="AG304" s="14"/>
      <c r="AH304" s="19"/>
      <c r="AI304" s="14"/>
      <c r="AJ304" s="14"/>
      <c r="AK304" s="14"/>
      <c r="AL304" s="14"/>
      <c r="AM304" s="14"/>
      <c r="AN304" s="14"/>
      <c r="AO304" s="14"/>
      <c r="AP304" s="14"/>
      <c r="AQ304" s="14"/>
      <c r="AR304" s="14"/>
      <c r="AS304" s="65"/>
      <c r="AT304" s="63"/>
      <c r="AU304" s="47"/>
      <c r="AV304" s="14"/>
      <c r="AW304" s="19"/>
      <c r="AX304" s="14"/>
      <c r="AY304" s="14"/>
      <c r="AZ304" s="14"/>
      <c r="BA304" s="14"/>
      <c r="BB304" s="14"/>
      <c r="BC304" s="14"/>
      <c r="BD304" s="14"/>
      <c r="BE304" s="14"/>
      <c r="BF304" s="14"/>
      <c r="BG304" s="14"/>
      <c r="BH304" s="65"/>
      <c r="BI304" s="63"/>
      <c r="BJ304" s="352"/>
      <c r="BK304" s="14"/>
      <c r="BL304" s="19"/>
      <c r="BM304" s="14"/>
      <c r="BN304" s="14"/>
      <c r="BO304" s="14"/>
      <c r="BP304" s="14"/>
      <c r="BQ304" s="14"/>
      <c r="BR304" s="14"/>
      <c r="BS304" s="14"/>
      <c r="BT304" s="14"/>
      <c r="BU304" s="14"/>
      <c r="BV304" s="14"/>
      <c r="BW304" s="65"/>
      <c r="BX304" s="63"/>
      <c r="BY304" s="352"/>
      <c r="BZ304" s="14"/>
      <c r="CA304" s="14"/>
      <c r="CB304" s="21"/>
      <c r="CC304" s="21"/>
      <c r="CD304" s="180"/>
      <c r="CE304" s="180"/>
      <c r="CF304" s="21"/>
      <c r="CG304" s="14"/>
      <c r="CH304" s="14"/>
      <c r="CI304" s="14"/>
      <c r="CJ304" s="14"/>
      <c r="CK304" s="14"/>
      <c r="CL304" s="14"/>
      <c r="CM304" s="14"/>
      <c r="CN304" s="14"/>
      <c r="CO304" s="129"/>
      <c r="CP304" s="14"/>
      <c r="CQ304" s="47"/>
      <c r="CR304" s="14"/>
      <c r="CS304" s="14"/>
      <c r="CT304" s="14"/>
      <c r="CU304" s="14"/>
      <c r="CV304" s="180"/>
      <c r="CW304" s="189"/>
      <c r="CX304" s="189"/>
      <c r="CY304" s="14"/>
      <c r="CZ304" s="14"/>
      <c r="DA304" s="14"/>
      <c r="DB304" s="14"/>
      <c r="DC304" s="14"/>
      <c r="DD304" s="14"/>
      <c r="DE304" s="14"/>
      <c r="DF304" s="14"/>
      <c r="DG304" s="129"/>
      <c r="DH304" s="14"/>
      <c r="DI304" s="47"/>
      <c r="DJ304" s="14"/>
      <c r="DK304" s="19"/>
      <c r="DL304" s="40"/>
      <c r="DM304" s="41"/>
      <c r="DN304" s="40"/>
      <c r="DO304" s="40"/>
      <c r="DP304" s="40"/>
      <c r="DQ304" s="41"/>
      <c r="DR304" s="72"/>
      <c r="DS304" s="14"/>
      <c r="DT304" s="14"/>
      <c r="DU304" s="14"/>
      <c r="DV304" s="14"/>
      <c r="DW304" s="14"/>
      <c r="DX304" s="14"/>
      <c r="DY304" s="14"/>
      <c r="DZ304" s="14"/>
      <c r="EA304" s="14"/>
      <c r="EB304" s="14"/>
      <c r="EC304" s="14"/>
      <c r="ED304" s="14"/>
      <c r="EE304" s="14"/>
      <c r="EF304" s="14"/>
      <c r="EG304" s="14"/>
      <c r="EH304" s="14"/>
      <c r="EI304" s="14"/>
      <c r="EJ304" s="14"/>
      <c r="EK304" s="14"/>
      <c r="EL304" s="14"/>
    </row>
    <row r="305" spans="1:142" x14ac:dyDescent="0.25">
      <c r="A305" s="14"/>
      <c r="B305" s="19"/>
      <c r="C305" s="40"/>
      <c r="D305" s="41"/>
      <c r="E305" s="40"/>
      <c r="F305" s="40"/>
      <c r="G305" s="40"/>
      <c r="H305" s="41"/>
      <c r="I305" s="72"/>
      <c r="J305" s="14"/>
      <c r="K305" s="14"/>
      <c r="L305" s="14"/>
      <c r="M305" s="14"/>
      <c r="N305" s="14"/>
      <c r="O305" s="14"/>
      <c r="P305" s="14"/>
      <c r="Q305" s="47"/>
      <c r="R305" s="14"/>
      <c r="S305" s="19"/>
      <c r="T305" s="14"/>
      <c r="U305" s="14"/>
      <c r="V305" s="14"/>
      <c r="W305" s="14"/>
      <c r="X305" s="14"/>
      <c r="Y305" s="14"/>
      <c r="Z305" s="14"/>
      <c r="AA305" s="14"/>
      <c r="AB305" s="14"/>
      <c r="AC305" s="44"/>
      <c r="AD305" s="44"/>
      <c r="AE305" s="63"/>
      <c r="AF305" s="352"/>
      <c r="AG305" s="14"/>
      <c r="AH305" s="19"/>
      <c r="AI305" s="14"/>
      <c r="AJ305" s="14"/>
      <c r="AK305" s="14"/>
      <c r="AL305" s="14"/>
      <c r="AM305" s="14"/>
      <c r="AN305" s="14"/>
      <c r="AO305" s="14"/>
      <c r="AP305" s="14"/>
      <c r="AQ305" s="14"/>
      <c r="AR305" s="14"/>
      <c r="AS305" s="65"/>
      <c r="AT305" s="63"/>
      <c r="AU305" s="47"/>
      <c r="AV305" s="14"/>
      <c r="AW305" s="19"/>
      <c r="AX305" s="14"/>
      <c r="AY305" s="14"/>
      <c r="AZ305" s="14"/>
      <c r="BA305" s="14"/>
      <c r="BB305" s="14"/>
      <c r="BC305" s="14"/>
      <c r="BD305" s="14"/>
      <c r="BE305" s="14"/>
      <c r="BF305" s="14"/>
      <c r="BG305" s="14"/>
      <c r="BH305" s="65"/>
      <c r="BI305" s="63"/>
      <c r="BJ305" s="352"/>
      <c r="BK305" s="14"/>
      <c r="BL305" s="19"/>
      <c r="BM305" s="14"/>
      <c r="BN305" s="14"/>
      <c r="BO305" s="14"/>
      <c r="BP305" s="14"/>
      <c r="BQ305" s="14"/>
      <c r="BR305" s="14"/>
      <c r="BS305" s="14"/>
      <c r="BT305" s="14"/>
      <c r="BU305" s="14"/>
      <c r="BV305" s="14"/>
      <c r="BW305" s="65"/>
      <c r="BX305" s="63"/>
      <c r="BY305" s="352"/>
      <c r="BZ305" s="14"/>
      <c r="CA305" s="14"/>
      <c r="CB305" s="21"/>
      <c r="CC305" s="21"/>
      <c r="CD305" s="180"/>
      <c r="CE305" s="180"/>
      <c r="CF305" s="21"/>
      <c r="CG305" s="14"/>
      <c r="CH305" s="14"/>
      <c r="CI305" s="14"/>
      <c r="CJ305" s="14"/>
      <c r="CK305" s="14"/>
      <c r="CL305" s="14"/>
      <c r="CM305" s="14"/>
      <c r="CN305" s="14"/>
      <c r="CO305" s="129"/>
      <c r="CP305" s="14"/>
      <c r="CQ305" s="47"/>
      <c r="CR305" s="14"/>
      <c r="CS305" s="14"/>
      <c r="CT305" s="14"/>
      <c r="CU305" s="14"/>
      <c r="CV305" s="180"/>
      <c r="CW305" s="189"/>
      <c r="CX305" s="189"/>
      <c r="CY305" s="14"/>
      <c r="CZ305" s="14"/>
      <c r="DA305" s="14"/>
      <c r="DB305" s="14"/>
      <c r="DC305" s="14"/>
      <c r="DD305" s="14"/>
      <c r="DE305" s="14"/>
      <c r="DF305" s="14"/>
      <c r="DG305" s="129"/>
      <c r="DH305" s="14"/>
      <c r="DI305" s="47"/>
      <c r="DJ305" s="14"/>
      <c r="DK305" s="19"/>
      <c r="DL305" s="40"/>
      <c r="DM305" s="41"/>
      <c r="DN305" s="40"/>
      <c r="DO305" s="40"/>
      <c r="DP305" s="40"/>
      <c r="DQ305" s="41"/>
      <c r="DR305" s="72"/>
      <c r="DS305" s="14"/>
      <c r="DT305" s="14"/>
      <c r="DU305" s="14"/>
      <c r="DV305" s="14"/>
      <c r="DW305" s="14"/>
      <c r="DX305" s="14"/>
      <c r="DY305" s="14"/>
      <c r="DZ305" s="14"/>
      <c r="EA305" s="14"/>
      <c r="EB305" s="14"/>
      <c r="EC305" s="14"/>
      <c r="ED305" s="14"/>
      <c r="EE305" s="14"/>
      <c r="EF305" s="14"/>
      <c r="EG305" s="14"/>
      <c r="EH305" s="14"/>
      <c r="EI305" s="14"/>
      <c r="EJ305" s="14"/>
      <c r="EK305" s="14"/>
      <c r="EL305" s="14"/>
    </row>
    <row r="306" spans="1:142" x14ac:dyDescent="0.25">
      <c r="A306" s="14"/>
      <c r="B306" s="19"/>
      <c r="C306" s="40"/>
      <c r="D306" s="41"/>
      <c r="E306" s="40"/>
      <c r="F306" s="40"/>
      <c r="G306" s="40"/>
      <c r="H306" s="41"/>
      <c r="I306" s="72"/>
      <c r="J306" s="14"/>
      <c r="K306" s="14"/>
      <c r="L306" s="14"/>
      <c r="M306" s="14"/>
      <c r="N306" s="14"/>
      <c r="O306" s="14"/>
      <c r="P306" s="14"/>
      <c r="Q306" s="47"/>
      <c r="R306" s="14"/>
      <c r="S306" s="19"/>
      <c r="T306" s="14"/>
      <c r="U306" s="14"/>
      <c r="V306" s="14"/>
      <c r="W306" s="14"/>
      <c r="X306" s="14"/>
      <c r="Y306" s="14"/>
      <c r="Z306" s="14"/>
      <c r="AA306" s="14"/>
      <c r="AB306" s="14"/>
      <c r="AC306" s="19"/>
      <c r="AD306" s="63"/>
      <c r="AE306" s="63"/>
      <c r="AF306" s="47"/>
      <c r="AG306" s="14"/>
      <c r="AH306" s="19"/>
      <c r="AI306" s="14"/>
      <c r="AJ306" s="14"/>
      <c r="AK306" s="14"/>
      <c r="AL306" s="14"/>
      <c r="AM306" s="14"/>
      <c r="AN306" s="14"/>
      <c r="AO306" s="14"/>
      <c r="AP306" s="14"/>
      <c r="AQ306" s="14"/>
      <c r="AR306" s="14"/>
      <c r="AS306" s="65"/>
      <c r="AT306" s="63"/>
      <c r="AU306" s="47"/>
      <c r="AV306" s="14"/>
      <c r="AW306" s="19"/>
      <c r="AX306" s="14"/>
      <c r="AY306" s="14"/>
      <c r="AZ306" s="14"/>
      <c r="BA306" s="14"/>
      <c r="BB306" s="14"/>
      <c r="BC306" s="14"/>
      <c r="BD306" s="14"/>
      <c r="BE306" s="14"/>
      <c r="BF306" s="14"/>
      <c r="BG306" s="14"/>
      <c r="BH306" s="65"/>
      <c r="BI306" s="63"/>
      <c r="BJ306" s="352"/>
      <c r="BK306" s="14"/>
      <c r="BL306" s="19"/>
      <c r="BM306" s="14"/>
      <c r="BN306" s="14"/>
      <c r="BO306" s="14"/>
      <c r="BP306" s="14"/>
      <c r="BQ306" s="14"/>
      <c r="BR306" s="14"/>
      <c r="BS306" s="14"/>
      <c r="BT306" s="14"/>
      <c r="BU306" s="14"/>
      <c r="BV306" s="14"/>
      <c r="BW306" s="65"/>
      <c r="BX306" s="63"/>
      <c r="BY306" s="352"/>
      <c r="BZ306" s="14"/>
      <c r="CA306" s="14"/>
      <c r="CB306" s="21"/>
      <c r="CC306" s="21"/>
      <c r="CD306" s="180"/>
      <c r="CE306" s="180"/>
      <c r="CF306" s="21"/>
      <c r="CG306" s="14"/>
      <c r="CH306" s="14"/>
      <c r="CI306" s="14"/>
      <c r="CJ306" s="14"/>
      <c r="CK306" s="14"/>
      <c r="CL306" s="14"/>
      <c r="CM306" s="14"/>
      <c r="CN306" s="14"/>
      <c r="CO306" s="129"/>
      <c r="CP306" s="14"/>
      <c r="CQ306" s="47"/>
      <c r="CR306" s="14"/>
      <c r="CS306" s="14"/>
      <c r="CT306" s="14"/>
      <c r="CU306" s="14"/>
      <c r="CV306" s="180"/>
      <c r="CW306" s="189"/>
      <c r="CX306" s="189"/>
      <c r="CY306" s="14"/>
      <c r="CZ306" s="14"/>
      <c r="DA306" s="14"/>
      <c r="DB306" s="14"/>
      <c r="DC306" s="14"/>
      <c r="DD306" s="14"/>
      <c r="DE306" s="14"/>
      <c r="DF306" s="14"/>
      <c r="DG306" s="129"/>
      <c r="DH306" s="14"/>
      <c r="DI306" s="47"/>
      <c r="DJ306" s="14"/>
      <c r="DK306" s="19"/>
      <c r="DL306" s="40"/>
      <c r="DM306" s="41"/>
      <c r="DN306" s="40"/>
      <c r="DO306" s="40"/>
      <c r="DP306" s="40"/>
      <c r="DQ306" s="41"/>
      <c r="DR306" s="72"/>
      <c r="DS306" s="14"/>
      <c r="DT306" s="14"/>
      <c r="DU306" s="14"/>
      <c r="DV306" s="14"/>
      <c r="DW306" s="14"/>
      <c r="DX306" s="14"/>
      <c r="DY306" s="14"/>
      <c r="DZ306" s="14"/>
      <c r="EA306" s="14"/>
      <c r="EB306" s="14"/>
      <c r="EC306" s="14"/>
      <c r="ED306" s="14"/>
      <c r="EE306" s="14"/>
      <c r="EF306" s="14"/>
      <c r="EG306" s="14"/>
      <c r="EH306" s="14"/>
      <c r="EI306" s="14"/>
      <c r="EJ306" s="14"/>
      <c r="EK306" s="14"/>
      <c r="EL306" s="14"/>
    </row>
    <row r="307" spans="1:142" x14ac:dyDescent="0.25">
      <c r="A307" s="14"/>
      <c r="B307" s="19"/>
      <c r="C307" s="40"/>
      <c r="D307" s="41"/>
      <c r="E307" s="40"/>
      <c r="F307" s="40"/>
      <c r="G307" s="40"/>
      <c r="H307" s="41"/>
      <c r="I307" s="72"/>
      <c r="J307" s="14"/>
      <c r="K307" s="14"/>
      <c r="L307" s="14"/>
      <c r="M307" s="14"/>
      <c r="N307" s="14"/>
      <c r="O307" s="14"/>
      <c r="P307" s="14"/>
      <c r="Q307" s="47"/>
      <c r="R307" s="14"/>
      <c r="S307" s="19"/>
      <c r="T307" s="14"/>
      <c r="U307" s="14"/>
      <c r="V307" s="14"/>
      <c r="W307" s="14"/>
      <c r="X307" s="14"/>
      <c r="Y307" s="14"/>
      <c r="Z307" s="14"/>
      <c r="AA307" s="14"/>
      <c r="AB307" s="14"/>
      <c r="AC307" s="19"/>
      <c r="AD307" s="63"/>
      <c r="AE307" s="63"/>
      <c r="AF307" s="47"/>
      <c r="AG307" s="14"/>
      <c r="AH307" s="19"/>
      <c r="AI307" s="14"/>
      <c r="AJ307" s="14"/>
      <c r="AK307" s="14"/>
      <c r="AL307" s="14"/>
      <c r="AM307" s="14"/>
      <c r="AN307" s="14"/>
      <c r="AO307" s="14"/>
      <c r="AP307" s="14"/>
      <c r="AQ307" s="14"/>
      <c r="AR307" s="14"/>
      <c r="AS307" s="65"/>
      <c r="AT307" s="63"/>
      <c r="AU307" s="47"/>
      <c r="AV307" s="14"/>
      <c r="AW307" s="19"/>
      <c r="AX307" s="14"/>
      <c r="AY307" s="14"/>
      <c r="AZ307" s="14"/>
      <c r="BA307" s="14"/>
      <c r="BB307" s="14"/>
      <c r="BC307" s="14"/>
      <c r="BD307" s="14"/>
      <c r="BE307" s="14"/>
      <c r="BF307" s="14"/>
      <c r="BG307" s="14"/>
      <c r="BH307" s="65"/>
      <c r="BI307" s="63"/>
      <c r="BJ307" s="352"/>
      <c r="BK307" s="14"/>
      <c r="BL307" s="19"/>
      <c r="BM307" s="14"/>
      <c r="BN307" s="14"/>
      <c r="BO307" s="14"/>
      <c r="BP307" s="14"/>
      <c r="BQ307" s="14"/>
      <c r="BR307" s="14"/>
      <c r="BS307" s="14"/>
      <c r="BT307" s="14"/>
      <c r="BU307" s="14"/>
      <c r="BV307" s="14"/>
      <c r="BW307" s="65"/>
      <c r="BX307" s="63"/>
      <c r="BY307" s="352"/>
      <c r="BZ307" s="14"/>
      <c r="CA307" s="14"/>
      <c r="CB307" s="21"/>
      <c r="CC307" s="21"/>
      <c r="CD307" s="180"/>
      <c r="CE307" s="180"/>
      <c r="CF307" s="21"/>
      <c r="CG307" s="14"/>
      <c r="CH307" s="14"/>
      <c r="CI307" s="14"/>
      <c r="CJ307" s="14"/>
      <c r="CK307" s="14"/>
      <c r="CL307" s="14"/>
      <c r="CM307" s="14"/>
      <c r="CN307" s="14"/>
      <c r="CO307" s="129"/>
      <c r="CP307" s="14"/>
      <c r="CQ307" s="47"/>
      <c r="CR307" s="14"/>
      <c r="CS307" s="14"/>
      <c r="CT307" s="14"/>
      <c r="CU307" s="14"/>
      <c r="CV307" s="180"/>
      <c r="CW307" s="189"/>
      <c r="CX307" s="189"/>
      <c r="CY307" s="14"/>
      <c r="CZ307" s="14"/>
      <c r="DA307" s="14"/>
      <c r="DB307" s="14"/>
      <c r="DC307" s="14"/>
      <c r="DD307" s="14"/>
      <c r="DE307" s="14"/>
      <c r="DF307" s="14"/>
      <c r="DG307" s="129"/>
      <c r="DH307" s="14"/>
      <c r="DI307" s="47"/>
      <c r="DJ307" s="14"/>
      <c r="DK307" s="19"/>
      <c r="DL307" s="40"/>
      <c r="DM307" s="41"/>
      <c r="DN307" s="40"/>
      <c r="DO307" s="40"/>
      <c r="DP307" s="40"/>
      <c r="DQ307" s="41"/>
      <c r="DR307" s="72"/>
      <c r="DS307" s="14"/>
      <c r="DT307" s="14"/>
      <c r="DU307" s="14"/>
      <c r="DV307" s="14"/>
      <c r="DW307" s="14"/>
      <c r="DX307" s="14"/>
      <c r="DY307" s="14"/>
      <c r="DZ307" s="14"/>
      <c r="EA307" s="14"/>
      <c r="EB307" s="14"/>
      <c r="EC307" s="14"/>
      <c r="ED307" s="14"/>
      <c r="EE307" s="14"/>
      <c r="EF307" s="14"/>
      <c r="EG307" s="14"/>
      <c r="EH307" s="14"/>
      <c r="EI307" s="14"/>
      <c r="EJ307" s="14"/>
      <c r="EK307" s="14"/>
      <c r="EL307" s="14"/>
    </row>
    <row r="308" spans="1:142" x14ac:dyDescent="0.25">
      <c r="A308" s="14"/>
      <c r="B308" s="19"/>
      <c r="C308" s="40"/>
      <c r="D308" s="41"/>
      <c r="E308" s="40"/>
      <c r="F308" s="40"/>
      <c r="G308" s="40"/>
      <c r="H308" s="41"/>
      <c r="I308" s="72"/>
      <c r="J308" s="14"/>
      <c r="K308" s="14"/>
      <c r="L308" s="14"/>
      <c r="M308" s="14"/>
      <c r="N308" s="14"/>
      <c r="O308" s="14"/>
      <c r="P308" s="14"/>
      <c r="Q308" s="47"/>
      <c r="R308" s="14"/>
      <c r="S308" s="19"/>
      <c r="T308" s="14"/>
      <c r="U308" s="14"/>
      <c r="V308" s="14"/>
      <c r="W308" s="14"/>
      <c r="X308" s="14"/>
      <c r="Y308" s="14"/>
      <c r="Z308" s="14"/>
      <c r="AA308" s="14"/>
      <c r="AB308" s="14"/>
      <c r="AC308" s="14"/>
      <c r="AD308" s="65"/>
      <c r="AE308" s="63"/>
      <c r="AF308" s="47"/>
      <c r="AG308" s="14"/>
      <c r="AH308" s="19"/>
      <c r="AI308" s="14"/>
      <c r="AJ308" s="14"/>
      <c r="AK308" s="14"/>
      <c r="AL308" s="14"/>
      <c r="AM308" s="14"/>
      <c r="AN308" s="14"/>
      <c r="AO308" s="14"/>
      <c r="AP308" s="14"/>
      <c r="AQ308" s="14"/>
      <c r="AR308" s="14"/>
      <c r="AS308" s="65"/>
      <c r="AT308" s="63"/>
      <c r="AU308" s="47"/>
      <c r="AV308" s="14"/>
      <c r="AW308" s="19"/>
      <c r="AX308" s="14"/>
      <c r="AY308" s="14"/>
      <c r="AZ308" s="14"/>
      <c r="BA308" s="14"/>
      <c r="BB308" s="14"/>
      <c r="BC308" s="14"/>
      <c r="BD308" s="14"/>
      <c r="BE308" s="14"/>
      <c r="BF308" s="14"/>
      <c r="BG308" s="14"/>
      <c r="BH308" s="65"/>
      <c r="BI308" s="63"/>
      <c r="BJ308" s="352"/>
      <c r="BK308" s="14"/>
      <c r="BL308" s="19"/>
      <c r="BM308" s="14"/>
      <c r="BN308" s="14"/>
      <c r="BO308" s="14"/>
      <c r="BP308" s="14"/>
      <c r="BQ308" s="14"/>
      <c r="BR308" s="14"/>
      <c r="BS308" s="14"/>
      <c r="BT308" s="14"/>
      <c r="BU308" s="14"/>
      <c r="BV308" s="14"/>
      <c r="BW308" s="65"/>
      <c r="BX308" s="63"/>
      <c r="BY308" s="352"/>
      <c r="BZ308" s="14"/>
      <c r="CA308" s="14"/>
      <c r="CB308" s="21"/>
      <c r="CC308" s="21"/>
      <c r="CD308" s="21"/>
      <c r="CE308" s="21"/>
      <c r="CF308" s="21"/>
      <c r="CG308" s="14"/>
      <c r="CH308" s="14"/>
      <c r="CI308" s="14"/>
      <c r="CJ308" s="14"/>
      <c r="CK308" s="14"/>
      <c r="CL308" s="14"/>
      <c r="CM308" s="14"/>
      <c r="CN308" s="14"/>
      <c r="CO308" s="129"/>
      <c r="CP308" s="14"/>
      <c r="CQ308" s="47"/>
      <c r="CR308" s="14"/>
      <c r="CS308" s="14"/>
      <c r="CT308" s="14"/>
      <c r="CU308" s="14"/>
      <c r="CV308" s="180"/>
      <c r="CW308" s="189"/>
      <c r="CX308" s="189"/>
      <c r="CY308" s="14"/>
      <c r="CZ308" s="14"/>
      <c r="DA308" s="14"/>
      <c r="DB308" s="14"/>
      <c r="DC308" s="14"/>
      <c r="DD308" s="14"/>
      <c r="DE308" s="14"/>
      <c r="DF308" s="14"/>
      <c r="DG308" s="129"/>
      <c r="DH308" s="14"/>
      <c r="DI308" s="47"/>
      <c r="DJ308" s="14"/>
      <c r="DK308" s="19"/>
      <c r="DL308" s="40"/>
      <c r="DM308" s="41"/>
      <c r="DN308" s="40"/>
      <c r="DO308" s="40"/>
      <c r="DP308" s="40"/>
      <c r="DQ308" s="41"/>
      <c r="DR308" s="72"/>
      <c r="DS308" s="14"/>
      <c r="DT308" s="14"/>
      <c r="DU308" s="14"/>
      <c r="DV308" s="14"/>
      <c r="DW308" s="14"/>
      <c r="DX308" s="14"/>
      <c r="DY308" s="14"/>
      <c r="DZ308" s="14"/>
      <c r="EA308" s="14"/>
      <c r="EB308" s="14"/>
      <c r="EC308" s="14"/>
      <c r="ED308" s="14"/>
      <c r="EE308" s="14"/>
      <c r="EF308" s="14"/>
      <c r="EG308" s="14"/>
      <c r="EH308" s="14"/>
      <c r="EI308" s="14"/>
      <c r="EJ308" s="14"/>
      <c r="EK308" s="14"/>
      <c r="EL308" s="14"/>
    </row>
    <row r="309" spans="1:142" x14ac:dyDescent="0.25">
      <c r="A309" s="14"/>
      <c r="B309" s="19"/>
      <c r="C309" s="40"/>
      <c r="D309" s="41"/>
      <c r="E309" s="40"/>
      <c r="F309" s="40"/>
      <c r="G309" s="40"/>
      <c r="H309" s="41"/>
      <c r="I309" s="72"/>
      <c r="J309" s="14"/>
      <c r="K309" s="14"/>
      <c r="L309" s="14"/>
      <c r="M309" s="14"/>
      <c r="N309" s="14"/>
      <c r="O309" s="14"/>
      <c r="P309" s="14"/>
      <c r="Q309" s="47"/>
      <c r="R309" s="14"/>
      <c r="S309" s="19"/>
      <c r="T309" s="14"/>
      <c r="U309" s="14"/>
      <c r="V309" s="14"/>
      <c r="W309" s="14"/>
      <c r="X309" s="14"/>
      <c r="Y309" s="14"/>
      <c r="Z309" s="14"/>
      <c r="AA309" s="14"/>
      <c r="AB309" s="14"/>
      <c r="AC309" s="14"/>
      <c r="AD309" s="65"/>
      <c r="AE309" s="63"/>
      <c r="AF309" s="47"/>
      <c r="AG309" s="14"/>
      <c r="AH309" s="19"/>
      <c r="AI309" s="14"/>
      <c r="AJ309" s="14"/>
      <c r="AK309" s="14"/>
      <c r="AL309" s="14"/>
      <c r="AM309" s="14"/>
      <c r="AN309" s="14"/>
      <c r="AO309" s="14"/>
      <c r="AP309" s="14"/>
      <c r="AQ309" s="14"/>
      <c r="AR309" s="14"/>
      <c r="AS309" s="65"/>
      <c r="AT309" s="63"/>
      <c r="AU309" s="47"/>
      <c r="AV309" s="14"/>
      <c r="AW309" s="19"/>
      <c r="AX309" s="14"/>
      <c r="AY309" s="14"/>
      <c r="AZ309" s="14"/>
      <c r="BA309" s="14"/>
      <c r="BB309" s="14"/>
      <c r="BC309" s="14"/>
      <c r="BD309" s="14"/>
      <c r="BE309" s="14"/>
      <c r="BF309" s="14"/>
      <c r="BG309" s="14"/>
      <c r="BH309" s="65"/>
      <c r="BI309" s="63"/>
      <c r="BJ309" s="352"/>
      <c r="BK309" s="14"/>
      <c r="BL309" s="19"/>
      <c r="BM309" s="14"/>
      <c r="BN309" s="14"/>
      <c r="BO309" s="14"/>
      <c r="BP309" s="14"/>
      <c r="BQ309" s="14"/>
      <c r="BR309" s="14"/>
      <c r="BS309" s="14"/>
      <c r="BT309" s="14"/>
      <c r="BU309" s="14"/>
      <c r="BV309" s="14"/>
      <c r="BW309" s="65"/>
      <c r="BX309" s="63"/>
      <c r="BY309" s="352"/>
      <c r="BZ309" s="14"/>
      <c r="CA309" s="14"/>
      <c r="CB309" s="21"/>
      <c r="CC309" s="21"/>
      <c r="CD309" s="21"/>
      <c r="CE309" s="21"/>
      <c r="CF309" s="21"/>
      <c r="CG309" s="14"/>
      <c r="CH309" s="14"/>
      <c r="CI309" s="14"/>
      <c r="CJ309" s="14"/>
      <c r="CK309" s="14"/>
      <c r="CL309" s="14"/>
      <c r="CM309" s="14"/>
      <c r="CN309" s="14"/>
      <c r="CO309" s="129"/>
      <c r="CP309" s="14"/>
      <c r="CQ309" s="47"/>
      <c r="CR309" s="14"/>
      <c r="CS309" s="14"/>
      <c r="CT309" s="14"/>
      <c r="CU309" s="14"/>
      <c r="CV309" s="180"/>
      <c r="CW309" s="189"/>
      <c r="CX309" s="189"/>
      <c r="CY309" s="14"/>
      <c r="CZ309" s="14"/>
      <c r="DA309" s="14"/>
      <c r="DB309" s="14"/>
      <c r="DC309" s="14"/>
      <c r="DD309" s="14"/>
      <c r="DE309" s="14"/>
      <c r="DF309" s="14"/>
      <c r="DG309" s="129"/>
      <c r="DH309" s="14"/>
      <c r="DI309" s="47"/>
      <c r="DJ309" s="14"/>
      <c r="DK309" s="19"/>
      <c r="DL309" s="40"/>
      <c r="DM309" s="41"/>
      <c r="DN309" s="40"/>
      <c r="DO309" s="40"/>
      <c r="DP309" s="40"/>
      <c r="DQ309" s="41"/>
      <c r="DR309" s="72"/>
      <c r="DS309" s="14"/>
      <c r="DT309" s="14"/>
      <c r="DU309" s="14"/>
      <c r="DV309" s="14"/>
      <c r="DW309" s="14"/>
      <c r="DX309" s="14"/>
      <c r="DY309" s="14"/>
      <c r="DZ309" s="14"/>
      <c r="EA309" s="14"/>
      <c r="EB309" s="14"/>
      <c r="EC309" s="14"/>
      <c r="ED309" s="14"/>
      <c r="EE309" s="14"/>
      <c r="EF309" s="14"/>
      <c r="EG309" s="14"/>
      <c r="EH309" s="14"/>
      <c r="EI309" s="14"/>
      <c r="EJ309" s="14"/>
      <c r="EK309" s="14"/>
      <c r="EL309" s="14"/>
    </row>
    <row r="310" spans="1:142" x14ac:dyDescent="0.25">
      <c r="A310" s="14"/>
      <c r="B310" s="19"/>
      <c r="C310" s="40"/>
      <c r="D310" s="41"/>
      <c r="E310" s="40"/>
      <c r="F310" s="40"/>
      <c r="G310" s="40"/>
      <c r="H310" s="41"/>
      <c r="I310" s="72"/>
      <c r="J310" s="14"/>
      <c r="K310" s="14"/>
      <c r="L310" s="14"/>
      <c r="M310" s="14"/>
      <c r="N310" s="14"/>
      <c r="O310" s="14"/>
      <c r="P310" s="14"/>
      <c r="Q310" s="47"/>
      <c r="R310" s="14"/>
      <c r="S310" s="19"/>
      <c r="T310" s="14"/>
      <c r="U310" s="14"/>
      <c r="V310" s="14"/>
      <c r="W310" s="14"/>
      <c r="X310" s="14"/>
      <c r="Y310" s="14"/>
      <c r="Z310" s="14"/>
      <c r="AA310" s="14"/>
      <c r="AB310" s="14"/>
      <c r="AC310" s="14"/>
      <c r="AD310" s="65"/>
      <c r="AE310" s="63"/>
      <c r="AF310" s="47"/>
      <c r="AG310" s="14"/>
      <c r="AH310" s="19"/>
      <c r="AI310" s="14"/>
      <c r="AJ310" s="14"/>
      <c r="AK310" s="14"/>
      <c r="AL310" s="14"/>
      <c r="AM310" s="14"/>
      <c r="AN310" s="14"/>
      <c r="AO310" s="14"/>
      <c r="AP310" s="14"/>
      <c r="AQ310" s="14"/>
      <c r="AR310" s="14"/>
      <c r="AS310" s="65"/>
      <c r="AT310" s="63"/>
      <c r="AU310" s="47"/>
      <c r="AV310" s="14"/>
      <c r="AW310" s="19"/>
      <c r="AX310" s="14"/>
      <c r="AY310" s="14"/>
      <c r="AZ310" s="14"/>
      <c r="BA310" s="14"/>
      <c r="BB310" s="14"/>
      <c r="BC310" s="14"/>
      <c r="BD310" s="14"/>
      <c r="BE310" s="14"/>
      <c r="BF310" s="14"/>
      <c r="BG310" s="14"/>
      <c r="BH310" s="65"/>
      <c r="BI310" s="63"/>
      <c r="BJ310" s="352"/>
      <c r="BK310" s="14"/>
      <c r="BL310" s="19"/>
      <c r="BM310" s="14"/>
      <c r="BN310" s="14"/>
      <c r="BO310" s="14"/>
      <c r="BP310" s="14"/>
      <c r="BQ310" s="14"/>
      <c r="BR310" s="14"/>
      <c r="BS310" s="14"/>
      <c r="BT310" s="14"/>
      <c r="BU310" s="14"/>
      <c r="BV310" s="14"/>
      <c r="BW310" s="65"/>
      <c r="BX310" s="63"/>
      <c r="BY310" s="352"/>
      <c r="BZ310" s="14"/>
      <c r="CA310" s="14"/>
      <c r="CB310" s="21"/>
      <c r="CC310" s="21"/>
      <c r="CD310" s="21"/>
      <c r="CE310" s="21"/>
      <c r="CF310" s="21"/>
      <c r="CG310" s="14"/>
      <c r="CH310" s="14"/>
      <c r="CI310" s="14"/>
      <c r="CJ310" s="14"/>
      <c r="CK310" s="14"/>
      <c r="CL310" s="14"/>
      <c r="CM310" s="14"/>
      <c r="CN310" s="14"/>
      <c r="CO310" s="129"/>
      <c r="CP310" s="14"/>
      <c r="CQ310" s="47"/>
      <c r="CR310" s="14"/>
      <c r="CS310" s="14"/>
      <c r="CT310" s="14"/>
      <c r="CU310" s="14"/>
      <c r="CV310" s="180"/>
      <c r="CW310" s="189"/>
      <c r="CX310" s="189"/>
      <c r="CY310" s="14"/>
      <c r="CZ310" s="14"/>
      <c r="DA310" s="14"/>
      <c r="DB310" s="14"/>
      <c r="DC310" s="14"/>
      <c r="DD310" s="14"/>
      <c r="DE310" s="14"/>
      <c r="DF310" s="14"/>
      <c r="DG310" s="129"/>
      <c r="DH310" s="14"/>
      <c r="DI310" s="47"/>
      <c r="DJ310" s="14"/>
      <c r="DK310" s="19"/>
      <c r="DL310" s="40"/>
      <c r="DM310" s="41"/>
      <c r="DN310" s="40"/>
      <c r="DO310" s="40"/>
      <c r="DP310" s="40"/>
      <c r="DQ310" s="41"/>
      <c r="DR310" s="72"/>
      <c r="DS310" s="14"/>
      <c r="DT310" s="14"/>
      <c r="DU310" s="14"/>
      <c r="DV310" s="14"/>
      <c r="DW310" s="14"/>
      <c r="DX310" s="14"/>
      <c r="DY310" s="14"/>
      <c r="DZ310" s="14"/>
      <c r="EA310" s="14"/>
      <c r="EB310" s="14"/>
      <c r="EC310" s="14"/>
      <c r="ED310" s="14"/>
      <c r="EE310" s="14"/>
      <c r="EF310" s="14"/>
      <c r="EG310" s="14"/>
      <c r="EH310" s="14"/>
      <c r="EI310" s="14"/>
      <c r="EJ310" s="14"/>
      <c r="EK310" s="14"/>
      <c r="EL310" s="14"/>
    </row>
    <row r="311" spans="1:142" x14ac:dyDescent="0.25">
      <c r="A311" s="14"/>
      <c r="B311" s="19"/>
      <c r="C311" s="40"/>
      <c r="D311" s="41"/>
      <c r="E311" s="40"/>
      <c r="F311" s="40"/>
      <c r="G311" s="40"/>
      <c r="H311" s="41"/>
      <c r="I311" s="72"/>
      <c r="J311" s="14"/>
      <c r="K311" s="14"/>
      <c r="L311" s="14"/>
      <c r="M311" s="14"/>
      <c r="N311" s="14"/>
      <c r="O311" s="14"/>
      <c r="P311" s="14"/>
      <c r="Q311" s="47"/>
      <c r="R311" s="14"/>
      <c r="S311" s="19"/>
      <c r="T311" s="14"/>
      <c r="U311" s="14"/>
      <c r="V311" s="14"/>
      <c r="W311" s="14"/>
      <c r="X311" s="14"/>
      <c r="Y311" s="14"/>
      <c r="Z311" s="14"/>
      <c r="AA311" s="14"/>
      <c r="AB311" s="14"/>
      <c r="AC311" s="14"/>
      <c r="AD311" s="65"/>
      <c r="AE311" s="63"/>
      <c r="AF311" s="47"/>
      <c r="AG311" s="14"/>
      <c r="AH311" s="19"/>
      <c r="AI311" s="14"/>
      <c r="AJ311" s="14"/>
      <c r="AK311" s="14"/>
      <c r="AL311" s="14"/>
      <c r="AM311" s="14"/>
      <c r="AN311" s="14"/>
      <c r="AO311" s="14"/>
      <c r="AP311" s="14"/>
      <c r="AQ311" s="14"/>
      <c r="AR311" s="14"/>
      <c r="AS311" s="65"/>
      <c r="AT311" s="63"/>
      <c r="AU311" s="47"/>
      <c r="AV311" s="14"/>
      <c r="AW311" s="19"/>
      <c r="AX311" s="14"/>
      <c r="AY311" s="14"/>
      <c r="AZ311" s="14"/>
      <c r="BA311" s="14"/>
      <c r="BB311" s="14"/>
      <c r="BC311" s="14"/>
      <c r="BD311" s="14"/>
      <c r="BE311" s="14"/>
      <c r="BF311" s="14"/>
      <c r="BG311" s="14"/>
      <c r="BH311" s="65"/>
      <c r="BI311" s="63"/>
      <c r="BJ311" s="352"/>
      <c r="BK311" s="14"/>
      <c r="BL311" s="19"/>
      <c r="BM311" s="14"/>
      <c r="BN311" s="14"/>
      <c r="BO311" s="14"/>
      <c r="BP311" s="14"/>
      <c r="BQ311" s="14"/>
      <c r="BR311" s="14"/>
      <c r="BS311" s="14"/>
      <c r="BT311" s="14"/>
      <c r="BU311" s="14"/>
      <c r="BV311" s="14"/>
      <c r="BW311" s="65"/>
      <c r="BX311" s="63"/>
      <c r="BY311" s="352"/>
      <c r="BZ311" s="14"/>
      <c r="CA311" s="14"/>
      <c r="CB311" s="21"/>
      <c r="CC311" s="21"/>
      <c r="CD311" s="21"/>
      <c r="CE311" s="21"/>
      <c r="CF311" s="21"/>
      <c r="CG311" s="14"/>
      <c r="CH311" s="14"/>
      <c r="CI311" s="14"/>
      <c r="CJ311" s="14"/>
      <c r="CK311" s="14"/>
      <c r="CL311" s="14"/>
      <c r="CM311" s="14"/>
      <c r="CN311" s="14"/>
      <c r="CO311" s="129"/>
      <c r="CP311" s="14"/>
      <c r="CQ311" s="47"/>
      <c r="CR311" s="14"/>
      <c r="CS311" s="14"/>
      <c r="CT311" s="14"/>
      <c r="CU311" s="14"/>
      <c r="CV311" s="180"/>
      <c r="CW311" s="189"/>
      <c r="CX311" s="189"/>
      <c r="CY311" s="14"/>
      <c r="CZ311" s="14"/>
      <c r="DA311" s="14"/>
      <c r="DB311" s="14"/>
      <c r="DC311" s="14"/>
      <c r="DD311" s="14"/>
      <c r="DE311" s="14"/>
      <c r="DF311" s="14"/>
      <c r="DG311" s="129"/>
      <c r="DH311" s="14"/>
      <c r="DI311" s="47"/>
      <c r="DJ311" s="14"/>
      <c r="DK311" s="19"/>
      <c r="DL311" s="40"/>
      <c r="DM311" s="41"/>
      <c r="DN311" s="40"/>
      <c r="DO311" s="40"/>
      <c r="DP311" s="40"/>
      <c r="DQ311" s="41"/>
      <c r="DR311" s="72"/>
      <c r="DS311" s="14"/>
      <c r="DT311" s="19"/>
      <c r="DU311" s="19"/>
      <c r="DV311" s="19"/>
      <c r="DW311" s="19"/>
      <c r="DX311" s="19"/>
      <c r="DY311" s="19"/>
      <c r="DZ311" s="19"/>
      <c r="EA311" s="19"/>
      <c r="EB311" s="19"/>
      <c r="EC311" s="19"/>
      <c r="ED311" s="14"/>
      <c r="EE311" s="14"/>
      <c r="EF311" s="14"/>
      <c r="EG311" s="14"/>
      <c r="EH311" s="14"/>
      <c r="EI311" s="14"/>
      <c r="EJ311" s="14"/>
      <c r="EK311" s="14"/>
      <c r="EL311" s="14"/>
    </row>
    <row r="312" spans="1:142" x14ac:dyDescent="0.25">
      <c r="A312" s="14"/>
      <c r="B312" s="524" t="s">
        <v>755</v>
      </c>
      <c r="C312" s="542"/>
      <c r="D312" s="542"/>
      <c r="E312" s="542"/>
      <c r="F312" s="542"/>
      <c r="G312" s="542"/>
      <c r="H312" s="542"/>
      <c r="I312" s="525"/>
      <c r="J312" s="14"/>
      <c r="K312" s="14"/>
      <c r="L312" s="14"/>
      <c r="M312" s="14"/>
      <c r="N312" s="14"/>
      <c r="O312" s="14"/>
      <c r="P312" s="14"/>
      <c r="Q312" s="47"/>
      <c r="R312" s="14"/>
      <c r="S312" s="524" t="s">
        <v>755</v>
      </c>
      <c r="T312" s="542"/>
      <c r="U312" s="542"/>
      <c r="V312" s="542"/>
      <c r="W312" s="542"/>
      <c r="X312" s="542"/>
      <c r="Y312" s="542"/>
      <c r="Z312" s="525"/>
      <c r="AA312" s="14"/>
      <c r="AB312" s="14"/>
      <c r="AC312" s="14"/>
      <c r="AD312" s="65"/>
      <c r="AE312" s="63"/>
      <c r="AF312" s="47"/>
      <c r="AG312" s="14"/>
      <c r="AH312" s="524" t="s">
        <v>755</v>
      </c>
      <c r="AI312" s="542"/>
      <c r="AJ312" s="542"/>
      <c r="AK312" s="542"/>
      <c r="AL312" s="542"/>
      <c r="AM312" s="542"/>
      <c r="AN312" s="542"/>
      <c r="AO312" s="525"/>
      <c r="AP312" s="14"/>
      <c r="AQ312" s="14"/>
      <c r="AR312" s="14"/>
      <c r="AS312" s="65"/>
      <c r="AT312" s="63"/>
      <c r="AU312" s="47"/>
      <c r="AV312" s="14"/>
      <c r="AW312" s="524" t="s">
        <v>755</v>
      </c>
      <c r="AX312" s="542"/>
      <c r="AY312" s="542"/>
      <c r="AZ312" s="542"/>
      <c r="BA312" s="542"/>
      <c r="BB312" s="542"/>
      <c r="BC312" s="542"/>
      <c r="BD312" s="525"/>
      <c r="BE312" s="14"/>
      <c r="BF312" s="14"/>
      <c r="BG312" s="14"/>
      <c r="BH312" s="65"/>
      <c r="BI312" s="63"/>
      <c r="BJ312" s="352"/>
      <c r="BK312" s="14"/>
      <c r="BL312" s="524" t="s">
        <v>755</v>
      </c>
      <c r="BM312" s="542"/>
      <c r="BN312" s="542"/>
      <c r="BO312" s="542"/>
      <c r="BP312" s="542"/>
      <c r="BQ312" s="542"/>
      <c r="BR312" s="542"/>
      <c r="BS312" s="525"/>
      <c r="BT312" s="14"/>
      <c r="BU312" s="14"/>
      <c r="BV312" s="14"/>
      <c r="BW312" s="65"/>
      <c r="BX312" s="63"/>
      <c r="BY312" s="352"/>
      <c r="BZ312" s="14"/>
      <c r="CA312" s="14"/>
      <c r="CB312" s="21"/>
      <c r="CC312" s="21"/>
      <c r="CD312" s="21"/>
      <c r="CE312" s="21"/>
      <c r="CF312" s="21"/>
      <c r="CG312" s="14"/>
      <c r="CH312" s="14"/>
      <c r="CI312" s="14"/>
      <c r="CJ312" s="14"/>
      <c r="CK312" s="14"/>
      <c r="CL312" s="14"/>
      <c r="CM312" s="14"/>
      <c r="CN312" s="14"/>
      <c r="CO312" s="129"/>
      <c r="CP312" s="14"/>
      <c r="CQ312" s="47"/>
      <c r="CR312" s="14"/>
      <c r="CS312" s="14"/>
      <c r="CT312" s="14"/>
      <c r="CU312" s="14"/>
      <c r="CV312" s="180"/>
      <c r="CW312" s="189"/>
      <c r="CX312" s="189"/>
      <c r="CY312" s="14"/>
      <c r="CZ312" s="14"/>
      <c r="DA312" s="14"/>
      <c r="DB312" s="14"/>
      <c r="DC312" s="14"/>
      <c r="DD312" s="14"/>
      <c r="DE312" s="14"/>
      <c r="DF312" s="14"/>
      <c r="DG312" s="129"/>
      <c r="DH312" s="14"/>
      <c r="DI312" s="47"/>
      <c r="DJ312" s="14"/>
      <c r="DK312" s="14"/>
      <c r="DL312" s="14"/>
      <c r="DM312" s="14"/>
      <c r="DN312" s="14"/>
      <c r="DO312" s="14"/>
      <c r="DP312" s="14"/>
      <c r="DQ312" s="14"/>
      <c r="DR312" s="14"/>
      <c r="DS312" s="14"/>
      <c r="DT312" s="19"/>
      <c r="DU312" s="19"/>
      <c r="DV312" s="19"/>
      <c r="DW312" s="19"/>
      <c r="DX312" s="19"/>
      <c r="DY312" s="19"/>
      <c r="DZ312" s="19"/>
      <c r="EA312" s="19"/>
      <c r="EB312" s="19"/>
      <c r="EC312" s="19"/>
      <c r="ED312" s="14"/>
      <c r="EE312" s="14"/>
      <c r="EF312" s="14"/>
      <c r="EG312" s="14"/>
      <c r="EH312" s="14"/>
      <c r="EI312" s="14"/>
      <c r="EJ312" s="14"/>
      <c r="EK312" s="14"/>
      <c r="EL312" s="14"/>
    </row>
    <row r="313" spans="1:142" x14ac:dyDescent="0.25">
      <c r="A313" s="14"/>
      <c r="B313" s="526"/>
      <c r="C313" s="543"/>
      <c r="D313" s="543"/>
      <c r="E313" s="543"/>
      <c r="F313" s="543"/>
      <c r="G313" s="543"/>
      <c r="H313" s="543"/>
      <c r="I313" s="527"/>
      <c r="J313" s="14"/>
      <c r="K313" s="14"/>
      <c r="L313" s="14"/>
      <c r="M313" s="14"/>
      <c r="N313" s="14"/>
      <c r="O313" s="14"/>
      <c r="P313" s="14"/>
      <c r="Q313" s="47"/>
      <c r="R313" s="14"/>
      <c r="S313" s="526"/>
      <c r="T313" s="543"/>
      <c r="U313" s="543"/>
      <c r="V313" s="543"/>
      <c r="W313" s="543"/>
      <c r="X313" s="543"/>
      <c r="Y313" s="543"/>
      <c r="Z313" s="527"/>
      <c r="AA313" s="14"/>
      <c r="AB313" s="14"/>
      <c r="AC313" s="14"/>
      <c r="AD313" s="65"/>
      <c r="AE313" s="63"/>
      <c r="AF313" s="47"/>
      <c r="AG313" s="14"/>
      <c r="AH313" s="526"/>
      <c r="AI313" s="543"/>
      <c r="AJ313" s="543"/>
      <c r="AK313" s="543"/>
      <c r="AL313" s="543"/>
      <c r="AM313" s="543"/>
      <c r="AN313" s="543"/>
      <c r="AO313" s="527"/>
      <c r="AP313" s="14"/>
      <c r="AQ313" s="14"/>
      <c r="AR313" s="14"/>
      <c r="AS313" s="65"/>
      <c r="AT313" s="63"/>
      <c r="AU313" s="47"/>
      <c r="AV313" s="14"/>
      <c r="AW313" s="526"/>
      <c r="AX313" s="543"/>
      <c r="AY313" s="543"/>
      <c r="AZ313" s="543"/>
      <c r="BA313" s="543"/>
      <c r="BB313" s="543"/>
      <c r="BC313" s="543"/>
      <c r="BD313" s="527"/>
      <c r="BE313" s="14"/>
      <c r="BF313" s="14"/>
      <c r="BG313" s="14"/>
      <c r="BH313" s="65"/>
      <c r="BI313" s="63"/>
      <c r="BJ313" s="352"/>
      <c r="BK313" s="14"/>
      <c r="BL313" s="526"/>
      <c r="BM313" s="543"/>
      <c r="BN313" s="543"/>
      <c r="BO313" s="543"/>
      <c r="BP313" s="543"/>
      <c r="BQ313" s="543"/>
      <c r="BR313" s="543"/>
      <c r="BS313" s="527"/>
      <c r="BT313" s="14"/>
      <c r="BU313" s="14"/>
      <c r="BV313" s="14"/>
      <c r="BW313" s="65"/>
      <c r="BX313" s="63"/>
      <c r="BY313" s="352"/>
      <c r="BZ313" s="14"/>
      <c r="CA313" s="14"/>
      <c r="CB313" s="21"/>
      <c r="CC313" s="21"/>
      <c r="CD313" s="21"/>
      <c r="CE313" s="21"/>
      <c r="CF313" s="21"/>
      <c r="CG313" s="14"/>
      <c r="CH313" s="14"/>
      <c r="CI313" s="14"/>
      <c r="CJ313" s="14"/>
      <c r="CK313" s="14"/>
      <c r="CL313" s="14"/>
      <c r="CM313" s="14"/>
      <c r="CN313" s="14"/>
      <c r="CO313" s="129"/>
      <c r="CP313" s="14"/>
      <c r="CQ313" s="47"/>
      <c r="CR313" s="14"/>
      <c r="CS313" s="14"/>
      <c r="CT313" s="14"/>
      <c r="CU313" s="14"/>
      <c r="CV313" s="180"/>
      <c r="CW313" s="189"/>
      <c r="CX313" s="189"/>
      <c r="CY313" s="14"/>
      <c r="CZ313" s="14"/>
      <c r="DA313" s="14"/>
      <c r="DB313" s="14"/>
      <c r="DC313" s="14"/>
      <c r="DD313" s="14"/>
      <c r="DE313" s="14"/>
      <c r="DF313" s="14"/>
      <c r="DG313" s="129"/>
      <c r="DH313" s="14"/>
      <c r="DI313" s="47"/>
      <c r="DJ313" s="14"/>
      <c r="DK313" s="14"/>
      <c r="DL313" s="14"/>
      <c r="DM313" s="14"/>
      <c r="DN313" s="14"/>
      <c r="DO313" s="14"/>
      <c r="DP313" s="14"/>
      <c r="DQ313" s="14"/>
      <c r="DR313" s="14"/>
      <c r="DS313" s="14"/>
      <c r="DT313" s="19"/>
      <c r="DU313" s="17"/>
      <c r="DV313" s="51"/>
      <c r="DW313" s="51"/>
      <c r="DX313" s="51"/>
      <c r="DY313" s="51"/>
      <c r="DZ313" s="51"/>
      <c r="EA313" s="51"/>
      <c r="EB313" s="51"/>
      <c r="EC313" s="19"/>
      <c r="ED313" s="14"/>
      <c r="EE313" s="14"/>
      <c r="EF313" s="14"/>
      <c r="EG313" s="14"/>
      <c r="EH313" s="14"/>
      <c r="EI313" s="14"/>
      <c r="EJ313" s="14"/>
      <c r="EK313" s="14"/>
      <c r="EL313" s="14"/>
    </row>
    <row r="314" spans="1:142" x14ac:dyDescent="0.25">
      <c r="A314" s="14"/>
      <c r="B314" s="526"/>
      <c r="C314" s="543"/>
      <c r="D314" s="543"/>
      <c r="E314" s="543"/>
      <c r="F314" s="543"/>
      <c r="G314" s="543"/>
      <c r="H314" s="543"/>
      <c r="I314" s="527"/>
      <c r="J314" s="14"/>
      <c r="K314" s="14"/>
      <c r="L314" s="14"/>
      <c r="M314" s="14"/>
      <c r="N314" s="14"/>
      <c r="O314" s="14"/>
      <c r="P314" s="14"/>
      <c r="Q314" s="47"/>
      <c r="R314" s="14"/>
      <c r="S314" s="526"/>
      <c r="T314" s="543"/>
      <c r="U314" s="543"/>
      <c r="V314" s="543"/>
      <c r="W314" s="543"/>
      <c r="X314" s="543"/>
      <c r="Y314" s="543"/>
      <c r="Z314" s="527"/>
      <c r="AA314" s="14"/>
      <c r="AB314" s="14"/>
      <c r="AC314" s="14"/>
      <c r="AD314" s="65"/>
      <c r="AE314" s="63"/>
      <c r="AF314" s="47"/>
      <c r="AG314" s="14"/>
      <c r="AH314" s="526"/>
      <c r="AI314" s="543"/>
      <c r="AJ314" s="543"/>
      <c r="AK314" s="543"/>
      <c r="AL314" s="543"/>
      <c r="AM314" s="543"/>
      <c r="AN314" s="543"/>
      <c r="AO314" s="527"/>
      <c r="AP314" s="14"/>
      <c r="AQ314" s="14"/>
      <c r="AR314" s="14"/>
      <c r="AS314" s="65"/>
      <c r="AT314" s="63"/>
      <c r="AU314" s="47"/>
      <c r="AV314" s="14"/>
      <c r="AW314" s="526"/>
      <c r="AX314" s="543"/>
      <c r="AY314" s="543"/>
      <c r="AZ314" s="543"/>
      <c r="BA314" s="543"/>
      <c r="BB314" s="543"/>
      <c r="BC314" s="543"/>
      <c r="BD314" s="527"/>
      <c r="BE314" s="14"/>
      <c r="BF314" s="14"/>
      <c r="BG314" s="14"/>
      <c r="BH314" s="65"/>
      <c r="BI314" s="63"/>
      <c r="BJ314" s="352"/>
      <c r="BK314" s="14"/>
      <c r="BL314" s="526"/>
      <c r="BM314" s="543"/>
      <c r="BN314" s="543"/>
      <c r="BO314" s="543"/>
      <c r="BP314" s="543"/>
      <c r="BQ314" s="543"/>
      <c r="BR314" s="543"/>
      <c r="BS314" s="527"/>
      <c r="BT314" s="14"/>
      <c r="BU314" s="14"/>
      <c r="BV314" s="14"/>
      <c r="BW314" s="65"/>
      <c r="BX314" s="63"/>
      <c r="BY314" s="352"/>
      <c r="BZ314" s="14"/>
      <c r="CA314" s="14"/>
      <c r="CB314" s="21"/>
      <c r="CC314" s="21"/>
      <c r="CD314" s="21"/>
      <c r="CE314" s="21"/>
      <c r="CF314" s="21"/>
      <c r="CG314" s="14"/>
      <c r="CH314" s="14"/>
      <c r="CI314" s="14"/>
      <c r="CJ314" s="14"/>
      <c r="CK314" s="14"/>
      <c r="CL314" s="14"/>
      <c r="CM314" s="14"/>
      <c r="CN314" s="14"/>
      <c r="CO314" s="129"/>
      <c r="CP314" s="14"/>
      <c r="CQ314" s="47"/>
      <c r="CR314" s="14"/>
      <c r="CS314" s="14"/>
      <c r="CT314" s="14"/>
      <c r="CU314" s="14"/>
      <c r="CV314" s="180"/>
      <c r="CW314" s="189"/>
      <c r="CX314" s="189"/>
      <c r="CY314" s="14"/>
      <c r="CZ314" s="14"/>
      <c r="DA314" s="14"/>
      <c r="DB314" s="14"/>
      <c r="DC314" s="14"/>
      <c r="DD314" s="14"/>
      <c r="DE314" s="14"/>
      <c r="DF314" s="14"/>
      <c r="DG314" s="129"/>
      <c r="DH314" s="14"/>
      <c r="DI314" s="47"/>
      <c r="DJ314" s="14"/>
      <c r="DK314" s="14"/>
      <c r="DL314" s="14"/>
      <c r="DM314" s="14"/>
      <c r="DN314" s="14"/>
      <c r="DO314" s="14"/>
      <c r="DP314" s="14"/>
      <c r="DQ314" s="14"/>
      <c r="DR314" s="14"/>
      <c r="DS314" s="14"/>
      <c r="DT314" s="19"/>
      <c r="DU314" s="107"/>
      <c r="DV314" s="105"/>
      <c r="DW314" s="105"/>
      <c r="DX314" s="105"/>
      <c r="DY314" s="105"/>
      <c r="DZ314" s="105"/>
      <c r="EA314" s="105"/>
      <c r="EB314" s="105"/>
      <c r="EC314" s="19"/>
      <c r="ED314" s="14"/>
      <c r="EE314" s="14"/>
      <c r="EF314" s="14"/>
      <c r="EG314" s="14"/>
      <c r="EH314" s="14"/>
      <c r="EI314" s="14"/>
      <c r="EJ314" s="14"/>
      <c r="EK314" s="14"/>
      <c r="EL314" s="14"/>
    </row>
    <row r="315" spans="1:142" x14ac:dyDescent="0.25">
      <c r="A315" s="14"/>
      <c r="B315" s="528"/>
      <c r="C315" s="544"/>
      <c r="D315" s="544"/>
      <c r="E315" s="544"/>
      <c r="F315" s="544"/>
      <c r="G315" s="544"/>
      <c r="H315" s="544"/>
      <c r="I315" s="529"/>
      <c r="J315" s="14"/>
      <c r="K315" s="14"/>
      <c r="L315" s="14"/>
      <c r="M315" s="14"/>
      <c r="N315" s="14"/>
      <c r="O315" s="14"/>
      <c r="P315" s="14"/>
      <c r="Q315" s="47"/>
      <c r="R315" s="14"/>
      <c r="S315" s="528"/>
      <c r="T315" s="544"/>
      <c r="U315" s="544"/>
      <c r="V315" s="544"/>
      <c r="W315" s="544"/>
      <c r="X315" s="544"/>
      <c r="Y315" s="544"/>
      <c r="Z315" s="529"/>
      <c r="AA315" s="14"/>
      <c r="AB315" s="14"/>
      <c r="AC315" s="14"/>
      <c r="AD315" s="65"/>
      <c r="AE315" s="63"/>
      <c r="AF315" s="47"/>
      <c r="AG315" s="14"/>
      <c r="AH315" s="528"/>
      <c r="AI315" s="544"/>
      <c r="AJ315" s="544"/>
      <c r="AK315" s="544"/>
      <c r="AL315" s="544"/>
      <c r="AM315" s="544"/>
      <c r="AN315" s="544"/>
      <c r="AO315" s="529"/>
      <c r="AP315" s="14"/>
      <c r="AQ315" s="14"/>
      <c r="AR315" s="14"/>
      <c r="AS315" s="65"/>
      <c r="AT315" s="63"/>
      <c r="AU315" s="47"/>
      <c r="AV315" s="14"/>
      <c r="AW315" s="528"/>
      <c r="AX315" s="544"/>
      <c r="AY315" s="544"/>
      <c r="AZ315" s="544"/>
      <c r="BA315" s="544"/>
      <c r="BB315" s="544"/>
      <c r="BC315" s="544"/>
      <c r="BD315" s="529"/>
      <c r="BE315" s="14"/>
      <c r="BF315" s="14"/>
      <c r="BG315" s="14"/>
      <c r="BH315" s="65"/>
      <c r="BI315" s="63"/>
      <c r="BJ315" s="352"/>
      <c r="BK315" s="14"/>
      <c r="BL315" s="528"/>
      <c r="BM315" s="544"/>
      <c r="BN315" s="544"/>
      <c r="BO315" s="544"/>
      <c r="BP315" s="544"/>
      <c r="BQ315" s="544"/>
      <c r="BR315" s="544"/>
      <c r="BS315" s="529"/>
      <c r="BT315" s="14"/>
      <c r="BU315" s="14"/>
      <c r="BV315" s="14"/>
      <c r="BW315" s="65"/>
      <c r="BX315" s="63"/>
      <c r="BY315" s="352"/>
      <c r="BZ315" s="14"/>
      <c r="CA315" s="14"/>
      <c r="CB315" s="21"/>
      <c r="CC315" s="21"/>
      <c r="CD315" s="21"/>
      <c r="CE315" s="21"/>
      <c r="CF315" s="21"/>
      <c r="CG315" s="14"/>
      <c r="CH315" s="14"/>
      <c r="CI315" s="14"/>
      <c r="CJ315" s="14"/>
      <c r="CK315" s="14"/>
      <c r="CL315" s="14"/>
      <c r="CM315" s="14"/>
      <c r="CN315" s="14"/>
      <c r="CO315" s="129"/>
      <c r="CP315" s="14"/>
      <c r="CQ315" s="47"/>
      <c r="CR315" s="14"/>
      <c r="CS315" s="14"/>
      <c r="CT315" s="14"/>
      <c r="CU315" s="14"/>
      <c r="CV315" s="180"/>
      <c r="CW315" s="189"/>
      <c r="CX315" s="189"/>
      <c r="CY315" s="14"/>
      <c r="CZ315" s="14"/>
      <c r="DA315" s="14"/>
      <c r="DB315" s="14"/>
      <c r="DC315" s="14"/>
      <c r="DD315" s="14"/>
      <c r="DE315" s="14"/>
      <c r="DF315" s="14"/>
      <c r="DG315" s="129"/>
      <c r="DH315" s="14"/>
      <c r="DI315" s="47"/>
      <c r="DJ315" s="14"/>
      <c r="DK315" s="14"/>
      <c r="DL315" s="14"/>
      <c r="DM315" s="14"/>
      <c r="DN315" s="14"/>
      <c r="DO315" s="14"/>
      <c r="DP315" s="14"/>
      <c r="DQ315" s="14"/>
      <c r="DR315" s="14"/>
      <c r="DS315" s="14"/>
      <c r="DT315" s="19"/>
      <c r="DU315" s="107"/>
      <c r="DV315" s="105"/>
      <c r="DW315" s="105"/>
      <c r="DX315" s="105"/>
      <c r="DY315" s="105"/>
      <c r="DZ315" s="105"/>
      <c r="EA315" s="105"/>
      <c r="EB315" s="105"/>
      <c r="EC315" s="19"/>
      <c r="ED315" s="14"/>
      <c r="EE315" s="14"/>
      <c r="EF315" s="14"/>
      <c r="EG315" s="14"/>
      <c r="EH315" s="14"/>
      <c r="EI315" s="14"/>
      <c r="EJ315" s="14"/>
      <c r="EK315" s="14"/>
      <c r="EL315" s="14"/>
    </row>
    <row r="316" spans="1:142" x14ac:dyDescent="0.25">
      <c r="A316" s="14"/>
      <c r="B316" s="19"/>
      <c r="C316" s="40"/>
      <c r="D316" s="41"/>
      <c r="E316" s="40"/>
      <c r="F316" s="40"/>
      <c r="G316" s="40"/>
      <c r="H316" s="41"/>
      <c r="I316" s="72"/>
      <c r="J316" s="14"/>
      <c r="K316" s="14"/>
      <c r="L316" s="14"/>
      <c r="M316" s="14"/>
      <c r="N316" s="14"/>
      <c r="O316" s="14"/>
      <c r="P316" s="318"/>
      <c r="Q316" s="47"/>
      <c r="R316" s="14"/>
      <c r="S316" s="19"/>
      <c r="T316" s="14"/>
      <c r="U316" s="14"/>
      <c r="V316" s="14"/>
      <c r="W316" s="14"/>
      <c r="X316" s="14"/>
      <c r="Y316" s="14"/>
      <c r="Z316" s="14"/>
      <c r="AA316" s="14"/>
      <c r="AB316" s="14"/>
      <c r="AC316" s="14"/>
      <c r="AD316" s="65"/>
      <c r="AE316" s="63"/>
      <c r="AF316" s="47"/>
      <c r="AG316" s="14"/>
      <c r="AH316" s="19"/>
      <c r="AI316" s="14"/>
      <c r="AJ316" s="14"/>
      <c r="AK316" s="14"/>
      <c r="AL316" s="14"/>
      <c r="AM316" s="14"/>
      <c r="AN316" s="14"/>
      <c r="AO316" s="14"/>
      <c r="AP316" s="14"/>
      <c r="AQ316" s="14"/>
      <c r="AR316" s="14"/>
      <c r="AS316" s="65"/>
      <c r="AT316" s="63"/>
      <c r="AU316" s="47"/>
      <c r="AV316" s="14"/>
      <c r="AW316" s="19"/>
      <c r="AX316" s="14"/>
      <c r="AY316" s="14"/>
      <c r="AZ316" s="14"/>
      <c r="BA316" s="14"/>
      <c r="BB316" s="14"/>
      <c r="BC316" s="14"/>
      <c r="BD316" s="14"/>
      <c r="BE316" s="14"/>
      <c r="BF316" s="14"/>
      <c r="BG316" s="14"/>
      <c r="BH316" s="65"/>
      <c r="BI316" s="63"/>
      <c r="BJ316" s="352"/>
      <c r="BK316" s="14"/>
      <c r="BL316" s="19"/>
      <c r="BM316" s="14"/>
      <c r="BN316" s="14"/>
      <c r="BO316" s="14"/>
      <c r="BP316" s="14"/>
      <c r="BQ316" s="14"/>
      <c r="BR316" s="14"/>
      <c r="BS316" s="14"/>
      <c r="BT316" s="14"/>
      <c r="BU316" s="14"/>
      <c r="BV316" s="14"/>
      <c r="BW316" s="65"/>
      <c r="BX316" s="63"/>
      <c r="BY316" s="352"/>
      <c r="BZ316" s="14"/>
      <c r="CA316" s="14"/>
      <c r="CB316" s="21"/>
      <c r="CC316" s="21"/>
      <c r="CD316" s="21"/>
      <c r="CE316" s="21"/>
      <c r="CF316" s="21"/>
      <c r="CG316" s="14"/>
      <c r="CH316" s="14"/>
      <c r="CI316" s="14"/>
      <c r="CJ316" s="14"/>
      <c r="CK316" s="14"/>
      <c r="CL316" s="14"/>
      <c r="CM316" s="14"/>
      <c r="CN316" s="14"/>
      <c r="CO316" s="129"/>
      <c r="CP316" s="14"/>
      <c r="CQ316" s="49"/>
      <c r="CR316" s="14"/>
      <c r="CS316" s="14"/>
      <c r="CT316" s="14"/>
      <c r="CU316" s="14"/>
      <c r="CV316" s="180"/>
      <c r="CW316" s="189"/>
      <c r="CX316" s="189"/>
      <c r="CY316" s="14"/>
      <c r="CZ316" s="14"/>
      <c r="DA316" s="14"/>
      <c r="DB316" s="14"/>
      <c r="DC316" s="14"/>
      <c r="DD316" s="14"/>
      <c r="DE316" s="14"/>
      <c r="DF316" s="14"/>
      <c r="DG316" s="129"/>
      <c r="DH316" s="14"/>
      <c r="DI316" s="49"/>
      <c r="DJ316" s="14"/>
      <c r="DK316" s="14"/>
      <c r="DL316" s="14"/>
      <c r="DM316" s="14"/>
      <c r="DN316" s="14"/>
      <c r="DO316" s="14"/>
      <c r="DP316" s="14"/>
      <c r="DQ316" s="14"/>
      <c r="DR316" s="14"/>
      <c r="DS316" s="14"/>
      <c r="DT316" s="19"/>
      <c r="DU316" s="107"/>
      <c r="DV316" s="105"/>
      <c r="DW316" s="105"/>
      <c r="DX316" s="105"/>
      <c r="DY316" s="105"/>
      <c r="DZ316" s="105"/>
      <c r="EA316" s="105"/>
      <c r="EB316" s="105"/>
      <c r="EC316" s="19"/>
      <c r="ED316" s="14"/>
      <c r="EE316" s="14"/>
      <c r="EF316" s="14"/>
      <c r="EG316" s="14"/>
      <c r="EH316" s="14"/>
      <c r="EI316" s="14"/>
      <c r="EJ316" s="14"/>
      <c r="EK316" s="14"/>
      <c r="EL316" s="14"/>
    </row>
    <row r="317" spans="1:142" x14ac:dyDescent="0.25">
      <c r="A317" s="78"/>
      <c r="B317" s="87" t="s">
        <v>764</v>
      </c>
      <c r="C317" s="78"/>
      <c r="D317" s="79"/>
      <c r="E317" s="78"/>
      <c r="F317" s="78"/>
      <c r="G317" s="78"/>
      <c r="H317" s="79"/>
      <c r="I317" s="79"/>
      <c r="J317" s="78"/>
      <c r="K317" s="78"/>
      <c r="L317" s="78"/>
      <c r="M317" s="78"/>
      <c r="N317" s="78"/>
      <c r="O317" s="78"/>
      <c r="P317" s="78"/>
      <c r="Q317" s="47"/>
      <c r="R317" s="19"/>
      <c r="S317" s="44"/>
      <c r="T317" s="44"/>
      <c r="U317" s="44"/>
      <c r="V317" s="44"/>
      <c r="W317" s="19"/>
      <c r="X317" s="14"/>
      <c r="Y317" s="14"/>
      <c r="Z317" s="14"/>
      <c r="AA317" s="14"/>
      <c r="AB317" s="14"/>
      <c r="AC317" s="14"/>
      <c r="AD317" s="42"/>
      <c r="AE317" s="19"/>
      <c r="AF317" s="47"/>
      <c r="AG317" s="19"/>
      <c r="AH317" s="19"/>
      <c r="AI317" s="14"/>
      <c r="AJ317" s="14"/>
      <c r="AK317" s="14"/>
      <c r="AL317" s="14"/>
      <c r="AM317" s="14"/>
      <c r="AN317" s="14"/>
      <c r="AO317" s="14"/>
      <c r="AP317" s="14"/>
      <c r="AQ317" s="14"/>
      <c r="AR317" s="14"/>
      <c r="AS317" s="42"/>
      <c r="AT317" s="19"/>
      <c r="AU317" s="16"/>
      <c r="AV317" s="14"/>
      <c r="AW317" s="19"/>
      <c r="AX317" s="14"/>
      <c r="AY317" s="14"/>
      <c r="AZ317" s="14"/>
      <c r="BA317" s="14"/>
      <c r="BB317" s="14"/>
      <c r="BC317" s="14"/>
      <c r="BD317" s="14"/>
      <c r="BE317" s="14"/>
      <c r="BF317" s="14"/>
      <c r="BG317" s="14"/>
      <c r="BH317" s="65"/>
      <c r="BI317" s="63"/>
      <c r="BJ317" s="352"/>
      <c r="BK317" s="19"/>
      <c r="BL317" s="19"/>
      <c r="BM317" s="14"/>
      <c r="BN317" s="14"/>
      <c r="BO317" s="14"/>
      <c r="BP317" s="14"/>
      <c r="BQ317" s="14"/>
      <c r="BR317" s="14"/>
      <c r="BS317" s="14"/>
      <c r="BT317" s="14"/>
      <c r="BU317" s="14"/>
      <c r="BV317" s="14"/>
      <c r="BW317" s="65"/>
      <c r="BX317" s="63"/>
      <c r="BY317" s="352"/>
      <c r="BZ317" s="14"/>
      <c r="CA317" s="14"/>
      <c r="CB317" s="21"/>
      <c r="CC317" s="21"/>
      <c r="CD317" s="21"/>
      <c r="CE317" s="21"/>
      <c r="CF317" s="21"/>
      <c r="CG317" s="14"/>
      <c r="CH317" s="14"/>
      <c r="CI317" s="14"/>
      <c r="CJ317" s="14"/>
      <c r="CK317" s="14"/>
      <c r="CL317" s="14"/>
      <c r="CM317" s="14"/>
      <c r="CN317" s="14"/>
      <c r="CO317" s="129"/>
      <c r="CP317" s="14"/>
      <c r="CQ317" s="16"/>
      <c r="CR317" s="14"/>
      <c r="CS317" s="14"/>
      <c r="CT317" s="14"/>
      <c r="CU317" s="14"/>
      <c r="CV317" s="180"/>
      <c r="CW317" s="189"/>
      <c r="CX317" s="189"/>
      <c r="CY317" s="14"/>
      <c r="CZ317" s="14"/>
      <c r="DA317" s="14"/>
      <c r="DB317" s="14"/>
      <c r="DC317" s="14"/>
      <c r="DD317" s="14"/>
      <c r="DE317" s="14"/>
      <c r="DF317" s="14"/>
      <c r="DG317" s="129"/>
      <c r="DH317" s="14"/>
      <c r="DI317" s="16"/>
      <c r="DJ317" s="14"/>
      <c r="DK317" s="14"/>
      <c r="DL317" s="14"/>
      <c r="DM317" s="14"/>
      <c r="DN317" s="14"/>
      <c r="DO317" s="14"/>
      <c r="DP317" s="14"/>
      <c r="DQ317" s="14"/>
      <c r="DR317" s="14"/>
      <c r="DS317" s="14"/>
      <c r="DT317" s="19"/>
      <c r="DU317" s="107"/>
      <c r="DV317" s="105"/>
      <c r="DW317" s="105"/>
      <c r="DX317" s="105"/>
      <c r="DY317" s="105"/>
      <c r="DZ317" s="105"/>
      <c r="EA317" s="105"/>
      <c r="EB317" s="105"/>
      <c r="EC317" s="19"/>
      <c r="ED317" s="14"/>
      <c r="EE317" s="14"/>
      <c r="EF317" s="14"/>
      <c r="EG317" s="14"/>
      <c r="EH317" s="14"/>
      <c r="EI317" s="14"/>
      <c r="EJ317" s="14"/>
      <c r="EK317" s="14"/>
      <c r="EL317" s="14"/>
    </row>
    <row r="318" spans="1:142" x14ac:dyDescent="0.25">
      <c r="A318" s="14"/>
      <c r="B318" s="19" t="s">
        <v>772</v>
      </c>
      <c r="C318" s="40"/>
      <c r="D318" s="41"/>
      <c r="E318" s="40"/>
      <c r="F318" s="14"/>
      <c r="G318" s="14"/>
      <c r="H318" s="21"/>
      <c r="I318" s="21"/>
      <c r="J318" s="14"/>
      <c r="K318" s="14"/>
      <c r="L318" s="14"/>
      <c r="M318" s="14"/>
      <c r="N318" s="14"/>
      <c r="O318" s="14"/>
      <c r="P318" s="14"/>
      <c r="Q318" s="47"/>
      <c r="R318" s="19"/>
      <c r="S318" s="14"/>
      <c r="T318" s="14"/>
      <c r="U318" s="14"/>
      <c r="V318" s="14"/>
      <c r="W318" s="14"/>
      <c r="X318" s="14"/>
      <c r="Y318" s="14"/>
      <c r="Z318" s="14"/>
      <c r="AA318" s="14"/>
      <c r="AB318" s="14"/>
      <c r="AC318" s="14"/>
      <c r="AD318" s="42"/>
      <c r="AE318" s="19"/>
      <c r="AF318" s="47"/>
      <c r="AG318" s="19"/>
      <c r="AH318" s="14"/>
      <c r="AI318" s="14"/>
      <c r="AJ318" s="14"/>
      <c r="AK318" s="14"/>
      <c r="AL318" s="14"/>
      <c r="AM318" s="14"/>
      <c r="AN318" s="14"/>
      <c r="AO318" s="14"/>
      <c r="AP318" s="14"/>
      <c r="AQ318" s="14"/>
      <c r="AR318" s="14"/>
      <c r="AS318" s="42"/>
      <c r="AT318" s="19"/>
      <c r="AU318" s="16"/>
      <c r="AV318" s="14"/>
      <c r="AW318" s="14"/>
      <c r="AX318" s="14"/>
      <c r="AY318" s="14"/>
      <c r="AZ318" s="14"/>
      <c r="BA318" s="14"/>
      <c r="BB318" s="14"/>
      <c r="BC318" s="14"/>
      <c r="BD318" s="14"/>
      <c r="BE318" s="14"/>
      <c r="BF318" s="14"/>
      <c r="BG318" s="14"/>
      <c r="BH318" s="65"/>
      <c r="BI318" s="63"/>
      <c r="BJ318" s="352"/>
      <c r="BK318" s="19"/>
      <c r="BL318" s="14"/>
      <c r="BM318" s="14"/>
      <c r="BN318" s="14"/>
      <c r="BO318" s="14"/>
      <c r="BP318" s="14"/>
      <c r="BQ318" s="14"/>
      <c r="BR318" s="14"/>
      <c r="BS318" s="14"/>
      <c r="BT318" s="14"/>
      <c r="BU318" s="14"/>
      <c r="BV318" s="14"/>
      <c r="BW318" s="65"/>
      <c r="BX318" s="63"/>
      <c r="BY318" s="352"/>
      <c r="BZ318" s="14"/>
      <c r="CA318" s="14"/>
      <c r="CB318" s="21"/>
      <c r="CC318" s="21"/>
      <c r="CD318" s="21"/>
      <c r="CE318" s="21"/>
      <c r="CF318" s="21"/>
      <c r="CG318" s="14"/>
      <c r="CH318" s="14"/>
      <c r="CI318" s="14"/>
      <c r="CJ318" s="14"/>
      <c r="CK318" s="14"/>
      <c r="CL318" s="14"/>
      <c r="CM318" s="14"/>
      <c r="CN318" s="14"/>
      <c r="CO318" s="129"/>
      <c r="CP318" s="14"/>
      <c r="CQ318" s="16"/>
      <c r="CR318" s="14"/>
      <c r="CS318" s="14"/>
      <c r="CT318" s="14"/>
      <c r="CU318" s="14"/>
      <c r="CV318" s="180"/>
      <c r="CW318" s="189"/>
      <c r="CX318" s="189"/>
      <c r="CY318" s="14"/>
      <c r="CZ318" s="14"/>
      <c r="DA318" s="14"/>
      <c r="DB318" s="14"/>
      <c r="DC318" s="14"/>
      <c r="DD318" s="14"/>
      <c r="DE318" s="14"/>
      <c r="DF318" s="14"/>
      <c r="DG318" s="129"/>
      <c r="DH318" s="14"/>
      <c r="DI318" s="16"/>
      <c r="DJ318" s="14"/>
      <c r="DK318" s="14"/>
      <c r="DL318" s="14"/>
      <c r="DM318" s="14"/>
      <c r="DN318" s="14"/>
      <c r="DO318" s="14"/>
      <c r="DP318" s="14"/>
      <c r="DQ318" s="14"/>
      <c r="DR318" s="14"/>
      <c r="DS318" s="14"/>
      <c r="DT318" s="19"/>
      <c r="DU318" s="107"/>
      <c r="DV318" s="105"/>
      <c r="DW318" s="105"/>
      <c r="DX318" s="105"/>
      <c r="DY318" s="105"/>
      <c r="DZ318" s="105"/>
      <c r="EA318" s="105"/>
      <c r="EB318" s="105"/>
      <c r="EC318" s="19"/>
      <c r="ED318" s="14"/>
      <c r="EE318" s="14"/>
      <c r="EF318" s="14"/>
      <c r="EG318" s="14"/>
      <c r="EH318" s="14"/>
      <c r="EI318" s="14"/>
      <c r="EJ318" s="14"/>
      <c r="EK318" s="14"/>
      <c r="EL318" s="14"/>
    </row>
    <row r="319" spans="1:142" x14ac:dyDescent="0.25">
      <c r="A319" s="14"/>
      <c r="B319" s="19"/>
      <c r="C319" s="40"/>
      <c r="D319" s="41"/>
      <c r="E319" s="40"/>
      <c r="F319" s="14"/>
      <c r="G319" s="14"/>
      <c r="H319" s="21"/>
      <c r="I319" s="21"/>
      <c r="J319" s="14"/>
      <c r="K319" s="14"/>
      <c r="L319" s="14"/>
      <c r="M319" s="14"/>
      <c r="N319" s="14"/>
      <c r="O319" s="14"/>
      <c r="P319" s="14"/>
      <c r="Q319" s="47"/>
      <c r="R319" s="19"/>
      <c r="S319" s="14"/>
      <c r="T319" s="14"/>
      <c r="U319" s="14"/>
      <c r="V319" s="14"/>
      <c r="W319" s="14"/>
      <c r="X319" s="14"/>
      <c r="Y319" s="14"/>
      <c r="Z319" s="14"/>
      <c r="AA319" s="14"/>
      <c r="AB319" s="14"/>
      <c r="AC319" s="14"/>
      <c r="AD319" s="42"/>
      <c r="AE319" s="19"/>
      <c r="AF319" s="47"/>
      <c r="AG319" s="19"/>
      <c r="AH319" s="14"/>
      <c r="AI319" s="14"/>
      <c r="AJ319" s="14"/>
      <c r="AK319" s="14"/>
      <c r="AL319" s="14"/>
      <c r="AM319" s="14"/>
      <c r="AN319" s="14"/>
      <c r="AO319" s="14"/>
      <c r="AP319" s="14"/>
      <c r="AQ319" s="14"/>
      <c r="AR319" s="14"/>
      <c r="AS319" s="42"/>
      <c r="AT319" s="19"/>
      <c r="AU319" s="16"/>
      <c r="AV319" s="14"/>
      <c r="AW319" s="14"/>
      <c r="AX319" s="14"/>
      <c r="AY319" s="14"/>
      <c r="AZ319" s="14"/>
      <c r="BA319" s="14"/>
      <c r="BB319" s="14"/>
      <c r="BC319" s="14"/>
      <c r="BD319" s="14"/>
      <c r="BE319" s="14"/>
      <c r="BF319" s="14"/>
      <c r="BG319" s="14"/>
      <c r="BH319" s="65"/>
      <c r="BI319" s="63"/>
      <c r="BJ319" s="352"/>
      <c r="BK319" s="19"/>
      <c r="BL319" s="14"/>
      <c r="BM319" s="14"/>
      <c r="BN319" s="14"/>
      <c r="BO319" s="14"/>
      <c r="BP319" s="14"/>
      <c r="BQ319" s="14"/>
      <c r="BR319" s="14"/>
      <c r="BS319" s="14"/>
      <c r="BT319" s="14"/>
      <c r="BU319" s="14"/>
      <c r="BV319" s="14"/>
      <c r="BW319" s="65"/>
      <c r="BX319" s="63"/>
      <c r="BY319" s="352"/>
      <c r="BZ319" s="14"/>
      <c r="CA319" s="14"/>
      <c r="CB319" s="21"/>
      <c r="CC319" s="21"/>
      <c r="CD319" s="21"/>
      <c r="CE319" s="21"/>
      <c r="CF319" s="21"/>
      <c r="CG319" s="14"/>
      <c r="CH319" s="14"/>
      <c r="CI319" s="14"/>
      <c r="CJ319" s="14"/>
      <c r="CK319" s="14"/>
      <c r="CL319" s="14"/>
      <c r="CM319" s="14"/>
      <c r="CN319" s="14"/>
      <c r="CO319" s="129"/>
      <c r="CP319" s="14"/>
      <c r="CQ319" s="16"/>
      <c r="CR319" s="14"/>
      <c r="CS319" s="14"/>
      <c r="CT319" s="14"/>
      <c r="CU319" s="14"/>
      <c r="CV319" s="180"/>
      <c r="CW319" s="189"/>
      <c r="CX319" s="189"/>
      <c r="CY319" s="14"/>
      <c r="CZ319" s="14"/>
      <c r="DA319" s="14"/>
      <c r="DB319" s="14"/>
      <c r="DC319" s="14"/>
      <c r="DD319" s="14"/>
      <c r="DE319" s="14"/>
      <c r="DF319" s="14"/>
      <c r="DG319" s="129"/>
      <c r="DH319" s="14"/>
      <c r="DI319" s="16"/>
      <c r="DJ319" s="14"/>
      <c r="DK319" s="14"/>
      <c r="DL319" s="14"/>
      <c r="DM319" s="14"/>
      <c r="DN319" s="14"/>
      <c r="DO319" s="14"/>
      <c r="DP319" s="14"/>
      <c r="DQ319" s="14"/>
      <c r="DR319" s="14"/>
      <c r="DS319" s="14"/>
      <c r="DT319" s="19"/>
      <c r="DU319" s="199"/>
      <c r="DV319" s="200"/>
      <c r="DW319" s="200"/>
      <c r="DX319" s="200"/>
      <c r="DY319" s="200"/>
      <c r="DZ319" s="200"/>
      <c r="EA319" s="200"/>
      <c r="EB319" s="200"/>
      <c r="EC319" s="19"/>
      <c r="ED319" s="14"/>
      <c r="EE319" s="14"/>
      <c r="EF319" s="14"/>
      <c r="EG319" s="14"/>
      <c r="EH319" s="14"/>
      <c r="EI319" s="14"/>
      <c r="EJ319" s="14"/>
      <c r="EK319" s="14"/>
      <c r="EL319" s="14"/>
    </row>
    <row r="320" spans="1:142" x14ac:dyDescent="0.25">
      <c r="A320" s="14"/>
      <c r="B320" s="379" t="s">
        <v>765</v>
      </c>
      <c r="C320" s="354"/>
      <c r="D320" s="380"/>
      <c r="E320" s="354"/>
      <c r="F320" s="382">
        <f>COUNTIFS(Response_Q181_1,"Somewhat Confident",Response_Q173_7,"I don’t know",Response_Q172_1,"I don’t know",Response_Q176_4,"I don’t know",Response_30d_CaseA,"I don’t know",Response_30d_CaseB,"I don’t know",Response_30d_CaseC,"I don’t know",Response_Q177_2,"I don’t know",Response_Q177_4,"I don’t know",Response_Q177_6,"I don’t know",Response_Q177_8,"I don’t know",Response_Q177_10,"I don’t know",Response_Q177_12,"I don’t know",Response_Q177_14,"I don’t know",Response_Q178_2,"I don’t know",Response_Q178_4,"I don’t know",Response_Q178_6,"I don’t know",Response_Q178_8,"I don’t know",Response_Q178_10,"I don’t know",Response_Q178_12,"I don’t know")</f>
        <v>0</v>
      </c>
      <c r="G320" s="14"/>
      <c r="H320" s="21"/>
      <c r="I320" s="21"/>
      <c r="J320" s="14"/>
      <c r="K320" s="14"/>
      <c r="L320" s="14"/>
      <c r="M320" s="14"/>
      <c r="N320" s="14"/>
      <c r="O320" s="14"/>
      <c r="P320" s="14"/>
      <c r="Q320" s="47"/>
      <c r="R320" s="19"/>
      <c r="S320" s="14"/>
      <c r="T320" s="14"/>
      <c r="U320" s="14"/>
      <c r="V320" s="14"/>
      <c r="W320" s="14"/>
      <c r="X320" s="14"/>
      <c r="Y320" s="14"/>
      <c r="Z320" s="14"/>
      <c r="AA320" s="14"/>
      <c r="AB320" s="14"/>
      <c r="AC320" s="14"/>
      <c r="AD320" s="42"/>
      <c r="AE320" s="19"/>
      <c r="AF320" s="47"/>
      <c r="AG320" s="19"/>
      <c r="AH320" s="14"/>
      <c r="AI320" s="14"/>
      <c r="AJ320" s="14"/>
      <c r="AK320" s="14"/>
      <c r="AL320" s="14"/>
      <c r="AM320" s="14"/>
      <c r="AN320" s="14"/>
      <c r="AO320" s="14"/>
      <c r="AP320" s="14"/>
      <c r="AQ320" s="14"/>
      <c r="AR320" s="14"/>
      <c r="AS320" s="42"/>
      <c r="AT320" s="19"/>
      <c r="AU320" s="16"/>
      <c r="AV320" s="14"/>
      <c r="AW320" s="14"/>
      <c r="AX320" s="14"/>
      <c r="AY320" s="14"/>
      <c r="AZ320" s="14"/>
      <c r="BA320" s="14"/>
      <c r="BB320" s="14"/>
      <c r="BC320" s="14"/>
      <c r="BD320" s="14"/>
      <c r="BE320" s="14"/>
      <c r="BF320" s="14"/>
      <c r="BG320" s="14"/>
      <c r="BH320" s="65"/>
      <c r="BI320" s="63"/>
      <c r="BJ320" s="352"/>
      <c r="BK320" s="19"/>
      <c r="BL320" s="14"/>
      <c r="BM320" s="14"/>
      <c r="BN320" s="14"/>
      <c r="BO320" s="14"/>
      <c r="BP320" s="14"/>
      <c r="BQ320" s="14"/>
      <c r="BR320" s="14"/>
      <c r="BS320" s="14"/>
      <c r="BT320" s="14"/>
      <c r="BU320" s="14"/>
      <c r="BV320" s="14"/>
      <c r="BW320" s="65"/>
      <c r="BX320" s="63"/>
      <c r="BY320" s="352"/>
      <c r="BZ320" s="14"/>
      <c r="CA320" s="14"/>
      <c r="CB320" s="21"/>
      <c r="CC320" s="21"/>
      <c r="CD320" s="21"/>
      <c r="CE320" s="21"/>
      <c r="CF320" s="21"/>
      <c r="CG320" s="14"/>
      <c r="CH320" s="14"/>
      <c r="CI320" s="14"/>
      <c r="CJ320" s="14"/>
      <c r="CK320" s="14"/>
      <c r="CL320" s="14"/>
      <c r="CM320" s="14"/>
      <c r="CN320" s="14"/>
      <c r="CO320" s="129"/>
      <c r="CP320" s="14"/>
      <c r="CQ320" s="16"/>
      <c r="CR320" s="14"/>
      <c r="CS320" s="14"/>
      <c r="CT320" s="14"/>
      <c r="CU320" s="14"/>
      <c r="CV320" s="180"/>
      <c r="CW320" s="189"/>
      <c r="CX320" s="189"/>
      <c r="CY320" s="14"/>
      <c r="CZ320" s="14"/>
      <c r="DA320" s="14"/>
      <c r="DB320" s="14"/>
      <c r="DC320" s="14"/>
      <c r="DD320" s="14"/>
      <c r="DE320" s="14"/>
      <c r="DF320" s="14"/>
      <c r="DG320" s="129"/>
      <c r="DH320" s="14"/>
      <c r="DI320" s="16"/>
      <c r="DJ320" s="14"/>
      <c r="DK320" s="14"/>
      <c r="DL320" s="14"/>
      <c r="DM320" s="14"/>
      <c r="DN320" s="14"/>
      <c r="DO320" s="14"/>
      <c r="DP320" s="14"/>
      <c r="DQ320" s="14"/>
      <c r="DR320" s="14"/>
      <c r="DS320" s="14"/>
      <c r="DT320" s="19"/>
      <c r="DU320" s="19"/>
      <c r="DV320" s="19"/>
      <c r="DW320" s="19"/>
      <c r="DX320" s="19"/>
      <c r="DY320" s="19"/>
      <c r="DZ320" s="19"/>
      <c r="EA320" s="19"/>
      <c r="EB320" s="19"/>
      <c r="EC320" s="19"/>
      <c r="ED320" s="14"/>
      <c r="EE320" s="14"/>
      <c r="EF320" s="14"/>
      <c r="EG320" s="14"/>
      <c r="EH320" s="14"/>
      <c r="EI320" s="14"/>
      <c r="EJ320" s="14"/>
      <c r="EK320" s="14"/>
      <c r="EL320" s="14"/>
    </row>
    <row r="321" spans="1:142" x14ac:dyDescent="0.25">
      <c r="A321" s="14"/>
      <c r="B321" s="203" t="s">
        <v>766</v>
      </c>
      <c r="C321" s="19"/>
      <c r="D321" s="27"/>
      <c r="E321" s="19"/>
      <c r="F321" s="383">
        <f>COUNTIFS(Response_Q181_1,"Confident",Response_Q173_7,"I don’t know",Response_Q172_1,"I don’t know",Response_Q176_4,"I don’t know",Response_30d_CaseA,"I don’t know",Response_30d_CaseB,"I don’t know",Response_30d_CaseC,"I don’t know",Response_Q177_2,"I don’t know",Response_Q177_4,"I don’t know",Response_Q177_6,"I don’t know",Response_Q177_8,"I don’t know",Response_Q177_10,"I don’t know",Response_Q177_12,"I don’t know",Response_Q177_14,"I don’t know",Response_Q178_2,"I don’t know",Response_Q178_4,"I don’t know",Response_Q178_6,"I don’t know",Response_Q178_8,"I don’t know",Response_Q178_10,"I don’t know",Response_Q178_12,"I don’t know")</f>
        <v>0</v>
      </c>
      <c r="G321" s="14"/>
      <c r="H321" s="21"/>
      <c r="I321" s="21"/>
      <c r="J321" s="14"/>
      <c r="K321" s="14"/>
      <c r="L321" s="14"/>
      <c r="M321" s="14"/>
      <c r="N321" s="14"/>
      <c r="O321" s="14"/>
      <c r="P321" s="14"/>
      <c r="Q321" s="47"/>
      <c r="R321" s="19"/>
      <c r="S321" s="14"/>
      <c r="T321" s="14"/>
      <c r="U321" s="14"/>
      <c r="V321" s="14"/>
      <c r="W321" s="14"/>
      <c r="X321" s="14"/>
      <c r="Y321" s="14"/>
      <c r="Z321" s="14"/>
      <c r="AA321" s="14"/>
      <c r="AB321" s="14"/>
      <c r="AC321" s="14"/>
      <c r="AD321" s="42"/>
      <c r="AE321" s="19"/>
      <c r="AF321" s="47"/>
      <c r="AG321" s="19"/>
      <c r="AH321" s="14"/>
      <c r="AI321" s="14"/>
      <c r="AJ321" s="14"/>
      <c r="AK321" s="14"/>
      <c r="AL321" s="14"/>
      <c r="AM321" s="14"/>
      <c r="AN321" s="14"/>
      <c r="AO321" s="14"/>
      <c r="AP321" s="14"/>
      <c r="AQ321" s="14"/>
      <c r="AR321" s="14"/>
      <c r="AS321" s="42"/>
      <c r="AT321" s="19"/>
      <c r="AU321" s="16"/>
      <c r="AV321" s="14"/>
      <c r="AW321" s="14"/>
      <c r="AX321" s="14"/>
      <c r="AY321" s="14"/>
      <c r="AZ321" s="14"/>
      <c r="BA321" s="14"/>
      <c r="BB321" s="14"/>
      <c r="BC321" s="14"/>
      <c r="BD321" s="14"/>
      <c r="BE321" s="14"/>
      <c r="BF321" s="14"/>
      <c r="BG321" s="14"/>
      <c r="BH321" s="65"/>
      <c r="BI321" s="63"/>
      <c r="BJ321" s="352"/>
      <c r="BK321" s="19"/>
      <c r="BL321" s="14"/>
      <c r="BM321" s="14"/>
      <c r="BN321" s="14"/>
      <c r="BO321" s="14"/>
      <c r="BP321" s="14"/>
      <c r="BQ321" s="14"/>
      <c r="BR321" s="14"/>
      <c r="BS321" s="14"/>
      <c r="BT321" s="14"/>
      <c r="BU321" s="14"/>
      <c r="BV321" s="14"/>
      <c r="BW321" s="65"/>
      <c r="BX321" s="63"/>
      <c r="BY321" s="352"/>
      <c r="BZ321" s="14"/>
      <c r="CA321" s="14"/>
      <c r="CB321" s="21"/>
      <c r="CC321" s="21"/>
      <c r="CD321" s="21"/>
      <c r="CE321" s="21"/>
      <c r="CF321" s="21"/>
      <c r="CG321" s="14"/>
      <c r="CH321" s="14"/>
      <c r="CI321" s="14"/>
      <c r="CJ321" s="14"/>
      <c r="CK321" s="14"/>
      <c r="CL321" s="14"/>
      <c r="CM321" s="14"/>
      <c r="CN321" s="14"/>
      <c r="CO321" s="129"/>
      <c r="CP321" s="14"/>
      <c r="CQ321" s="16"/>
      <c r="CR321" s="14"/>
      <c r="CS321" s="14"/>
      <c r="CT321" s="14"/>
      <c r="CU321" s="14"/>
      <c r="CV321" s="180"/>
      <c r="CW321" s="189"/>
      <c r="CX321" s="189"/>
      <c r="CY321" s="14"/>
      <c r="CZ321" s="14"/>
      <c r="DA321" s="14"/>
      <c r="DB321" s="14"/>
      <c r="DC321" s="14"/>
      <c r="DD321" s="14"/>
      <c r="DE321" s="14"/>
      <c r="DF321" s="14"/>
      <c r="DG321" s="129"/>
      <c r="DH321" s="14"/>
      <c r="DI321" s="16"/>
      <c r="DJ321" s="14"/>
      <c r="DK321" s="14"/>
      <c r="DL321" s="14"/>
      <c r="DM321" s="14"/>
      <c r="DN321" s="14"/>
      <c r="DO321" s="14"/>
      <c r="DP321" s="14"/>
      <c r="DQ321" s="14"/>
      <c r="DR321" s="14"/>
      <c r="DS321" s="14"/>
      <c r="DT321" s="19"/>
      <c r="DU321" s="19"/>
      <c r="DV321" s="19"/>
      <c r="DW321" s="19"/>
      <c r="DX321" s="19"/>
      <c r="DY321" s="19"/>
      <c r="DZ321" s="19"/>
      <c r="EA321" s="19"/>
      <c r="EB321" s="19"/>
      <c r="EC321" s="19"/>
      <c r="ED321" s="14"/>
      <c r="EE321" s="14"/>
      <c r="EF321" s="14"/>
      <c r="EG321" s="14"/>
      <c r="EH321" s="14"/>
      <c r="EI321" s="14"/>
      <c r="EJ321" s="14"/>
      <c r="EK321" s="14"/>
      <c r="EL321" s="14"/>
    </row>
    <row r="322" spans="1:142" x14ac:dyDescent="0.25">
      <c r="A322" s="14"/>
      <c r="B322" s="319" t="s">
        <v>767</v>
      </c>
      <c r="C322" s="321"/>
      <c r="D322" s="381"/>
      <c r="E322" s="321"/>
      <c r="F322" s="384">
        <f>COUNTIFS(Response_Q181_1,"Very Confident",Response_Q173_7,"I don’t know",Response_Q172_1,"I don’t know",Response_Q176_4,"I don’t know",Response_30d_CaseA,"I don’t know",Response_30d_CaseB,"I don’t know",Response_30d_CaseC,"I don’t know",Response_Q177_2,"I don’t know",Response_Q177_4,"I don’t know",Response_Q177_6,"I don’t know",Response_Q177_8,"I don’t know",Response_Q177_10,"I don’t know",Response_Q177_12,"I don’t know",Response_Q177_14,"I don’t know",Response_Q178_2,"I don’t know",Response_Q178_4,"I don’t know",Response_Q178_6,"I don’t know",Response_Q178_8,"I don’t know",Response_Q178_10,"I don’t know",Response_Q178_12,"I don’t know")</f>
        <v>0</v>
      </c>
      <c r="G322" s="14"/>
      <c r="H322" s="21"/>
      <c r="I322" s="21"/>
      <c r="J322" s="14"/>
      <c r="K322" s="14"/>
      <c r="L322" s="14"/>
      <c r="M322" s="14"/>
      <c r="N322" s="14"/>
      <c r="O322" s="14"/>
      <c r="P322" s="14"/>
      <c r="Q322" s="47"/>
      <c r="R322" s="19"/>
      <c r="S322" s="14"/>
      <c r="T322" s="14"/>
      <c r="U322" s="14"/>
      <c r="V322" s="14"/>
      <c r="W322" s="14"/>
      <c r="X322" s="14"/>
      <c r="Y322" s="14"/>
      <c r="Z322" s="14"/>
      <c r="AA322" s="14"/>
      <c r="AB322" s="14"/>
      <c r="AC322" s="14"/>
      <c r="AD322" s="42"/>
      <c r="AE322" s="19"/>
      <c r="AF322" s="47"/>
      <c r="AG322" s="19"/>
      <c r="AH322" s="14"/>
      <c r="AI322" s="14"/>
      <c r="AJ322" s="14"/>
      <c r="AK322" s="14"/>
      <c r="AL322" s="14"/>
      <c r="AM322" s="14"/>
      <c r="AN322" s="14"/>
      <c r="AO322" s="14"/>
      <c r="AP322" s="14"/>
      <c r="AQ322" s="14"/>
      <c r="AR322" s="14"/>
      <c r="AS322" s="42"/>
      <c r="AT322" s="19"/>
      <c r="AU322" s="16"/>
      <c r="AV322" s="14"/>
      <c r="AW322" s="14"/>
      <c r="AX322" s="14"/>
      <c r="AY322" s="14"/>
      <c r="AZ322" s="14"/>
      <c r="BA322" s="14"/>
      <c r="BB322" s="14"/>
      <c r="BC322" s="14"/>
      <c r="BD322" s="14"/>
      <c r="BE322" s="14"/>
      <c r="BF322" s="14"/>
      <c r="BG322" s="14"/>
      <c r="BH322" s="65"/>
      <c r="BI322" s="63"/>
      <c r="BJ322" s="352"/>
      <c r="BK322" s="19"/>
      <c r="BL322" s="14"/>
      <c r="BM322" s="14"/>
      <c r="BN322" s="14"/>
      <c r="BO322" s="14"/>
      <c r="BP322" s="14"/>
      <c r="BQ322" s="14"/>
      <c r="BR322" s="14"/>
      <c r="BS322" s="14"/>
      <c r="BT322" s="14"/>
      <c r="BU322" s="14"/>
      <c r="BV322" s="14"/>
      <c r="BW322" s="65"/>
      <c r="BX322" s="63"/>
      <c r="BY322" s="352"/>
      <c r="BZ322" s="14"/>
      <c r="CA322" s="14"/>
      <c r="CB322" s="21"/>
      <c r="CC322" s="21"/>
      <c r="CD322" s="21"/>
      <c r="CE322" s="21"/>
      <c r="CF322" s="21"/>
      <c r="CG322" s="14"/>
      <c r="CH322" s="14"/>
      <c r="CI322" s="14"/>
      <c r="CJ322" s="14"/>
      <c r="CK322" s="14"/>
      <c r="CL322" s="14"/>
      <c r="CM322" s="14"/>
      <c r="CN322" s="14"/>
      <c r="CO322" s="129"/>
      <c r="CP322" s="14"/>
      <c r="CQ322" s="16"/>
      <c r="CR322" s="14"/>
      <c r="CS322" s="14"/>
      <c r="CT322" s="14"/>
      <c r="CU322" s="14"/>
      <c r="CV322" s="180"/>
      <c r="CW322" s="189"/>
      <c r="CX322" s="189"/>
      <c r="CY322" s="14"/>
      <c r="CZ322" s="14"/>
      <c r="DA322" s="14"/>
      <c r="DB322" s="14"/>
      <c r="DC322" s="14"/>
      <c r="DD322" s="14"/>
      <c r="DE322" s="14"/>
      <c r="DF322" s="14"/>
      <c r="DG322" s="129"/>
      <c r="DH322" s="14"/>
      <c r="DI322" s="16"/>
      <c r="DJ322" s="14"/>
      <c r="DK322" s="14"/>
      <c r="DL322" s="14"/>
      <c r="DM322" s="14"/>
      <c r="DN322" s="14"/>
      <c r="DO322" s="14"/>
      <c r="DP322" s="14"/>
      <c r="DQ322" s="14"/>
      <c r="DR322" s="14"/>
      <c r="DS322" s="14"/>
      <c r="DT322" s="19"/>
      <c r="DU322" s="6"/>
      <c r="DV322" s="6"/>
      <c r="DW322" s="6"/>
      <c r="DX322" s="6"/>
      <c r="DY322" s="6"/>
      <c r="DZ322" s="6"/>
      <c r="EA322" s="6"/>
      <c r="EB322" s="6"/>
      <c r="EC322" s="19"/>
      <c r="ED322" s="14"/>
      <c r="EE322" s="14"/>
      <c r="EF322" s="14"/>
      <c r="EG322" s="14"/>
      <c r="EH322" s="14"/>
      <c r="EI322" s="14"/>
      <c r="EJ322" s="14"/>
      <c r="EK322" s="14"/>
      <c r="EL322" s="14"/>
    </row>
    <row r="323" spans="1:142" x14ac:dyDescent="0.25">
      <c r="A323" s="14"/>
      <c r="B323" s="14"/>
      <c r="C323" s="14"/>
      <c r="D323" s="21"/>
      <c r="E323" s="14"/>
      <c r="F323" s="14"/>
      <c r="G323" s="14"/>
      <c r="H323" s="21"/>
      <c r="I323" s="21"/>
      <c r="J323" s="14"/>
      <c r="K323" s="14"/>
      <c r="L323" s="14"/>
      <c r="M323" s="14"/>
      <c r="N323" s="14"/>
      <c r="O323" s="14"/>
      <c r="P323" s="14"/>
      <c r="Q323" s="47"/>
      <c r="R323" s="19"/>
      <c r="S323" s="14"/>
      <c r="T323" s="14"/>
      <c r="U323" s="14"/>
      <c r="V323" s="14"/>
      <c r="W323" s="14"/>
      <c r="X323" s="14"/>
      <c r="Y323" s="14"/>
      <c r="Z323" s="14"/>
      <c r="AA323" s="14"/>
      <c r="AB323" s="14"/>
      <c r="AC323" s="14"/>
      <c r="AD323" s="42"/>
      <c r="AE323" s="19"/>
      <c r="AF323" s="47"/>
      <c r="AG323" s="19"/>
      <c r="AH323" s="14"/>
      <c r="AI323" s="14"/>
      <c r="AJ323" s="14"/>
      <c r="AK323" s="14"/>
      <c r="AL323" s="14"/>
      <c r="AM323" s="14"/>
      <c r="AN323" s="14"/>
      <c r="AO323" s="14"/>
      <c r="AP323" s="14"/>
      <c r="AQ323" s="14"/>
      <c r="AR323" s="14"/>
      <c r="AS323" s="42"/>
      <c r="AT323" s="19"/>
      <c r="AU323" s="16"/>
      <c r="AV323" s="14"/>
      <c r="AW323" s="14"/>
      <c r="AX323" s="14"/>
      <c r="AY323" s="14"/>
      <c r="AZ323" s="14"/>
      <c r="BA323" s="14"/>
      <c r="BB323" s="14"/>
      <c r="BC323" s="14"/>
      <c r="BD323" s="14"/>
      <c r="BE323" s="14"/>
      <c r="BF323" s="14"/>
      <c r="BG323" s="14"/>
      <c r="BH323" s="65"/>
      <c r="BI323" s="63"/>
      <c r="BJ323" s="352"/>
      <c r="BK323" s="19"/>
      <c r="BL323" s="14"/>
      <c r="BM323" s="14"/>
      <c r="BN323" s="14"/>
      <c r="BO323" s="14"/>
      <c r="BP323" s="14"/>
      <c r="BQ323" s="14"/>
      <c r="BR323" s="14"/>
      <c r="BS323" s="14"/>
      <c r="BT323" s="14"/>
      <c r="BU323" s="14"/>
      <c r="BV323" s="14"/>
      <c r="BW323" s="65"/>
      <c r="BX323" s="63"/>
      <c r="BY323" s="352"/>
      <c r="BZ323" s="14"/>
      <c r="CA323" s="14"/>
      <c r="CB323" s="21"/>
      <c r="CC323" s="21"/>
      <c r="CD323" s="21"/>
      <c r="CE323" s="21"/>
      <c r="CF323" s="21"/>
      <c r="CG323" s="14"/>
      <c r="CH323" s="14"/>
      <c r="CI323" s="14"/>
      <c r="CJ323" s="14"/>
      <c r="CK323" s="14"/>
      <c r="CL323" s="14"/>
      <c r="CM323" s="14"/>
      <c r="CN323" s="14"/>
      <c r="CO323" s="129"/>
      <c r="CP323" s="14"/>
      <c r="CQ323" s="16"/>
      <c r="CR323" s="14"/>
      <c r="CS323" s="14"/>
      <c r="CT323" s="14"/>
      <c r="CU323" s="14"/>
      <c r="CV323" s="180"/>
      <c r="CW323" s="189"/>
      <c r="CX323" s="189"/>
      <c r="CY323" s="14"/>
      <c r="CZ323" s="14"/>
      <c r="DA323" s="14"/>
      <c r="DB323" s="14"/>
      <c r="DC323" s="14"/>
      <c r="DD323" s="14"/>
      <c r="DE323" s="14"/>
      <c r="DF323" s="14"/>
      <c r="DG323" s="129"/>
      <c r="DH323" s="14"/>
      <c r="DI323" s="16"/>
      <c r="DJ323" s="14"/>
      <c r="DK323" s="14"/>
      <c r="DL323" s="14"/>
      <c r="DM323" s="14"/>
      <c r="DN323" s="14"/>
      <c r="DO323" s="14"/>
      <c r="DP323" s="14"/>
      <c r="DQ323" s="14"/>
      <c r="DR323" s="14"/>
      <c r="DS323" s="14"/>
      <c r="DT323" s="19"/>
      <c r="DU323" s="6"/>
      <c r="DV323" s="6"/>
      <c r="DW323" s="6"/>
      <c r="DX323" s="6"/>
      <c r="DY323" s="6"/>
      <c r="DZ323" s="6"/>
      <c r="EA323" s="6"/>
      <c r="EB323" s="6"/>
      <c r="EC323" s="19"/>
      <c r="ED323" s="14"/>
      <c r="EE323" s="14"/>
      <c r="EF323" s="14"/>
      <c r="EG323" s="14"/>
      <c r="EH323" s="14"/>
      <c r="EI323" s="14"/>
      <c r="EJ323" s="14"/>
      <c r="EK323" s="14"/>
      <c r="EL323" s="14"/>
    </row>
    <row r="324" spans="1:142" x14ac:dyDescent="0.25">
      <c r="L324" s="22"/>
      <c r="M324" s="22"/>
      <c r="N324" s="22"/>
      <c r="O324" s="22"/>
      <c r="P324" s="22"/>
      <c r="Q324" s="388"/>
      <c r="R324" s="70"/>
      <c r="AC324" s="22"/>
      <c r="AD324" s="393"/>
      <c r="AE324" s="70"/>
      <c r="AF324" s="388"/>
      <c r="AR324" s="22"/>
      <c r="AS324" s="393"/>
      <c r="AT324" s="70"/>
      <c r="AU324" s="388"/>
      <c r="BG324" s="22"/>
      <c r="BH324" s="393"/>
      <c r="BI324" s="70"/>
      <c r="BJ324" s="394"/>
      <c r="BV324" s="22"/>
      <c r="BW324" s="393"/>
      <c r="BX324" s="70"/>
      <c r="BY324" s="394"/>
      <c r="CV324" s="389"/>
      <c r="CW324" s="390"/>
      <c r="CX324" s="390"/>
      <c r="DT324" s="70"/>
      <c r="DU324" s="391"/>
      <c r="DV324" s="392"/>
      <c r="DW324" s="392"/>
      <c r="DX324" s="392"/>
      <c r="DY324" s="392"/>
      <c r="DZ324" s="392"/>
      <c r="EA324" s="392"/>
      <c r="EB324" s="392"/>
      <c r="EC324" s="70"/>
    </row>
    <row r="325" spans="1:142" x14ac:dyDescent="0.25">
      <c r="AD325" s="395"/>
      <c r="AE325" s="396"/>
      <c r="AF325" s="397"/>
      <c r="BH325" s="395"/>
      <c r="BJ325" s="397"/>
      <c r="BW325" s="395"/>
      <c r="BX325" s="396"/>
      <c r="BY325" s="397"/>
      <c r="DT325" s="70"/>
      <c r="DU325" s="391"/>
      <c r="DV325" s="392"/>
      <c r="DW325" s="392"/>
      <c r="DX325" s="392"/>
      <c r="DY325" s="392"/>
      <c r="DZ325" s="392"/>
      <c r="EA325" s="392"/>
      <c r="EB325" s="392"/>
      <c r="EC325" s="70"/>
    </row>
    <row r="326" spans="1:142" x14ac:dyDescent="0.25">
      <c r="DT326" s="70"/>
      <c r="DU326" s="391"/>
      <c r="DV326" s="392"/>
      <c r="DW326" s="392"/>
      <c r="DX326" s="392"/>
      <c r="DY326" s="392"/>
      <c r="DZ326" s="392"/>
      <c r="EA326" s="392"/>
      <c r="EB326" s="392"/>
      <c r="EC326" s="70"/>
    </row>
    <row r="327" spans="1:142" x14ac:dyDescent="0.25">
      <c r="DT327" s="70"/>
      <c r="DU327" s="391"/>
      <c r="DV327" s="392"/>
      <c r="DW327" s="392"/>
      <c r="DX327" s="392"/>
      <c r="DY327" s="392"/>
      <c r="DZ327" s="392"/>
      <c r="EA327" s="392"/>
      <c r="EB327" s="392"/>
      <c r="EC327" s="70"/>
    </row>
    <row r="328" spans="1:142" x14ac:dyDescent="0.25">
      <c r="DT328" s="70"/>
      <c r="DU328" s="70"/>
      <c r="DV328" s="70"/>
      <c r="DW328" s="70"/>
      <c r="DX328" s="70"/>
      <c r="DY328" s="70"/>
      <c r="DZ328" s="70"/>
      <c r="EA328" s="70"/>
      <c r="EB328" s="70"/>
      <c r="EC328" s="70"/>
    </row>
    <row r="329" spans="1:142" x14ac:dyDescent="0.25">
      <c r="DT329" s="70"/>
      <c r="DU329" s="70"/>
      <c r="DV329" s="70"/>
      <c r="DW329" s="70"/>
      <c r="DX329" s="70"/>
      <c r="DY329" s="70"/>
      <c r="DZ329" s="70"/>
      <c r="EA329" s="70"/>
      <c r="EB329" s="70"/>
      <c r="EC329" s="70"/>
    </row>
    <row r="330" spans="1:142" x14ac:dyDescent="0.25">
      <c r="DT330" s="70"/>
      <c r="DU330" s="70"/>
      <c r="DV330" s="70"/>
      <c r="DW330" s="70"/>
      <c r="DX330" s="70"/>
      <c r="DY330" s="70"/>
      <c r="DZ330" s="70"/>
      <c r="EA330" s="70"/>
      <c r="EB330" s="70"/>
      <c r="EC330" s="70"/>
    </row>
    <row r="331" spans="1:142" x14ac:dyDescent="0.25">
      <c r="DT331" s="70"/>
      <c r="DU331" s="70"/>
      <c r="DV331" s="70"/>
      <c r="DW331" s="70"/>
      <c r="DX331" s="70"/>
      <c r="DY331" s="70"/>
      <c r="DZ331" s="70"/>
      <c r="EA331" s="70"/>
      <c r="EB331" s="70"/>
      <c r="EC331" s="70"/>
    </row>
  </sheetData>
  <mergeCells count="85">
    <mergeCell ref="B312:I315"/>
    <mergeCell ref="S312:Z315"/>
    <mergeCell ref="AH312:AO315"/>
    <mergeCell ref="AW312:BD315"/>
    <mergeCell ref="BL312:BS315"/>
    <mergeCell ref="S33:U35"/>
    <mergeCell ref="AH33:AJ35"/>
    <mergeCell ref="AW33:AY35"/>
    <mergeCell ref="BL33:BN35"/>
    <mergeCell ref="CC46:CO46"/>
    <mergeCell ref="CC43:CO43"/>
    <mergeCell ref="CC44:CO44"/>
    <mergeCell ref="CC45:CO45"/>
    <mergeCell ref="CC40:CO40"/>
    <mergeCell ref="G44:J47"/>
    <mergeCell ref="X44:AA47"/>
    <mergeCell ref="AM44:AP47"/>
    <mergeCell ref="BA44:BD47"/>
    <mergeCell ref="BQ44:BT47"/>
    <mergeCell ref="U47:V47"/>
    <mergeCell ref="AJ47:AK47"/>
    <mergeCell ref="AY47:AZ47"/>
    <mergeCell ref="BN47:BO47"/>
    <mergeCell ref="G21:I25"/>
    <mergeCell ref="Y21:AA25"/>
    <mergeCell ref="AM21:AO25"/>
    <mergeCell ref="BB21:BD25"/>
    <mergeCell ref="BQ21:BS25"/>
    <mergeCell ref="CC49:CO49"/>
    <mergeCell ref="CU49:DG49"/>
    <mergeCell ref="CC50:CO50"/>
    <mergeCell ref="CU50:DG50"/>
    <mergeCell ref="DS10:DT13"/>
    <mergeCell ref="DQ21:DS25"/>
    <mergeCell ref="DK10:DM10"/>
    <mergeCell ref="DK11:DQ17"/>
    <mergeCell ref="DP44:DS47"/>
    <mergeCell ref="CU46:DG46"/>
    <mergeCell ref="CC47:CO47"/>
    <mergeCell ref="CU47:DG47"/>
    <mergeCell ref="CU43:DG43"/>
    <mergeCell ref="CU44:DG44"/>
    <mergeCell ref="CU45:DG45"/>
    <mergeCell ref="CC41:CO41"/>
    <mergeCell ref="CU41:DG41"/>
    <mergeCell ref="CC42:CO42"/>
    <mergeCell ref="CU42:DG42"/>
    <mergeCell ref="CC48:CO48"/>
    <mergeCell ref="CU48:DG48"/>
    <mergeCell ref="CC38:CO38"/>
    <mergeCell ref="CU38:DG38"/>
    <mergeCell ref="CC39:CO39"/>
    <mergeCell ref="CU39:DG39"/>
    <mergeCell ref="CU40:DG40"/>
    <mergeCell ref="CC35:CO35"/>
    <mergeCell ref="CU35:DG35"/>
    <mergeCell ref="CC36:CO36"/>
    <mergeCell ref="CU36:DG36"/>
    <mergeCell ref="CC37:CO37"/>
    <mergeCell ref="CU37:DG37"/>
    <mergeCell ref="CC32:CO32"/>
    <mergeCell ref="CU32:DG32"/>
    <mergeCell ref="CC33:CO33"/>
    <mergeCell ref="CU33:DG33"/>
    <mergeCell ref="CC34:CO34"/>
    <mergeCell ref="CU34:DG34"/>
    <mergeCell ref="AP10:AQ13"/>
    <mergeCell ref="BE10:BF13"/>
    <mergeCell ref="BT10:BU13"/>
    <mergeCell ref="CC31:CO31"/>
    <mergeCell ref="CU31:DG31"/>
    <mergeCell ref="BL10:BN10"/>
    <mergeCell ref="AW11:BC17"/>
    <mergeCell ref="BL11:BR17"/>
    <mergeCell ref="AW10:AY10"/>
    <mergeCell ref="A4:C4"/>
    <mergeCell ref="E4:G4"/>
    <mergeCell ref="A5:F5"/>
    <mergeCell ref="S10:U10"/>
    <mergeCell ref="AH10:AJ10"/>
    <mergeCell ref="J10:K13"/>
    <mergeCell ref="AA10:AB13"/>
    <mergeCell ref="B11:H17"/>
    <mergeCell ref="S11:Y17"/>
    <mergeCell ref="AH11:AN17"/>
  </mergeCells>
  <conditionalFormatting sqref="CP193:CP199">
    <cfRule type="colorScale" priority="161">
      <colorScale>
        <cfvo type="min"/>
        <cfvo type="percentile" val="50"/>
        <cfvo type="max"/>
        <color rgb="FFF8696B"/>
        <color rgb="FFFFEB84"/>
        <color rgb="FF63BE7B"/>
      </colorScale>
    </cfRule>
  </conditionalFormatting>
  <conditionalFormatting sqref="CP166:CP172">
    <cfRule type="colorScale" priority="160">
      <colorScale>
        <cfvo type="min"/>
        <cfvo type="percentile" val="50"/>
        <cfvo type="max"/>
        <color rgb="FFF8696B"/>
        <color rgb="FFFFEB84"/>
        <color rgb="FF63BE7B"/>
      </colorScale>
    </cfRule>
  </conditionalFormatting>
  <conditionalFormatting sqref="CP139:CP145">
    <cfRule type="colorScale" priority="159">
      <colorScale>
        <cfvo type="min"/>
        <cfvo type="percentile" val="50"/>
        <cfvo type="max"/>
        <color rgb="FFF8696B"/>
        <color rgb="FFFFEB84"/>
        <color rgb="FF63BE7B"/>
      </colorScale>
    </cfRule>
  </conditionalFormatting>
  <conditionalFormatting sqref="CP112:CP118">
    <cfRule type="colorScale" priority="158">
      <colorScale>
        <cfvo type="min"/>
        <cfvo type="percentile" val="50"/>
        <cfvo type="max"/>
        <color rgb="FFF8696B"/>
        <color rgb="FFFFEB84"/>
        <color rgb="FF63BE7B"/>
      </colorScale>
    </cfRule>
  </conditionalFormatting>
  <conditionalFormatting sqref="CP85:CP91">
    <cfRule type="colorScale" priority="157">
      <colorScale>
        <cfvo type="min"/>
        <cfvo type="percentile" val="50"/>
        <cfvo type="max"/>
        <color rgb="FFF8696B"/>
        <color rgb="FFFFEB84"/>
        <color rgb="FF63BE7B"/>
      </colorScale>
    </cfRule>
  </conditionalFormatting>
  <conditionalFormatting sqref="CI220:CP226">
    <cfRule type="colorScale" priority="156">
      <colorScale>
        <cfvo type="min"/>
        <cfvo type="percentile" val="50"/>
        <cfvo type="max"/>
        <color rgb="FFF8696B"/>
        <color rgb="FFFFEB84"/>
        <color rgb="FF63BE7B"/>
      </colorScale>
    </cfRule>
  </conditionalFormatting>
  <conditionalFormatting sqref="CY220:CZ224 CZ225:CZ227">
    <cfRule type="colorScale" priority="155">
      <colorScale>
        <cfvo type="min"/>
        <cfvo type="percentile" val="50"/>
        <cfvo type="max"/>
        <color rgb="FFF8696B"/>
        <color rgb="FFFFEB84"/>
        <color rgb="FF63BE7B"/>
      </colorScale>
    </cfRule>
  </conditionalFormatting>
  <conditionalFormatting sqref="DG11:DG18">
    <cfRule type="colorScale" priority="154">
      <colorScale>
        <cfvo type="min"/>
        <cfvo type="max"/>
        <color rgb="FFFCFCFF"/>
        <color theme="4" tint="-0.249977111117893"/>
      </colorScale>
    </cfRule>
  </conditionalFormatting>
  <conditionalFormatting sqref="CP30">
    <cfRule type="colorScale" priority="151">
      <colorScale>
        <cfvo type="min"/>
        <cfvo type="percentile" val="50"/>
        <cfvo type="max"/>
        <color rgb="FFF8696B"/>
        <color rgb="FFFFEB84"/>
        <color rgb="FF63BE7B"/>
      </colorScale>
    </cfRule>
  </conditionalFormatting>
  <conditionalFormatting sqref="CP30">
    <cfRule type="colorScale" priority="150">
      <colorScale>
        <cfvo type="min"/>
        <cfvo type="max"/>
        <color rgb="FFFCFCFF"/>
        <color rgb="FF63BE7B"/>
      </colorScale>
    </cfRule>
  </conditionalFormatting>
  <conditionalFormatting sqref="CY17:CY20">
    <cfRule type="colorScale" priority="149">
      <colorScale>
        <cfvo type="min"/>
        <cfvo type="max"/>
        <color rgb="FFFCFCFF"/>
        <color rgb="FF63BE7B"/>
      </colorScale>
    </cfRule>
  </conditionalFormatting>
  <conditionalFormatting sqref="DJ193:DJ199">
    <cfRule type="colorScale" priority="148">
      <colorScale>
        <cfvo type="min"/>
        <cfvo type="percentile" val="50"/>
        <cfvo type="max"/>
        <color rgb="FFF8696B"/>
        <color rgb="FFFFEB84"/>
        <color rgb="FF63BE7B"/>
      </colorScale>
    </cfRule>
  </conditionalFormatting>
  <conditionalFormatting sqref="DJ166:DJ172">
    <cfRule type="colorScale" priority="147">
      <colorScale>
        <cfvo type="min"/>
        <cfvo type="percentile" val="50"/>
        <cfvo type="max"/>
        <color rgb="FFF8696B"/>
        <color rgb="FFFFEB84"/>
        <color rgb="FF63BE7B"/>
      </colorScale>
    </cfRule>
  </conditionalFormatting>
  <conditionalFormatting sqref="DJ139:DJ145">
    <cfRule type="colorScale" priority="146">
      <colorScale>
        <cfvo type="min"/>
        <cfvo type="percentile" val="50"/>
        <cfvo type="max"/>
        <color rgb="FFF8696B"/>
        <color rgb="FFFFEB84"/>
        <color rgb="FF63BE7B"/>
      </colorScale>
    </cfRule>
  </conditionalFormatting>
  <conditionalFormatting sqref="DJ112:DJ118">
    <cfRule type="colorScale" priority="145">
      <colorScale>
        <cfvo type="min"/>
        <cfvo type="percentile" val="50"/>
        <cfvo type="max"/>
        <color rgb="FFF8696B"/>
        <color rgb="FFFFEB84"/>
        <color rgb="FF63BE7B"/>
      </colorScale>
    </cfRule>
  </conditionalFormatting>
  <conditionalFormatting sqref="DJ85:DJ91">
    <cfRule type="colorScale" priority="144">
      <colorScale>
        <cfvo type="min"/>
        <cfvo type="percentile" val="50"/>
        <cfvo type="max"/>
        <color rgb="FFF8696B"/>
        <color rgb="FFFFEB84"/>
        <color rgb="FF63BE7B"/>
      </colorScale>
    </cfRule>
  </conditionalFormatting>
  <conditionalFormatting sqref="DJ58:DJ64">
    <cfRule type="colorScale" priority="143">
      <colorScale>
        <cfvo type="min"/>
        <cfvo type="percentile" val="50"/>
        <cfvo type="max"/>
        <color rgb="FFF8696B"/>
        <color rgb="FFFFEB84"/>
        <color rgb="FF63BE7B"/>
      </colorScale>
    </cfRule>
  </conditionalFormatting>
  <conditionalFormatting sqref="DJ17:DJ23">
    <cfRule type="colorScale" priority="142">
      <colorScale>
        <cfvo type="min"/>
        <cfvo type="percentile" val="50"/>
        <cfvo type="max"/>
        <color rgb="FFF8696B"/>
        <color rgb="FFFFEB84"/>
        <color rgb="FF63BE7B"/>
      </colorScale>
    </cfRule>
  </conditionalFormatting>
  <conditionalFormatting sqref="DJ220:DJ226">
    <cfRule type="colorScale" priority="141">
      <colorScale>
        <cfvo type="min"/>
        <cfvo type="percentile" val="50"/>
        <cfvo type="max"/>
        <color rgb="FFF8696B"/>
        <color rgb="FFFFEB84"/>
        <color rgb="FF63BE7B"/>
      </colorScale>
    </cfRule>
  </conditionalFormatting>
  <conditionalFormatting sqref="DJ17:DJ24">
    <cfRule type="colorScale" priority="140">
      <colorScale>
        <cfvo type="min"/>
        <cfvo type="max"/>
        <color rgb="FFFCFCFF"/>
        <color rgb="FF63BE7B"/>
      </colorScale>
    </cfRule>
  </conditionalFormatting>
  <conditionalFormatting sqref="CY70:CY72">
    <cfRule type="colorScale" priority="138">
      <colorScale>
        <cfvo type="min"/>
        <cfvo type="max"/>
        <color rgb="FFFCFCFF"/>
        <color rgb="FF63BE7B"/>
      </colorScale>
    </cfRule>
  </conditionalFormatting>
  <conditionalFormatting sqref="CY97:CY99">
    <cfRule type="colorScale" priority="136">
      <colorScale>
        <cfvo type="min"/>
        <cfvo type="max"/>
        <color rgb="FFFCFCFF"/>
        <color rgb="FF63BE7B"/>
      </colorScale>
    </cfRule>
  </conditionalFormatting>
  <conditionalFormatting sqref="CY124:CY126">
    <cfRule type="colorScale" priority="134">
      <colorScale>
        <cfvo type="min"/>
        <cfvo type="max"/>
        <color rgb="FFFCFCFF"/>
        <color rgb="FF63BE7B"/>
      </colorScale>
    </cfRule>
  </conditionalFormatting>
  <conditionalFormatting sqref="CY151:CY153">
    <cfRule type="colorScale" priority="132">
      <colorScale>
        <cfvo type="min"/>
        <cfvo type="max"/>
        <color rgb="FFFCFCFF"/>
        <color rgb="FF63BE7B"/>
      </colorScale>
    </cfRule>
  </conditionalFormatting>
  <conditionalFormatting sqref="CY178:CY180">
    <cfRule type="colorScale" priority="130">
      <colorScale>
        <cfvo type="min"/>
        <cfvo type="max"/>
        <color rgb="FFFCFCFF"/>
        <color rgb="FF63BE7B"/>
      </colorScale>
    </cfRule>
  </conditionalFormatting>
  <conditionalFormatting sqref="CY205:CY207">
    <cfRule type="colorScale" priority="128">
      <colorScale>
        <cfvo type="min"/>
        <cfvo type="max"/>
        <color rgb="FFFCFCFF"/>
        <color rgb="FF63BE7B"/>
      </colorScale>
    </cfRule>
  </conditionalFormatting>
  <conditionalFormatting sqref="CO11:CO17">
    <cfRule type="colorScale" priority="124">
      <colorScale>
        <cfvo type="min"/>
        <cfvo type="max"/>
        <color rgb="FFFCFCFF"/>
        <color theme="4" tint="-0.249977111117893"/>
      </colorScale>
    </cfRule>
  </conditionalFormatting>
  <conditionalFormatting sqref="CG20">
    <cfRule type="colorScale" priority="121">
      <colorScale>
        <cfvo type="min"/>
        <cfvo type="max"/>
        <color rgb="FFFCFCFF"/>
        <color rgb="FF63BE7B"/>
      </colorScale>
    </cfRule>
  </conditionalFormatting>
  <conditionalFormatting sqref="CG151">
    <cfRule type="colorScale" priority="118">
      <colorScale>
        <cfvo type="min"/>
        <cfvo type="max"/>
        <color rgb="FFFCFCFF"/>
        <color rgb="FF63BE7B"/>
      </colorScale>
    </cfRule>
  </conditionalFormatting>
  <conditionalFormatting sqref="CG152">
    <cfRule type="colorScale" priority="117">
      <colorScale>
        <cfvo type="min"/>
        <cfvo type="max"/>
        <color rgb="FFFCFCFF"/>
        <color rgb="FF63BE7B"/>
      </colorScale>
    </cfRule>
  </conditionalFormatting>
  <conditionalFormatting sqref="CF145:CF151">
    <cfRule type="colorScale" priority="116">
      <colorScale>
        <cfvo type="min"/>
        <cfvo type="percentile" val="50"/>
        <cfvo type="max"/>
        <color rgb="FFF8696B"/>
        <color rgb="FFFFEB84"/>
        <color rgb="FF63BE7B"/>
      </colorScale>
    </cfRule>
  </conditionalFormatting>
  <conditionalFormatting sqref="CG178">
    <cfRule type="colorScale" priority="114">
      <colorScale>
        <cfvo type="min"/>
        <cfvo type="max"/>
        <color rgb="FFFCFCFF"/>
        <color rgb="FF63BE7B"/>
      </colorScale>
    </cfRule>
  </conditionalFormatting>
  <conditionalFormatting sqref="CG179">
    <cfRule type="colorScale" priority="113">
      <colorScale>
        <cfvo type="min"/>
        <cfvo type="max"/>
        <color rgb="FFFCFCFF"/>
        <color rgb="FF63BE7B"/>
      </colorScale>
    </cfRule>
  </conditionalFormatting>
  <conditionalFormatting sqref="CF172:CF178">
    <cfRule type="colorScale" priority="112">
      <colorScale>
        <cfvo type="min"/>
        <cfvo type="percentile" val="50"/>
        <cfvo type="max"/>
        <color rgb="FFF8696B"/>
        <color rgb="FFFFEB84"/>
        <color rgb="FF63BE7B"/>
      </colorScale>
    </cfRule>
  </conditionalFormatting>
  <conditionalFormatting sqref="CG205">
    <cfRule type="colorScale" priority="110">
      <colorScale>
        <cfvo type="min"/>
        <cfvo type="max"/>
        <color rgb="FFFCFCFF"/>
        <color rgb="FF63BE7B"/>
      </colorScale>
    </cfRule>
  </conditionalFormatting>
  <conditionalFormatting sqref="CG206">
    <cfRule type="colorScale" priority="109">
      <colorScale>
        <cfvo type="min"/>
        <cfvo type="max"/>
        <color rgb="FFFCFCFF"/>
        <color rgb="FF63BE7B"/>
      </colorScale>
    </cfRule>
  </conditionalFormatting>
  <conditionalFormatting sqref="CF199:CF205">
    <cfRule type="colorScale" priority="108">
      <colorScale>
        <cfvo type="min"/>
        <cfvo type="percentile" val="50"/>
        <cfvo type="max"/>
        <color rgb="FFF8696B"/>
        <color rgb="FFFFEB84"/>
        <color rgb="FF63BE7B"/>
      </colorScale>
    </cfRule>
  </conditionalFormatting>
  <conditionalFormatting sqref="CF226:CF232">
    <cfRule type="colorScale" priority="107">
      <colorScale>
        <cfvo type="min"/>
        <cfvo type="percentile" val="50"/>
        <cfvo type="max"/>
        <color rgb="FFF8696B"/>
        <color rgb="FFFFEB84"/>
        <color rgb="FF63BE7B"/>
      </colorScale>
    </cfRule>
  </conditionalFormatting>
  <conditionalFormatting sqref="CG124">
    <cfRule type="colorScale" priority="105">
      <colorScale>
        <cfvo type="min"/>
        <cfvo type="max"/>
        <color rgb="FFFCFCFF"/>
        <color rgb="FF63BE7B"/>
      </colorScale>
    </cfRule>
  </conditionalFormatting>
  <conditionalFormatting sqref="CG125">
    <cfRule type="colorScale" priority="104">
      <colorScale>
        <cfvo type="min"/>
        <cfvo type="max"/>
        <color rgb="FFFCFCFF"/>
        <color rgb="FF63BE7B"/>
      </colorScale>
    </cfRule>
  </conditionalFormatting>
  <conditionalFormatting sqref="CF118:CF124">
    <cfRule type="colorScale" priority="103">
      <colorScale>
        <cfvo type="min"/>
        <cfvo type="percentile" val="50"/>
        <cfvo type="max"/>
        <color rgb="FFF8696B"/>
        <color rgb="FFFFEB84"/>
        <color rgb="FF63BE7B"/>
      </colorScale>
    </cfRule>
  </conditionalFormatting>
  <conditionalFormatting sqref="CG97">
    <cfRule type="colorScale" priority="101">
      <colorScale>
        <cfvo type="min"/>
        <cfvo type="max"/>
        <color rgb="FFFCFCFF"/>
        <color rgb="FF63BE7B"/>
      </colorScale>
    </cfRule>
  </conditionalFormatting>
  <conditionalFormatting sqref="CG98">
    <cfRule type="colorScale" priority="100">
      <colorScale>
        <cfvo type="min"/>
        <cfvo type="max"/>
        <color rgb="FFFCFCFF"/>
        <color rgb="FF63BE7B"/>
      </colorScale>
    </cfRule>
  </conditionalFormatting>
  <conditionalFormatting sqref="CF91:CF97">
    <cfRule type="colorScale" priority="99">
      <colorScale>
        <cfvo type="min"/>
        <cfvo type="percentile" val="50"/>
        <cfvo type="max"/>
        <color rgb="FFF8696B"/>
        <color rgb="FFFFEB84"/>
        <color rgb="FF63BE7B"/>
      </colorScale>
    </cfRule>
  </conditionalFormatting>
  <conditionalFormatting sqref="CO64:CO70">
    <cfRule type="colorScale" priority="98">
      <colorScale>
        <cfvo type="min"/>
        <cfvo type="max"/>
        <color rgb="FFFCFCFF"/>
        <color theme="4" tint="-0.249977111117893"/>
      </colorScale>
    </cfRule>
  </conditionalFormatting>
  <conditionalFormatting sqref="CG70">
    <cfRule type="colorScale" priority="97">
      <colorScale>
        <cfvo type="min"/>
        <cfvo type="max"/>
        <color rgb="FFFCFCFF"/>
        <color rgb="FF63BE7B"/>
      </colorScale>
    </cfRule>
  </conditionalFormatting>
  <conditionalFormatting sqref="CG71">
    <cfRule type="colorScale" priority="96">
      <colorScale>
        <cfvo type="min"/>
        <cfvo type="max"/>
        <color rgb="FFFCFCFF"/>
        <color rgb="FF63BE7B"/>
      </colorScale>
    </cfRule>
  </conditionalFormatting>
  <conditionalFormatting sqref="CF64:CF70">
    <cfRule type="colorScale" priority="95">
      <colorScale>
        <cfvo type="min"/>
        <cfvo type="percentile" val="50"/>
        <cfvo type="max"/>
        <color rgb="FFF8696B"/>
        <color rgb="FFFFEB84"/>
        <color rgb="FF63BE7B"/>
      </colorScale>
    </cfRule>
  </conditionalFormatting>
  <conditionalFormatting sqref="DH193:DH199">
    <cfRule type="colorScale" priority="165">
      <colorScale>
        <cfvo type="min"/>
        <cfvo type="percentile" val="50"/>
        <cfvo type="max"/>
        <color rgb="FFF8696B"/>
        <color rgb="FFFFEB84"/>
        <color rgb="FF63BE7B"/>
      </colorScale>
    </cfRule>
  </conditionalFormatting>
  <conditionalFormatting sqref="DH166:DH172">
    <cfRule type="colorScale" priority="166">
      <colorScale>
        <cfvo type="min"/>
        <cfvo type="percentile" val="50"/>
        <cfvo type="max"/>
        <color rgb="FFF8696B"/>
        <color rgb="FFFFEB84"/>
        <color rgb="FF63BE7B"/>
      </colorScale>
    </cfRule>
  </conditionalFormatting>
  <conditionalFormatting sqref="DH139:DH145">
    <cfRule type="colorScale" priority="167">
      <colorScale>
        <cfvo type="min"/>
        <cfvo type="percentile" val="50"/>
        <cfvo type="max"/>
        <color rgb="FFF8696B"/>
        <color rgb="FFFFEB84"/>
        <color rgb="FF63BE7B"/>
      </colorScale>
    </cfRule>
  </conditionalFormatting>
  <conditionalFormatting sqref="DH112:DH118">
    <cfRule type="colorScale" priority="168">
      <colorScale>
        <cfvo type="min"/>
        <cfvo type="percentile" val="50"/>
        <cfvo type="max"/>
        <color rgb="FFF8696B"/>
        <color rgb="FFFFEB84"/>
        <color rgb="FF63BE7B"/>
      </colorScale>
    </cfRule>
  </conditionalFormatting>
  <conditionalFormatting sqref="DH85:DH91">
    <cfRule type="colorScale" priority="169">
      <colorScale>
        <cfvo type="min"/>
        <cfvo type="percentile" val="50"/>
        <cfvo type="max"/>
        <color rgb="FFF8696B"/>
        <color rgb="FFFFEB84"/>
        <color rgb="FF63BE7B"/>
      </colorScale>
    </cfRule>
  </conditionalFormatting>
  <conditionalFormatting sqref="DH58:DH64">
    <cfRule type="colorScale" priority="170">
      <colorScale>
        <cfvo type="min"/>
        <cfvo type="percentile" val="50"/>
        <cfvo type="max"/>
        <color rgb="FFF8696B"/>
        <color rgb="FFFFEB84"/>
        <color rgb="FF63BE7B"/>
      </colorScale>
    </cfRule>
  </conditionalFormatting>
  <conditionalFormatting sqref="DH17:DH23">
    <cfRule type="colorScale" priority="171">
      <colorScale>
        <cfvo type="min"/>
        <cfvo type="percentile" val="50"/>
        <cfvo type="max"/>
        <color rgb="FFF8696B"/>
        <color rgb="FFFFEB84"/>
        <color rgb="FF63BE7B"/>
      </colorScale>
    </cfRule>
  </conditionalFormatting>
  <conditionalFormatting sqref="DA220:DH226">
    <cfRule type="colorScale" priority="172">
      <colorScale>
        <cfvo type="min"/>
        <cfvo type="percentile" val="50"/>
        <cfvo type="max"/>
        <color rgb="FFF8696B"/>
        <color rgb="FFFFEB84"/>
        <color rgb="FF63BE7B"/>
      </colorScale>
    </cfRule>
  </conditionalFormatting>
  <conditionalFormatting sqref="DH17:DH24">
    <cfRule type="colorScale" priority="173">
      <colorScale>
        <cfvo type="min"/>
        <cfvo type="max"/>
        <color rgb="FFFCFCFF"/>
        <color rgb="FF63BE7B"/>
      </colorScale>
    </cfRule>
  </conditionalFormatting>
  <conditionalFormatting sqref="CZ21:CZ23">
    <cfRule type="colorScale" priority="58">
      <colorScale>
        <cfvo type="min"/>
        <cfvo type="percentile" val="50"/>
        <cfvo type="max"/>
        <color rgb="FFF8696B"/>
        <color rgb="FFFFEB84"/>
        <color rgb="FF63BE7B"/>
      </colorScale>
    </cfRule>
  </conditionalFormatting>
  <conditionalFormatting sqref="CZ21:CZ23">
    <cfRule type="colorScale" priority="57">
      <colorScale>
        <cfvo type="min"/>
        <cfvo type="max"/>
        <color rgb="FFFCFCFF"/>
        <color rgb="FF63BE7B"/>
      </colorScale>
    </cfRule>
  </conditionalFormatting>
  <conditionalFormatting sqref="CZ21:CZ23">
    <cfRule type="colorScale" priority="59">
      <colorScale>
        <cfvo type="min"/>
        <cfvo type="percentile" val="50"/>
        <cfvo type="max"/>
        <color rgb="FFF8696B"/>
        <color rgb="FFFFEB84"/>
        <color rgb="FF63BE7B"/>
      </colorScale>
    </cfRule>
  </conditionalFormatting>
  <conditionalFormatting sqref="CZ21:CZ23">
    <cfRule type="colorScale" priority="61">
      <colorScale>
        <cfvo type="min"/>
        <cfvo type="max"/>
        <color rgb="FFFCFCFF"/>
        <color rgb="FF63BE7B"/>
      </colorScale>
    </cfRule>
  </conditionalFormatting>
  <conditionalFormatting sqref="CY21:CY23">
    <cfRule type="colorScale" priority="56">
      <colorScale>
        <cfvo type="min"/>
        <cfvo type="max"/>
        <color rgb="FFFCFCFF"/>
        <color rgb="FF63BE7B"/>
      </colorScale>
    </cfRule>
  </conditionalFormatting>
  <conditionalFormatting sqref="DB21">
    <cfRule type="colorScale" priority="55">
      <colorScale>
        <cfvo type="min"/>
        <cfvo type="max"/>
        <color rgb="FFFCFCFF"/>
        <color rgb="FF63BE7B"/>
      </colorScale>
    </cfRule>
  </conditionalFormatting>
  <conditionalFormatting sqref="DC21">
    <cfRule type="colorScale" priority="52">
      <colorScale>
        <cfvo type="min"/>
        <cfvo type="percentile" val="50"/>
        <cfvo type="max"/>
        <color rgb="FFF8696B"/>
        <color rgb="FFFFEB84"/>
        <color rgb="FF63BE7B"/>
      </colorScale>
    </cfRule>
  </conditionalFormatting>
  <conditionalFormatting sqref="DC21">
    <cfRule type="colorScale" priority="51">
      <colorScale>
        <cfvo type="min"/>
        <cfvo type="max"/>
        <color rgb="FFFCFCFF"/>
        <color rgb="FF63BE7B"/>
      </colorScale>
    </cfRule>
  </conditionalFormatting>
  <conditionalFormatting sqref="DC21">
    <cfRule type="colorScale" priority="53">
      <colorScale>
        <cfvo type="min"/>
        <cfvo type="percentile" val="50"/>
        <cfvo type="max"/>
        <color rgb="FFF8696B"/>
        <color rgb="FFFFEB84"/>
        <color rgb="FF63BE7B"/>
      </colorScale>
    </cfRule>
  </conditionalFormatting>
  <conditionalFormatting sqref="DC21">
    <cfRule type="colorScale" priority="54">
      <colorScale>
        <cfvo type="min"/>
        <cfvo type="max"/>
        <color rgb="FFFCFCFF"/>
        <color rgb="FF63BE7B"/>
      </colorScale>
    </cfRule>
  </conditionalFormatting>
  <conditionalFormatting sqref="CH21:CH23">
    <cfRule type="colorScale" priority="25">
      <colorScale>
        <cfvo type="min"/>
        <cfvo type="percentile" val="50"/>
        <cfvo type="max"/>
        <color rgb="FFF8696B"/>
        <color rgb="FFFFEB84"/>
        <color rgb="FF63BE7B"/>
      </colorScale>
    </cfRule>
  </conditionalFormatting>
  <conditionalFormatting sqref="CH21:CH23">
    <cfRule type="colorScale" priority="24">
      <colorScale>
        <cfvo type="min"/>
        <cfvo type="max"/>
        <color rgb="FFFCFCFF"/>
        <color rgb="FF63BE7B"/>
      </colorScale>
    </cfRule>
  </conditionalFormatting>
  <conditionalFormatting sqref="CH21:CH23">
    <cfRule type="colorScale" priority="26">
      <colorScale>
        <cfvo type="min"/>
        <cfvo type="percentile" val="50"/>
        <cfvo type="max"/>
        <color rgb="FFF8696B"/>
        <color rgb="FFFFEB84"/>
        <color rgb="FF63BE7B"/>
      </colorScale>
    </cfRule>
  </conditionalFormatting>
  <conditionalFormatting sqref="CH21:CH23">
    <cfRule type="colorScale" priority="28">
      <colorScale>
        <cfvo type="min"/>
        <cfvo type="max"/>
        <color rgb="FFFCFCFF"/>
        <color rgb="FF63BE7B"/>
      </colorScale>
    </cfRule>
  </conditionalFormatting>
  <conditionalFormatting sqref="CG21:CG23">
    <cfRule type="colorScale" priority="23">
      <colorScale>
        <cfvo type="min"/>
        <cfvo type="max"/>
        <color rgb="FFFCFCFF"/>
        <color rgb="FF63BE7B"/>
      </colorScale>
    </cfRule>
  </conditionalFormatting>
  <conditionalFormatting sqref="CJ21">
    <cfRule type="colorScale" priority="22">
      <colorScale>
        <cfvo type="min"/>
        <cfvo type="max"/>
        <color rgb="FFFCFCFF"/>
        <color rgb="FF63BE7B"/>
      </colorScale>
    </cfRule>
  </conditionalFormatting>
  <conditionalFormatting sqref="CK21">
    <cfRule type="colorScale" priority="19">
      <colorScale>
        <cfvo type="min"/>
        <cfvo type="percentile" val="50"/>
        <cfvo type="max"/>
        <color rgb="FFF8696B"/>
        <color rgb="FFFFEB84"/>
        <color rgb="FF63BE7B"/>
      </colorScale>
    </cfRule>
  </conditionalFormatting>
  <conditionalFormatting sqref="CK21">
    <cfRule type="colorScale" priority="18">
      <colorScale>
        <cfvo type="min"/>
        <cfvo type="max"/>
        <color rgb="FFFCFCFF"/>
        <color rgb="FF63BE7B"/>
      </colorScale>
    </cfRule>
  </conditionalFormatting>
  <conditionalFormatting sqref="CK21">
    <cfRule type="colorScale" priority="20">
      <colorScale>
        <cfvo type="min"/>
        <cfvo type="percentile" val="50"/>
        <cfvo type="max"/>
        <color rgb="FFF8696B"/>
        <color rgb="FFFFEB84"/>
        <color rgb="FF63BE7B"/>
      </colorScale>
    </cfRule>
  </conditionalFormatting>
  <conditionalFormatting sqref="CK21">
    <cfRule type="colorScale" priority="21">
      <colorScale>
        <cfvo type="min"/>
        <cfvo type="max"/>
        <color rgb="FFFCFCFF"/>
        <color rgb="FF63BE7B"/>
      </colorScale>
    </cfRule>
  </conditionalFormatting>
  <conditionalFormatting sqref="CZ24">
    <cfRule type="colorScale" priority="15">
      <colorScale>
        <cfvo type="min"/>
        <cfvo type="percentile" val="50"/>
        <cfvo type="max"/>
        <color rgb="FFF8696B"/>
        <color rgb="FFFFEB84"/>
        <color rgb="FF63BE7B"/>
      </colorScale>
    </cfRule>
  </conditionalFormatting>
  <conditionalFormatting sqref="CZ24">
    <cfRule type="colorScale" priority="16">
      <colorScale>
        <cfvo type="min"/>
        <cfvo type="percentile" val="50"/>
        <cfvo type="max"/>
        <color rgb="FFF8696B"/>
        <color rgb="FFFFEB84"/>
        <color rgb="FF63BE7B"/>
      </colorScale>
    </cfRule>
  </conditionalFormatting>
  <conditionalFormatting sqref="CZ24">
    <cfRule type="colorScale" priority="17">
      <colorScale>
        <cfvo type="min"/>
        <cfvo type="max"/>
        <color rgb="FFFCFCFF"/>
        <color rgb="FF63BE7B"/>
      </colorScale>
    </cfRule>
  </conditionalFormatting>
  <conditionalFormatting sqref="CY24">
    <cfRule type="colorScale" priority="14">
      <colorScale>
        <cfvo type="min"/>
        <cfvo type="max"/>
        <color rgb="FFFCFCFF"/>
        <color rgb="FF63BE7B"/>
      </colorScale>
    </cfRule>
  </conditionalFormatting>
  <conditionalFormatting sqref="CH24">
    <cfRule type="colorScale" priority="11">
      <colorScale>
        <cfvo type="min"/>
        <cfvo type="percentile" val="50"/>
        <cfvo type="max"/>
        <color rgb="FFF8696B"/>
        <color rgb="FFFFEB84"/>
        <color rgb="FF63BE7B"/>
      </colorScale>
    </cfRule>
  </conditionalFormatting>
  <conditionalFormatting sqref="CH24">
    <cfRule type="colorScale" priority="12">
      <colorScale>
        <cfvo type="min"/>
        <cfvo type="percentile" val="50"/>
        <cfvo type="max"/>
        <color rgb="FFF8696B"/>
        <color rgb="FFFFEB84"/>
        <color rgb="FF63BE7B"/>
      </colorScale>
    </cfRule>
  </conditionalFormatting>
  <conditionalFormatting sqref="CH24">
    <cfRule type="colorScale" priority="13">
      <colorScale>
        <cfvo type="min"/>
        <cfvo type="max"/>
        <color rgb="FFFCFCFF"/>
        <color rgb="FF63BE7B"/>
      </colorScale>
    </cfRule>
  </conditionalFormatting>
  <conditionalFormatting sqref="CG24">
    <cfRule type="colorScale" priority="10">
      <colorScale>
        <cfvo type="min"/>
        <cfvo type="max"/>
        <color rgb="FFFCFCFF"/>
        <color rgb="FF63BE7B"/>
      </colorScale>
    </cfRule>
  </conditionalFormatting>
  <conditionalFormatting sqref="CG17:CG19">
    <cfRule type="colorScale" priority="9">
      <colorScale>
        <cfvo type="min"/>
        <cfvo type="max"/>
        <color rgb="FFFCFCFF"/>
        <color rgb="FF63BE7B"/>
      </colorScale>
    </cfRule>
  </conditionalFormatting>
  <conditionalFormatting sqref="DG199:DG206 DG172:DG179 DG145:DG152 DG118:DG125 DG91:DG98 DG64:DG71 CO199:CO205 CO172:CO178 CO145:CO151 CO118:CO124 CO91:CO97">
    <cfRule type="colorScale" priority="1">
      <colorScale>
        <cfvo type="min"/>
        <cfvo type="max"/>
        <color rgb="FFFCFCFF"/>
        <color theme="4" tint="-0.249977111117893"/>
      </colorScale>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tint="0.39997558519241921"/>
  </sheetPr>
  <dimension ref="A1:B14"/>
  <sheetViews>
    <sheetView zoomScale="55" zoomScaleNormal="55" workbookViewId="0">
      <selection activeCell="B1" sqref="B1"/>
    </sheetView>
  </sheetViews>
  <sheetFormatPr defaultColWidth="9" defaultRowHeight="13.8" x14ac:dyDescent="0.25"/>
  <cols>
    <col min="1" max="1" width="44.09765625" style="2" customWidth="1"/>
    <col min="2" max="2" width="83.3984375" style="14" customWidth="1"/>
    <col min="3" max="16384" width="9" style="2"/>
  </cols>
  <sheetData>
    <row r="1" spans="1:2" x14ac:dyDescent="0.25">
      <c r="A1" s="157" t="s">
        <v>0</v>
      </c>
      <c r="B1" s="14">
        <v>26</v>
      </c>
    </row>
    <row r="2" spans="1:2" x14ac:dyDescent="0.25">
      <c r="A2" s="156" t="s">
        <v>359</v>
      </c>
      <c r="B2" s="233" t="s">
        <v>481</v>
      </c>
    </row>
    <row r="3" spans="1:2" ht="39.6" x14ac:dyDescent="0.25">
      <c r="A3" s="219" t="s">
        <v>301</v>
      </c>
      <c r="B3" s="222" t="s">
        <v>572</v>
      </c>
    </row>
    <row r="4" spans="1:2" ht="27.6" x14ac:dyDescent="0.25">
      <c r="A4" s="219" t="s">
        <v>363</v>
      </c>
      <c r="B4" s="232">
        <v>0</v>
      </c>
    </row>
    <row r="5" spans="1:2" ht="27.6" x14ac:dyDescent="0.25">
      <c r="A5" s="219" t="s">
        <v>364</v>
      </c>
      <c r="B5" s="232">
        <v>0</v>
      </c>
    </row>
    <row r="6" spans="1:2" ht="55.2" x14ac:dyDescent="0.25">
      <c r="A6" s="219" t="s">
        <v>322</v>
      </c>
      <c r="B6" s="231" t="s">
        <v>377</v>
      </c>
    </row>
    <row r="7" spans="1:2" ht="41.4" x14ac:dyDescent="0.25">
      <c r="A7" s="219" t="s">
        <v>328</v>
      </c>
      <c r="B7" s="222" t="s">
        <v>502</v>
      </c>
    </row>
    <row r="8" spans="1:2" ht="41.4" x14ac:dyDescent="0.25">
      <c r="A8" s="219" t="s">
        <v>347</v>
      </c>
      <c r="B8" s="222" t="s">
        <v>502</v>
      </c>
    </row>
    <row r="9" spans="1:2" ht="41.4" x14ac:dyDescent="0.25">
      <c r="A9" s="219" t="s">
        <v>348</v>
      </c>
      <c r="B9" s="222" t="s">
        <v>502</v>
      </c>
    </row>
    <row r="10" spans="1:2" ht="39.6" x14ac:dyDescent="0.25">
      <c r="A10" s="219" t="s">
        <v>482</v>
      </c>
      <c r="B10" s="222" t="s">
        <v>501</v>
      </c>
    </row>
    <row r="11" spans="1:2" ht="27.6" x14ac:dyDescent="0.25">
      <c r="A11" s="219" t="s">
        <v>483</v>
      </c>
      <c r="B11" s="222" t="s">
        <v>500</v>
      </c>
    </row>
    <row r="12" spans="1:2" ht="39.6" x14ac:dyDescent="0.25">
      <c r="A12" s="219" t="s">
        <v>352</v>
      </c>
      <c r="B12" s="222" t="s">
        <v>497</v>
      </c>
    </row>
    <row r="13" spans="1:2" ht="52.8" x14ac:dyDescent="0.25">
      <c r="A13" s="219" t="s">
        <v>375</v>
      </c>
      <c r="B13" s="230" t="s">
        <v>499</v>
      </c>
    </row>
    <row r="14" spans="1:2" ht="66" x14ac:dyDescent="0.25">
      <c r="A14" s="162" t="s">
        <v>484</v>
      </c>
      <c r="B14" s="222" t="s">
        <v>498</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tint="0.39997558519241921"/>
  </sheetPr>
  <dimension ref="A1:B14"/>
  <sheetViews>
    <sheetView zoomScale="55" zoomScaleNormal="55" workbookViewId="0">
      <selection activeCell="B1" sqref="B1"/>
    </sheetView>
  </sheetViews>
  <sheetFormatPr defaultColWidth="9" defaultRowHeight="13.8" x14ac:dyDescent="0.25"/>
  <cols>
    <col min="1" max="1" width="44.09765625" style="2" customWidth="1"/>
    <col min="2" max="2" width="83.3984375" style="220" customWidth="1"/>
    <col min="3" max="16384" width="9" style="2"/>
  </cols>
  <sheetData>
    <row r="1" spans="1:2" x14ac:dyDescent="0.25">
      <c r="A1" s="157" t="s">
        <v>0</v>
      </c>
      <c r="B1" s="220" t="s">
        <v>378</v>
      </c>
    </row>
    <row r="2" spans="1:2" x14ac:dyDescent="0.25">
      <c r="A2" s="156" t="s">
        <v>359</v>
      </c>
      <c r="B2" s="221" t="s">
        <v>481</v>
      </c>
    </row>
    <row r="3" spans="1:2" ht="39.6" x14ac:dyDescent="0.25">
      <c r="A3" s="217" t="s">
        <v>301</v>
      </c>
      <c r="B3" s="222" t="s">
        <v>516</v>
      </c>
    </row>
    <row r="4" spans="1:2" ht="27.6" x14ac:dyDescent="0.25">
      <c r="A4" s="217" t="s">
        <v>363</v>
      </c>
      <c r="B4" s="222" t="s">
        <v>515</v>
      </c>
    </row>
    <row r="5" spans="1:2" ht="39.6" x14ac:dyDescent="0.25">
      <c r="A5" s="217" t="s">
        <v>364</v>
      </c>
      <c r="B5" s="222" t="s">
        <v>514</v>
      </c>
    </row>
    <row r="6" spans="1:2" ht="55.2" x14ac:dyDescent="0.25">
      <c r="A6" s="217" t="s">
        <v>322</v>
      </c>
      <c r="B6" s="222" t="s">
        <v>513</v>
      </c>
    </row>
    <row r="7" spans="1:2" ht="79.2" x14ac:dyDescent="0.25">
      <c r="A7" s="217" t="s">
        <v>328</v>
      </c>
      <c r="B7" s="222" t="s">
        <v>512</v>
      </c>
    </row>
    <row r="8" spans="1:2" ht="79.2" x14ac:dyDescent="0.25">
      <c r="A8" s="217" t="s">
        <v>347</v>
      </c>
      <c r="B8" s="222" t="s">
        <v>512</v>
      </c>
    </row>
    <row r="9" spans="1:2" ht="79.2" x14ac:dyDescent="0.25">
      <c r="A9" s="217" t="s">
        <v>348</v>
      </c>
      <c r="B9" s="222" t="s">
        <v>512</v>
      </c>
    </row>
    <row r="10" spans="1:2" ht="27.6" x14ac:dyDescent="0.25">
      <c r="A10" s="217" t="s">
        <v>482</v>
      </c>
      <c r="B10" s="222" t="s">
        <v>377</v>
      </c>
    </row>
    <row r="11" spans="1:2" ht="39.6" x14ac:dyDescent="0.25">
      <c r="A11" s="217" t="s">
        <v>483</v>
      </c>
      <c r="B11" s="222" t="s">
        <v>511</v>
      </c>
    </row>
    <row r="12" spans="1:2" ht="27.6" x14ac:dyDescent="0.25">
      <c r="A12" s="217" t="s">
        <v>352</v>
      </c>
      <c r="B12" s="222" t="s">
        <v>41</v>
      </c>
    </row>
    <row r="13" spans="1:2" ht="41.4" x14ac:dyDescent="0.25">
      <c r="A13" s="217" t="s">
        <v>375</v>
      </c>
      <c r="B13" s="222" t="s">
        <v>510</v>
      </c>
    </row>
    <row r="14" spans="1:2" ht="66" x14ac:dyDescent="0.25">
      <c r="A14" s="162" t="s">
        <v>484</v>
      </c>
      <c r="B14" s="222" t="s">
        <v>509</v>
      </c>
    </row>
  </sheetData>
  <pageMargins left="0.7" right="0.7" top="0.75" bottom="0.75" header="0.3" footer="0.3"/>
  <pageSetup paperSize="0" orientation="portrait"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4" tint="0.39997558519241921"/>
  </sheetPr>
  <dimension ref="A1:B14"/>
  <sheetViews>
    <sheetView zoomScale="55" zoomScaleNormal="55" workbookViewId="0">
      <selection activeCell="B1" sqref="B1"/>
    </sheetView>
  </sheetViews>
  <sheetFormatPr defaultColWidth="9" defaultRowHeight="13.8" x14ac:dyDescent="0.25"/>
  <cols>
    <col min="1" max="1" width="44.09765625" style="2" customWidth="1"/>
    <col min="2" max="2" width="83.3984375" style="8" customWidth="1"/>
    <col min="3" max="16384" width="9" style="2"/>
  </cols>
  <sheetData>
    <row r="1" spans="1:2" ht="27.6" x14ac:dyDescent="0.25">
      <c r="A1" s="157" t="s">
        <v>0</v>
      </c>
      <c r="B1" s="8" t="s">
        <v>503</v>
      </c>
    </row>
    <row r="2" spans="1:2" x14ac:dyDescent="0.25">
      <c r="A2" s="156" t="s">
        <v>359</v>
      </c>
      <c r="B2" s="229" t="s">
        <v>481</v>
      </c>
    </row>
    <row r="3" spans="1:2" ht="41.4" x14ac:dyDescent="0.25">
      <c r="A3" s="217" t="s">
        <v>301</v>
      </c>
      <c r="B3" s="163" t="s">
        <v>508</v>
      </c>
    </row>
    <row r="4" spans="1:2" ht="27.6" x14ac:dyDescent="0.25">
      <c r="A4" s="217" t="s">
        <v>363</v>
      </c>
      <c r="B4" s="234">
        <v>0</v>
      </c>
    </row>
    <row r="5" spans="1:2" ht="27.6" x14ac:dyDescent="0.25">
      <c r="A5" s="217" t="s">
        <v>364</v>
      </c>
      <c r="B5" s="234">
        <v>0</v>
      </c>
    </row>
    <row r="6" spans="1:2" ht="55.2" x14ac:dyDescent="0.25">
      <c r="A6" s="217" t="s">
        <v>322</v>
      </c>
      <c r="B6" s="218" t="s">
        <v>377</v>
      </c>
    </row>
    <row r="7" spans="1:2" ht="41.4" x14ac:dyDescent="0.25">
      <c r="A7" s="217" t="s">
        <v>328</v>
      </c>
      <c r="B7" s="218" t="s">
        <v>507</v>
      </c>
    </row>
    <row r="8" spans="1:2" ht="41.4" x14ac:dyDescent="0.25">
      <c r="A8" s="217" t="s">
        <v>347</v>
      </c>
      <c r="B8" s="218" t="s">
        <v>507</v>
      </c>
    </row>
    <row r="9" spans="1:2" ht="41.4" x14ac:dyDescent="0.25">
      <c r="A9" s="217" t="s">
        <v>348</v>
      </c>
      <c r="B9" s="218" t="s">
        <v>507</v>
      </c>
    </row>
    <row r="10" spans="1:2" ht="27.6" x14ac:dyDescent="0.25">
      <c r="A10" s="217" t="s">
        <v>482</v>
      </c>
      <c r="B10" s="218" t="s">
        <v>506</v>
      </c>
    </row>
    <row r="11" spans="1:2" ht="41.4" x14ac:dyDescent="0.25">
      <c r="A11" s="217" t="s">
        <v>483</v>
      </c>
      <c r="B11" s="218" t="s">
        <v>505</v>
      </c>
    </row>
    <row r="12" spans="1:2" ht="27.6" x14ac:dyDescent="0.25">
      <c r="A12" s="217" t="s">
        <v>352</v>
      </c>
      <c r="B12" s="218" t="s">
        <v>41</v>
      </c>
    </row>
    <row r="13" spans="1:2" ht="41.4" x14ac:dyDescent="0.25">
      <c r="A13" s="217" t="s">
        <v>375</v>
      </c>
      <c r="B13" s="218" t="s">
        <v>504</v>
      </c>
    </row>
    <row r="14" spans="1:2" ht="27.6" x14ac:dyDescent="0.25">
      <c r="A14" s="162" t="s">
        <v>484</v>
      </c>
      <c r="B14" s="218" t="s">
        <v>503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39997558519241921"/>
  </sheetPr>
  <dimension ref="A1:B14"/>
  <sheetViews>
    <sheetView zoomScale="55" zoomScaleNormal="55" workbookViewId="0">
      <selection activeCell="B1" sqref="B1"/>
    </sheetView>
  </sheetViews>
  <sheetFormatPr defaultColWidth="9" defaultRowHeight="13.8" x14ac:dyDescent="0.25"/>
  <cols>
    <col min="1" max="1" width="44.09765625" style="2" customWidth="1"/>
    <col min="2" max="2" width="83.3984375" style="8" customWidth="1"/>
    <col min="3" max="16384" width="9" style="2"/>
  </cols>
  <sheetData>
    <row r="1" spans="1:2" x14ac:dyDescent="0.25">
      <c r="A1" s="157" t="s">
        <v>0</v>
      </c>
      <c r="B1" s="8" t="s">
        <v>380</v>
      </c>
    </row>
    <row r="2" spans="1:2" x14ac:dyDescent="0.25">
      <c r="A2" s="156" t="s">
        <v>359</v>
      </c>
      <c r="B2" s="229" t="s">
        <v>481</v>
      </c>
    </row>
    <row r="3" spans="1:2" ht="41.4" x14ac:dyDescent="0.25">
      <c r="A3" s="217" t="s">
        <v>301</v>
      </c>
      <c r="B3" s="163" t="s">
        <v>508</v>
      </c>
    </row>
    <row r="4" spans="1:2" ht="27.6" x14ac:dyDescent="0.25">
      <c r="A4" s="217" t="s">
        <v>363</v>
      </c>
      <c r="B4" s="234">
        <v>0</v>
      </c>
    </row>
    <row r="5" spans="1:2" ht="27.6" x14ac:dyDescent="0.25">
      <c r="A5" s="217" t="s">
        <v>364</v>
      </c>
      <c r="B5" s="234">
        <v>0</v>
      </c>
    </row>
    <row r="6" spans="1:2" ht="55.2" x14ac:dyDescent="0.25">
      <c r="A6" s="217" t="s">
        <v>322</v>
      </c>
      <c r="B6" s="218" t="s">
        <v>377</v>
      </c>
    </row>
    <row r="7" spans="1:2" ht="41.4" x14ac:dyDescent="0.25">
      <c r="A7" s="217" t="s">
        <v>328</v>
      </c>
      <c r="B7" s="218" t="s">
        <v>507</v>
      </c>
    </row>
    <row r="8" spans="1:2" ht="41.4" x14ac:dyDescent="0.25">
      <c r="A8" s="217" t="s">
        <v>347</v>
      </c>
      <c r="B8" s="218" t="s">
        <v>507</v>
      </c>
    </row>
    <row r="9" spans="1:2" ht="41.4" x14ac:dyDescent="0.25">
      <c r="A9" s="217" t="s">
        <v>348</v>
      </c>
      <c r="B9" s="218" t="s">
        <v>507</v>
      </c>
    </row>
    <row r="10" spans="1:2" ht="27.6" x14ac:dyDescent="0.25">
      <c r="A10" s="217" t="s">
        <v>482</v>
      </c>
      <c r="B10" s="218" t="s">
        <v>506</v>
      </c>
    </row>
    <row r="11" spans="1:2" ht="41.4" x14ac:dyDescent="0.25">
      <c r="A11" s="217" t="s">
        <v>483</v>
      </c>
      <c r="B11" s="218" t="s">
        <v>505</v>
      </c>
    </row>
    <row r="12" spans="1:2" ht="27.6" x14ac:dyDescent="0.25">
      <c r="A12" s="217" t="s">
        <v>352</v>
      </c>
      <c r="B12" s="218" t="s">
        <v>41</v>
      </c>
    </row>
    <row r="13" spans="1:2" ht="41.4" x14ac:dyDescent="0.25">
      <c r="A13" s="217" t="s">
        <v>375</v>
      </c>
      <c r="B13" s="218" t="s">
        <v>504</v>
      </c>
    </row>
    <row r="14" spans="1:2" ht="27.6" x14ac:dyDescent="0.25">
      <c r="A14" s="3" t="s">
        <v>484</v>
      </c>
      <c r="B14" s="218" t="s">
        <v>503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sheetPr>
  <dimension ref="A1:B14"/>
  <sheetViews>
    <sheetView zoomScale="55" zoomScaleNormal="55" workbookViewId="0">
      <selection activeCell="B1" sqref="B1"/>
    </sheetView>
  </sheetViews>
  <sheetFormatPr defaultColWidth="9" defaultRowHeight="13.8" x14ac:dyDescent="0.25"/>
  <cols>
    <col min="1" max="1" width="44.09765625" style="2" customWidth="1"/>
    <col min="2" max="2" width="83.3984375" style="8" customWidth="1"/>
    <col min="3" max="16384" width="9" style="2"/>
  </cols>
  <sheetData>
    <row r="1" spans="1:2" x14ac:dyDescent="0.25">
      <c r="A1" s="157" t="s">
        <v>0</v>
      </c>
      <c r="B1" s="8" t="s">
        <v>381</v>
      </c>
    </row>
    <row r="2" spans="1:2" x14ac:dyDescent="0.25">
      <c r="A2" s="156" t="s">
        <v>359</v>
      </c>
      <c r="B2" s="229" t="s">
        <v>481</v>
      </c>
    </row>
    <row r="3" spans="1:2" ht="41.4" x14ac:dyDescent="0.25">
      <c r="A3" s="217" t="s">
        <v>301</v>
      </c>
      <c r="B3" s="163" t="s">
        <v>508</v>
      </c>
    </row>
    <row r="4" spans="1:2" ht="27.6" x14ac:dyDescent="0.25">
      <c r="A4" s="217" t="s">
        <v>363</v>
      </c>
      <c r="B4" s="234">
        <v>0</v>
      </c>
    </row>
    <row r="5" spans="1:2" ht="27.6" x14ac:dyDescent="0.25">
      <c r="A5" s="217" t="s">
        <v>364</v>
      </c>
      <c r="B5" s="234">
        <v>0</v>
      </c>
    </row>
    <row r="6" spans="1:2" ht="55.2" x14ac:dyDescent="0.25">
      <c r="A6" s="217" t="s">
        <v>322</v>
      </c>
      <c r="B6" s="218" t="s">
        <v>377</v>
      </c>
    </row>
    <row r="7" spans="1:2" ht="41.4" x14ac:dyDescent="0.25">
      <c r="A7" s="217" t="s">
        <v>328</v>
      </c>
      <c r="B7" s="218" t="s">
        <v>507</v>
      </c>
    </row>
    <row r="8" spans="1:2" ht="41.4" x14ac:dyDescent="0.25">
      <c r="A8" s="217" t="s">
        <v>347</v>
      </c>
      <c r="B8" s="218" t="s">
        <v>507</v>
      </c>
    </row>
    <row r="9" spans="1:2" ht="41.4" x14ac:dyDescent="0.25">
      <c r="A9" s="217" t="s">
        <v>348</v>
      </c>
      <c r="B9" s="218" t="s">
        <v>507</v>
      </c>
    </row>
    <row r="10" spans="1:2" ht="27.6" x14ac:dyDescent="0.25">
      <c r="A10" s="217" t="s">
        <v>482</v>
      </c>
      <c r="B10" s="218" t="s">
        <v>506</v>
      </c>
    </row>
    <row r="11" spans="1:2" ht="41.4" x14ac:dyDescent="0.25">
      <c r="A11" s="217" t="s">
        <v>483</v>
      </c>
      <c r="B11" s="218" t="s">
        <v>505</v>
      </c>
    </row>
    <row r="12" spans="1:2" ht="27.6" x14ac:dyDescent="0.25">
      <c r="A12" s="217" t="s">
        <v>352</v>
      </c>
      <c r="B12" s="218" t="s">
        <v>41</v>
      </c>
    </row>
    <row r="13" spans="1:2" ht="41.4" x14ac:dyDescent="0.25">
      <c r="A13" s="217" t="s">
        <v>375</v>
      </c>
      <c r="B13" s="218" t="s">
        <v>504</v>
      </c>
    </row>
    <row r="14" spans="1:2" ht="27.6" x14ac:dyDescent="0.25">
      <c r="A14" s="3" t="s">
        <v>484</v>
      </c>
      <c r="B14" s="218" t="s">
        <v>503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W60"/>
  <sheetViews>
    <sheetView zoomScale="75" zoomScaleNormal="75" workbookViewId="0"/>
  </sheetViews>
  <sheetFormatPr defaultRowHeight="13.8" x14ac:dyDescent="0.25"/>
  <sheetData>
    <row r="1" spans="1:23" x14ac:dyDescent="0.25">
      <c r="A1" s="2"/>
      <c r="B1" s="2"/>
      <c r="C1" s="2"/>
      <c r="D1" s="2"/>
      <c r="E1" s="2"/>
      <c r="F1" s="2"/>
      <c r="G1" s="2"/>
      <c r="H1" s="2"/>
      <c r="I1" s="2"/>
      <c r="J1" s="2"/>
      <c r="K1" s="2"/>
      <c r="L1" s="2"/>
      <c r="M1" s="2"/>
      <c r="N1" s="2"/>
      <c r="O1" s="2"/>
      <c r="P1" s="2"/>
      <c r="Q1" s="2"/>
      <c r="R1" s="2"/>
      <c r="S1" s="2"/>
      <c r="T1" s="2"/>
      <c r="U1" s="2"/>
      <c r="V1" s="2"/>
      <c r="W1" s="2"/>
    </row>
    <row r="2" spans="1:23" x14ac:dyDescent="0.25">
      <c r="A2" s="2"/>
      <c r="B2" s="2"/>
      <c r="C2" s="2"/>
      <c r="D2" s="2"/>
      <c r="E2" s="2"/>
      <c r="F2" s="2"/>
      <c r="G2" s="2"/>
      <c r="H2" s="2"/>
      <c r="I2" s="2"/>
      <c r="J2" s="2"/>
      <c r="K2" s="2"/>
      <c r="L2" s="2"/>
      <c r="M2" s="2"/>
      <c r="N2" s="2"/>
      <c r="O2" s="2"/>
      <c r="P2" s="2"/>
      <c r="Q2" s="2"/>
      <c r="R2" s="2"/>
      <c r="S2" s="2"/>
      <c r="T2" s="2"/>
      <c r="U2" s="2"/>
      <c r="V2" s="2"/>
      <c r="W2" s="2"/>
    </row>
    <row r="3" spans="1:23" x14ac:dyDescent="0.25">
      <c r="A3" s="2"/>
      <c r="B3" s="2"/>
      <c r="C3" s="2"/>
      <c r="D3" s="2"/>
      <c r="E3" s="2"/>
      <c r="F3" s="2"/>
      <c r="G3" s="2"/>
      <c r="H3" s="2"/>
      <c r="I3" s="2"/>
      <c r="J3" s="2"/>
      <c r="K3" s="2"/>
      <c r="L3" s="2"/>
      <c r="M3" s="2"/>
      <c r="N3" s="2"/>
      <c r="O3" s="2"/>
      <c r="P3" s="2"/>
      <c r="Q3" s="2"/>
      <c r="R3" s="2"/>
      <c r="S3" s="2"/>
      <c r="T3" s="2"/>
      <c r="U3" s="2"/>
      <c r="V3" s="2"/>
      <c r="W3" s="2"/>
    </row>
    <row r="4" spans="1:23" x14ac:dyDescent="0.25">
      <c r="A4" s="2"/>
      <c r="B4" s="2"/>
      <c r="C4" s="2"/>
      <c r="D4" s="2"/>
      <c r="E4" s="2"/>
      <c r="F4" s="2"/>
      <c r="G4" s="2"/>
      <c r="H4" s="2"/>
      <c r="I4" s="2"/>
      <c r="J4" s="2"/>
      <c r="K4" s="2"/>
      <c r="L4" s="2"/>
      <c r="M4" s="2"/>
      <c r="N4" s="2"/>
      <c r="O4" s="2"/>
      <c r="P4" s="2"/>
      <c r="Q4" s="2"/>
      <c r="R4" s="2"/>
      <c r="S4" s="2"/>
      <c r="T4" s="2"/>
      <c r="U4" s="2"/>
      <c r="V4" s="2"/>
      <c r="W4" s="2"/>
    </row>
    <row r="5" spans="1:23" x14ac:dyDescent="0.25">
      <c r="A5" s="2"/>
      <c r="B5" s="2"/>
      <c r="C5" s="2"/>
      <c r="D5" s="2"/>
      <c r="E5" s="2"/>
      <c r="F5" s="2"/>
      <c r="G5" s="2"/>
      <c r="H5" s="2"/>
      <c r="I5" s="2"/>
      <c r="J5" s="2"/>
      <c r="K5" s="2"/>
      <c r="L5" s="2"/>
      <c r="M5" s="2"/>
      <c r="N5" s="2"/>
      <c r="O5" s="2"/>
      <c r="P5" s="2"/>
      <c r="Q5" s="2"/>
      <c r="R5" s="2"/>
      <c r="S5" s="2"/>
      <c r="T5" s="2"/>
      <c r="U5" s="2"/>
      <c r="V5" s="2"/>
      <c r="W5" s="2"/>
    </row>
    <row r="6" spans="1:23" x14ac:dyDescent="0.25">
      <c r="A6" s="2"/>
      <c r="B6" s="2"/>
      <c r="C6" s="2"/>
      <c r="D6" s="2"/>
      <c r="E6" s="2"/>
      <c r="F6" s="2"/>
      <c r="G6" s="2"/>
      <c r="H6" s="2"/>
      <c r="I6" s="2"/>
      <c r="J6" s="2"/>
      <c r="K6" s="2"/>
      <c r="L6" s="2"/>
      <c r="M6" s="2"/>
      <c r="N6" s="2"/>
      <c r="O6" s="2"/>
      <c r="P6" s="2"/>
      <c r="Q6" s="2"/>
      <c r="R6" s="2"/>
      <c r="S6" s="2"/>
      <c r="T6" s="2"/>
      <c r="U6" s="2"/>
      <c r="V6" s="2"/>
      <c r="W6" s="2"/>
    </row>
    <row r="7" spans="1:23" x14ac:dyDescent="0.25">
      <c r="A7" s="2"/>
      <c r="B7" s="2"/>
      <c r="C7" s="2"/>
      <c r="D7" s="2"/>
      <c r="E7" s="2"/>
      <c r="F7" s="2"/>
      <c r="G7" s="2"/>
      <c r="H7" s="2"/>
      <c r="I7" s="2"/>
      <c r="J7" s="2"/>
      <c r="K7" s="2"/>
      <c r="L7" s="2"/>
      <c r="M7" s="2"/>
      <c r="N7" s="2"/>
      <c r="O7" s="2"/>
      <c r="P7" s="2"/>
      <c r="Q7" s="2"/>
      <c r="R7" s="2"/>
      <c r="S7" s="2"/>
      <c r="T7" s="2"/>
      <c r="U7" s="2"/>
      <c r="V7" s="2"/>
      <c r="W7" s="2"/>
    </row>
    <row r="8" spans="1:23" x14ac:dyDescent="0.25">
      <c r="A8" s="2"/>
      <c r="B8" s="2"/>
      <c r="C8" s="2"/>
      <c r="D8" s="2"/>
      <c r="E8" s="2"/>
      <c r="F8" s="2"/>
      <c r="G8" s="2"/>
      <c r="H8" s="2"/>
      <c r="I8" s="2"/>
      <c r="J8" s="2"/>
      <c r="K8" s="2"/>
      <c r="L8" s="2"/>
      <c r="M8" s="2"/>
      <c r="N8" s="2"/>
      <c r="O8" s="2"/>
      <c r="P8" s="2"/>
      <c r="Q8" s="2"/>
      <c r="R8" s="2"/>
      <c r="S8" s="2"/>
      <c r="T8" s="2"/>
      <c r="U8" s="2"/>
      <c r="V8" s="2"/>
      <c r="W8" s="2"/>
    </row>
    <row r="9" spans="1:23" x14ac:dyDescent="0.25">
      <c r="A9" s="2"/>
      <c r="B9" s="2"/>
      <c r="C9" s="2"/>
      <c r="D9" s="2"/>
      <c r="E9" s="2"/>
      <c r="F9" s="2"/>
      <c r="G9" s="2"/>
      <c r="H9" s="2"/>
      <c r="I9" s="2"/>
      <c r="J9" s="2"/>
      <c r="K9" s="2"/>
      <c r="L9" s="2"/>
      <c r="M9" s="2"/>
      <c r="N9" s="2"/>
      <c r="O9" s="2"/>
      <c r="P9" s="2"/>
      <c r="Q9" s="2"/>
      <c r="R9" s="2"/>
      <c r="S9" s="2"/>
      <c r="T9" s="2"/>
      <c r="U9" s="2"/>
      <c r="V9" s="2"/>
      <c r="W9" s="2"/>
    </row>
    <row r="10" spans="1:23" x14ac:dyDescent="0.25">
      <c r="A10" s="2"/>
      <c r="B10" s="2"/>
      <c r="C10" s="2"/>
      <c r="D10" s="2"/>
      <c r="E10" s="2"/>
      <c r="F10" s="2"/>
      <c r="G10" s="2"/>
      <c r="H10" s="2"/>
      <c r="I10" s="2"/>
      <c r="J10" s="2"/>
      <c r="K10" s="2"/>
      <c r="L10" s="2"/>
      <c r="M10" s="2"/>
      <c r="N10" s="2"/>
      <c r="O10" s="2"/>
      <c r="P10" s="2"/>
      <c r="Q10" s="2"/>
      <c r="R10" s="2"/>
      <c r="S10" s="2"/>
      <c r="T10" s="2"/>
      <c r="U10" s="2"/>
      <c r="V10" s="2"/>
      <c r="W10" s="2"/>
    </row>
    <row r="11" spans="1:23" x14ac:dyDescent="0.25">
      <c r="A11" s="2"/>
      <c r="B11" s="2"/>
      <c r="C11" s="2"/>
      <c r="D11" s="2"/>
      <c r="E11" s="2"/>
      <c r="F11" s="2"/>
      <c r="G11" s="2"/>
      <c r="H11" s="2"/>
      <c r="I11" s="2"/>
      <c r="J11" s="2"/>
      <c r="K11" s="2"/>
      <c r="L11" s="2"/>
      <c r="M11" s="2"/>
      <c r="N11" s="2"/>
      <c r="O11" s="2"/>
      <c r="P11" s="2"/>
      <c r="Q11" s="2"/>
      <c r="R11" s="2"/>
      <c r="S11" s="2"/>
      <c r="T11" s="2"/>
      <c r="U11" s="2"/>
      <c r="V11" s="2"/>
      <c r="W11" s="2"/>
    </row>
    <row r="12" spans="1:23" x14ac:dyDescent="0.25">
      <c r="A12" s="2"/>
      <c r="B12" s="2"/>
      <c r="C12" s="2"/>
      <c r="D12" s="2"/>
      <c r="E12" s="2"/>
      <c r="F12" s="2"/>
      <c r="G12" s="2"/>
      <c r="H12" s="2"/>
      <c r="I12" s="2"/>
      <c r="J12" s="2"/>
      <c r="K12" s="2"/>
      <c r="L12" s="2"/>
      <c r="M12" s="2"/>
      <c r="N12" s="2"/>
      <c r="O12" s="2"/>
      <c r="P12" s="2"/>
      <c r="Q12" s="2"/>
      <c r="R12" s="2"/>
      <c r="S12" s="2"/>
      <c r="T12" s="2"/>
      <c r="U12" s="2"/>
      <c r="V12" s="2"/>
      <c r="W12" s="2"/>
    </row>
    <row r="13" spans="1:23" x14ac:dyDescent="0.25">
      <c r="A13" s="2"/>
      <c r="B13" s="2"/>
      <c r="C13" s="2"/>
      <c r="D13" s="2"/>
      <c r="E13" s="2"/>
      <c r="F13" s="2"/>
      <c r="G13" s="2"/>
      <c r="H13" s="2"/>
      <c r="I13" s="2"/>
      <c r="J13" s="2"/>
      <c r="K13" s="2"/>
      <c r="L13" s="2"/>
      <c r="M13" s="2"/>
      <c r="N13" s="2"/>
      <c r="O13" s="2"/>
      <c r="P13" s="2"/>
      <c r="Q13" s="2"/>
      <c r="R13" s="2"/>
      <c r="S13" s="2"/>
      <c r="T13" s="2"/>
      <c r="U13" s="2"/>
      <c r="V13" s="2"/>
      <c r="W13" s="2"/>
    </row>
    <row r="14" spans="1:23" x14ac:dyDescent="0.25">
      <c r="A14" s="2"/>
      <c r="B14" s="2"/>
      <c r="C14" s="2"/>
      <c r="D14" s="2"/>
      <c r="E14" s="2"/>
      <c r="F14" s="2"/>
      <c r="G14" s="2"/>
      <c r="H14" s="2"/>
      <c r="I14" s="2"/>
      <c r="J14" s="2"/>
      <c r="K14" s="2"/>
      <c r="L14" s="2"/>
      <c r="M14" s="2"/>
      <c r="N14" s="2"/>
      <c r="O14" s="2"/>
      <c r="P14" s="2"/>
      <c r="Q14" s="2"/>
      <c r="R14" s="2"/>
      <c r="S14" s="2"/>
      <c r="T14" s="2"/>
      <c r="U14" s="2"/>
      <c r="V14" s="2"/>
      <c r="W14" s="2"/>
    </row>
    <row r="15" spans="1:23" x14ac:dyDescent="0.25">
      <c r="A15" s="2"/>
      <c r="B15" s="2"/>
      <c r="C15" s="2"/>
      <c r="D15" s="2"/>
      <c r="E15" s="2"/>
      <c r="F15" s="2"/>
      <c r="G15" s="2"/>
      <c r="H15" s="2"/>
      <c r="I15" s="2"/>
      <c r="J15" s="2"/>
      <c r="K15" s="2"/>
      <c r="L15" s="2"/>
      <c r="M15" s="2"/>
      <c r="N15" s="2"/>
      <c r="O15" s="2"/>
      <c r="P15" s="2"/>
      <c r="Q15" s="2"/>
      <c r="R15" s="2"/>
      <c r="S15" s="2"/>
      <c r="T15" s="2"/>
      <c r="U15" s="2"/>
      <c r="V15" s="2"/>
      <c r="W15" s="2"/>
    </row>
    <row r="16" spans="1:23" x14ac:dyDescent="0.25">
      <c r="A16" s="2"/>
      <c r="B16" s="2"/>
      <c r="C16" s="2"/>
      <c r="D16" s="2"/>
      <c r="E16" s="2"/>
      <c r="F16" s="2"/>
      <c r="G16" s="2"/>
      <c r="H16" s="2"/>
      <c r="I16" s="2"/>
      <c r="J16" s="2"/>
      <c r="K16" s="2"/>
      <c r="L16" s="2"/>
      <c r="M16" s="2"/>
      <c r="N16" s="2"/>
      <c r="O16" s="2"/>
      <c r="P16" s="2"/>
      <c r="Q16" s="2"/>
      <c r="R16" s="2"/>
      <c r="S16" s="2"/>
      <c r="T16" s="2"/>
      <c r="U16" s="2"/>
      <c r="V16" s="2"/>
      <c r="W16" s="2"/>
    </row>
    <row r="17" spans="1:23" x14ac:dyDescent="0.25">
      <c r="A17" s="2"/>
      <c r="B17" s="2"/>
      <c r="C17" s="2"/>
      <c r="D17" s="2"/>
      <c r="E17" s="2"/>
      <c r="F17" s="2"/>
      <c r="G17" s="2"/>
      <c r="H17" s="2"/>
      <c r="I17" s="2"/>
      <c r="J17" s="2"/>
      <c r="K17" s="2"/>
      <c r="L17" s="2"/>
      <c r="M17" s="2"/>
      <c r="N17" s="2"/>
      <c r="O17" s="2"/>
      <c r="P17" s="2"/>
      <c r="Q17" s="2"/>
      <c r="R17" s="2"/>
      <c r="S17" s="2"/>
      <c r="T17" s="2"/>
      <c r="U17" s="2"/>
      <c r="V17" s="2"/>
      <c r="W17" s="2"/>
    </row>
    <row r="18" spans="1:23" x14ac:dyDescent="0.25">
      <c r="A18" s="2"/>
      <c r="B18" s="2"/>
      <c r="C18" s="2"/>
      <c r="D18" s="2"/>
      <c r="E18" s="2"/>
      <c r="F18" s="2"/>
      <c r="G18" s="2"/>
      <c r="H18" s="2"/>
      <c r="I18" s="2"/>
      <c r="J18" s="2"/>
      <c r="K18" s="2"/>
      <c r="L18" s="2"/>
      <c r="M18" s="2"/>
      <c r="N18" s="2"/>
      <c r="O18" s="2"/>
      <c r="P18" s="2"/>
      <c r="Q18" s="2"/>
      <c r="R18" s="2"/>
      <c r="S18" s="2"/>
      <c r="T18" s="2"/>
      <c r="U18" s="2"/>
      <c r="V18" s="2"/>
      <c r="W18" s="2"/>
    </row>
    <row r="19" spans="1:23" x14ac:dyDescent="0.25">
      <c r="A19" s="2"/>
      <c r="B19" s="2"/>
      <c r="C19" s="2"/>
      <c r="D19" s="2"/>
      <c r="E19" s="2"/>
      <c r="F19" s="2"/>
      <c r="G19" s="2"/>
      <c r="H19" s="2"/>
      <c r="I19" s="2"/>
      <c r="J19" s="2"/>
      <c r="K19" s="2"/>
      <c r="L19" s="2"/>
      <c r="M19" s="2"/>
      <c r="N19" s="2"/>
      <c r="O19" s="2"/>
      <c r="P19" s="2"/>
      <c r="Q19" s="2"/>
      <c r="R19" s="2"/>
      <c r="S19" s="2"/>
      <c r="T19" s="2"/>
      <c r="U19" s="2"/>
      <c r="V19" s="2"/>
      <c r="W19" s="2"/>
    </row>
    <row r="20" spans="1:23" x14ac:dyDescent="0.25">
      <c r="A20" s="2"/>
      <c r="B20" s="2"/>
      <c r="C20" s="2"/>
      <c r="D20" s="2"/>
      <c r="E20" s="2"/>
      <c r="F20" s="2"/>
      <c r="G20" s="2"/>
      <c r="H20" s="2"/>
      <c r="I20" s="2"/>
      <c r="J20" s="2"/>
      <c r="K20" s="2"/>
      <c r="L20" s="2"/>
      <c r="M20" s="2"/>
      <c r="N20" s="2"/>
      <c r="O20" s="2"/>
      <c r="P20" s="2"/>
      <c r="Q20" s="2"/>
      <c r="R20" s="2"/>
      <c r="S20" s="2"/>
      <c r="T20" s="2"/>
      <c r="U20" s="2"/>
      <c r="V20" s="2"/>
      <c r="W20" s="2"/>
    </row>
    <row r="21" spans="1:23" x14ac:dyDescent="0.25">
      <c r="A21" s="2"/>
      <c r="B21" s="2"/>
      <c r="C21" s="2"/>
      <c r="D21" s="2"/>
      <c r="E21" s="2"/>
      <c r="F21" s="2"/>
      <c r="G21" s="2"/>
      <c r="H21" s="2"/>
      <c r="I21" s="2"/>
      <c r="J21" s="2"/>
      <c r="K21" s="2"/>
      <c r="L21" s="2"/>
      <c r="M21" s="2"/>
      <c r="N21" s="2"/>
      <c r="O21" s="2"/>
      <c r="P21" s="2"/>
      <c r="Q21" s="2"/>
      <c r="R21" s="2"/>
      <c r="S21" s="2"/>
      <c r="T21" s="2"/>
      <c r="U21" s="2"/>
      <c r="V21" s="2"/>
      <c r="W21" s="2"/>
    </row>
    <row r="22" spans="1:23" x14ac:dyDescent="0.25">
      <c r="A22" s="2"/>
      <c r="B22" s="2"/>
      <c r="C22" s="2"/>
      <c r="D22" s="2"/>
      <c r="E22" s="2"/>
      <c r="F22" s="2"/>
      <c r="G22" s="2"/>
      <c r="H22" s="2"/>
      <c r="I22" s="2"/>
      <c r="J22" s="2"/>
      <c r="K22" s="2"/>
      <c r="L22" s="2"/>
      <c r="M22" s="2"/>
      <c r="N22" s="2"/>
      <c r="O22" s="2"/>
      <c r="P22" s="2"/>
      <c r="Q22" s="2"/>
      <c r="R22" s="2"/>
      <c r="S22" s="2"/>
      <c r="T22" s="2"/>
      <c r="U22" s="2"/>
      <c r="V22" s="2"/>
      <c r="W22" s="2"/>
    </row>
    <row r="23" spans="1:23" x14ac:dyDescent="0.25">
      <c r="A23" s="2"/>
      <c r="B23" s="2"/>
      <c r="C23" s="2"/>
      <c r="D23" s="2"/>
      <c r="E23" s="2"/>
      <c r="F23" s="2"/>
      <c r="G23" s="2"/>
      <c r="H23" s="2"/>
      <c r="I23" s="2"/>
      <c r="J23" s="2"/>
      <c r="K23" s="2"/>
      <c r="L23" s="2"/>
      <c r="M23" s="2"/>
      <c r="N23" s="2"/>
      <c r="O23" s="2"/>
      <c r="P23" s="2"/>
      <c r="Q23" s="2"/>
      <c r="R23" s="2"/>
      <c r="S23" s="2"/>
      <c r="T23" s="2"/>
      <c r="U23" s="2"/>
      <c r="V23" s="2"/>
      <c r="W23" s="2"/>
    </row>
    <row r="24" spans="1:23" x14ac:dyDescent="0.25">
      <c r="A24" s="2"/>
      <c r="B24" s="2"/>
      <c r="C24" s="2"/>
      <c r="D24" s="2"/>
      <c r="E24" s="2"/>
      <c r="F24" s="2"/>
      <c r="G24" s="2"/>
      <c r="H24" s="2"/>
      <c r="I24" s="2"/>
      <c r="J24" s="2"/>
      <c r="K24" s="2"/>
      <c r="L24" s="2"/>
      <c r="M24" s="2"/>
      <c r="N24" s="2"/>
      <c r="O24" s="2"/>
      <c r="P24" s="2"/>
      <c r="Q24" s="2"/>
      <c r="R24" s="2"/>
      <c r="S24" s="2"/>
      <c r="T24" s="2"/>
      <c r="U24" s="2"/>
      <c r="V24" s="2"/>
      <c r="W24" s="2"/>
    </row>
    <row r="25" spans="1:23" x14ac:dyDescent="0.25">
      <c r="A25" s="2"/>
      <c r="B25" s="2"/>
      <c r="C25" s="2"/>
      <c r="D25" s="2"/>
      <c r="E25" s="2"/>
      <c r="F25" s="2"/>
      <c r="G25" s="2"/>
      <c r="H25" s="2"/>
      <c r="I25" s="2"/>
      <c r="J25" s="2"/>
      <c r="K25" s="2"/>
      <c r="L25" s="2"/>
      <c r="M25" s="2"/>
      <c r="N25" s="2"/>
      <c r="O25" s="2"/>
      <c r="P25" s="2"/>
      <c r="Q25" s="2"/>
      <c r="R25" s="2"/>
      <c r="S25" s="2"/>
      <c r="T25" s="2"/>
      <c r="U25" s="2"/>
      <c r="V25" s="2"/>
      <c r="W25" s="2"/>
    </row>
    <row r="26" spans="1:23" x14ac:dyDescent="0.25">
      <c r="A26" s="2"/>
      <c r="B26" s="2"/>
      <c r="C26" s="2"/>
      <c r="D26" s="2"/>
      <c r="E26" s="2"/>
      <c r="F26" s="2"/>
      <c r="G26" s="2"/>
      <c r="H26" s="2"/>
      <c r="I26" s="2"/>
      <c r="J26" s="2"/>
      <c r="K26" s="2"/>
      <c r="L26" s="2"/>
      <c r="M26" s="2"/>
      <c r="N26" s="2"/>
      <c r="O26" s="2"/>
      <c r="P26" s="2"/>
      <c r="Q26" s="2"/>
      <c r="R26" s="2"/>
      <c r="S26" s="2"/>
      <c r="T26" s="2"/>
      <c r="U26" s="2"/>
      <c r="V26" s="2"/>
      <c r="W26" s="2"/>
    </row>
    <row r="27" spans="1:23" x14ac:dyDescent="0.25">
      <c r="A27" s="2"/>
      <c r="B27" s="2"/>
      <c r="C27" s="2"/>
      <c r="D27" s="2"/>
      <c r="E27" s="2"/>
      <c r="F27" s="2"/>
      <c r="G27" s="2"/>
      <c r="H27" s="2"/>
      <c r="I27" s="2"/>
      <c r="J27" s="2"/>
      <c r="K27" s="2"/>
      <c r="L27" s="2"/>
      <c r="M27" s="2"/>
      <c r="N27" s="2"/>
      <c r="O27" s="2"/>
      <c r="P27" s="2"/>
      <c r="Q27" s="2"/>
      <c r="R27" s="2"/>
      <c r="S27" s="2"/>
      <c r="T27" s="2"/>
      <c r="U27" s="2"/>
      <c r="V27" s="2"/>
      <c r="W27" s="2"/>
    </row>
    <row r="28" spans="1:23" x14ac:dyDescent="0.25">
      <c r="A28" s="2"/>
      <c r="B28" s="2"/>
      <c r="C28" s="2"/>
      <c r="D28" s="2"/>
      <c r="E28" s="2"/>
      <c r="F28" s="2"/>
      <c r="G28" s="2"/>
      <c r="H28" s="2"/>
      <c r="I28" s="2"/>
      <c r="J28" s="2"/>
      <c r="K28" s="2"/>
      <c r="L28" s="2"/>
      <c r="M28" s="2"/>
      <c r="N28" s="2"/>
      <c r="O28" s="2"/>
      <c r="P28" s="2"/>
      <c r="Q28" s="2"/>
      <c r="R28" s="2"/>
      <c r="S28" s="2"/>
      <c r="T28" s="2"/>
      <c r="U28" s="2"/>
      <c r="V28" s="2"/>
      <c r="W28" s="2"/>
    </row>
    <row r="29" spans="1:23" x14ac:dyDescent="0.25">
      <c r="A29" s="2"/>
      <c r="B29" s="2"/>
      <c r="C29" s="2"/>
      <c r="D29" s="2"/>
      <c r="E29" s="2"/>
      <c r="F29" s="2"/>
      <c r="G29" s="2"/>
      <c r="H29" s="2"/>
      <c r="I29" s="2"/>
      <c r="J29" s="2"/>
      <c r="K29" s="2"/>
      <c r="L29" s="2"/>
      <c r="M29" s="2"/>
      <c r="N29" s="2"/>
      <c r="O29" s="2"/>
      <c r="P29" s="2"/>
      <c r="Q29" s="2"/>
      <c r="R29" s="2"/>
      <c r="S29" s="2"/>
      <c r="T29" s="2"/>
      <c r="U29" s="2"/>
      <c r="V29" s="2"/>
      <c r="W29" s="2"/>
    </row>
    <row r="30" spans="1:23" x14ac:dyDescent="0.25">
      <c r="A30" s="2"/>
      <c r="B30" s="2"/>
      <c r="C30" s="2"/>
      <c r="D30" s="2"/>
      <c r="E30" s="2"/>
      <c r="F30" s="2"/>
      <c r="G30" s="2"/>
      <c r="H30" s="2"/>
      <c r="I30" s="2"/>
      <c r="J30" s="2"/>
      <c r="K30" s="2"/>
      <c r="L30" s="2"/>
      <c r="M30" s="2"/>
      <c r="N30" s="2"/>
      <c r="O30" s="2"/>
      <c r="P30" s="2"/>
      <c r="Q30" s="2"/>
      <c r="R30" s="2"/>
      <c r="S30" s="2"/>
      <c r="T30" s="2"/>
      <c r="U30" s="2"/>
      <c r="V30" s="2"/>
      <c r="W30" s="2"/>
    </row>
    <row r="31" spans="1:23" x14ac:dyDescent="0.25">
      <c r="A31" s="2"/>
      <c r="B31" s="2"/>
      <c r="C31" s="2"/>
      <c r="D31" s="2"/>
      <c r="E31" s="2"/>
      <c r="F31" s="2"/>
      <c r="G31" s="2"/>
      <c r="H31" s="2"/>
      <c r="I31" s="2"/>
      <c r="J31" s="2"/>
      <c r="K31" s="2"/>
      <c r="L31" s="2"/>
      <c r="M31" s="2"/>
      <c r="N31" s="2"/>
      <c r="O31" s="2"/>
      <c r="P31" s="2"/>
      <c r="Q31" s="2"/>
      <c r="R31" s="2"/>
      <c r="S31" s="2"/>
      <c r="T31" s="2"/>
      <c r="U31" s="2"/>
      <c r="V31" s="2"/>
      <c r="W31" s="2"/>
    </row>
    <row r="32" spans="1:23" x14ac:dyDescent="0.25">
      <c r="A32" s="2"/>
      <c r="B32" s="2"/>
      <c r="C32" s="2"/>
      <c r="D32" s="2"/>
      <c r="E32" s="2"/>
      <c r="F32" s="2"/>
      <c r="G32" s="2"/>
      <c r="H32" s="2"/>
      <c r="I32" s="2"/>
      <c r="J32" s="2"/>
      <c r="K32" s="2"/>
      <c r="L32" s="2"/>
      <c r="M32" s="2"/>
      <c r="N32" s="2"/>
      <c r="O32" s="2"/>
      <c r="P32" s="2"/>
      <c r="Q32" s="2"/>
      <c r="R32" s="2"/>
      <c r="S32" s="2"/>
      <c r="T32" s="2"/>
      <c r="U32" s="2"/>
      <c r="V32" s="2"/>
      <c r="W32" s="2"/>
    </row>
    <row r="33" spans="1:23" x14ac:dyDescent="0.25">
      <c r="A33" s="2"/>
      <c r="B33" s="2"/>
      <c r="C33" s="2"/>
      <c r="D33" s="2"/>
      <c r="E33" s="2"/>
      <c r="F33" s="2"/>
      <c r="G33" s="2"/>
      <c r="H33" s="2"/>
      <c r="I33" s="2"/>
      <c r="J33" s="2"/>
      <c r="K33" s="2"/>
      <c r="L33" s="2"/>
      <c r="M33" s="2"/>
      <c r="N33" s="2"/>
      <c r="O33" s="2"/>
      <c r="P33" s="2"/>
      <c r="Q33" s="2"/>
      <c r="R33" s="2"/>
      <c r="S33" s="2"/>
      <c r="T33" s="2"/>
      <c r="U33" s="2"/>
      <c r="V33" s="2"/>
      <c r="W33" s="2"/>
    </row>
    <row r="34" spans="1:23" x14ac:dyDescent="0.25">
      <c r="A34" s="2"/>
      <c r="B34" s="2"/>
      <c r="C34" s="2"/>
      <c r="D34" s="2"/>
      <c r="E34" s="2"/>
      <c r="F34" s="2"/>
      <c r="G34" s="2"/>
      <c r="H34" s="2"/>
      <c r="I34" s="2"/>
      <c r="J34" s="2"/>
      <c r="K34" s="2"/>
      <c r="L34" s="2"/>
      <c r="M34" s="2"/>
      <c r="N34" s="2"/>
      <c r="O34" s="2"/>
      <c r="P34" s="2"/>
      <c r="Q34" s="2"/>
      <c r="R34" s="2"/>
      <c r="S34" s="2"/>
      <c r="T34" s="2"/>
      <c r="U34" s="2"/>
      <c r="V34" s="2"/>
      <c r="W34" s="2"/>
    </row>
    <row r="35" spans="1:23" x14ac:dyDescent="0.25">
      <c r="A35" s="2"/>
      <c r="B35" s="2"/>
      <c r="C35" s="2"/>
      <c r="D35" s="2"/>
      <c r="E35" s="2"/>
      <c r="F35" s="2"/>
      <c r="G35" s="2"/>
      <c r="H35" s="2"/>
      <c r="I35" s="2"/>
      <c r="J35" s="2"/>
      <c r="K35" s="2"/>
      <c r="L35" s="2"/>
      <c r="M35" s="2"/>
      <c r="N35" s="2"/>
      <c r="O35" s="2"/>
      <c r="P35" s="2"/>
      <c r="Q35" s="2"/>
      <c r="R35" s="2"/>
      <c r="S35" s="2"/>
      <c r="T35" s="2"/>
      <c r="U35" s="2"/>
      <c r="V35" s="2"/>
      <c r="W35" s="2"/>
    </row>
    <row r="36" spans="1:23" x14ac:dyDescent="0.25">
      <c r="A36" s="2"/>
      <c r="B36" s="2"/>
      <c r="C36" s="2"/>
      <c r="D36" s="2"/>
      <c r="E36" s="2"/>
      <c r="F36" s="2"/>
      <c r="G36" s="2"/>
      <c r="H36" s="2"/>
      <c r="I36" s="2"/>
      <c r="J36" s="2"/>
      <c r="K36" s="2"/>
      <c r="L36" s="2"/>
      <c r="M36" s="2"/>
      <c r="N36" s="2"/>
      <c r="O36" s="2"/>
      <c r="P36" s="2"/>
      <c r="Q36" s="2"/>
      <c r="R36" s="2"/>
      <c r="S36" s="2"/>
      <c r="T36" s="2"/>
      <c r="U36" s="2"/>
      <c r="V36" s="2"/>
      <c r="W36" s="2"/>
    </row>
    <row r="37" spans="1:23" x14ac:dyDescent="0.25">
      <c r="A37" s="2"/>
      <c r="B37" s="2"/>
      <c r="C37" s="2"/>
      <c r="D37" s="2"/>
      <c r="E37" s="2"/>
      <c r="F37" s="2"/>
      <c r="G37" s="2"/>
      <c r="H37" s="2"/>
      <c r="I37" s="2"/>
      <c r="J37" s="2"/>
      <c r="K37" s="2"/>
      <c r="L37" s="2"/>
      <c r="M37" s="2"/>
      <c r="N37" s="2"/>
      <c r="O37" s="2"/>
      <c r="P37" s="2"/>
      <c r="Q37" s="2"/>
      <c r="R37" s="2"/>
      <c r="S37" s="2"/>
      <c r="T37" s="2"/>
      <c r="U37" s="2"/>
      <c r="V37" s="2"/>
      <c r="W37" s="2"/>
    </row>
    <row r="38" spans="1:23" x14ac:dyDescent="0.25">
      <c r="A38" s="2"/>
      <c r="B38" s="2"/>
      <c r="C38" s="2"/>
      <c r="D38" s="2"/>
      <c r="E38" s="2"/>
      <c r="F38" s="2"/>
      <c r="G38" s="2"/>
      <c r="H38" s="2"/>
      <c r="I38" s="2"/>
      <c r="J38" s="2"/>
      <c r="K38" s="2"/>
      <c r="L38" s="2"/>
      <c r="M38" s="2"/>
      <c r="N38" s="2"/>
      <c r="O38" s="2"/>
      <c r="P38" s="2"/>
      <c r="Q38" s="2"/>
      <c r="R38" s="2"/>
      <c r="S38" s="2"/>
      <c r="T38" s="2"/>
      <c r="U38" s="2"/>
      <c r="V38" s="2"/>
      <c r="W38" s="2"/>
    </row>
    <row r="39" spans="1:23" x14ac:dyDescent="0.25">
      <c r="A39" s="2"/>
      <c r="B39" s="2"/>
      <c r="C39" s="2"/>
      <c r="D39" s="2"/>
      <c r="E39" s="2"/>
      <c r="F39" s="2"/>
      <c r="G39" s="2"/>
      <c r="H39" s="2"/>
      <c r="I39" s="2"/>
      <c r="J39" s="2"/>
      <c r="K39" s="2"/>
      <c r="L39" s="2"/>
      <c r="M39" s="2"/>
      <c r="N39" s="2"/>
      <c r="O39" s="2"/>
      <c r="P39" s="2"/>
      <c r="Q39" s="2"/>
      <c r="R39" s="2"/>
      <c r="S39" s="2"/>
      <c r="T39" s="2"/>
      <c r="U39" s="2"/>
      <c r="V39" s="2"/>
      <c r="W39" s="2"/>
    </row>
    <row r="40" spans="1:23" x14ac:dyDescent="0.25">
      <c r="A40" s="2"/>
      <c r="B40" s="2"/>
      <c r="C40" s="2"/>
      <c r="D40" s="2"/>
      <c r="E40" s="2"/>
      <c r="F40" s="2"/>
      <c r="G40" s="2"/>
      <c r="H40" s="2"/>
      <c r="I40" s="2"/>
      <c r="J40" s="2"/>
      <c r="K40" s="2"/>
      <c r="L40" s="2"/>
      <c r="M40" s="2"/>
      <c r="N40" s="2"/>
      <c r="O40" s="2"/>
      <c r="P40" s="2"/>
      <c r="Q40" s="2"/>
      <c r="R40" s="2"/>
      <c r="S40" s="2"/>
      <c r="T40" s="2"/>
      <c r="U40" s="2"/>
      <c r="V40" s="2"/>
      <c r="W40" s="2"/>
    </row>
    <row r="41" spans="1:23" x14ac:dyDescent="0.25">
      <c r="A41" s="2"/>
      <c r="B41" s="2"/>
      <c r="C41" s="2"/>
      <c r="D41" s="2"/>
      <c r="E41" s="2"/>
      <c r="F41" s="2"/>
      <c r="G41" s="2"/>
      <c r="H41" s="2"/>
      <c r="I41" s="2"/>
      <c r="J41" s="2"/>
      <c r="K41" s="2"/>
      <c r="L41" s="2"/>
      <c r="M41" s="2"/>
      <c r="N41" s="2"/>
      <c r="O41" s="2"/>
      <c r="P41" s="2"/>
      <c r="Q41" s="2"/>
      <c r="R41" s="2"/>
      <c r="S41" s="2"/>
      <c r="T41" s="2"/>
      <c r="U41" s="2"/>
      <c r="V41" s="2"/>
      <c r="W41" s="2"/>
    </row>
    <row r="42" spans="1:23" x14ac:dyDescent="0.25">
      <c r="A42" s="2"/>
      <c r="B42" s="2"/>
      <c r="C42" s="2"/>
      <c r="D42" s="2"/>
      <c r="E42" s="2"/>
      <c r="F42" s="2"/>
      <c r="G42" s="2"/>
      <c r="H42" s="2"/>
      <c r="I42" s="2"/>
      <c r="J42" s="2"/>
      <c r="K42" s="2"/>
      <c r="L42" s="2"/>
      <c r="M42" s="2"/>
      <c r="N42" s="2"/>
      <c r="O42" s="2"/>
      <c r="P42" s="2"/>
      <c r="Q42" s="2"/>
      <c r="R42" s="2"/>
      <c r="S42" s="2"/>
      <c r="T42" s="2"/>
      <c r="U42" s="2"/>
      <c r="V42" s="2"/>
      <c r="W42" s="2"/>
    </row>
    <row r="43" spans="1:23" x14ac:dyDescent="0.25">
      <c r="A43" s="2"/>
      <c r="B43" s="2"/>
      <c r="C43" s="2"/>
      <c r="D43" s="2"/>
      <c r="E43" s="2"/>
      <c r="F43" s="2"/>
      <c r="G43" s="2"/>
      <c r="H43" s="2"/>
      <c r="I43" s="2"/>
      <c r="J43" s="2"/>
      <c r="K43" s="2"/>
      <c r="L43" s="2"/>
      <c r="M43" s="2"/>
      <c r="N43" s="2"/>
      <c r="O43" s="2"/>
      <c r="P43" s="2"/>
      <c r="Q43" s="2"/>
      <c r="R43" s="2"/>
      <c r="S43" s="2"/>
      <c r="T43" s="2"/>
      <c r="U43" s="2"/>
      <c r="V43" s="2"/>
      <c r="W43" s="2"/>
    </row>
    <row r="44" spans="1:23" x14ac:dyDescent="0.25">
      <c r="A44" s="2"/>
      <c r="B44" s="2"/>
      <c r="C44" s="2"/>
      <c r="D44" s="2"/>
      <c r="E44" s="2"/>
      <c r="F44" s="2"/>
      <c r="G44" s="2"/>
      <c r="H44" s="2"/>
      <c r="I44" s="2"/>
      <c r="J44" s="2"/>
      <c r="K44" s="2"/>
      <c r="L44" s="2"/>
      <c r="M44" s="2"/>
      <c r="N44" s="2"/>
      <c r="O44" s="2"/>
      <c r="P44" s="2"/>
      <c r="Q44" s="2"/>
      <c r="R44" s="2"/>
      <c r="S44" s="2"/>
      <c r="T44" s="2"/>
      <c r="U44" s="2"/>
      <c r="V44" s="2"/>
      <c r="W44" s="2"/>
    </row>
    <row r="45" spans="1:23" x14ac:dyDescent="0.25">
      <c r="A45" s="2"/>
      <c r="B45" s="2"/>
      <c r="C45" s="2"/>
      <c r="D45" s="2"/>
      <c r="E45" s="2"/>
      <c r="F45" s="2"/>
      <c r="G45" s="2"/>
      <c r="H45" s="2"/>
      <c r="I45" s="2"/>
      <c r="J45" s="2"/>
      <c r="K45" s="2"/>
      <c r="L45" s="2"/>
      <c r="M45" s="2"/>
      <c r="N45" s="2"/>
      <c r="O45" s="2"/>
      <c r="P45" s="2"/>
      <c r="Q45" s="2"/>
      <c r="R45" s="2"/>
      <c r="S45" s="2"/>
      <c r="T45" s="2"/>
      <c r="U45" s="2"/>
      <c r="V45" s="2"/>
      <c r="W45" s="2"/>
    </row>
    <row r="46" spans="1:23" x14ac:dyDescent="0.25">
      <c r="A46" s="2"/>
      <c r="B46" s="2"/>
      <c r="C46" s="2"/>
      <c r="D46" s="2"/>
      <c r="E46" s="2"/>
      <c r="F46" s="2"/>
      <c r="G46" s="2"/>
      <c r="H46" s="2"/>
      <c r="I46" s="2"/>
      <c r="J46" s="2"/>
      <c r="K46" s="2"/>
      <c r="L46" s="2"/>
      <c r="M46" s="2"/>
      <c r="N46" s="2"/>
      <c r="O46" s="2"/>
      <c r="P46" s="2"/>
      <c r="Q46" s="2"/>
      <c r="R46" s="2"/>
      <c r="S46" s="2"/>
      <c r="T46" s="2"/>
      <c r="U46" s="2"/>
      <c r="V46" s="2"/>
      <c r="W46" s="2"/>
    </row>
    <row r="47" spans="1:23" x14ac:dyDescent="0.25">
      <c r="A47" s="2"/>
      <c r="B47" s="2"/>
      <c r="C47" s="2"/>
      <c r="D47" s="2"/>
      <c r="E47" s="2"/>
      <c r="F47" s="2"/>
      <c r="G47" s="2"/>
      <c r="H47" s="2"/>
      <c r="I47" s="2"/>
      <c r="J47" s="2"/>
      <c r="K47" s="2"/>
      <c r="L47" s="2"/>
      <c r="M47" s="2"/>
      <c r="N47" s="2"/>
      <c r="O47" s="2"/>
      <c r="P47" s="2"/>
      <c r="Q47" s="2"/>
      <c r="R47" s="2"/>
      <c r="S47" s="2"/>
      <c r="T47" s="2"/>
      <c r="U47" s="2"/>
      <c r="V47" s="2"/>
      <c r="W47" s="2"/>
    </row>
    <row r="48" spans="1:23" x14ac:dyDescent="0.25">
      <c r="A48" s="2"/>
      <c r="B48" s="2"/>
      <c r="C48" s="2"/>
      <c r="D48" s="2"/>
      <c r="E48" s="2"/>
      <c r="F48" s="2"/>
      <c r="G48" s="2"/>
      <c r="H48" s="2"/>
      <c r="I48" s="2"/>
      <c r="J48" s="2"/>
      <c r="K48" s="2"/>
      <c r="L48" s="2"/>
      <c r="M48" s="2"/>
      <c r="N48" s="2"/>
      <c r="O48" s="2"/>
      <c r="P48" s="2"/>
      <c r="Q48" s="2"/>
      <c r="R48" s="2"/>
      <c r="S48" s="2"/>
      <c r="T48" s="2"/>
      <c r="U48" s="2"/>
      <c r="V48" s="2"/>
      <c r="W48" s="2"/>
    </row>
    <row r="49" spans="1:23" x14ac:dyDescent="0.25">
      <c r="A49" s="2"/>
      <c r="B49" s="2"/>
      <c r="C49" s="2"/>
      <c r="D49" s="2"/>
      <c r="E49" s="2"/>
      <c r="F49" s="2"/>
      <c r="G49" s="2"/>
      <c r="H49" s="2"/>
      <c r="I49" s="2"/>
      <c r="J49" s="2"/>
      <c r="K49" s="2"/>
      <c r="L49" s="2"/>
      <c r="M49" s="2"/>
      <c r="N49" s="2"/>
      <c r="O49" s="2"/>
      <c r="P49" s="2"/>
      <c r="Q49" s="2"/>
      <c r="R49" s="2"/>
      <c r="S49" s="2"/>
      <c r="T49" s="2"/>
      <c r="U49" s="2"/>
      <c r="V49" s="2"/>
      <c r="W49" s="2"/>
    </row>
    <row r="50" spans="1:23" x14ac:dyDescent="0.25">
      <c r="A50" s="2"/>
      <c r="B50" s="2"/>
      <c r="C50" s="2"/>
      <c r="D50" s="2"/>
      <c r="E50" s="2"/>
      <c r="F50" s="2"/>
      <c r="G50" s="2"/>
      <c r="H50" s="2"/>
      <c r="I50" s="2"/>
      <c r="J50" s="2"/>
      <c r="K50" s="2"/>
      <c r="L50" s="2"/>
      <c r="M50" s="2"/>
      <c r="N50" s="2"/>
      <c r="O50" s="2"/>
      <c r="P50" s="2"/>
      <c r="Q50" s="2"/>
      <c r="R50" s="2"/>
      <c r="S50" s="2"/>
      <c r="T50" s="2"/>
      <c r="U50" s="2"/>
      <c r="V50" s="2"/>
      <c r="W50" s="2"/>
    </row>
    <row r="51" spans="1:23" x14ac:dyDescent="0.25">
      <c r="A51" s="2"/>
      <c r="B51" s="2"/>
      <c r="C51" s="2"/>
      <c r="D51" s="2"/>
      <c r="E51" s="2"/>
      <c r="F51" s="2"/>
      <c r="G51" s="2"/>
      <c r="H51" s="2"/>
      <c r="I51" s="2"/>
      <c r="J51" s="2"/>
      <c r="K51" s="2"/>
      <c r="L51" s="2"/>
      <c r="M51" s="2"/>
      <c r="N51" s="2"/>
      <c r="O51" s="2"/>
      <c r="P51" s="2"/>
      <c r="Q51" s="2"/>
      <c r="R51" s="2"/>
      <c r="S51" s="2"/>
      <c r="T51" s="2"/>
      <c r="U51" s="2"/>
      <c r="V51" s="2"/>
      <c r="W51" s="2"/>
    </row>
    <row r="52" spans="1:23" x14ac:dyDescent="0.25">
      <c r="A52" s="2"/>
      <c r="B52" s="2"/>
      <c r="C52" s="2"/>
      <c r="D52" s="2"/>
      <c r="E52" s="2"/>
      <c r="F52" s="2"/>
      <c r="G52" s="2"/>
      <c r="H52" s="2"/>
      <c r="I52" s="2"/>
      <c r="J52" s="2"/>
      <c r="K52" s="2"/>
      <c r="L52" s="2"/>
      <c r="M52" s="2"/>
      <c r="N52" s="2"/>
      <c r="O52" s="2"/>
      <c r="P52" s="2"/>
      <c r="Q52" s="2"/>
      <c r="R52" s="2"/>
      <c r="S52" s="2"/>
      <c r="T52" s="2"/>
      <c r="U52" s="2"/>
      <c r="V52" s="2"/>
      <c r="W52" s="2"/>
    </row>
    <row r="53" spans="1:23" x14ac:dyDescent="0.25">
      <c r="A53" s="2"/>
      <c r="B53" s="2"/>
      <c r="C53" s="2"/>
      <c r="D53" s="2"/>
      <c r="E53" s="2"/>
      <c r="F53" s="2"/>
      <c r="G53" s="2"/>
      <c r="H53" s="2"/>
      <c r="I53" s="2"/>
      <c r="J53" s="2"/>
      <c r="K53" s="2"/>
      <c r="L53" s="2"/>
      <c r="M53" s="2"/>
      <c r="N53" s="2"/>
      <c r="O53" s="2"/>
      <c r="P53" s="2"/>
      <c r="Q53" s="2"/>
      <c r="R53" s="2"/>
      <c r="S53" s="2"/>
      <c r="T53" s="2"/>
      <c r="U53" s="2"/>
      <c r="V53" s="2"/>
      <c r="W53" s="2"/>
    </row>
    <row r="54" spans="1:23" x14ac:dyDescent="0.25">
      <c r="A54" s="2"/>
      <c r="B54" s="2"/>
      <c r="C54" s="2"/>
      <c r="D54" s="2"/>
      <c r="E54" s="2"/>
      <c r="F54" s="2"/>
      <c r="G54" s="2"/>
      <c r="H54" s="2"/>
      <c r="I54" s="2"/>
      <c r="J54" s="2"/>
      <c r="K54" s="2"/>
      <c r="L54" s="2"/>
      <c r="M54" s="2"/>
      <c r="N54" s="2"/>
      <c r="O54" s="2"/>
      <c r="P54" s="2"/>
      <c r="Q54" s="2"/>
      <c r="R54" s="2"/>
      <c r="S54" s="2"/>
      <c r="T54" s="2"/>
      <c r="U54" s="2"/>
      <c r="V54" s="2"/>
      <c r="W54" s="2"/>
    </row>
    <row r="55" spans="1:23" x14ac:dyDescent="0.25">
      <c r="A55" s="2"/>
      <c r="B55" s="2"/>
      <c r="C55" s="2"/>
      <c r="D55" s="2"/>
      <c r="E55" s="2"/>
      <c r="F55" s="2"/>
      <c r="G55" s="2"/>
      <c r="H55" s="2"/>
      <c r="I55" s="2"/>
      <c r="J55" s="2"/>
      <c r="K55" s="2"/>
      <c r="L55" s="2"/>
      <c r="M55" s="2"/>
      <c r="N55" s="2"/>
      <c r="O55" s="2"/>
      <c r="P55" s="2"/>
      <c r="Q55" s="2"/>
      <c r="R55" s="2"/>
      <c r="S55" s="2"/>
      <c r="T55" s="2"/>
      <c r="U55" s="2"/>
      <c r="V55" s="2"/>
      <c r="W55" s="2"/>
    </row>
    <row r="56" spans="1:23" x14ac:dyDescent="0.25">
      <c r="A56" s="2"/>
      <c r="B56" s="2"/>
      <c r="C56" s="2"/>
      <c r="D56" s="2"/>
      <c r="E56" s="2"/>
      <c r="F56" s="2"/>
      <c r="G56" s="2"/>
      <c r="H56" s="2"/>
      <c r="I56" s="2"/>
      <c r="J56" s="2"/>
      <c r="K56" s="2"/>
      <c r="L56" s="2"/>
      <c r="M56" s="2"/>
      <c r="N56" s="2"/>
      <c r="O56" s="2"/>
      <c r="P56" s="2"/>
      <c r="Q56" s="2"/>
      <c r="R56" s="2"/>
      <c r="S56" s="2"/>
      <c r="T56" s="2"/>
      <c r="U56" s="2"/>
      <c r="V56" s="2"/>
      <c r="W56" s="2"/>
    </row>
    <row r="57" spans="1:23" x14ac:dyDescent="0.25">
      <c r="A57" s="2"/>
      <c r="B57" s="2"/>
      <c r="C57" s="2"/>
      <c r="D57" s="2"/>
      <c r="E57" s="2"/>
      <c r="F57" s="2"/>
      <c r="G57" s="2"/>
      <c r="H57" s="2"/>
      <c r="I57" s="2"/>
      <c r="J57" s="2"/>
      <c r="K57" s="2"/>
      <c r="L57" s="2"/>
      <c r="M57" s="2"/>
      <c r="N57" s="2"/>
      <c r="O57" s="2"/>
      <c r="P57" s="2"/>
      <c r="Q57" s="2"/>
      <c r="R57" s="2"/>
      <c r="S57" s="2"/>
      <c r="T57" s="2"/>
      <c r="U57" s="2"/>
      <c r="V57" s="2"/>
      <c r="W57" s="2"/>
    </row>
    <row r="58" spans="1:23" x14ac:dyDescent="0.25">
      <c r="A58" s="2"/>
      <c r="B58" s="2"/>
      <c r="C58" s="2"/>
      <c r="D58" s="2"/>
      <c r="E58" s="2"/>
      <c r="F58" s="2"/>
      <c r="G58" s="2"/>
      <c r="H58" s="2"/>
      <c r="I58" s="2"/>
      <c r="J58" s="2"/>
      <c r="K58" s="2"/>
      <c r="L58" s="2"/>
      <c r="M58" s="2"/>
      <c r="N58" s="2"/>
      <c r="O58" s="2"/>
      <c r="P58" s="2"/>
      <c r="Q58" s="2"/>
      <c r="R58" s="2"/>
      <c r="S58" s="2"/>
      <c r="T58" s="2"/>
      <c r="U58" s="2"/>
      <c r="V58" s="2"/>
      <c r="W58" s="2"/>
    </row>
    <row r="59" spans="1:23" x14ac:dyDescent="0.25">
      <c r="A59" s="2"/>
      <c r="B59" s="2"/>
      <c r="C59" s="2"/>
      <c r="D59" s="2"/>
      <c r="E59" s="2"/>
      <c r="F59" s="2"/>
      <c r="G59" s="2"/>
      <c r="H59" s="2"/>
      <c r="I59" s="2"/>
      <c r="J59" s="2"/>
      <c r="K59" s="2"/>
      <c r="L59" s="2"/>
      <c r="M59" s="2"/>
      <c r="N59" s="2"/>
      <c r="O59" s="2"/>
      <c r="P59" s="2"/>
      <c r="Q59" s="2"/>
      <c r="R59" s="2"/>
      <c r="S59" s="2"/>
      <c r="T59" s="2"/>
      <c r="U59" s="2"/>
      <c r="V59" s="2"/>
      <c r="W59" s="2"/>
    </row>
    <row r="60" spans="1:23" x14ac:dyDescent="0.25">
      <c r="A60" s="2"/>
      <c r="B60" s="2"/>
      <c r="C60" s="2"/>
      <c r="D60" s="2"/>
      <c r="E60" s="2"/>
      <c r="F60" s="2"/>
      <c r="G60" s="2"/>
      <c r="H60" s="2"/>
      <c r="I60" s="2"/>
      <c r="J60" s="2"/>
      <c r="K60" s="2"/>
      <c r="L60" s="2"/>
      <c r="M60" s="2"/>
      <c r="N60" s="2"/>
      <c r="O60" s="2"/>
      <c r="P60" s="2"/>
      <c r="Q60" s="2"/>
      <c r="R60" s="2"/>
      <c r="S60" s="2"/>
      <c r="T60" s="2"/>
      <c r="U60" s="2"/>
      <c r="V60" s="2"/>
      <c r="W60" s="2"/>
    </row>
  </sheetData>
  <pageMargins left="0.7" right="0.7" top="0.75" bottom="0.75" header="0.3" footer="0.3"/>
  <drawing r:id="rId1"/>
  <legacyDrawing r:id="rId2"/>
  <oleObjects>
    <mc:AlternateContent xmlns:mc="http://schemas.openxmlformats.org/markup-compatibility/2006">
      <mc:Choice Requires="x14">
        <oleObject progId="Visio.Drawing.11" shapeId="24577" r:id="rId3">
          <objectPr defaultSize="0" r:id="rId4">
            <anchor moveWithCells="1">
              <from>
                <xdr:col>0</xdr:col>
                <xdr:colOff>0</xdr:colOff>
                <xdr:row>0</xdr:row>
                <xdr:rowOff>0</xdr:rowOff>
              </from>
              <to>
                <xdr:col>10</xdr:col>
                <xdr:colOff>121920</xdr:colOff>
                <xdr:row>42</xdr:row>
                <xdr:rowOff>152400</xdr:rowOff>
              </to>
            </anchor>
          </objectPr>
        </oleObject>
      </mc:Choice>
      <mc:Fallback>
        <oleObject progId="Visio.Drawing.11" shapeId="24577" r:id="rId3"/>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sheetPr>
  <dimension ref="A1:D10"/>
  <sheetViews>
    <sheetView zoomScale="55" zoomScaleNormal="55" workbookViewId="0">
      <selection activeCell="A59" sqref="A59"/>
    </sheetView>
  </sheetViews>
  <sheetFormatPr defaultColWidth="9" defaultRowHeight="13.8" x14ac:dyDescent="0.25"/>
  <cols>
    <col min="1" max="1" width="44.09765625" style="2" customWidth="1"/>
    <col min="2" max="2" width="83.3984375" style="8" customWidth="1"/>
    <col min="3" max="3" width="13.3984375" style="237" customWidth="1"/>
    <col min="4" max="4" width="12.69921875" style="237" customWidth="1"/>
    <col min="5" max="16384" width="9" style="2"/>
  </cols>
  <sheetData>
    <row r="1" spans="1:4" x14ac:dyDescent="0.25">
      <c r="A1" s="157" t="s">
        <v>0</v>
      </c>
      <c r="B1" s="238">
        <v>26</v>
      </c>
    </row>
    <row r="2" spans="1:4" ht="55.2" x14ac:dyDescent="0.25">
      <c r="A2" s="156" t="s">
        <v>359</v>
      </c>
      <c r="B2" s="156" t="s">
        <v>485</v>
      </c>
      <c r="C2" s="236" t="s">
        <v>358</v>
      </c>
      <c r="D2" s="236" t="s">
        <v>486</v>
      </c>
    </row>
    <row r="3" spans="1:4" ht="27.6" x14ac:dyDescent="0.25">
      <c r="A3" s="217" t="s">
        <v>357</v>
      </c>
      <c r="B3" s="163" t="s">
        <v>524</v>
      </c>
      <c r="C3" s="235" t="s">
        <v>34</v>
      </c>
      <c r="D3" s="235" t="s">
        <v>371</v>
      </c>
    </row>
    <row r="4" spans="1:4" ht="27.6" x14ac:dyDescent="0.25">
      <c r="A4" s="217" t="s">
        <v>487</v>
      </c>
      <c r="B4" s="162" t="s">
        <v>523</v>
      </c>
      <c r="C4" s="155"/>
      <c r="D4" s="235" t="s">
        <v>371</v>
      </c>
    </row>
    <row r="5" spans="1:4" ht="27.6" x14ac:dyDescent="0.25">
      <c r="A5" s="217" t="s">
        <v>356</v>
      </c>
      <c r="B5" s="218" t="s">
        <v>522</v>
      </c>
      <c r="C5" s="235" t="s">
        <v>5</v>
      </c>
      <c r="D5" s="235" t="s">
        <v>371</v>
      </c>
    </row>
    <row r="6" spans="1:4" ht="27.6" x14ac:dyDescent="0.25">
      <c r="A6" s="217" t="s">
        <v>355</v>
      </c>
      <c r="B6" s="218" t="s">
        <v>522</v>
      </c>
      <c r="C6" s="235" t="s">
        <v>5</v>
      </c>
      <c r="D6" s="235" t="s">
        <v>371</v>
      </c>
    </row>
    <row r="7" spans="1:4" ht="27.6" x14ac:dyDescent="0.25">
      <c r="A7" s="217" t="s">
        <v>354</v>
      </c>
      <c r="B7" s="162" t="s">
        <v>521</v>
      </c>
      <c r="C7" s="155"/>
      <c r="D7" s="235" t="s">
        <v>371</v>
      </c>
    </row>
    <row r="8" spans="1:4" ht="41.4" x14ac:dyDescent="0.25">
      <c r="A8" s="217" t="s">
        <v>353</v>
      </c>
      <c r="B8" s="162" t="s">
        <v>520</v>
      </c>
      <c r="C8" s="155"/>
      <c r="D8" s="235" t="s">
        <v>371</v>
      </c>
    </row>
    <row r="9" spans="1:4" ht="27.6" x14ac:dyDescent="0.25">
      <c r="A9" s="217" t="s">
        <v>352</v>
      </c>
      <c r="B9" s="162" t="s">
        <v>519</v>
      </c>
      <c r="C9" s="155"/>
      <c r="D9" s="235" t="s">
        <v>371</v>
      </c>
    </row>
    <row r="10" spans="1:4" ht="27.6" x14ac:dyDescent="0.25">
      <c r="A10" s="217" t="s">
        <v>351</v>
      </c>
      <c r="B10" s="162" t="s">
        <v>518</v>
      </c>
      <c r="C10" s="155"/>
      <c r="D10" s="235" t="s">
        <v>371</v>
      </c>
    </row>
  </sheetData>
  <dataValidations count="3">
    <dataValidation type="list" allowBlank="1" showInputMessage="1" showErrorMessage="1" sqref="C3">
      <formula1>Current_responses_lit_excl_s4to7</formula1>
    </dataValidation>
    <dataValidation type="list" allowBlank="1" showInputMessage="1" showErrorMessage="1" sqref="D3:D10">
      <formula1>Evidence_rating_lit</formula1>
    </dataValidation>
    <dataValidation type="list" allowBlank="1" showInputMessage="1" showErrorMessage="1" sqref="C5:C6">
      <formula1>Future_responses_lit</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5"/>
  </sheetPr>
  <dimension ref="A1:D10"/>
  <sheetViews>
    <sheetView topLeftCell="B1" zoomScale="55" zoomScaleNormal="55" workbookViewId="0">
      <selection activeCell="A59" sqref="A59"/>
    </sheetView>
  </sheetViews>
  <sheetFormatPr defaultColWidth="9" defaultRowHeight="13.8" x14ac:dyDescent="0.25"/>
  <cols>
    <col min="1" max="1" width="44.09765625" style="2" customWidth="1"/>
    <col min="2" max="2" width="83.3984375" style="2" customWidth="1"/>
    <col min="3" max="3" width="13.3984375" style="237" customWidth="1"/>
    <col min="4" max="4" width="12.69921875" style="237" customWidth="1"/>
    <col min="5" max="16384" width="9" style="2"/>
  </cols>
  <sheetData>
    <row r="1" spans="1:4" x14ac:dyDescent="0.25">
      <c r="A1" s="157" t="s">
        <v>0</v>
      </c>
      <c r="B1" s="2" t="s">
        <v>378</v>
      </c>
    </row>
    <row r="2" spans="1:4" ht="55.2" x14ac:dyDescent="0.25">
      <c r="A2" s="156" t="s">
        <v>359</v>
      </c>
      <c r="B2" s="156" t="s">
        <v>485</v>
      </c>
      <c r="C2" s="236" t="s">
        <v>358</v>
      </c>
      <c r="D2" s="236" t="s">
        <v>486</v>
      </c>
    </row>
    <row r="3" spans="1:4" ht="82.8" x14ac:dyDescent="0.25">
      <c r="A3" s="217" t="s">
        <v>357</v>
      </c>
      <c r="B3" s="171" t="s">
        <v>535</v>
      </c>
      <c r="C3" s="290" t="s">
        <v>34</v>
      </c>
      <c r="D3" s="290" t="s">
        <v>371</v>
      </c>
    </row>
    <row r="4" spans="1:4" ht="55.2" x14ac:dyDescent="0.25">
      <c r="A4" s="217" t="s">
        <v>487</v>
      </c>
      <c r="B4" s="289" t="s">
        <v>686</v>
      </c>
      <c r="C4" s="170"/>
      <c r="D4" s="290" t="s">
        <v>371</v>
      </c>
    </row>
    <row r="5" spans="1:4" ht="52.95" customHeight="1" x14ac:dyDescent="0.25">
      <c r="A5" s="217" t="s">
        <v>356</v>
      </c>
      <c r="B5" s="289" t="s">
        <v>687</v>
      </c>
      <c r="C5" s="290" t="s">
        <v>5</v>
      </c>
      <c r="D5" s="290" t="s">
        <v>371</v>
      </c>
    </row>
    <row r="6" spans="1:4" ht="27.6" x14ac:dyDescent="0.25">
      <c r="A6" s="217" t="s">
        <v>355</v>
      </c>
      <c r="B6" s="289" t="s">
        <v>534</v>
      </c>
      <c r="C6" s="290" t="s">
        <v>5</v>
      </c>
      <c r="D6" s="290" t="s">
        <v>371</v>
      </c>
    </row>
    <row r="7" spans="1:4" ht="27.6" x14ac:dyDescent="0.25">
      <c r="A7" s="217" t="s">
        <v>354</v>
      </c>
      <c r="B7" s="289" t="s">
        <v>533</v>
      </c>
      <c r="C7" s="170"/>
      <c r="D7" s="290" t="s">
        <v>371</v>
      </c>
    </row>
    <row r="8" spans="1:4" ht="41.4" x14ac:dyDescent="0.25">
      <c r="A8" s="217" t="s">
        <v>353</v>
      </c>
      <c r="B8" s="289" t="s">
        <v>532</v>
      </c>
      <c r="C8" s="170"/>
      <c r="D8" s="290" t="s">
        <v>371</v>
      </c>
    </row>
    <row r="9" spans="1:4" ht="27.6" x14ac:dyDescent="0.25">
      <c r="A9" s="217" t="s">
        <v>352</v>
      </c>
      <c r="B9" s="289" t="s">
        <v>41</v>
      </c>
      <c r="C9" s="170"/>
      <c r="D9" s="290" t="s">
        <v>371</v>
      </c>
    </row>
    <row r="10" spans="1:4" ht="27.6" x14ac:dyDescent="0.25">
      <c r="A10" s="217" t="s">
        <v>351</v>
      </c>
      <c r="B10" s="289" t="s">
        <v>531</v>
      </c>
      <c r="C10" s="170"/>
      <c r="D10" s="290" t="s">
        <v>371</v>
      </c>
    </row>
  </sheetData>
  <dataValidations count="3">
    <dataValidation type="list" allowBlank="1" showInputMessage="1" showErrorMessage="1" sqref="C3">
      <formula1>Current_responses_lit_excl_s4to7</formula1>
    </dataValidation>
    <dataValidation type="list" allowBlank="1" showInputMessage="1" showErrorMessage="1" sqref="D3:D10">
      <formula1>Evidence_rating_lit</formula1>
    </dataValidation>
    <dataValidation type="list" allowBlank="1" showInputMessage="1" showErrorMessage="1" sqref="C5:C6">
      <formula1>Future_responses_lit</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sheetPr>
  <dimension ref="A1:D10"/>
  <sheetViews>
    <sheetView zoomScale="55" zoomScaleNormal="55" workbookViewId="0">
      <selection activeCell="A59" sqref="A59"/>
    </sheetView>
  </sheetViews>
  <sheetFormatPr defaultColWidth="9" defaultRowHeight="13.8" x14ac:dyDescent="0.25"/>
  <cols>
    <col min="1" max="1" width="44.09765625" style="2" customWidth="1"/>
    <col min="2" max="2" width="83.3984375" style="2" customWidth="1"/>
    <col min="3" max="3" width="13.3984375" style="237" customWidth="1"/>
    <col min="4" max="4" width="12.69921875" style="237" customWidth="1"/>
    <col min="5" max="16384" width="9" style="2"/>
  </cols>
  <sheetData>
    <row r="1" spans="1:4" x14ac:dyDescent="0.25">
      <c r="A1" s="157" t="s">
        <v>0</v>
      </c>
      <c r="B1" s="2" t="s">
        <v>379</v>
      </c>
    </row>
    <row r="2" spans="1:4" ht="55.2" x14ac:dyDescent="0.25">
      <c r="A2" s="156" t="s">
        <v>359</v>
      </c>
      <c r="B2" s="156" t="s">
        <v>485</v>
      </c>
      <c r="C2" s="236" t="s">
        <v>358</v>
      </c>
      <c r="D2" s="236" t="s">
        <v>486</v>
      </c>
    </row>
    <row r="3" spans="1:4" ht="55.2" x14ac:dyDescent="0.25">
      <c r="A3" s="217" t="s">
        <v>357</v>
      </c>
      <c r="B3" s="163" t="s">
        <v>530</v>
      </c>
      <c r="C3" s="235" t="s">
        <v>34</v>
      </c>
      <c r="D3" s="235" t="s">
        <v>371</v>
      </c>
    </row>
    <row r="4" spans="1:4" ht="27.6" x14ac:dyDescent="0.25">
      <c r="A4" s="217" t="s">
        <v>487</v>
      </c>
      <c r="B4" s="218" t="s">
        <v>529</v>
      </c>
      <c r="C4" s="155"/>
      <c r="D4" s="235" t="s">
        <v>517</v>
      </c>
    </row>
    <row r="5" spans="1:4" ht="27.6" x14ac:dyDescent="0.25">
      <c r="A5" s="217" t="s">
        <v>356</v>
      </c>
      <c r="B5" s="218" t="s">
        <v>528</v>
      </c>
      <c r="C5" s="235" t="s">
        <v>5</v>
      </c>
      <c r="D5" s="235" t="s">
        <v>517</v>
      </c>
    </row>
    <row r="6" spans="1:4" ht="27.6" x14ac:dyDescent="0.25">
      <c r="A6" s="217" t="s">
        <v>355</v>
      </c>
      <c r="B6" s="162" t="s">
        <v>460</v>
      </c>
      <c r="C6" s="235" t="s">
        <v>5</v>
      </c>
      <c r="D6" s="235" t="s">
        <v>517</v>
      </c>
    </row>
    <row r="7" spans="1:4" ht="41.4" x14ac:dyDescent="0.25">
      <c r="A7" s="217" t="s">
        <v>354</v>
      </c>
      <c r="B7" s="218" t="s">
        <v>527</v>
      </c>
      <c r="C7" s="155"/>
      <c r="D7" s="235" t="s">
        <v>371</v>
      </c>
    </row>
    <row r="8" spans="1:4" ht="41.4" x14ac:dyDescent="0.25">
      <c r="A8" s="217" t="s">
        <v>353</v>
      </c>
      <c r="B8" s="162" t="s">
        <v>372</v>
      </c>
      <c r="C8" s="155"/>
      <c r="D8" s="235" t="s">
        <v>371</v>
      </c>
    </row>
    <row r="9" spans="1:4" ht="27.6" x14ac:dyDescent="0.25">
      <c r="A9" s="217" t="s">
        <v>352</v>
      </c>
      <c r="B9" s="218" t="s">
        <v>526</v>
      </c>
      <c r="C9" s="155"/>
      <c r="D9" s="235" t="s">
        <v>371</v>
      </c>
    </row>
    <row r="10" spans="1:4" ht="55.2" x14ac:dyDescent="0.25">
      <c r="A10" s="217" t="s">
        <v>351</v>
      </c>
      <c r="B10" s="218" t="s">
        <v>525</v>
      </c>
      <c r="C10" s="155"/>
      <c r="D10" s="235" t="s">
        <v>371</v>
      </c>
    </row>
  </sheetData>
  <dataValidations count="3">
    <dataValidation type="list" allowBlank="1" showInputMessage="1" showErrorMessage="1" sqref="C3">
      <formula1>Current_responses_lit_excl_s4to7</formula1>
    </dataValidation>
    <dataValidation type="list" allowBlank="1" showInputMessage="1" showErrorMessage="1" sqref="D3:D10">
      <formula1>Evidence_rating_lit</formula1>
    </dataValidation>
    <dataValidation type="list" allowBlank="1" showInputMessage="1" showErrorMessage="1" sqref="C5:C6">
      <formula1>Future_responses_lit</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5"/>
  </sheetPr>
  <dimension ref="A1:D10"/>
  <sheetViews>
    <sheetView zoomScale="55" zoomScaleNormal="55" workbookViewId="0">
      <selection activeCell="A59" sqref="A59"/>
    </sheetView>
  </sheetViews>
  <sheetFormatPr defaultColWidth="9" defaultRowHeight="13.8" x14ac:dyDescent="0.25"/>
  <cols>
    <col min="1" max="1" width="44.09765625" style="2" customWidth="1"/>
    <col min="2" max="2" width="83.3984375" style="2" customWidth="1"/>
    <col min="3" max="3" width="13.3984375" style="237" customWidth="1"/>
    <col min="4" max="4" width="12.69921875" style="237" customWidth="1"/>
    <col min="5" max="16384" width="9" style="2"/>
  </cols>
  <sheetData>
    <row r="1" spans="1:4" x14ac:dyDescent="0.25">
      <c r="A1" s="157" t="s">
        <v>0</v>
      </c>
      <c r="B1" s="2" t="s">
        <v>380</v>
      </c>
    </row>
    <row r="2" spans="1:4" ht="55.2" x14ac:dyDescent="0.25">
      <c r="A2" s="156" t="s">
        <v>359</v>
      </c>
      <c r="B2" s="156" t="s">
        <v>485</v>
      </c>
      <c r="C2" s="236" t="s">
        <v>358</v>
      </c>
      <c r="D2" s="236" t="s">
        <v>486</v>
      </c>
    </row>
    <row r="3" spans="1:4" ht="55.2" x14ac:dyDescent="0.25">
      <c r="A3" s="217" t="s">
        <v>357</v>
      </c>
      <c r="B3" s="163" t="s">
        <v>530</v>
      </c>
      <c r="C3" s="235" t="s">
        <v>34</v>
      </c>
      <c r="D3" s="235" t="s">
        <v>371</v>
      </c>
    </row>
    <row r="4" spans="1:4" ht="27.6" x14ac:dyDescent="0.25">
      <c r="A4" s="217" t="s">
        <v>487</v>
      </c>
      <c r="B4" s="218" t="s">
        <v>529</v>
      </c>
      <c r="C4" s="155"/>
      <c r="D4" s="235" t="s">
        <v>517</v>
      </c>
    </row>
    <row r="5" spans="1:4" ht="27.6" x14ac:dyDescent="0.25">
      <c r="A5" s="217" t="s">
        <v>356</v>
      </c>
      <c r="B5" s="218" t="s">
        <v>528</v>
      </c>
      <c r="C5" s="235" t="s">
        <v>5</v>
      </c>
      <c r="D5" s="235" t="s">
        <v>517</v>
      </c>
    </row>
    <row r="6" spans="1:4" ht="27.6" x14ac:dyDescent="0.25">
      <c r="A6" s="217" t="s">
        <v>355</v>
      </c>
      <c r="B6" s="162" t="s">
        <v>460</v>
      </c>
      <c r="C6" s="235" t="s">
        <v>5</v>
      </c>
      <c r="D6" s="235" t="s">
        <v>517</v>
      </c>
    </row>
    <row r="7" spans="1:4" ht="41.4" x14ac:dyDescent="0.25">
      <c r="A7" s="217" t="s">
        <v>354</v>
      </c>
      <c r="B7" s="218" t="s">
        <v>527</v>
      </c>
      <c r="C7" s="155"/>
      <c r="D7" s="235" t="s">
        <v>371</v>
      </c>
    </row>
    <row r="8" spans="1:4" ht="41.4" x14ac:dyDescent="0.25">
      <c r="A8" s="217" t="s">
        <v>353</v>
      </c>
      <c r="B8" s="162" t="s">
        <v>372</v>
      </c>
      <c r="C8" s="155"/>
      <c r="D8" s="235" t="s">
        <v>371</v>
      </c>
    </row>
    <row r="9" spans="1:4" ht="27.6" x14ac:dyDescent="0.25">
      <c r="A9" s="217" t="s">
        <v>352</v>
      </c>
      <c r="B9" s="218" t="s">
        <v>526</v>
      </c>
      <c r="C9" s="155"/>
      <c r="D9" s="235" t="s">
        <v>371</v>
      </c>
    </row>
    <row r="10" spans="1:4" ht="55.2" x14ac:dyDescent="0.25">
      <c r="A10" s="217" t="s">
        <v>351</v>
      </c>
      <c r="B10" s="218" t="s">
        <v>525</v>
      </c>
      <c r="C10" s="155"/>
      <c r="D10" s="235" t="s">
        <v>371</v>
      </c>
    </row>
  </sheetData>
  <dataValidations count="3">
    <dataValidation type="list" allowBlank="1" showInputMessage="1" showErrorMessage="1" sqref="C3">
      <formula1>Current_responses_lit_excl_s4to7</formula1>
    </dataValidation>
    <dataValidation type="list" allowBlank="1" showInputMessage="1" showErrorMessage="1" sqref="D3:D10">
      <formula1>Evidence_rating_lit</formula1>
    </dataValidation>
    <dataValidation type="list" allowBlank="1" showInputMessage="1" showErrorMessage="1" sqref="C5:C6">
      <formula1>Future_responses_lit</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5"/>
  </sheetPr>
  <dimension ref="A1:D10"/>
  <sheetViews>
    <sheetView zoomScale="55" zoomScaleNormal="55" workbookViewId="0">
      <selection activeCell="A59" sqref="A59"/>
    </sheetView>
  </sheetViews>
  <sheetFormatPr defaultColWidth="9" defaultRowHeight="13.8" x14ac:dyDescent="0.25"/>
  <cols>
    <col min="1" max="1" width="44.09765625" style="2" customWidth="1"/>
    <col min="2" max="2" width="83.3984375" style="2" customWidth="1"/>
    <col min="3" max="3" width="13.3984375" style="237" customWidth="1"/>
    <col min="4" max="4" width="12.69921875" style="237" customWidth="1"/>
    <col min="5" max="16384" width="9" style="2"/>
  </cols>
  <sheetData>
    <row r="1" spans="1:4" x14ac:dyDescent="0.25">
      <c r="A1" s="157" t="s">
        <v>0</v>
      </c>
      <c r="B1" s="2" t="s">
        <v>381</v>
      </c>
    </row>
    <row r="2" spans="1:4" ht="55.2" x14ac:dyDescent="0.25">
      <c r="A2" s="156" t="s">
        <v>359</v>
      </c>
      <c r="B2" s="156" t="s">
        <v>485</v>
      </c>
      <c r="C2" s="236" t="s">
        <v>358</v>
      </c>
      <c r="D2" s="236" t="s">
        <v>486</v>
      </c>
    </row>
    <row r="3" spans="1:4" ht="55.2" x14ac:dyDescent="0.25">
      <c r="A3" s="217" t="s">
        <v>357</v>
      </c>
      <c r="B3" s="163" t="s">
        <v>530</v>
      </c>
      <c r="C3" s="235" t="s">
        <v>34</v>
      </c>
      <c r="D3" s="235" t="s">
        <v>371</v>
      </c>
    </row>
    <row r="4" spans="1:4" ht="27.6" x14ac:dyDescent="0.25">
      <c r="A4" s="217" t="s">
        <v>487</v>
      </c>
      <c r="B4" s="218" t="s">
        <v>529</v>
      </c>
      <c r="C4" s="155"/>
      <c r="D4" s="235" t="s">
        <v>517</v>
      </c>
    </row>
    <row r="5" spans="1:4" ht="27.6" x14ac:dyDescent="0.25">
      <c r="A5" s="217" t="s">
        <v>356</v>
      </c>
      <c r="B5" s="218" t="s">
        <v>528</v>
      </c>
      <c r="C5" s="235" t="s">
        <v>5</v>
      </c>
      <c r="D5" s="235" t="s">
        <v>517</v>
      </c>
    </row>
    <row r="6" spans="1:4" ht="27.6" x14ac:dyDescent="0.25">
      <c r="A6" s="217" t="s">
        <v>355</v>
      </c>
      <c r="B6" s="162" t="s">
        <v>460</v>
      </c>
      <c r="C6" s="235" t="s">
        <v>5</v>
      </c>
      <c r="D6" s="235" t="s">
        <v>517</v>
      </c>
    </row>
    <row r="7" spans="1:4" ht="41.4" x14ac:dyDescent="0.25">
      <c r="A7" s="217" t="s">
        <v>354</v>
      </c>
      <c r="B7" s="218" t="s">
        <v>527</v>
      </c>
      <c r="C7" s="155"/>
      <c r="D7" s="235" t="s">
        <v>371</v>
      </c>
    </row>
    <row r="8" spans="1:4" ht="41.4" x14ac:dyDescent="0.25">
      <c r="A8" s="217" t="s">
        <v>353</v>
      </c>
      <c r="B8" s="162" t="s">
        <v>372</v>
      </c>
      <c r="C8" s="155"/>
      <c r="D8" s="235" t="s">
        <v>371</v>
      </c>
    </row>
    <row r="9" spans="1:4" ht="27.6" x14ac:dyDescent="0.25">
      <c r="A9" s="217" t="s">
        <v>352</v>
      </c>
      <c r="B9" s="218" t="s">
        <v>526</v>
      </c>
      <c r="C9" s="155"/>
      <c r="D9" s="235" t="s">
        <v>371</v>
      </c>
    </row>
    <row r="10" spans="1:4" ht="55.2" x14ac:dyDescent="0.25">
      <c r="A10" s="217" t="s">
        <v>351</v>
      </c>
      <c r="B10" s="218" t="s">
        <v>525</v>
      </c>
      <c r="C10" s="155"/>
      <c r="D10" s="235" t="s">
        <v>371</v>
      </c>
    </row>
  </sheetData>
  <dataValidations count="3">
    <dataValidation type="list" allowBlank="1" showInputMessage="1" showErrorMessage="1" sqref="C3">
      <formula1>Current_responses_lit_excl_s4to7</formula1>
    </dataValidation>
    <dataValidation type="list" allowBlank="1" showInputMessage="1" showErrorMessage="1" sqref="D3:D10">
      <formula1>Evidence_rating_lit</formula1>
    </dataValidation>
    <dataValidation type="list" allowBlank="1" showInputMessage="1" showErrorMessage="1" sqref="C5:C6">
      <formula1>Future_responses_lit</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E9"/>
  <sheetViews>
    <sheetView workbookViewId="0">
      <selection activeCell="E9" sqref="E9"/>
    </sheetView>
  </sheetViews>
  <sheetFormatPr defaultRowHeight="13.8" x14ac:dyDescent="0.25"/>
  <sheetData>
    <row r="9" spans="5:5" ht="45" x14ac:dyDescent="0.75">
      <c r="E9" s="406" t="s">
        <v>771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0" tint="-0.249977111117893"/>
  </sheetPr>
  <dimension ref="A1:AV64"/>
  <sheetViews>
    <sheetView zoomScale="70" zoomScaleNormal="70" workbookViewId="0"/>
  </sheetViews>
  <sheetFormatPr defaultColWidth="9" defaultRowHeight="13.8" x14ac:dyDescent="0.25"/>
  <cols>
    <col min="1" max="1" width="11.8984375" style="407" bestFit="1" customWidth="1"/>
    <col min="2" max="3" width="9" style="407"/>
    <col min="4" max="14" width="9.09765625" style="407" bestFit="1" customWidth="1"/>
    <col min="15" max="15" width="11.19921875" style="407" customWidth="1"/>
    <col min="16" max="16" width="11" style="407" customWidth="1"/>
    <col min="17" max="18" width="9.09765625" style="407" bestFit="1" customWidth="1"/>
    <col min="19" max="19" width="11.19921875" style="407" customWidth="1"/>
    <col min="20" max="20" width="15" style="407" customWidth="1"/>
    <col min="21" max="21" width="9.09765625" style="407" bestFit="1" customWidth="1"/>
    <col min="22" max="22" width="15.69921875" style="407" customWidth="1"/>
    <col min="23" max="26" width="9.09765625" style="407" bestFit="1" customWidth="1"/>
    <col min="27" max="27" width="12.19921875" style="407" customWidth="1"/>
    <col min="28" max="30" width="9.09765625" style="407" bestFit="1" customWidth="1"/>
    <col min="31" max="31" width="13.8984375" style="407" customWidth="1"/>
    <col min="32" max="32" width="9.09765625" style="407" bestFit="1" customWidth="1"/>
    <col min="33" max="33" width="10.69921875" style="407" customWidth="1"/>
    <col min="34" max="34" width="9.09765625" style="407" bestFit="1" customWidth="1"/>
    <col min="35" max="35" width="13" style="407" customWidth="1"/>
    <col min="36" max="36" width="9.09765625" style="407" bestFit="1" customWidth="1"/>
    <col min="37" max="37" width="10" style="407" customWidth="1"/>
    <col min="38" max="38" width="13.19921875" style="407" customWidth="1"/>
    <col min="39" max="48" width="9.09765625" style="407" bestFit="1" customWidth="1"/>
    <col min="49" max="16384" width="9" style="407"/>
  </cols>
  <sheetData>
    <row r="1" spans="1:48" x14ac:dyDescent="0.25">
      <c r="D1" s="408">
        <v>167</v>
      </c>
      <c r="E1" s="408">
        <v>168</v>
      </c>
      <c r="F1" s="408">
        <v>169</v>
      </c>
      <c r="G1" s="408">
        <v>170</v>
      </c>
      <c r="H1" s="408">
        <v>171</v>
      </c>
      <c r="I1" s="408">
        <v>172</v>
      </c>
      <c r="J1" s="408">
        <v>173</v>
      </c>
      <c r="K1" s="408">
        <v>174</v>
      </c>
      <c r="L1" s="408">
        <v>175</v>
      </c>
      <c r="M1" s="408">
        <v>176</v>
      </c>
      <c r="N1" s="408">
        <v>177</v>
      </c>
      <c r="O1" s="408">
        <v>178</v>
      </c>
      <c r="P1" s="408">
        <v>179</v>
      </c>
      <c r="Q1" s="408">
        <v>180</v>
      </c>
      <c r="R1" s="408">
        <v>181</v>
      </c>
      <c r="S1" s="408">
        <v>182</v>
      </c>
      <c r="T1" s="408">
        <v>183</v>
      </c>
      <c r="U1" s="408">
        <v>184</v>
      </c>
      <c r="V1" s="408">
        <v>185</v>
      </c>
      <c r="W1" s="408">
        <v>186</v>
      </c>
      <c r="X1" s="408">
        <v>187</v>
      </c>
      <c r="Y1" s="408">
        <v>188</v>
      </c>
      <c r="Z1" s="408">
        <v>189</v>
      </c>
      <c r="AA1" s="408">
        <v>190</v>
      </c>
      <c r="AB1" s="408">
        <v>191</v>
      </c>
      <c r="AC1" s="408">
        <v>192</v>
      </c>
      <c r="AD1" s="408">
        <v>193</v>
      </c>
      <c r="AE1" s="408">
        <v>194</v>
      </c>
      <c r="AF1" s="408">
        <v>195</v>
      </c>
      <c r="AG1" s="408">
        <v>196</v>
      </c>
      <c r="AH1" s="408">
        <v>197</v>
      </c>
      <c r="AI1" s="408">
        <v>198</v>
      </c>
      <c r="AJ1" s="408">
        <v>199</v>
      </c>
      <c r="AK1" s="408">
        <v>200</v>
      </c>
      <c r="AL1" s="408">
        <v>201</v>
      </c>
      <c r="AM1" s="408">
        <v>202</v>
      </c>
      <c r="AN1" s="408">
        <v>203</v>
      </c>
      <c r="AO1" s="408">
        <v>204</v>
      </c>
      <c r="AP1" s="408">
        <v>205</v>
      </c>
      <c r="AQ1" s="408">
        <v>206</v>
      </c>
      <c r="AR1" s="408">
        <v>207</v>
      </c>
      <c r="AS1" s="408">
        <v>208</v>
      </c>
    </row>
    <row r="2" spans="1:48" x14ac:dyDescent="0.25">
      <c r="D2" s="409">
        <v>155</v>
      </c>
      <c r="E2" s="409">
        <v>156</v>
      </c>
      <c r="F2" s="409">
        <v>156</v>
      </c>
      <c r="G2" s="409">
        <v>157</v>
      </c>
      <c r="H2" s="409">
        <v>157</v>
      </c>
      <c r="I2" s="409">
        <v>158</v>
      </c>
      <c r="J2" s="409">
        <v>158</v>
      </c>
      <c r="K2" s="409">
        <v>159</v>
      </c>
      <c r="L2" s="409">
        <v>159</v>
      </c>
      <c r="M2" s="409">
        <v>160</v>
      </c>
      <c r="N2" s="409">
        <v>161</v>
      </c>
      <c r="O2" s="409">
        <v>161</v>
      </c>
      <c r="P2" s="409">
        <v>161</v>
      </c>
      <c r="Q2" s="409">
        <v>161</v>
      </c>
      <c r="R2" s="409">
        <v>161</v>
      </c>
      <c r="S2" s="409">
        <v>161</v>
      </c>
      <c r="T2" s="409">
        <v>161</v>
      </c>
      <c r="U2" s="409">
        <v>161</v>
      </c>
      <c r="V2" s="409">
        <v>161</v>
      </c>
      <c r="W2" s="409">
        <v>161</v>
      </c>
      <c r="X2" s="409">
        <v>161</v>
      </c>
      <c r="Y2" s="409">
        <v>161</v>
      </c>
      <c r="Z2" s="409">
        <v>161</v>
      </c>
      <c r="AA2" s="409">
        <v>162</v>
      </c>
      <c r="AB2" s="409">
        <v>162</v>
      </c>
      <c r="AC2" s="409">
        <v>162</v>
      </c>
      <c r="AD2" s="409">
        <v>162</v>
      </c>
      <c r="AE2" s="409">
        <v>162</v>
      </c>
      <c r="AF2" s="409">
        <v>162</v>
      </c>
      <c r="AG2" s="409">
        <v>162</v>
      </c>
      <c r="AH2" s="409">
        <v>162</v>
      </c>
      <c r="AI2" s="409">
        <v>162</v>
      </c>
      <c r="AJ2" s="409">
        <v>162</v>
      </c>
      <c r="AK2" s="409">
        <v>162</v>
      </c>
      <c r="AL2" s="409">
        <v>162</v>
      </c>
      <c r="AM2" s="409">
        <v>163</v>
      </c>
      <c r="AN2" s="409">
        <v>164</v>
      </c>
      <c r="AO2" s="409">
        <v>165</v>
      </c>
      <c r="AP2" s="409">
        <v>165</v>
      </c>
      <c r="AQ2" s="409">
        <v>166</v>
      </c>
      <c r="AR2" s="409">
        <v>166</v>
      </c>
      <c r="AS2" s="409">
        <v>166</v>
      </c>
    </row>
    <row r="3" spans="1:48" ht="14.4" x14ac:dyDescent="0.3">
      <c r="D3" s="410">
        <v>1</v>
      </c>
      <c r="E3" s="410">
        <v>1</v>
      </c>
      <c r="F3" s="410">
        <v>2</v>
      </c>
      <c r="G3" s="410">
        <v>1</v>
      </c>
      <c r="H3" s="410">
        <v>2</v>
      </c>
      <c r="I3" s="410">
        <v>1</v>
      </c>
      <c r="J3" s="410">
        <v>2</v>
      </c>
      <c r="K3" s="410">
        <v>1</v>
      </c>
      <c r="L3" s="410">
        <v>2</v>
      </c>
      <c r="M3" s="410">
        <v>1</v>
      </c>
      <c r="N3" s="410">
        <v>1</v>
      </c>
      <c r="O3" s="410">
        <v>2</v>
      </c>
      <c r="P3" s="410">
        <v>3</v>
      </c>
      <c r="Q3" s="410">
        <v>4</v>
      </c>
      <c r="R3" s="410">
        <v>5</v>
      </c>
      <c r="S3" s="410">
        <v>6</v>
      </c>
      <c r="T3" s="410">
        <v>7</v>
      </c>
      <c r="U3" s="410">
        <v>8</v>
      </c>
      <c r="V3" s="410">
        <v>9</v>
      </c>
      <c r="W3" s="410">
        <v>10</v>
      </c>
      <c r="X3" s="410">
        <v>11</v>
      </c>
      <c r="Y3" s="410">
        <v>12</v>
      </c>
      <c r="Z3" s="410">
        <v>13</v>
      </c>
      <c r="AA3" s="410">
        <v>1</v>
      </c>
      <c r="AB3" s="410">
        <v>2</v>
      </c>
      <c r="AC3" s="410">
        <v>3</v>
      </c>
      <c r="AD3" s="410">
        <v>4</v>
      </c>
      <c r="AE3" s="410">
        <v>5</v>
      </c>
      <c r="AF3" s="410">
        <v>6</v>
      </c>
      <c r="AG3" s="410">
        <v>7</v>
      </c>
      <c r="AH3" s="410">
        <v>8</v>
      </c>
      <c r="AI3" s="410">
        <v>9</v>
      </c>
      <c r="AJ3" s="410">
        <v>10</v>
      </c>
      <c r="AK3" s="410">
        <v>11</v>
      </c>
      <c r="AL3" s="410">
        <v>12</v>
      </c>
      <c r="AM3" s="410">
        <v>1</v>
      </c>
      <c r="AN3" s="410">
        <v>1</v>
      </c>
      <c r="AO3" s="410">
        <v>1</v>
      </c>
      <c r="AP3" s="410">
        <v>2</v>
      </c>
      <c r="AQ3" s="410">
        <v>1</v>
      </c>
      <c r="AR3" s="410">
        <v>2</v>
      </c>
      <c r="AS3" s="410">
        <v>3</v>
      </c>
      <c r="AT3" s="411"/>
    </row>
    <row r="4" spans="1:48" s="413" customFormat="1" ht="55.2" x14ac:dyDescent="0.25">
      <c r="A4" s="412"/>
      <c r="D4" s="414" t="s">
        <v>703</v>
      </c>
      <c r="E4" s="414" t="s">
        <v>50</v>
      </c>
      <c r="F4" s="414" t="s">
        <v>47</v>
      </c>
      <c r="G4" s="414" t="s">
        <v>704</v>
      </c>
      <c r="H4" s="414" t="s">
        <v>47</v>
      </c>
      <c r="I4" s="414" t="s">
        <v>705</v>
      </c>
      <c r="J4" s="414" t="s">
        <v>323</v>
      </c>
      <c r="K4" s="414" t="s">
        <v>92</v>
      </c>
      <c r="L4" s="414" t="s">
        <v>84</v>
      </c>
      <c r="M4" s="414" t="s">
        <v>329</v>
      </c>
      <c r="N4" s="414" t="s">
        <v>706</v>
      </c>
      <c r="O4" s="414" t="s">
        <v>97</v>
      </c>
      <c r="P4" s="414" t="s">
        <v>75</v>
      </c>
      <c r="Q4" s="414" t="s">
        <v>74</v>
      </c>
      <c r="R4" s="414" t="s">
        <v>96</v>
      </c>
      <c r="S4" s="414" t="s">
        <v>95</v>
      </c>
      <c r="T4" s="414" t="s">
        <v>73</v>
      </c>
      <c r="U4" s="414" t="s">
        <v>72</v>
      </c>
      <c r="V4" s="414" t="s">
        <v>71</v>
      </c>
      <c r="W4" s="414" t="s">
        <v>70</v>
      </c>
      <c r="X4" s="414" t="s">
        <v>94</v>
      </c>
      <c r="Y4" s="414" t="s">
        <v>93</v>
      </c>
      <c r="Z4" s="414" t="s">
        <v>47</v>
      </c>
      <c r="AA4" s="414" t="s">
        <v>707</v>
      </c>
      <c r="AB4" s="414" t="s">
        <v>66</v>
      </c>
      <c r="AC4" s="414" t="s">
        <v>65</v>
      </c>
      <c r="AD4" s="414" t="s">
        <v>64</v>
      </c>
      <c r="AE4" s="414" t="s">
        <v>63</v>
      </c>
      <c r="AF4" s="414" t="s">
        <v>83</v>
      </c>
      <c r="AG4" s="414" t="s">
        <v>82</v>
      </c>
      <c r="AH4" s="414" t="s">
        <v>81</v>
      </c>
      <c r="AI4" s="414" t="s">
        <v>80</v>
      </c>
      <c r="AJ4" s="414" t="s">
        <v>79</v>
      </c>
      <c r="AK4" s="414" t="s">
        <v>94</v>
      </c>
      <c r="AL4" s="414" t="s">
        <v>93</v>
      </c>
      <c r="AM4" s="414" t="s">
        <v>708</v>
      </c>
      <c r="AN4" s="414" t="s">
        <v>709</v>
      </c>
      <c r="AO4" s="414" t="s">
        <v>106</v>
      </c>
      <c r="AP4" s="414" t="s">
        <v>78</v>
      </c>
      <c r="AQ4" s="414" t="s">
        <v>710</v>
      </c>
      <c r="AR4" s="414" t="s">
        <v>56</v>
      </c>
      <c r="AS4" s="414" t="s">
        <v>59</v>
      </c>
      <c r="AT4" s="100" t="s">
        <v>307</v>
      </c>
      <c r="AU4" s="100" t="s">
        <v>308</v>
      </c>
      <c r="AV4" s="100" t="s">
        <v>309</v>
      </c>
    </row>
    <row r="5" spans="1:48" s="413" customFormat="1" ht="14.4" x14ac:dyDescent="0.25">
      <c r="C5" s="407" t="s">
        <v>299</v>
      </c>
      <c r="D5" s="414" t="s">
        <v>110</v>
      </c>
      <c r="E5" s="414" t="s">
        <v>50</v>
      </c>
      <c r="F5" s="414"/>
      <c r="G5" s="414" t="s">
        <v>109</v>
      </c>
      <c r="H5" s="414"/>
      <c r="I5" s="414" t="s">
        <v>108</v>
      </c>
      <c r="J5" s="414" t="s">
        <v>85</v>
      </c>
      <c r="K5" s="414"/>
      <c r="L5" s="414"/>
      <c r="M5" s="414" t="s">
        <v>329</v>
      </c>
      <c r="N5" s="414" t="s">
        <v>330</v>
      </c>
      <c r="O5" s="414"/>
      <c r="P5" s="414"/>
      <c r="Q5" s="414"/>
      <c r="R5" s="414"/>
      <c r="S5" s="414"/>
      <c r="T5" s="414"/>
      <c r="U5" s="414"/>
      <c r="V5" s="414"/>
      <c r="W5" s="414"/>
      <c r="X5" s="414"/>
      <c r="Y5" s="414"/>
      <c r="Z5" s="414"/>
      <c r="AA5" s="414" t="s">
        <v>331</v>
      </c>
      <c r="AB5" s="414"/>
      <c r="AC5" s="414"/>
      <c r="AD5" s="414"/>
      <c r="AE5" s="414"/>
      <c r="AF5" s="414"/>
      <c r="AG5" s="414"/>
      <c r="AH5" s="414"/>
      <c r="AI5" s="414"/>
      <c r="AJ5" s="414"/>
      <c r="AK5" s="414"/>
      <c r="AL5" s="414"/>
      <c r="AM5" s="414" t="s">
        <v>107</v>
      </c>
      <c r="AN5" s="414" t="s">
        <v>332</v>
      </c>
      <c r="AO5" s="414" t="s">
        <v>106</v>
      </c>
      <c r="AP5" s="414"/>
      <c r="AQ5" s="414" t="s">
        <v>333</v>
      </c>
      <c r="AR5" s="414"/>
      <c r="AS5" s="414"/>
      <c r="AT5" s="100" t="s">
        <v>346</v>
      </c>
      <c r="AU5" s="100" t="s">
        <v>346</v>
      </c>
      <c r="AV5" s="100" t="s">
        <v>346</v>
      </c>
    </row>
    <row r="6" spans="1:48" ht="14.4" x14ac:dyDescent="0.3">
      <c r="D6" s="410" t="s">
        <v>46</v>
      </c>
      <c r="E6" s="410"/>
      <c r="F6" s="410" t="s">
        <v>47</v>
      </c>
      <c r="G6" s="410" t="s">
        <v>99</v>
      </c>
      <c r="H6" s="410" t="s">
        <v>47</v>
      </c>
      <c r="I6" s="410" t="s">
        <v>48</v>
      </c>
      <c r="J6" s="410" t="s">
        <v>76</v>
      </c>
      <c r="K6" s="410" t="s">
        <v>92</v>
      </c>
      <c r="L6" s="410" t="s">
        <v>84</v>
      </c>
      <c r="M6" s="410"/>
      <c r="N6" s="410" t="s">
        <v>98</v>
      </c>
      <c r="O6" s="410" t="s">
        <v>97</v>
      </c>
      <c r="P6" s="410" t="s">
        <v>75</v>
      </c>
      <c r="Q6" s="410" t="s">
        <v>74</v>
      </c>
      <c r="R6" s="410" t="s">
        <v>96</v>
      </c>
      <c r="S6" s="410" t="s">
        <v>95</v>
      </c>
      <c r="T6" s="410" t="s">
        <v>73</v>
      </c>
      <c r="U6" s="410" t="s">
        <v>72</v>
      </c>
      <c r="V6" s="410" t="s">
        <v>71</v>
      </c>
      <c r="W6" s="410" t="s">
        <v>70</v>
      </c>
      <c r="X6" s="410" t="s">
        <v>94</v>
      </c>
      <c r="Y6" s="410" t="s">
        <v>93</v>
      </c>
      <c r="Z6" s="410" t="s">
        <v>47</v>
      </c>
      <c r="AA6" s="410" t="s">
        <v>67</v>
      </c>
      <c r="AB6" s="410" t="s">
        <v>66</v>
      </c>
      <c r="AC6" s="410" t="s">
        <v>65</v>
      </c>
      <c r="AD6" s="410" t="s">
        <v>64</v>
      </c>
      <c r="AE6" s="410" t="s">
        <v>63</v>
      </c>
      <c r="AF6" s="410" t="s">
        <v>83</v>
      </c>
      <c r="AG6" s="410" t="s">
        <v>82</v>
      </c>
      <c r="AH6" s="410" t="s">
        <v>81</v>
      </c>
      <c r="AI6" s="410" t="s">
        <v>80</v>
      </c>
      <c r="AJ6" s="410" t="s">
        <v>79</v>
      </c>
      <c r="AK6" s="410" t="s">
        <v>94</v>
      </c>
      <c r="AL6" s="410" t="s">
        <v>93</v>
      </c>
      <c r="AM6" s="410" t="s">
        <v>48</v>
      </c>
      <c r="AN6" s="410" t="s">
        <v>48</v>
      </c>
      <c r="AO6" s="410"/>
      <c r="AP6" s="410" t="s">
        <v>78</v>
      </c>
      <c r="AQ6" s="410" t="s">
        <v>52</v>
      </c>
      <c r="AR6" s="410" t="s">
        <v>56</v>
      </c>
      <c r="AS6" s="410" t="s">
        <v>59</v>
      </c>
      <c r="AT6" s="100" t="s">
        <v>711</v>
      </c>
      <c r="AU6" s="100" t="s">
        <v>712</v>
      </c>
      <c r="AV6" s="100" t="s">
        <v>713</v>
      </c>
    </row>
    <row r="7" spans="1:48" ht="14.4" x14ac:dyDescent="0.3">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0"/>
      <c r="AP7" s="410"/>
      <c r="AQ7" s="410"/>
      <c r="AR7" s="410"/>
      <c r="AS7" s="410"/>
      <c r="AT7" s="100"/>
      <c r="AU7" s="100"/>
      <c r="AV7" s="100"/>
    </row>
    <row r="8" spans="1:48" s="415" customFormat="1" ht="41.4" x14ac:dyDescent="0.25">
      <c r="B8" s="416" t="s">
        <v>336</v>
      </c>
      <c r="C8" s="417" t="s">
        <v>337</v>
      </c>
      <c r="D8" s="418" t="s">
        <v>714</v>
      </c>
      <c r="E8" s="418" t="s">
        <v>411</v>
      </c>
      <c r="F8" s="418" t="s">
        <v>412</v>
      </c>
      <c r="G8" s="418" t="s">
        <v>413</v>
      </c>
      <c r="H8" s="418" t="s">
        <v>463</v>
      </c>
      <c r="I8" s="418" t="s">
        <v>415</v>
      </c>
      <c r="J8" s="418" t="s">
        <v>715</v>
      </c>
      <c r="K8" s="418" t="s">
        <v>416</v>
      </c>
      <c r="L8" s="418" t="s">
        <v>414</v>
      </c>
      <c r="M8" s="418" t="s">
        <v>417</v>
      </c>
      <c r="N8" s="418" t="s">
        <v>421</v>
      </c>
      <c r="O8" s="418" t="s">
        <v>427</v>
      </c>
      <c r="P8" s="418" t="s">
        <v>422</v>
      </c>
      <c r="Q8" s="418" t="s">
        <v>428</v>
      </c>
      <c r="R8" s="418" t="s">
        <v>423</v>
      </c>
      <c r="S8" s="418" t="s">
        <v>429</v>
      </c>
      <c r="T8" s="418" t="s">
        <v>424</v>
      </c>
      <c r="U8" s="418" t="s">
        <v>430</v>
      </c>
      <c r="V8" s="418" t="s">
        <v>425</v>
      </c>
      <c r="W8" s="418" t="s">
        <v>431</v>
      </c>
      <c r="X8" s="418" t="s">
        <v>426</v>
      </c>
      <c r="Y8" s="418" t="s">
        <v>432</v>
      </c>
      <c r="Z8" s="418" t="s">
        <v>433</v>
      </c>
      <c r="AA8" s="418" t="s">
        <v>434</v>
      </c>
      <c r="AB8" s="418" t="s">
        <v>440</v>
      </c>
      <c r="AC8" s="418" t="s">
        <v>435</v>
      </c>
      <c r="AD8" s="418" t="s">
        <v>441</v>
      </c>
      <c r="AE8" s="418" t="s">
        <v>436</v>
      </c>
      <c r="AF8" s="418" t="s">
        <v>442</v>
      </c>
      <c r="AG8" s="418" t="s">
        <v>437</v>
      </c>
      <c r="AH8" s="418" t="s">
        <v>443</v>
      </c>
      <c r="AI8" s="418" t="s">
        <v>438</v>
      </c>
      <c r="AJ8" s="418" t="s">
        <v>444</v>
      </c>
      <c r="AK8" s="418" t="s">
        <v>439</v>
      </c>
      <c r="AL8" s="418" t="s">
        <v>445</v>
      </c>
      <c r="AM8" s="418" t="s">
        <v>716</v>
      </c>
      <c r="AN8" s="418" t="s">
        <v>717</v>
      </c>
      <c r="AO8" s="418" t="s">
        <v>410</v>
      </c>
      <c r="AP8" s="418" t="s">
        <v>718</v>
      </c>
      <c r="AQ8" s="418" t="s">
        <v>719</v>
      </c>
      <c r="AR8" s="418" t="s">
        <v>720</v>
      </c>
      <c r="AS8" s="418" t="s">
        <v>721</v>
      </c>
      <c r="AT8" s="100" t="s">
        <v>420</v>
      </c>
      <c r="AU8" s="100" t="s">
        <v>419</v>
      </c>
      <c r="AV8" s="100" t="s">
        <v>418</v>
      </c>
    </row>
    <row r="9" spans="1:48" ht="18.75" customHeight="1" x14ac:dyDescent="0.25">
      <c r="A9" s="419">
        <v>4084108261</v>
      </c>
      <c r="B9" s="420" t="s">
        <v>136</v>
      </c>
      <c r="C9" s="421" t="s">
        <v>722</v>
      </c>
      <c r="D9" s="409" t="s">
        <v>722</v>
      </c>
      <c r="E9" s="409">
        <v>0</v>
      </c>
      <c r="F9" s="409" t="s">
        <v>722</v>
      </c>
      <c r="G9" s="409">
        <v>0</v>
      </c>
      <c r="H9" s="409" t="s">
        <v>722</v>
      </c>
      <c r="I9" s="409" t="s">
        <v>722</v>
      </c>
      <c r="J9" s="409" t="s">
        <v>722</v>
      </c>
      <c r="K9" s="409" t="s">
        <v>722</v>
      </c>
      <c r="L9" s="409" t="s">
        <v>722</v>
      </c>
      <c r="M9" s="409">
        <v>0</v>
      </c>
      <c r="N9" s="409">
        <v>0</v>
      </c>
      <c r="O9" s="409">
        <v>0</v>
      </c>
      <c r="P9" s="409">
        <v>0</v>
      </c>
      <c r="Q9" s="409">
        <v>0</v>
      </c>
      <c r="R9" s="409">
        <v>0</v>
      </c>
      <c r="S9" s="409">
        <v>0</v>
      </c>
      <c r="T9" s="409">
        <v>0</v>
      </c>
      <c r="U9" s="409">
        <v>0</v>
      </c>
      <c r="V9" s="409">
        <v>0</v>
      </c>
      <c r="W9" s="409">
        <v>0</v>
      </c>
      <c r="X9" s="409">
        <v>0</v>
      </c>
      <c r="Y9" s="409">
        <v>0</v>
      </c>
      <c r="Z9" s="409" t="s">
        <v>722</v>
      </c>
      <c r="AA9" s="409">
        <v>0</v>
      </c>
      <c r="AB9" s="409">
        <v>0</v>
      </c>
      <c r="AC9" s="409">
        <v>0</v>
      </c>
      <c r="AD9" s="409">
        <v>0</v>
      </c>
      <c r="AE9" s="409">
        <v>0</v>
      </c>
      <c r="AF9" s="409">
        <v>0</v>
      </c>
      <c r="AG9" s="409">
        <v>0</v>
      </c>
      <c r="AH9" s="409">
        <v>0</v>
      </c>
      <c r="AI9" s="409">
        <v>0</v>
      </c>
      <c r="AJ9" s="409">
        <v>0</v>
      </c>
      <c r="AK9" s="409">
        <v>0</v>
      </c>
      <c r="AL9" s="409">
        <v>0</v>
      </c>
      <c r="AM9" s="409" t="s">
        <v>722</v>
      </c>
      <c r="AN9" s="409" t="s">
        <v>722</v>
      </c>
      <c r="AO9" s="409">
        <v>0</v>
      </c>
      <c r="AP9" s="409" t="s">
        <v>722</v>
      </c>
      <c r="AQ9" s="409" t="s">
        <v>722</v>
      </c>
      <c r="AR9" s="409" t="s">
        <v>722</v>
      </c>
      <c r="AS9" s="409" t="s">
        <v>722</v>
      </c>
      <c r="AT9" s="409">
        <v>0</v>
      </c>
      <c r="AU9" s="409">
        <v>0</v>
      </c>
      <c r="AV9" s="409">
        <v>0</v>
      </c>
    </row>
    <row r="10" spans="1:48" ht="18.75" customHeight="1" x14ac:dyDescent="0.25">
      <c r="A10" s="419">
        <v>4061770804</v>
      </c>
      <c r="B10" s="420" t="s">
        <v>135</v>
      </c>
      <c r="C10" s="421" t="s">
        <v>722</v>
      </c>
      <c r="D10" s="409" t="s">
        <v>722</v>
      </c>
      <c r="E10" s="409" t="s">
        <v>34</v>
      </c>
      <c r="F10" s="409" t="s">
        <v>722</v>
      </c>
      <c r="G10" s="409" t="s">
        <v>34</v>
      </c>
      <c r="H10" s="409" t="s">
        <v>722</v>
      </c>
      <c r="I10" s="409" t="s">
        <v>722</v>
      </c>
      <c r="J10" s="409" t="s">
        <v>722</v>
      </c>
      <c r="K10" s="409" t="s">
        <v>722</v>
      </c>
      <c r="L10" s="409" t="s">
        <v>722</v>
      </c>
      <c r="M10" s="409" t="s">
        <v>5</v>
      </c>
      <c r="N10" s="409">
        <v>0</v>
      </c>
      <c r="O10" s="409">
        <v>0</v>
      </c>
      <c r="P10" s="409">
        <v>0</v>
      </c>
      <c r="Q10" s="409">
        <v>0</v>
      </c>
      <c r="R10" s="409">
        <v>0</v>
      </c>
      <c r="S10" s="409">
        <v>0</v>
      </c>
      <c r="T10" s="409">
        <v>0</v>
      </c>
      <c r="U10" s="409">
        <v>0</v>
      </c>
      <c r="V10" s="409">
        <v>0</v>
      </c>
      <c r="W10" s="409">
        <v>0</v>
      </c>
      <c r="X10" s="409">
        <v>0</v>
      </c>
      <c r="Y10" s="409">
        <v>0</v>
      </c>
      <c r="Z10" s="409" t="s">
        <v>722</v>
      </c>
      <c r="AA10" s="409">
        <v>0</v>
      </c>
      <c r="AB10" s="409">
        <v>0</v>
      </c>
      <c r="AC10" s="409">
        <v>0</v>
      </c>
      <c r="AD10" s="409">
        <v>0</v>
      </c>
      <c r="AE10" s="409">
        <v>0</v>
      </c>
      <c r="AF10" s="409">
        <v>0</v>
      </c>
      <c r="AG10" s="409">
        <v>0</v>
      </c>
      <c r="AH10" s="409">
        <v>0</v>
      </c>
      <c r="AI10" s="409">
        <v>0</v>
      </c>
      <c r="AJ10" s="409">
        <v>0</v>
      </c>
      <c r="AK10" s="409">
        <v>1</v>
      </c>
      <c r="AL10" s="409" t="s">
        <v>54</v>
      </c>
      <c r="AM10" s="409" t="s">
        <v>722</v>
      </c>
      <c r="AN10" s="409" t="s">
        <v>722</v>
      </c>
      <c r="AO10" s="409" t="s">
        <v>62</v>
      </c>
      <c r="AP10" s="409" t="s">
        <v>722</v>
      </c>
      <c r="AQ10" s="409" t="s">
        <v>722</v>
      </c>
      <c r="AR10" s="409" t="s">
        <v>722</v>
      </c>
      <c r="AS10" s="409" t="s">
        <v>722</v>
      </c>
      <c r="AT10" s="409">
        <v>0</v>
      </c>
      <c r="AU10" s="409">
        <v>0</v>
      </c>
      <c r="AV10" s="409">
        <v>0</v>
      </c>
    </row>
    <row r="11" spans="1:48" x14ac:dyDescent="0.25">
      <c r="A11" s="419">
        <v>4059953640</v>
      </c>
      <c r="B11" s="420" t="s">
        <v>116</v>
      </c>
      <c r="C11" s="421" t="s">
        <v>722</v>
      </c>
      <c r="D11" s="409" t="s">
        <v>722</v>
      </c>
      <c r="E11" s="409">
        <v>0</v>
      </c>
      <c r="F11" s="409" t="s">
        <v>722</v>
      </c>
      <c r="G11" s="409">
        <v>0</v>
      </c>
      <c r="H11" s="409" t="s">
        <v>722</v>
      </c>
      <c r="I11" s="409" t="s">
        <v>722</v>
      </c>
      <c r="J11" s="409" t="s">
        <v>722</v>
      </c>
      <c r="K11" s="409" t="s">
        <v>722</v>
      </c>
      <c r="L11" s="409" t="s">
        <v>722</v>
      </c>
      <c r="M11" s="409">
        <v>0</v>
      </c>
      <c r="N11" s="409">
        <v>0</v>
      </c>
      <c r="O11" s="409">
        <v>0</v>
      </c>
      <c r="P11" s="409">
        <v>0</v>
      </c>
      <c r="Q11" s="409">
        <v>0</v>
      </c>
      <c r="R11" s="409">
        <v>0</v>
      </c>
      <c r="S11" s="409">
        <v>0</v>
      </c>
      <c r="T11" s="409">
        <v>0</v>
      </c>
      <c r="U11" s="409">
        <v>0</v>
      </c>
      <c r="V11" s="409">
        <v>0</v>
      </c>
      <c r="W11" s="409">
        <v>0</v>
      </c>
      <c r="X11" s="409">
        <v>0</v>
      </c>
      <c r="Y11" s="409">
        <v>0</v>
      </c>
      <c r="Z11" s="409" t="s">
        <v>722</v>
      </c>
      <c r="AA11" s="409">
        <v>0</v>
      </c>
      <c r="AB11" s="409">
        <v>0</v>
      </c>
      <c r="AC11" s="409">
        <v>0</v>
      </c>
      <c r="AD11" s="409">
        <v>0</v>
      </c>
      <c r="AE11" s="409">
        <v>0</v>
      </c>
      <c r="AF11" s="409">
        <v>0</v>
      </c>
      <c r="AG11" s="409">
        <v>0</v>
      </c>
      <c r="AH11" s="409">
        <v>0</v>
      </c>
      <c r="AI11" s="409">
        <v>0</v>
      </c>
      <c r="AJ11" s="409">
        <v>0</v>
      </c>
      <c r="AK11" s="409">
        <v>0</v>
      </c>
      <c r="AL11" s="409">
        <v>0</v>
      </c>
      <c r="AM11" s="409" t="s">
        <v>722</v>
      </c>
      <c r="AN11" s="409" t="s">
        <v>722</v>
      </c>
      <c r="AO11" s="409">
        <v>0</v>
      </c>
      <c r="AP11" s="409" t="s">
        <v>722</v>
      </c>
      <c r="AQ11" s="409" t="s">
        <v>722</v>
      </c>
      <c r="AR11" s="409" t="s">
        <v>722</v>
      </c>
      <c r="AS11" s="409" t="s">
        <v>722</v>
      </c>
      <c r="AT11" s="409">
        <v>0</v>
      </c>
      <c r="AU11" s="409">
        <v>0</v>
      </c>
      <c r="AV11" s="409">
        <v>0</v>
      </c>
    </row>
    <row r="12" spans="1:48" x14ac:dyDescent="0.25">
      <c r="A12" s="419">
        <v>4058618473</v>
      </c>
      <c r="B12" s="420" t="s">
        <v>135</v>
      </c>
      <c r="C12" s="421" t="s">
        <v>722</v>
      </c>
      <c r="D12" s="409" t="s">
        <v>722</v>
      </c>
      <c r="E12" s="409">
        <v>0</v>
      </c>
      <c r="F12" s="409" t="s">
        <v>722</v>
      </c>
      <c r="G12" s="409">
        <v>0</v>
      </c>
      <c r="H12" s="409" t="s">
        <v>722</v>
      </c>
      <c r="I12" s="409" t="s">
        <v>722</v>
      </c>
      <c r="J12" s="409" t="s">
        <v>722</v>
      </c>
      <c r="K12" s="409" t="s">
        <v>722</v>
      </c>
      <c r="L12" s="409" t="s">
        <v>722</v>
      </c>
      <c r="M12" s="409">
        <v>0</v>
      </c>
      <c r="N12" s="409">
        <v>0</v>
      </c>
      <c r="O12" s="409">
        <v>0</v>
      </c>
      <c r="P12" s="409">
        <v>0</v>
      </c>
      <c r="Q12" s="409">
        <v>0</v>
      </c>
      <c r="R12" s="409">
        <v>0</v>
      </c>
      <c r="S12" s="409">
        <v>0</v>
      </c>
      <c r="T12" s="409">
        <v>0</v>
      </c>
      <c r="U12" s="409">
        <v>0</v>
      </c>
      <c r="V12" s="409">
        <v>0</v>
      </c>
      <c r="W12" s="409">
        <v>0</v>
      </c>
      <c r="X12" s="409">
        <v>0</v>
      </c>
      <c r="Y12" s="409">
        <v>0</v>
      </c>
      <c r="Z12" s="409" t="s">
        <v>722</v>
      </c>
      <c r="AA12" s="409">
        <v>0</v>
      </c>
      <c r="AB12" s="409">
        <v>0</v>
      </c>
      <c r="AC12" s="409">
        <v>0</v>
      </c>
      <c r="AD12" s="409">
        <v>0</v>
      </c>
      <c r="AE12" s="409">
        <v>0</v>
      </c>
      <c r="AF12" s="409">
        <v>0</v>
      </c>
      <c r="AG12" s="409">
        <v>0</v>
      </c>
      <c r="AH12" s="409">
        <v>0</v>
      </c>
      <c r="AI12" s="409">
        <v>0</v>
      </c>
      <c r="AJ12" s="409">
        <v>0</v>
      </c>
      <c r="AK12" s="409">
        <v>0</v>
      </c>
      <c r="AL12" s="409">
        <v>0</v>
      </c>
      <c r="AM12" s="409" t="s">
        <v>722</v>
      </c>
      <c r="AN12" s="409" t="s">
        <v>722</v>
      </c>
      <c r="AO12" s="409">
        <v>0</v>
      </c>
      <c r="AP12" s="409" t="s">
        <v>722</v>
      </c>
      <c r="AQ12" s="409" t="s">
        <v>722</v>
      </c>
      <c r="AR12" s="409" t="s">
        <v>722</v>
      </c>
      <c r="AS12" s="409" t="s">
        <v>722</v>
      </c>
      <c r="AT12" s="409">
        <v>0</v>
      </c>
      <c r="AU12" s="409">
        <v>0</v>
      </c>
      <c r="AV12" s="409">
        <v>0</v>
      </c>
    </row>
    <row r="13" spans="1:48" x14ac:dyDescent="0.25">
      <c r="A13" s="419">
        <v>4057492657</v>
      </c>
      <c r="B13" s="420" t="s">
        <v>135</v>
      </c>
      <c r="C13" s="421" t="s">
        <v>722</v>
      </c>
      <c r="D13" s="409" t="s">
        <v>722</v>
      </c>
      <c r="E13" s="409" t="s">
        <v>35</v>
      </c>
      <c r="F13" s="409" t="s">
        <v>722</v>
      </c>
      <c r="G13" s="409" t="s">
        <v>35</v>
      </c>
      <c r="H13" s="409" t="s">
        <v>722</v>
      </c>
      <c r="I13" s="409" t="s">
        <v>722</v>
      </c>
      <c r="J13" s="409" t="s">
        <v>722</v>
      </c>
      <c r="K13" s="409" t="s">
        <v>722</v>
      </c>
      <c r="L13" s="409" t="s">
        <v>722</v>
      </c>
      <c r="M13" s="409" t="s">
        <v>5</v>
      </c>
      <c r="N13" s="409">
        <v>0</v>
      </c>
      <c r="O13" s="409">
        <v>0</v>
      </c>
      <c r="P13" s="409">
        <v>0</v>
      </c>
      <c r="Q13" s="409">
        <v>0</v>
      </c>
      <c r="R13" s="409">
        <v>0</v>
      </c>
      <c r="S13" s="409">
        <v>0</v>
      </c>
      <c r="T13" s="409">
        <v>0</v>
      </c>
      <c r="U13" s="409">
        <v>0</v>
      </c>
      <c r="V13" s="409">
        <v>0</v>
      </c>
      <c r="W13" s="409">
        <v>0</v>
      </c>
      <c r="X13" s="409">
        <v>0</v>
      </c>
      <c r="Y13" s="409">
        <v>0</v>
      </c>
      <c r="Z13" s="409" t="s">
        <v>722</v>
      </c>
      <c r="AA13" s="409">
        <v>1</v>
      </c>
      <c r="AB13" s="409" t="s">
        <v>3</v>
      </c>
      <c r="AC13" s="409">
        <v>2</v>
      </c>
      <c r="AD13" s="409" t="s">
        <v>4</v>
      </c>
      <c r="AE13" s="409">
        <v>0</v>
      </c>
      <c r="AF13" s="409">
        <v>0</v>
      </c>
      <c r="AG13" s="409">
        <v>0</v>
      </c>
      <c r="AH13" s="409">
        <v>0</v>
      </c>
      <c r="AI13" s="409">
        <v>3</v>
      </c>
      <c r="AJ13" s="409" t="s">
        <v>33</v>
      </c>
      <c r="AK13" s="409">
        <v>0</v>
      </c>
      <c r="AL13" s="409">
        <v>0</v>
      </c>
      <c r="AM13" s="409" t="s">
        <v>722</v>
      </c>
      <c r="AN13" s="409" t="s">
        <v>722</v>
      </c>
      <c r="AO13" s="409" t="s">
        <v>55</v>
      </c>
      <c r="AP13" s="409" t="s">
        <v>722</v>
      </c>
      <c r="AQ13" s="409" t="s">
        <v>722</v>
      </c>
      <c r="AR13" s="409" t="s">
        <v>722</v>
      </c>
      <c r="AS13" s="409" t="s">
        <v>722</v>
      </c>
      <c r="AT13" s="409" t="s">
        <v>5</v>
      </c>
      <c r="AU13" s="409" t="s">
        <v>5</v>
      </c>
      <c r="AV13" s="409" t="s">
        <v>5</v>
      </c>
    </row>
    <row r="14" spans="1:48" x14ac:dyDescent="0.25">
      <c r="A14" s="419">
        <v>4056881783</v>
      </c>
      <c r="B14" s="420" t="s">
        <v>136</v>
      </c>
      <c r="C14" s="421" t="s">
        <v>722</v>
      </c>
      <c r="D14" s="409" t="s">
        <v>722</v>
      </c>
      <c r="E14" s="409" t="s">
        <v>34</v>
      </c>
      <c r="F14" s="409" t="s">
        <v>722</v>
      </c>
      <c r="G14" s="409" t="s">
        <v>34</v>
      </c>
      <c r="H14" s="409" t="s">
        <v>722</v>
      </c>
      <c r="I14" s="409" t="s">
        <v>722</v>
      </c>
      <c r="J14" s="409" t="s">
        <v>722</v>
      </c>
      <c r="K14" s="409" t="s">
        <v>722</v>
      </c>
      <c r="L14" s="409" t="s">
        <v>722</v>
      </c>
      <c r="M14" s="409" t="s">
        <v>5</v>
      </c>
      <c r="N14" s="409">
        <v>0</v>
      </c>
      <c r="O14" s="409">
        <v>0</v>
      </c>
      <c r="P14" s="409">
        <v>0</v>
      </c>
      <c r="Q14" s="409">
        <v>0</v>
      </c>
      <c r="R14" s="409">
        <v>0</v>
      </c>
      <c r="S14" s="409">
        <v>0</v>
      </c>
      <c r="T14" s="409">
        <v>0</v>
      </c>
      <c r="U14" s="409">
        <v>0</v>
      </c>
      <c r="V14" s="409">
        <v>0</v>
      </c>
      <c r="W14" s="409">
        <v>0</v>
      </c>
      <c r="X14" s="409">
        <v>0</v>
      </c>
      <c r="Y14" s="409">
        <v>0</v>
      </c>
      <c r="Z14" s="409" t="s">
        <v>722</v>
      </c>
      <c r="AA14" s="409">
        <v>0</v>
      </c>
      <c r="AB14" s="409">
        <v>0</v>
      </c>
      <c r="AC14" s="409">
        <v>0</v>
      </c>
      <c r="AD14" s="409">
        <v>0</v>
      </c>
      <c r="AE14" s="409">
        <v>0</v>
      </c>
      <c r="AF14" s="409">
        <v>0</v>
      </c>
      <c r="AG14" s="409">
        <v>0</v>
      </c>
      <c r="AH14" s="409">
        <v>0</v>
      </c>
      <c r="AI14" s="409">
        <v>0</v>
      </c>
      <c r="AJ14" s="409">
        <v>0</v>
      </c>
      <c r="AK14" s="409">
        <v>0</v>
      </c>
      <c r="AL14" s="409" t="s">
        <v>54</v>
      </c>
      <c r="AM14" s="409" t="s">
        <v>722</v>
      </c>
      <c r="AN14" s="409" t="s">
        <v>722</v>
      </c>
      <c r="AO14" s="409" t="s">
        <v>62</v>
      </c>
      <c r="AP14" s="409" t="s">
        <v>722</v>
      </c>
      <c r="AQ14" s="409" t="s">
        <v>722</v>
      </c>
      <c r="AR14" s="409" t="s">
        <v>722</v>
      </c>
      <c r="AS14" s="409" t="s">
        <v>722</v>
      </c>
      <c r="AT14" s="409" t="s">
        <v>5</v>
      </c>
      <c r="AU14" s="409" t="s">
        <v>5</v>
      </c>
      <c r="AV14" s="409" t="s">
        <v>5</v>
      </c>
    </row>
    <row r="15" spans="1:48" x14ac:dyDescent="0.25">
      <c r="A15" s="419">
        <v>4056256476</v>
      </c>
      <c r="B15" s="420" t="s">
        <v>135</v>
      </c>
      <c r="C15" s="421" t="s">
        <v>722</v>
      </c>
      <c r="D15" s="409" t="s">
        <v>722</v>
      </c>
      <c r="E15" s="409">
        <v>0</v>
      </c>
      <c r="F15" s="409" t="s">
        <v>722</v>
      </c>
      <c r="G15" s="409">
        <v>0</v>
      </c>
      <c r="H15" s="409" t="s">
        <v>722</v>
      </c>
      <c r="I15" s="409" t="s">
        <v>722</v>
      </c>
      <c r="J15" s="409" t="s">
        <v>722</v>
      </c>
      <c r="K15" s="409" t="s">
        <v>722</v>
      </c>
      <c r="L15" s="409" t="s">
        <v>722</v>
      </c>
      <c r="M15" s="409">
        <v>0</v>
      </c>
      <c r="N15" s="409">
        <v>0</v>
      </c>
      <c r="O15" s="409">
        <v>0</v>
      </c>
      <c r="P15" s="409">
        <v>0</v>
      </c>
      <c r="Q15" s="409">
        <v>0</v>
      </c>
      <c r="R15" s="409">
        <v>0</v>
      </c>
      <c r="S15" s="409">
        <v>0</v>
      </c>
      <c r="T15" s="409">
        <v>0</v>
      </c>
      <c r="U15" s="409">
        <v>0</v>
      </c>
      <c r="V15" s="409">
        <v>0</v>
      </c>
      <c r="W15" s="409">
        <v>0</v>
      </c>
      <c r="X15" s="409">
        <v>0</v>
      </c>
      <c r="Y15" s="409">
        <v>0</v>
      </c>
      <c r="Z15" s="409" t="s">
        <v>722</v>
      </c>
      <c r="AA15" s="409">
        <v>0</v>
      </c>
      <c r="AB15" s="409">
        <v>0</v>
      </c>
      <c r="AC15" s="409">
        <v>0</v>
      </c>
      <c r="AD15" s="409">
        <v>0</v>
      </c>
      <c r="AE15" s="409">
        <v>0</v>
      </c>
      <c r="AF15" s="409">
        <v>0</v>
      </c>
      <c r="AG15" s="409">
        <v>0</v>
      </c>
      <c r="AH15" s="409">
        <v>0</v>
      </c>
      <c r="AI15" s="409">
        <v>0</v>
      </c>
      <c r="AJ15" s="409">
        <v>0</v>
      </c>
      <c r="AK15" s="409">
        <v>0</v>
      </c>
      <c r="AL15" s="409">
        <v>0</v>
      </c>
      <c r="AM15" s="409" t="s">
        <v>722</v>
      </c>
      <c r="AN15" s="409" t="s">
        <v>722</v>
      </c>
      <c r="AO15" s="409">
        <v>0</v>
      </c>
      <c r="AP15" s="409" t="s">
        <v>722</v>
      </c>
      <c r="AQ15" s="409" t="s">
        <v>722</v>
      </c>
      <c r="AR15" s="409" t="s">
        <v>722</v>
      </c>
      <c r="AS15" s="409" t="s">
        <v>722</v>
      </c>
      <c r="AT15" s="409">
        <v>0</v>
      </c>
      <c r="AU15" s="409">
        <v>0</v>
      </c>
      <c r="AV15" s="409">
        <v>0</v>
      </c>
    </row>
    <row r="16" spans="1:48" x14ac:dyDescent="0.25">
      <c r="A16" s="419">
        <v>4051833556</v>
      </c>
      <c r="B16" s="420" t="s">
        <v>138</v>
      </c>
      <c r="C16" s="421" t="s">
        <v>722</v>
      </c>
      <c r="D16" s="409" t="s">
        <v>722</v>
      </c>
      <c r="E16" s="409" t="s">
        <v>35</v>
      </c>
      <c r="F16" s="409" t="s">
        <v>722</v>
      </c>
      <c r="G16" s="409" t="s">
        <v>35</v>
      </c>
      <c r="H16" s="409" t="s">
        <v>722</v>
      </c>
      <c r="I16" s="409" t="s">
        <v>722</v>
      </c>
      <c r="J16" s="409" t="s">
        <v>722</v>
      </c>
      <c r="K16" s="409" t="s">
        <v>722</v>
      </c>
      <c r="L16" s="409" t="s">
        <v>722</v>
      </c>
      <c r="M16" s="409" t="s">
        <v>5</v>
      </c>
      <c r="N16" s="409">
        <v>1</v>
      </c>
      <c r="O16" s="409" t="s">
        <v>5</v>
      </c>
      <c r="P16" s="409">
        <v>2</v>
      </c>
      <c r="Q16" s="409" t="s">
        <v>5</v>
      </c>
      <c r="R16" s="409">
        <v>3</v>
      </c>
      <c r="S16" s="409" t="s">
        <v>39</v>
      </c>
      <c r="T16" s="409">
        <v>0</v>
      </c>
      <c r="U16" s="409">
        <v>0</v>
      </c>
      <c r="V16" s="409">
        <v>0</v>
      </c>
      <c r="W16" s="409">
        <v>0</v>
      </c>
      <c r="X16" s="409">
        <v>0</v>
      </c>
      <c r="Y16" s="409">
        <v>0</v>
      </c>
      <c r="Z16" s="409" t="s">
        <v>722</v>
      </c>
      <c r="AA16" s="409">
        <v>1</v>
      </c>
      <c r="AB16" s="409" t="s">
        <v>54</v>
      </c>
      <c r="AC16" s="409">
        <v>3</v>
      </c>
      <c r="AD16" s="409" t="s">
        <v>39</v>
      </c>
      <c r="AE16" s="409">
        <v>0</v>
      </c>
      <c r="AF16" s="409">
        <v>0</v>
      </c>
      <c r="AG16" s="409">
        <v>0</v>
      </c>
      <c r="AH16" s="409">
        <v>0</v>
      </c>
      <c r="AI16" s="409">
        <v>0</v>
      </c>
      <c r="AJ16" s="409">
        <v>0</v>
      </c>
      <c r="AK16" s="409">
        <v>2</v>
      </c>
      <c r="AL16" s="409" t="s">
        <v>39</v>
      </c>
      <c r="AM16" s="409" t="s">
        <v>722</v>
      </c>
      <c r="AN16" s="409" t="s">
        <v>722</v>
      </c>
      <c r="AO16" s="409" t="s">
        <v>62</v>
      </c>
      <c r="AP16" s="409" t="s">
        <v>722</v>
      </c>
      <c r="AQ16" s="409" t="s">
        <v>722</v>
      </c>
      <c r="AR16" s="409" t="s">
        <v>722</v>
      </c>
      <c r="AS16" s="409" t="s">
        <v>722</v>
      </c>
      <c r="AT16" s="409" t="s">
        <v>4</v>
      </c>
      <c r="AU16" s="409" t="s">
        <v>4</v>
      </c>
      <c r="AV16" s="409" t="s">
        <v>4</v>
      </c>
    </row>
    <row r="17" spans="1:48" x14ac:dyDescent="0.25">
      <c r="A17" s="419">
        <v>4044958277</v>
      </c>
      <c r="B17" s="420" t="s">
        <v>116</v>
      </c>
      <c r="C17" s="421" t="s">
        <v>722</v>
      </c>
      <c r="D17" s="409" t="s">
        <v>722</v>
      </c>
      <c r="E17" s="409">
        <v>0</v>
      </c>
      <c r="F17" s="409" t="s">
        <v>722</v>
      </c>
      <c r="G17" s="409">
        <v>0</v>
      </c>
      <c r="H17" s="409" t="s">
        <v>722</v>
      </c>
      <c r="I17" s="409" t="s">
        <v>722</v>
      </c>
      <c r="J17" s="409" t="s">
        <v>722</v>
      </c>
      <c r="K17" s="409" t="s">
        <v>722</v>
      </c>
      <c r="L17" s="409" t="s">
        <v>722</v>
      </c>
      <c r="M17" s="409">
        <v>0</v>
      </c>
      <c r="N17" s="409">
        <v>0</v>
      </c>
      <c r="O17" s="409">
        <v>0</v>
      </c>
      <c r="P17" s="409">
        <v>0</v>
      </c>
      <c r="Q17" s="409">
        <v>0</v>
      </c>
      <c r="R17" s="409">
        <v>0</v>
      </c>
      <c r="S17" s="409">
        <v>0</v>
      </c>
      <c r="T17" s="409">
        <v>0</v>
      </c>
      <c r="U17" s="409">
        <v>0</v>
      </c>
      <c r="V17" s="409">
        <v>0</v>
      </c>
      <c r="W17" s="409">
        <v>0</v>
      </c>
      <c r="X17" s="409">
        <v>0</v>
      </c>
      <c r="Y17" s="409">
        <v>0</v>
      </c>
      <c r="Z17" s="409" t="s">
        <v>722</v>
      </c>
      <c r="AA17" s="409">
        <v>0</v>
      </c>
      <c r="AB17" s="409">
        <v>0</v>
      </c>
      <c r="AC17" s="409">
        <v>0</v>
      </c>
      <c r="AD17" s="409">
        <v>0</v>
      </c>
      <c r="AE17" s="409">
        <v>0</v>
      </c>
      <c r="AF17" s="409">
        <v>0</v>
      </c>
      <c r="AG17" s="409">
        <v>0</v>
      </c>
      <c r="AH17" s="409">
        <v>0</v>
      </c>
      <c r="AI17" s="409">
        <v>0</v>
      </c>
      <c r="AJ17" s="409">
        <v>0</v>
      </c>
      <c r="AK17" s="409">
        <v>0</v>
      </c>
      <c r="AL17" s="409">
        <v>0</v>
      </c>
      <c r="AM17" s="409" t="s">
        <v>722</v>
      </c>
      <c r="AN17" s="409" t="s">
        <v>722</v>
      </c>
      <c r="AO17" s="409">
        <v>0</v>
      </c>
      <c r="AP17" s="409" t="s">
        <v>722</v>
      </c>
      <c r="AQ17" s="409" t="s">
        <v>722</v>
      </c>
      <c r="AR17" s="409" t="s">
        <v>722</v>
      </c>
      <c r="AS17" s="409" t="s">
        <v>722</v>
      </c>
      <c r="AT17" s="409" t="s">
        <v>29</v>
      </c>
      <c r="AU17" s="409" t="s">
        <v>29</v>
      </c>
      <c r="AV17" s="409" t="s">
        <v>33</v>
      </c>
    </row>
    <row r="18" spans="1:48" x14ac:dyDescent="0.25">
      <c r="A18" s="419">
        <v>4044850144</v>
      </c>
      <c r="B18" s="420" t="s">
        <v>123</v>
      </c>
      <c r="C18" s="421" t="s">
        <v>722</v>
      </c>
      <c r="D18" s="409" t="s">
        <v>722</v>
      </c>
      <c r="E18" s="409">
        <v>0</v>
      </c>
      <c r="F18" s="409" t="s">
        <v>722</v>
      </c>
      <c r="G18" s="409">
        <v>0</v>
      </c>
      <c r="H18" s="409" t="s">
        <v>722</v>
      </c>
      <c r="I18" s="409" t="s">
        <v>722</v>
      </c>
      <c r="J18" s="409" t="s">
        <v>722</v>
      </c>
      <c r="K18" s="409" t="s">
        <v>722</v>
      </c>
      <c r="L18" s="409" t="s">
        <v>722</v>
      </c>
      <c r="M18" s="409">
        <v>0</v>
      </c>
      <c r="N18" s="409">
        <v>0</v>
      </c>
      <c r="O18" s="409">
        <v>0</v>
      </c>
      <c r="P18" s="409">
        <v>0</v>
      </c>
      <c r="Q18" s="409">
        <v>0</v>
      </c>
      <c r="R18" s="409">
        <v>0</v>
      </c>
      <c r="S18" s="409">
        <v>0</v>
      </c>
      <c r="T18" s="409">
        <v>0</v>
      </c>
      <c r="U18" s="409">
        <v>0</v>
      </c>
      <c r="V18" s="409">
        <v>0</v>
      </c>
      <c r="W18" s="409">
        <v>0</v>
      </c>
      <c r="X18" s="409">
        <v>0</v>
      </c>
      <c r="Y18" s="409">
        <v>0</v>
      </c>
      <c r="Z18" s="409" t="s">
        <v>722</v>
      </c>
      <c r="AA18" s="409">
        <v>0</v>
      </c>
      <c r="AB18" s="409">
        <v>0</v>
      </c>
      <c r="AC18" s="409">
        <v>0</v>
      </c>
      <c r="AD18" s="409">
        <v>0</v>
      </c>
      <c r="AE18" s="409">
        <v>0</v>
      </c>
      <c r="AF18" s="409">
        <v>0</v>
      </c>
      <c r="AG18" s="409">
        <v>0</v>
      </c>
      <c r="AH18" s="409">
        <v>0</v>
      </c>
      <c r="AI18" s="409">
        <v>0</v>
      </c>
      <c r="AJ18" s="409">
        <v>0</v>
      </c>
      <c r="AK18" s="409">
        <v>0</v>
      </c>
      <c r="AL18" s="409">
        <v>0</v>
      </c>
      <c r="AM18" s="409" t="s">
        <v>722</v>
      </c>
      <c r="AN18" s="409" t="s">
        <v>722</v>
      </c>
      <c r="AO18" s="409">
        <v>0</v>
      </c>
      <c r="AP18" s="409" t="s">
        <v>722</v>
      </c>
      <c r="AQ18" s="409" t="s">
        <v>722</v>
      </c>
      <c r="AR18" s="409" t="s">
        <v>722</v>
      </c>
      <c r="AS18" s="409" t="s">
        <v>722</v>
      </c>
      <c r="AT18" s="409">
        <v>0</v>
      </c>
      <c r="AU18" s="409">
        <v>0</v>
      </c>
      <c r="AV18" s="409">
        <v>0</v>
      </c>
    </row>
    <row r="19" spans="1:48" x14ac:dyDescent="0.25">
      <c r="A19" s="419">
        <v>4044536792</v>
      </c>
      <c r="B19" s="420" t="s">
        <v>116</v>
      </c>
      <c r="C19" s="421" t="s">
        <v>722</v>
      </c>
      <c r="D19" s="409" t="s">
        <v>722</v>
      </c>
      <c r="E19" s="409">
        <v>0</v>
      </c>
      <c r="F19" s="409" t="s">
        <v>722</v>
      </c>
      <c r="G19" s="409">
        <v>0</v>
      </c>
      <c r="H19" s="409" t="s">
        <v>722</v>
      </c>
      <c r="I19" s="409" t="s">
        <v>722</v>
      </c>
      <c r="J19" s="409" t="s">
        <v>722</v>
      </c>
      <c r="K19" s="409" t="s">
        <v>722</v>
      </c>
      <c r="L19" s="409" t="s">
        <v>722</v>
      </c>
      <c r="M19" s="409">
        <v>0</v>
      </c>
      <c r="N19" s="409">
        <v>0</v>
      </c>
      <c r="O19" s="409">
        <v>0</v>
      </c>
      <c r="P19" s="409">
        <v>0</v>
      </c>
      <c r="Q19" s="409">
        <v>0</v>
      </c>
      <c r="R19" s="409">
        <v>0</v>
      </c>
      <c r="S19" s="409">
        <v>0</v>
      </c>
      <c r="T19" s="409">
        <v>0</v>
      </c>
      <c r="U19" s="409">
        <v>0</v>
      </c>
      <c r="V19" s="409">
        <v>0</v>
      </c>
      <c r="W19" s="409">
        <v>0</v>
      </c>
      <c r="X19" s="409">
        <v>0</v>
      </c>
      <c r="Y19" s="409">
        <v>0</v>
      </c>
      <c r="Z19" s="409" t="s">
        <v>722</v>
      </c>
      <c r="AA19" s="409">
        <v>0</v>
      </c>
      <c r="AB19" s="409">
        <v>0</v>
      </c>
      <c r="AC19" s="409">
        <v>0</v>
      </c>
      <c r="AD19" s="409">
        <v>0</v>
      </c>
      <c r="AE19" s="409">
        <v>0</v>
      </c>
      <c r="AF19" s="409">
        <v>0</v>
      </c>
      <c r="AG19" s="409">
        <v>0</v>
      </c>
      <c r="AH19" s="409">
        <v>0</v>
      </c>
      <c r="AI19" s="409">
        <v>0</v>
      </c>
      <c r="AJ19" s="409">
        <v>0</v>
      </c>
      <c r="AK19" s="409">
        <v>0</v>
      </c>
      <c r="AL19" s="409">
        <v>0</v>
      </c>
      <c r="AM19" s="409" t="s">
        <v>722</v>
      </c>
      <c r="AN19" s="409" t="s">
        <v>722</v>
      </c>
      <c r="AO19" s="409">
        <v>0</v>
      </c>
      <c r="AP19" s="409" t="s">
        <v>722</v>
      </c>
      <c r="AQ19" s="409" t="s">
        <v>722</v>
      </c>
      <c r="AR19" s="409" t="s">
        <v>722</v>
      </c>
      <c r="AS19" s="409" t="s">
        <v>722</v>
      </c>
      <c r="AT19" s="409" t="s">
        <v>29</v>
      </c>
      <c r="AU19" s="409" t="s">
        <v>29</v>
      </c>
      <c r="AV19" s="409" t="s">
        <v>33</v>
      </c>
    </row>
    <row r="20" spans="1:48" x14ac:dyDescent="0.25">
      <c r="A20" s="419">
        <v>4043914052</v>
      </c>
      <c r="B20" s="420" t="s">
        <v>116</v>
      </c>
      <c r="C20" s="421" t="s">
        <v>722</v>
      </c>
      <c r="D20" s="409" t="s">
        <v>722</v>
      </c>
      <c r="E20" s="409">
        <v>0</v>
      </c>
      <c r="F20" s="409" t="s">
        <v>722</v>
      </c>
      <c r="G20" s="409">
        <v>0</v>
      </c>
      <c r="H20" s="409" t="s">
        <v>722</v>
      </c>
      <c r="I20" s="409" t="s">
        <v>722</v>
      </c>
      <c r="J20" s="409" t="s">
        <v>722</v>
      </c>
      <c r="K20" s="409" t="s">
        <v>722</v>
      </c>
      <c r="L20" s="409" t="s">
        <v>722</v>
      </c>
      <c r="M20" s="409">
        <v>0</v>
      </c>
      <c r="N20" s="409">
        <v>0</v>
      </c>
      <c r="O20" s="409">
        <v>0</v>
      </c>
      <c r="P20" s="409">
        <v>0</v>
      </c>
      <c r="Q20" s="409">
        <v>0</v>
      </c>
      <c r="R20" s="409">
        <v>0</v>
      </c>
      <c r="S20" s="409">
        <v>0</v>
      </c>
      <c r="T20" s="409">
        <v>0</v>
      </c>
      <c r="U20" s="409">
        <v>0</v>
      </c>
      <c r="V20" s="409">
        <v>0</v>
      </c>
      <c r="W20" s="409">
        <v>0</v>
      </c>
      <c r="X20" s="409">
        <v>0</v>
      </c>
      <c r="Y20" s="409">
        <v>0</v>
      </c>
      <c r="Z20" s="409" t="s">
        <v>722</v>
      </c>
      <c r="AA20" s="409">
        <v>0</v>
      </c>
      <c r="AB20" s="409">
        <v>0</v>
      </c>
      <c r="AC20" s="409">
        <v>0</v>
      </c>
      <c r="AD20" s="409">
        <v>0</v>
      </c>
      <c r="AE20" s="409">
        <v>0</v>
      </c>
      <c r="AF20" s="409">
        <v>0</v>
      </c>
      <c r="AG20" s="409">
        <v>0</v>
      </c>
      <c r="AH20" s="409">
        <v>0</v>
      </c>
      <c r="AI20" s="409">
        <v>0</v>
      </c>
      <c r="AJ20" s="409">
        <v>0</v>
      </c>
      <c r="AK20" s="409">
        <v>0</v>
      </c>
      <c r="AL20" s="409">
        <v>0</v>
      </c>
      <c r="AM20" s="409" t="s">
        <v>722</v>
      </c>
      <c r="AN20" s="409" t="s">
        <v>722</v>
      </c>
      <c r="AO20" s="409">
        <v>0</v>
      </c>
      <c r="AP20" s="409" t="s">
        <v>722</v>
      </c>
      <c r="AQ20" s="409" t="s">
        <v>722</v>
      </c>
      <c r="AR20" s="409" t="s">
        <v>722</v>
      </c>
      <c r="AS20" s="409" t="s">
        <v>722</v>
      </c>
      <c r="AT20" s="409" t="s">
        <v>29</v>
      </c>
      <c r="AU20" s="409" t="s">
        <v>29</v>
      </c>
      <c r="AV20" s="409" t="s">
        <v>29</v>
      </c>
    </row>
    <row r="21" spans="1:48" x14ac:dyDescent="0.25">
      <c r="A21" s="419">
        <v>4043214511</v>
      </c>
      <c r="B21" s="420" t="s">
        <v>116</v>
      </c>
      <c r="C21" s="421" t="s">
        <v>722</v>
      </c>
      <c r="D21" s="409" t="s">
        <v>722</v>
      </c>
      <c r="E21" s="409">
        <v>0</v>
      </c>
      <c r="F21" s="409" t="s">
        <v>722</v>
      </c>
      <c r="G21" s="409">
        <v>0</v>
      </c>
      <c r="H21" s="409" t="s">
        <v>722</v>
      </c>
      <c r="I21" s="409" t="s">
        <v>722</v>
      </c>
      <c r="J21" s="409" t="s">
        <v>722</v>
      </c>
      <c r="K21" s="409" t="s">
        <v>722</v>
      </c>
      <c r="L21" s="409" t="s">
        <v>722</v>
      </c>
      <c r="M21" s="409">
        <v>0</v>
      </c>
      <c r="N21" s="409">
        <v>0</v>
      </c>
      <c r="O21" s="409">
        <v>0</v>
      </c>
      <c r="P21" s="409">
        <v>0</v>
      </c>
      <c r="Q21" s="409">
        <v>0</v>
      </c>
      <c r="R21" s="409">
        <v>0</v>
      </c>
      <c r="S21" s="409">
        <v>0</v>
      </c>
      <c r="T21" s="409">
        <v>0</v>
      </c>
      <c r="U21" s="409">
        <v>0</v>
      </c>
      <c r="V21" s="409">
        <v>0</v>
      </c>
      <c r="W21" s="409">
        <v>0</v>
      </c>
      <c r="X21" s="409">
        <v>0</v>
      </c>
      <c r="Y21" s="409">
        <v>0</v>
      </c>
      <c r="Z21" s="409" t="s">
        <v>722</v>
      </c>
      <c r="AA21" s="409">
        <v>0</v>
      </c>
      <c r="AB21" s="409">
        <v>0</v>
      </c>
      <c r="AC21" s="409">
        <v>0</v>
      </c>
      <c r="AD21" s="409">
        <v>0</v>
      </c>
      <c r="AE21" s="409">
        <v>0</v>
      </c>
      <c r="AF21" s="409">
        <v>0</v>
      </c>
      <c r="AG21" s="409">
        <v>0</v>
      </c>
      <c r="AH21" s="409">
        <v>0</v>
      </c>
      <c r="AI21" s="409">
        <v>0</v>
      </c>
      <c r="AJ21" s="409">
        <v>0</v>
      </c>
      <c r="AK21" s="409">
        <v>0</v>
      </c>
      <c r="AL21" s="409">
        <v>0</v>
      </c>
      <c r="AM21" s="409" t="s">
        <v>722</v>
      </c>
      <c r="AN21" s="409" t="s">
        <v>722</v>
      </c>
      <c r="AO21" s="409">
        <v>0</v>
      </c>
      <c r="AP21" s="409" t="s">
        <v>722</v>
      </c>
      <c r="AQ21" s="409" t="s">
        <v>722</v>
      </c>
      <c r="AR21" s="409" t="s">
        <v>722</v>
      </c>
      <c r="AS21" s="409" t="s">
        <v>722</v>
      </c>
      <c r="AT21" s="409" t="s">
        <v>29</v>
      </c>
      <c r="AU21" s="409" t="s">
        <v>29</v>
      </c>
      <c r="AV21" s="409" t="s">
        <v>33</v>
      </c>
    </row>
    <row r="22" spans="1:48" x14ac:dyDescent="0.25">
      <c r="A22" s="419">
        <v>4042961734</v>
      </c>
      <c r="B22" s="420" t="s">
        <v>136</v>
      </c>
      <c r="C22" s="421" t="s">
        <v>722</v>
      </c>
      <c r="D22" s="409" t="s">
        <v>722</v>
      </c>
      <c r="E22" s="409" t="s">
        <v>35</v>
      </c>
      <c r="F22" s="409" t="s">
        <v>722</v>
      </c>
      <c r="G22" s="409" t="s">
        <v>39</v>
      </c>
      <c r="H22" s="409" t="s">
        <v>722</v>
      </c>
      <c r="I22" s="409" t="s">
        <v>722</v>
      </c>
      <c r="J22" s="409" t="s">
        <v>722</v>
      </c>
      <c r="K22" s="409" t="s">
        <v>722</v>
      </c>
      <c r="L22" s="409" t="s">
        <v>722</v>
      </c>
      <c r="M22" s="409" t="s">
        <v>5</v>
      </c>
      <c r="N22" s="409">
        <v>0</v>
      </c>
      <c r="O22" s="409">
        <v>0</v>
      </c>
      <c r="P22" s="409">
        <v>3</v>
      </c>
      <c r="Q22" s="409" t="s">
        <v>4</v>
      </c>
      <c r="R22" s="409">
        <v>2</v>
      </c>
      <c r="S22" s="409" t="s">
        <v>4</v>
      </c>
      <c r="T22" s="409">
        <v>1</v>
      </c>
      <c r="U22" s="409" t="s">
        <v>4</v>
      </c>
      <c r="V22" s="409">
        <v>0</v>
      </c>
      <c r="W22" s="409">
        <v>0</v>
      </c>
      <c r="X22" s="409">
        <v>0</v>
      </c>
      <c r="Y22" s="409">
        <v>0</v>
      </c>
      <c r="Z22" s="409" t="s">
        <v>722</v>
      </c>
      <c r="AA22" s="409">
        <v>2</v>
      </c>
      <c r="AB22" s="409" t="s">
        <v>3</v>
      </c>
      <c r="AC22" s="409">
        <v>3</v>
      </c>
      <c r="AD22" s="409" t="s">
        <v>4</v>
      </c>
      <c r="AE22" s="409">
        <v>0</v>
      </c>
      <c r="AF22" s="409">
        <v>0</v>
      </c>
      <c r="AG22" s="409">
        <v>0</v>
      </c>
      <c r="AH22" s="409">
        <v>0</v>
      </c>
      <c r="AI22" s="409">
        <v>1</v>
      </c>
      <c r="AJ22" s="409" t="s">
        <v>3</v>
      </c>
      <c r="AK22" s="409">
        <v>0</v>
      </c>
      <c r="AL22" s="409">
        <v>0</v>
      </c>
      <c r="AM22" s="409" t="s">
        <v>722</v>
      </c>
      <c r="AN22" s="409" t="s">
        <v>722</v>
      </c>
      <c r="AO22" s="409" t="s">
        <v>53</v>
      </c>
      <c r="AP22" s="409" t="s">
        <v>722</v>
      </c>
      <c r="AQ22" s="409" t="s">
        <v>722</v>
      </c>
      <c r="AR22" s="409" t="s">
        <v>722</v>
      </c>
      <c r="AS22" s="409" t="s">
        <v>722</v>
      </c>
      <c r="AT22" s="409" t="s">
        <v>33</v>
      </c>
      <c r="AU22" s="409" t="s">
        <v>4</v>
      </c>
      <c r="AV22" s="409" t="s">
        <v>5</v>
      </c>
    </row>
    <row r="23" spans="1:48" x14ac:dyDescent="0.25">
      <c r="A23" s="419">
        <v>4040458110</v>
      </c>
      <c r="B23" s="420" t="s">
        <v>137</v>
      </c>
      <c r="C23" s="421" t="s">
        <v>722</v>
      </c>
      <c r="D23" s="409" t="s">
        <v>722</v>
      </c>
      <c r="E23" s="409" t="s">
        <v>35</v>
      </c>
      <c r="F23" s="409" t="s">
        <v>722</v>
      </c>
      <c r="G23" s="409" t="s">
        <v>39</v>
      </c>
      <c r="H23" s="409" t="s">
        <v>722</v>
      </c>
      <c r="I23" s="409" t="s">
        <v>722</v>
      </c>
      <c r="J23" s="409" t="s">
        <v>722</v>
      </c>
      <c r="K23" s="409" t="s">
        <v>722</v>
      </c>
      <c r="L23" s="409" t="s">
        <v>722</v>
      </c>
      <c r="M23" s="409">
        <v>0</v>
      </c>
      <c r="N23" s="409">
        <v>0</v>
      </c>
      <c r="O23" s="409">
        <v>0</v>
      </c>
      <c r="P23" s="409">
        <v>0</v>
      </c>
      <c r="Q23" s="409">
        <v>0</v>
      </c>
      <c r="R23" s="409">
        <v>0</v>
      </c>
      <c r="S23" s="409">
        <v>0</v>
      </c>
      <c r="T23" s="409">
        <v>0</v>
      </c>
      <c r="U23" s="409">
        <v>0</v>
      </c>
      <c r="V23" s="409">
        <v>0</v>
      </c>
      <c r="W23" s="409">
        <v>0</v>
      </c>
      <c r="X23" s="409">
        <v>0</v>
      </c>
      <c r="Y23" s="409">
        <v>0</v>
      </c>
      <c r="Z23" s="409" t="s">
        <v>722</v>
      </c>
      <c r="AA23" s="409">
        <v>0</v>
      </c>
      <c r="AB23" s="409">
        <v>0</v>
      </c>
      <c r="AC23" s="409">
        <v>0</v>
      </c>
      <c r="AD23" s="409">
        <v>0</v>
      </c>
      <c r="AE23" s="409">
        <v>0</v>
      </c>
      <c r="AF23" s="409">
        <v>0</v>
      </c>
      <c r="AG23" s="409">
        <v>0</v>
      </c>
      <c r="AH23" s="409">
        <v>0</v>
      </c>
      <c r="AI23" s="409">
        <v>0</v>
      </c>
      <c r="AJ23" s="409">
        <v>0</v>
      </c>
      <c r="AK23" s="409">
        <v>0</v>
      </c>
      <c r="AL23" s="409">
        <v>0</v>
      </c>
      <c r="AM23" s="409" t="s">
        <v>722</v>
      </c>
      <c r="AN23" s="409" t="s">
        <v>722</v>
      </c>
      <c r="AO23" s="409">
        <v>0</v>
      </c>
      <c r="AP23" s="409" t="s">
        <v>722</v>
      </c>
      <c r="AQ23" s="409" t="s">
        <v>722</v>
      </c>
      <c r="AR23" s="409" t="s">
        <v>722</v>
      </c>
      <c r="AS23" s="409" t="s">
        <v>722</v>
      </c>
      <c r="AT23" s="409">
        <v>0</v>
      </c>
      <c r="AU23" s="409">
        <v>0</v>
      </c>
      <c r="AV23" s="409">
        <v>0</v>
      </c>
    </row>
    <row r="24" spans="1:48" x14ac:dyDescent="0.25">
      <c r="A24" s="419">
        <v>4039470833</v>
      </c>
      <c r="B24" s="420" t="s">
        <v>137</v>
      </c>
      <c r="C24" s="421" t="s">
        <v>722</v>
      </c>
      <c r="D24" s="409" t="s">
        <v>722</v>
      </c>
      <c r="E24" s="409">
        <v>0</v>
      </c>
      <c r="F24" s="409" t="s">
        <v>722</v>
      </c>
      <c r="G24" s="409">
        <v>0</v>
      </c>
      <c r="H24" s="409" t="s">
        <v>722</v>
      </c>
      <c r="I24" s="409" t="s">
        <v>722</v>
      </c>
      <c r="J24" s="409" t="s">
        <v>722</v>
      </c>
      <c r="K24" s="409" t="s">
        <v>722</v>
      </c>
      <c r="L24" s="409" t="s">
        <v>722</v>
      </c>
      <c r="M24" s="409">
        <v>0</v>
      </c>
      <c r="N24" s="409">
        <v>0</v>
      </c>
      <c r="O24" s="409">
        <v>0</v>
      </c>
      <c r="P24" s="409">
        <v>0</v>
      </c>
      <c r="Q24" s="409">
        <v>0</v>
      </c>
      <c r="R24" s="409">
        <v>0</v>
      </c>
      <c r="S24" s="409">
        <v>0</v>
      </c>
      <c r="T24" s="409">
        <v>0</v>
      </c>
      <c r="U24" s="409">
        <v>0</v>
      </c>
      <c r="V24" s="409">
        <v>0</v>
      </c>
      <c r="W24" s="409">
        <v>0</v>
      </c>
      <c r="X24" s="409">
        <v>0</v>
      </c>
      <c r="Y24" s="409">
        <v>0</v>
      </c>
      <c r="Z24" s="409" t="s">
        <v>722</v>
      </c>
      <c r="AA24" s="409">
        <v>0</v>
      </c>
      <c r="AB24" s="409">
        <v>0</v>
      </c>
      <c r="AC24" s="409">
        <v>0</v>
      </c>
      <c r="AD24" s="409">
        <v>0</v>
      </c>
      <c r="AE24" s="409">
        <v>0</v>
      </c>
      <c r="AF24" s="409">
        <v>0</v>
      </c>
      <c r="AG24" s="409">
        <v>0</v>
      </c>
      <c r="AH24" s="409">
        <v>0</v>
      </c>
      <c r="AI24" s="409">
        <v>0</v>
      </c>
      <c r="AJ24" s="409">
        <v>0</v>
      </c>
      <c r="AK24" s="409">
        <v>0</v>
      </c>
      <c r="AL24" s="409">
        <v>0</v>
      </c>
      <c r="AM24" s="409" t="s">
        <v>722</v>
      </c>
      <c r="AN24" s="409" t="s">
        <v>722</v>
      </c>
      <c r="AO24" s="409">
        <v>0</v>
      </c>
      <c r="AP24" s="409" t="s">
        <v>722</v>
      </c>
      <c r="AQ24" s="409" t="s">
        <v>722</v>
      </c>
      <c r="AR24" s="409" t="s">
        <v>722</v>
      </c>
      <c r="AS24" s="409" t="s">
        <v>722</v>
      </c>
      <c r="AT24" s="409">
        <v>0</v>
      </c>
      <c r="AU24" s="409">
        <v>0</v>
      </c>
      <c r="AV24" s="409">
        <v>0</v>
      </c>
    </row>
    <row r="25" spans="1:48" x14ac:dyDescent="0.25">
      <c r="A25" s="419">
        <v>4038925408</v>
      </c>
      <c r="B25" s="420" t="s">
        <v>135</v>
      </c>
      <c r="C25" s="421" t="s">
        <v>722</v>
      </c>
      <c r="D25" s="409" t="s">
        <v>722</v>
      </c>
      <c r="E25" s="409">
        <v>0</v>
      </c>
      <c r="F25" s="409" t="s">
        <v>722</v>
      </c>
      <c r="G25" s="409">
        <v>0</v>
      </c>
      <c r="H25" s="409" t="s">
        <v>722</v>
      </c>
      <c r="I25" s="409" t="s">
        <v>722</v>
      </c>
      <c r="J25" s="409" t="s">
        <v>722</v>
      </c>
      <c r="K25" s="409" t="s">
        <v>722</v>
      </c>
      <c r="L25" s="409" t="s">
        <v>722</v>
      </c>
      <c r="M25" s="409">
        <v>0</v>
      </c>
      <c r="N25" s="409">
        <v>0</v>
      </c>
      <c r="O25" s="409">
        <v>0</v>
      </c>
      <c r="P25" s="409">
        <v>0</v>
      </c>
      <c r="Q25" s="409">
        <v>0</v>
      </c>
      <c r="R25" s="409">
        <v>0</v>
      </c>
      <c r="S25" s="409">
        <v>0</v>
      </c>
      <c r="T25" s="409">
        <v>0</v>
      </c>
      <c r="U25" s="409">
        <v>0</v>
      </c>
      <c r="V25" s="409">
        <v>0</v>
      </c>
      <c r="W25" s="409">
        <v>0</v>
      </c>
      <c r="X25" s="409">
        <v>0</v>
      </c>
      <c r="Y25" s="409">
        <v>0</v>
      </c>
      <c r="Z25" s="409" t="s">
        <v>722</v>
      </c>
      <c r="AA25" s="409">
        <v>0</v>
      </c>
      <c r="AB25" s="409">
        <v>0</v>
      </c>
      <c r="AC25" s="409">
        <v>0</v>
      </c>
      <c r="AD25" s="409">
        <v>0</v>
      </c>
      <c r="AE25" s="409">
        <v>0</v>
      </c>
      <c r="AF25" s="409">
        <v>0</v>
      </c>
      <c r="AG25" s="409">
        <v>0</v>
      </c>
      <c r="AH25" s="409">
        <v>0</v>
      </c>
      <c r="AI25" s="409">
        <v>0</v>
      </c>
      <c r="AJ25" s="409">
        <v>0</v>
      </c>
      <c r="AK25" s="409">
        <v>0</v>
      </c>
      <c r="AL25" s="409">
        <v>0</v>
      </c>
      <c r="AM25" s="409" t="s">
        <v>722</v>
      </c>
      <c r="AN25" s="409" t="s">
        <v>722</v>
      </c>
      <c r="AO25" s="409">
        <v>0</v>
      </c>
      <c r="AP25" s="409" t="s">
        <v>722</v>
      </c>
      <c r="AQ25" s="409" t="s">
        <v>722</v>
      </c>
      <c r="AR25" s="409" t="s">
        <v>722</v>
      </c>
      <c r="AS25" s="409" t="s">
        <v>722</v>
      </c>
      <c r="AT25" s="409">
        <v>0</v>
      </c>
      <c r="AU25" s="409">
        <v>0</v>
      </c>
      <c r="AV25" s="409">
        <v>0</v>
      </c>
    </row>
    <row r="26" spans="1:48" x14ac:dyDescent="0.25">
      <c r="A26" s="419">
        <v>4038479358</v>
      </c>
      <c r="B26" s="420" t="s">
        <v>135</v>
      </c>
      <c r="C26" s="421" t="s">
        <v>722</v>
      </c>
      <c r="D26" s="409" t="s">
        <v>722</v>
      </c>
      <c r="E26" s="409">
        <v>0</v>
      </c>
      <c r="F26" s="409" t="s">
        <v>722</v>
      </c>
      <c r="G26" s="409">
        <v>0</v>
      </c>
      <c r="H26" s="409" t="s">
        <v>722</v>
      </c>
      <c r="I26" s="409" t="s">
        <v>722</v>
      </c>
      <c r="J26" s="409" t="s">
        <v>722</v>
      </c>
      <c r="K26" s="409" t="s">
        <v>722</v>
      </c>
      <c r="L26" s="409" t="s">
        <v>722</v>
      </c>
      <c r="M26" s="409">
        <v>0</v>
      </c>
      <c r="N26" s="409">
        <v>0</v>
      </c>
      <c r="O26" s="409">
        <v>0</v>
      </c>
      <c r="P26" s="409">
        <v>0</v>
      </c>
      <c r="Q26" s="409">
        <v>0</v>
      </c>
      <c r="R26" s="409">
        <v>0</v>
      </c>
      <c r="S26" s="409">
        <v>0</v>
      </c>
      <c r="T26" s="409">
        <v>0</v>
      </c>
      <c r="U26" s="409">
        <v>0</v>
      </c>
      <c r="V26" s="409">
        <v>0</v>
      </c>
      <c r="W26" s="409">
        <v>0</v>
      </c>
      <c r="X26" s="409">
        <v>0</v>
      </c>
      <c r="Y26" s="409">
        <v>0</v>
      </c>
      <c r="Z26" s="409" t="s">
        <v>722</v>
      </c>
      <c r="AA26" s="409">
        <v>0</v>
      </c>
      <c r="AB26" s="409">
        <v>0</v>
      </c>
      <c r="AC26" s="409">
        <v>0</v>
      </c>
      <c r="AD26" s="409">
        <v>0</v>
      </c>
      <c r="AE26" s="409">
        <v>0</v>
      </c>
      <c r="AF26" s="409">
        <v>0</v>
      </c>
      <c r="AG26" s="409">
        <v>0</v>
      </c>
      <c r="AH26" s="409">
        <v>0</v>
      </c>
      <c r="AI26" s="409">
        <v>0</v>
      </c>
      <c r="AJ26" s="409">
        <v>0</v>
      </c>
      <c r="AK26" s="409">
        <v>0</v>
      </c>
      <c r="AL26" s="409">
        <v>0</v>
      </c>
      <c r="AM26" s="409" t="s">
        <v>722</v>
      </c>
      <c r="AN26" s="409" t="s">
        <v>722</v>
      </c>
      <c r="AO26" s="409">
        <v>0</v>
      </c>
      <c r="AP26" s="409" t="s">
        <v>722</v>
      </c>
      <c r="AQ26" s="409" t="s">
        <v>722</v>
      </c>
      <c r="AR26" s="409" t="s">
        <v>722</v>
      </c>
      <c r="AS26" s="409" t="s">
        <v>722</v>
      </c>
      <c r="AT26" s="409">
        <v>0</v>
      </c>
      <c r="AU26" s="409">
        <v>0</v>
      </c>
      <c r="AV26" s="409">
        <v>0</v>
      </c>
    </row>
    <row r="27" spans="1:48" x14ac:dyDescent="0.25">
      <c r="A27" s="419">
        <v>4038206831</v>
      </c>
      <c r="B27" s="420" t="s">
        <v>123</v>
      </c>
      <c r="C27" s="421" t="s">
        <v>722</v>
      </c>
      <c r="D27" s="409" t="s">
        <v>722</v>
      </c>
      <c r="E27" s="409">
        <v>0</v>
      </c>
      <c r="F27" s="409" t="s">
        <v>722</v>
      </c>
      <c r="G27" s="409">
        <v>0</v>
      </c>
      <c r="H27" s="409" t="s">
        <v>722</v>
      </c>
      <c r="I27" s="409" t="s">
        <v>722</v>
      </c>
      <c r="J27" s="409" t="s">
        <v>722</v>
      </c>
      <c r="K27" s="409" t="s">
        <v>722</v>
      </c>
      <c r="L27" s="409" t="s">
        <v>722</v>
      </c>
      <c r="M27" s="409">
        <v>0</v>
      </c>
      <c r="N27" s="409">
        <v>0</v>
      </c>
      <c r="O27" s="409">
        <v>0</v>
      </c>
      <c r="P27" s="409">
        <v>0</v>
      </c>
      <c r="Q27" s="409">
        <v>0</v>
      </c>
      <c r="R27" s="409">
        <v>0</v>
      </c>
      <c r="S27" s="409">
        <v>0</v>
      </c>
      <c r="T27" s="409">
        <v>0</v>
      </c>
      <c r="U27" s="409">
        <v>0</v>
      </c>
      <c r="V27" s="409">
        <v>0</v>
      </c>
      <c r="W27" s="409">
        <v>0</v>
      </c>
      <c r="X27" s="409">
        <v>0</v>
      </c>
      <c r="Y27" s="409">
        <v>0</v>
      </c>
      <c r="Z27" s="409" t="s">
        <v>722</v>
      </c>
      <c r="AA27" s="409">
        <v>0</v>
      </c>
      <c r="AB27" s="409">
        <v>0</v>
      </c>
      <c r="AC27" s="409">
        <v>0</v>
      </c>
      <c r="AD27" s="409">
        <v>0</v>
      </c>
      <c r="AE27" s="409">
        <v>0</v>
      </c>
      <c r="AF27" s="409">
        <v>0</v>
      </c>
      <c r="AG27" s="409">
        <v>0</v>
      </c>
      <c r="AH27" s="409">
        <v>0</v>
      </c>
      <c r="AI27" s="409">
        <v>0</v>
      </c>
      <c r="AJ27" s="409">
        <v>0</v>
      </c>
      <c r="AK27" s="409">
        <v>0</v>
      </c>
      <c r="AL27" s="409">
        <v>0</v>
      </c>
      <c r="AM27" s="409" t="s">
        <v>722</v>
      </c>
      <c r="AN27" s="409" t="s">
        <v>722</v>
      </c>
      <c r="AO27" s="409">
        <v>0</v>
      </c>
      <c r="AP27" s="409" t="s">
        <v>722</v>
      </c>
      <c r="AQ27" s="409" t="s">
        <v>722</v>
      </c>
      <c r="AR27" s="409" t="s">
        <v>722</v>
      </c>
      <c r="AS27" s="409" t="s">
        <v>722</v>
      </c>
      <c r="AT27" s="409">
        <v>0</v>
      </c>
      <c r="AU27" s="409">
        <v>0</v>
      </c>
      <c r="AV27" s="409">
        <v>0</v>
      </c>
    </row>
    <row r="28" spans="1:48" x14ac:dyDescent="0.25">
      <c r="A28" s="419">
        <v>4036798053</v>
      </c>
      <c r="B28" s="420" t="s">
        <v>123</v>
      </c>
      <c r="C28" s="421" t="s">
        <v>722</v>
      </c>
      <c r="D28" s="409" t="s">
        <v>722</v>
      </c>
      <c r="E28" s="409">
        <v>0</v>
      </c>
      <c r="F28" s="409" t="s">
        <v>722</v>
      </c>
      <c r="G28" s="409">
        <v>0</v>
      </c>
      <c r="H28" s="409" t="s">
        <v>722</v>
      </c>
      <c r="I28" s="409" t="s">
        <v>722</v>
      </c>
      <c r="J28" s="409" t="s">
        <v>722</v>
      </c>
      <c r="K28" s="409" t="s">
        <v>722</v>
      </c>
      <c r="L28" s="409" t="s">
        <v>722</v>
      </c>
      <c r="M28" s="409">
        <v>0</v>
      </c>
      <c r="N28" s="409">
        <v>0</v>
      </c>
      <c r="O28" s="409">
        <v>0</v>
      </c>
      <c r="P28" s="409">
        <v>0</v>
      </c>
      <c r="Q28" s="409">
        <v>0</v>
      </c>
      <c r="R28" s="409">
        <v>0</v>
      </c>
      <c r="S28" s="409">
        <v>0</v>
      </c>
      <c r="T28" s="409">
        <v>0</v>
      </c>
      <c r="U28" s="409">
        <v>0</v>
      </c>
      <c r="V28" s="409">
        <v>0</v>
      </c>
      <c r="W28" s="409">
        <v>0</v>
      </c>
      <c r="X28" s="409">
        <v>0</v>
      </c>
      <c r="Y28" s="409">
        <v>0</v>
      </c>
      <c r="Z28" s="409" t="s">
        <v>722</v>
      </c>
      <c r="AA28" s="409">
        <v>0</v>
      </c>
      <c r="AB28" s="409">
        <v>0</v>
      </c>
      <c r="AC28" s="409">
        <v>0</v>
      </c>
      <c r="AD28" s="409">
        <v>0</v>
      </c>
      <c r="AE28" s="409">
        <v>0</v>
      </c>
      <c r="AF28" s="409">
        <v>0</v>
      </c>
      <c r="AG28" s="409">
        <v>0</v>
      </c>
      <c r="AH28" s="409">
        <v>0</v>
      </c>
      <c r="AI28" s="409">
        <v>0</v>
      </c>
      <c r="AJ28" s="409">
        <v>0</v>
      </c>
      <c r="AK28" s="409">
        <v>0</v>
      </c>
      <c r="AL28" s="409">
        <v>0</v>
      </c>
      <c r="AM28" s="409" t="s">
        <v>722</v>
      </c>
      <c r="AN28" s="409" t="s">
        <v>722</v>
      </c>
      <c r="AO28" s="409">
        <v>0</v>
      </c>
      <c r="AP28" s="409" t="s">
        <v>722</v>
      </c>
      <c r="AQ28" s="409" t="s">
        <v>722</v>
      </c>
      <c r="AR28" s="409" t="s">
        <v>722</v>
      </c>
      <c r="AS28" s="409" t="s">
        <v>722</v>
      </c>
      <c r="AT28" s="409">
        <v>0</v>
      </c>
      <c r="AU28" s="409">
        <v>0</v>
      </c>
      <c r="AV28" s="409">
        <v>0</v>
      </c>
    </row>
    <row r="29" spans="1:48" x14ac:dyDescent="0.25">
      <c r="A29" s="419">
        <v>4036606821</v>
      </c>
      <c r="B29" s="420" t="s">
        <v>123</v>
      </c>
      <c r="C29" s="421" t="s">
        <v>722</v>
      </c>
      <c r="D29" s="409" t="s">
        <v>722</v>
      </c>
      <c r="E29" s="409">
        <v>0</v>
      </c>
      <c r="F29" s="409" t="s">
        <v>722</v>
      </c>
      <c r="G29" s="409">
        <v>0</v>
      </c>
      <c r="H29" s="409" t="s">
        <v>722</v>
      </c>
      <c r="I29" s="409" t="s">
        <v>722</v>
      </c>
      <c r="J29" s="409" t="s">
        <v>722</v>
      </c>
      <c r="K29" s="409" t="s">
        <v>722</v>
      </c>
      <c r="L29" s="409" t="s">
        <v>722</v>
      </c>
      <c r="M29" s="409">
        <v>0</v>
      </c>
      <c r="N29" s="409">
        <v>0</v>
      </c>
      <c r="O29" s="409">
        <v>0</v>
      </c>
      <c r="P29" s="409">
        <v>0</v>
      </c>
      <c r="Q29" s="409">
        <v>0</v>
      </c>
      <c r="R29" s="409">
        <v>0</v>
      </c>
      <c r="S29" s="409">
        <v>0</v>
      </c>
      <c r="T29" s="409">
        <v>0</v>
      </c>
      <c r="U29" s="409">
        <v>0</v>
      </c>
      <c r="V29" s="409">
        <v>0</v>
      </c>
      <c r="W29" s="409">
        <v>0</v>
      </c>
      <c r="X29" s="409">
        <v>0</v>
      </c>
      <c r="Y29" s="409">
        <v>0</v>
      </c>
      <c r="Z29" s="409" t="s">
        <v>722</v>
      </c>
      <c r="AA29" s="409">
        <v>0</v>
      </c>
      <c r="AB29" s="409">
        <v>0</v>
      </c>
      <c r="AC29" s="409">
        <v>0</v>
      </c>
      <c r="AD29" s="409">
        <v>0</v>
      </c>
      <c r="AE29" s="409">
        <v>0</v>
      </c>
      <c r="AF29" s="409">
        <v>0</v>
      </c>
      <c r="AG29" s="409">
        <v>0</v>
      </c>
      <c r="AH29" s="409">
        <v>0</v>
      </c>
      <c r="AI29" s="409">
        <v>0</v>
      </c>
      <c r="AJ29" s="409">
        <v>0</v>
      </c>
      <c r="AK29" s="409">
        <v>0</v>
      </c>
      <c r="AL29" s="409">
        <v>0</v>
      </c>
      <c r="AM29" s="409" t="s">
        <v>722</v>
      </c>
      <c r="AN29" s="409" t="s">
        <v>722</v>
      </c>
      <c r="AO29" s="409">
        <v>0</v>
      </c>
      <c r="AP29" s="409" t="s">
        <v>722</v>
      </c>
      <c r="AQ29" s="409" t="s">
        <v>722</v>
      </c>
      <c r="AR29" s="409" t="s">
        <v>722</v>
      </c>
      <c r="AS29" s="409" t="s">
        <v>722</v>
      </c>
      <c r="AT29" s="409">
        <v>0</v>
      </c>
      <c r="AU29" s="409">
        <v>0</v>
      </c>
      <c r="AV29" s="409">
        <v>0</v>
      </c>
    </row>
    <row r="30" spans="1:48" x14ac:dyDescent="0.25">
      <c r="A30" s="419">
        <v>4036337853</v>
      </c>
      <c r="B30" s="420" t="s">
        <v>135</v>
      </c>
      <c r="C30" s="421" t="s">
        <v>722</v>
      </c>
      <c r="D30" s="409" t="s">
        <v>722</v>
      </c>
      <c r="E30" s="409">
        <v>0</v>
      </c>
      <c r="F30" s="409" t="s">
        <v>722</v>
      </c>
      <c r="G30" s="409">
        <v>0</v>
      </c>
      <c r="H30" s="409" t="s">
        <v>722</v>
      </c>
      <c r="I30" s="409" t="s">
        <v>722</v>
      </c>
      <c r="J30" s="409" t="s">
        <v>722</v>
      </c>
      <c r="K30" s="409" t="s">
        <v>722</v>
      </c>
      <c r="L30" s="409" t="s">
        <v>722</v>
      </c>
      <c r="M30" s="409">
        <v>0</v>
      </c>
      <c r="N30" s="409">
        <v>0</v>
      </c>
      <c r="O30" s="409">
        <v>0</v>
      </c>
      <c r="P30" s="409">
        <v>0</v>
      </c>
      <c r="Q30" s="409">
        <v>0</v>
      </c>
      <c r="R30" s="409">
        <v>0</v>
      </c>
      <c r="S30" s="409">
        <v>0</v>
      </c>
      <c r="T30" s="409">
        <v>0</v>
      </c>
      <c r="U30" s="409">
        <v>0</v>
      </c>
      <c r="V30" s="409">
        <v>0</v>
      </c>
      <c r="W30" s="409">
        <v>0</v>
      </c>
      <c r="X30" s="409">
        <v>0</v>
      </c>
      <c r="Y30" s="409">
        <v>0</v>
      </c>
      <c r="Z30" s="409" t="s">
        <v>722</v>
      </c>
      <c r="AA30" s="409">
        <v>0</v>
      </c>
      <c r="AB30" s="409">
        <v>0</v>
      </c>
      <c r="AC30" s="409">
        <v>0</v>
      </c>
      <c r="AD30" s="409">
        <v>0</v>
      </c>
      <c r="AE30" s="409">
        <v>0</v>
      </c>
      <c r="AF30" s="409">
        <v>0</v>
      </c>
      <c r="AG30" s="409">
        <v>0</v>
      </c>
      <c r="AH30" s="409">
        <v>0</v>
      </c>
      <c r="AI30" s="409">
        <v>0</v>
      </c>
      <c r="AJ30" s="409">
        <v>0</v>
      </c>
      <c r="AK30" s="409">
        <v>0</v>
      </c>
      <c r="AL30" s="409">
        <v>0</v>
      </c>
      <c r="AM30" s="409" t="s">
        <v>722</v>
      </c>
      <c r="AN30" s="409" t="s">
        <v>722</v>
      </c>
      <c r="AO30" s="409">
        <v>0</v>
      </c>
      <c r="AP30" s="409" t="s">
        <v>722</v>
      </c>
      <c r="AQ30" s="409" t="s">
        <v>722</v>
      </c>
      <c r="AR30" s="409" t="s">
        <v>722</v>
      </c>
      <c r="AS30" s="409" t="s">
        <v>722</v>
      </c>
      <c r="AT30" s="409" t="s">
        <v>5</v>
      </c>
      <c r="AU30" s="409" t="s">
        <v>5</v>
      </c>
      <c r="AV30" s="409" t="s">
        <v>5</v>
      </c>
    </row>
    <row r="31" spans="1:48" x14ac:dyDescent="0.25">
      <c r="A31" s="419">
        <v>4035478157</v>
      </c>
      <c r="B31" s="420" t="s">
        <v>123</v>
      </c>
      <c r="C31" s="421" t="s">
        <v>722</v>
      </c>
      <c r="D31" s="409" t="s">
        <v>722</v>
      </c>
      <c r="E31" s="409">
        <v>0</v>
      </c>
      <c r="F31" s="409" t="s">
        <v>722</v>
      </c>
      <c r="G31" s="409">
        <v>0</v>
      </c>
      <c r="H31" s="409" t="s">
        <v>722</v>
      </c>
      <c r="I31" s="409" t="s">
        <v>722</v>
      </c>
      <c r="J31" s="409" t="s">
        <v>722</v>
      </c>
      <c r="K31" s="409" t="s">
        <v>722</v>
      </c>
      <c r="L31" s="409" t="s">
        <v>722</v>
      </c>
      <c r="M31" s="409">
        <v>0</v>
      </c>
      <c r="N31" s="409">
        <v>0</v>
      </c>
      <c r="O31" s="409">
        <v>0</v>
      </c>
      <c r="P31" s="409">
        <v>0</v>
      </c>
      <c r="Q31" s="409">
        <v>0</v>
      </c>
      <c r="R31" s="409">
        <v>0</v>
      </c>
      <c r="S31" s="409">
        <v>0</v>
      </c>
      <c r="T31" s="409">
        <v>0</v>
      </c>
      <c r="U31" s="409">
        <v>0</v>
      </c>
      <c r="V31" s="409">
        <v>0</v>
      </c>
      <c r="W31" s="409">
        <v>0</v>
      </c>
      <c r="X31" s="409">
        <v>0</v>
      </c>
      <c r="Y31" s="409">
        <v>0</v>
      </c>
      <c r="Z31" s="409" t="s">
        <v>722</v>
      </c>
      <c r="AA31" s="409">
        <v>0</v>
      </c>
      <c r="AB31" s="409" t="s">
        <v>29</v>
      </c>
      <c r="AC31" s="409">
        <v>0</v>
      </c>
      <c r="AD31" s="409" t="s">
        <v>33</v>
      </c>
      <c r="AE31" s="409">
        <v>0</v>
      </c>
      <c r="AF31" s="409" t="s">
        <v>3</v>
      </c>
      <c r="AG31" s="409">
        <v>0</v>
      </c>
      <c r="AH31" s="409" t="s">
        <v>3</v>
      </c>
      <c r="AI31" s="409">
        <v>0</v>
      </c>
      <c r="AJ31" s="409" t="s">
        <v>4</v>
      </c>
      <c r="AK31" s="409">
        <v>0</v>
      </c>
      <c r="AL31" s="409">
        <v>0</v>
      </c>
      <c r="AM31" s="409" t="s">
        <v>722</v>
      </c>
      <c r="AN31" s="409" t="s">
        <v>722</v>
      </c>
      <c r="AO31" s="409" t="s">
        <v>55</v>
      </c>
      <c r="AP31" s="409" t="s">
        <v>722</v>
      </c>
      <c r="AQ31" s="409" t="s">
        <v>722</v>
      </c>
      <c r="AR31" s="409" t="s">
        <v>722</v>
      </c>
      <c r="AS31" s="409" t="s">
        <v>722</v>
      </c>
      <c r="AT31" s="409">
        <v>0</v>
      </c>
      <c r="AU31" s="409">
        <v>0</v>
      </c>
      <c r="AV31" s="409">
        <v>0</v>
      </c>
    </row>
    <row r="32" spans="1:48" x14ac:dyDescent="0.25">
      <c r="A32" s="419">
        <v>4034302851</v>
      </c>
      <c r="B32" s="420" t="s">
        <v>135</v>
      </c>
      <c r="C32" s="421" t="s">
        <v>722</v>
      </c>
      <c r="D32" s="409" t="s">
        <v>722</v>
      </c>
      <c r="E32" s="409" t="s">
        <v>34</v>
      </c>
      <c r="F32" s="409" t="s">
        <v>722</v>
      </c>
      <c r="G32" s="409" t="s">
        <v>34</v>
      </c>
      <c r="H32" s="409" t="s">
        <v>722</v>
      </c>
      <c r="I32" s="409" t="s">
        <v>722</v>
      </c>
      <c r="J32" s="409" t="s">
        <v>722</v>
      </c>
      <c r="K32" s="409" t="s">
        <v>722</v>
      </c>
      <c r="L32" s="409" t="s">
        <v>722</v>
      </c>
      <c r="M32" s="409" t="s">
        <v>5</v>
      </c>
      <c r="N32" s="409">
        <v>0</v>
      </c>
      <c r="O32" s="409">
        <v>0</v>
      </c>
      <c r="P32" s="409">
        <v>0</v>
      </c>
      <c r="Q32" s="409">
        <v>0</v>
      </c>
      <c r="R32" s="409">
        <v>0</v>
      </c>
      <c r="S32" s="409">
        <v>0</v>
      </c>
      <c r="T32" s="409">
        <v>0</v>
      </c>
      <c r="U32" s="409">
        <v>0</v>
      </c>
      <c r="V32" s="409">
        <v>0</v>
      </c>
      <c r="W32" s="409">
        <v>0</v>
      </c>
      <c r="X32" s="409">
        <v>0</v>
      </c>
      <c r="Y32" s="409">
        <v>0</v>
      </c>
      <c r="Z32" s="409" t="s">
        <v>722</v>
      </c>
      <c r="AA32" s="409">
        <v>1</v>
      </c>
      <c r="AB32" s="409" t="s">
        <v>54</v>
      </c>
      <c r="AC32" s="409">
        <v>0</v>
      </c>
      <c r="AD32" s="409">
        <v>0</v>
      </c>
      <c r="AE32" s="409">
        <v>0</v>
      </c>
      <c r="AF32" s="409">
        <v>0</v>
      </c>
      <c r="AG32" s="409">
        <v>2</v>
      </c>
      <c r="AH32" s="409" t="s">
        <v>4</v>
      </c>
      <c r="AI32" s="409">
        <v>0</v>
      </c>
      <c r="AJ32" s="409">
        <v>0</v>
      </c>
      <c r="AK32" s="409">
        <v>0</v>
      </c>
      <c r="AL32" s="409">
        <v>0</v>
      </c>
      <c r="AM32" s="409" t="s">
        <v>722</v>
      </c>
      <c r="AN32" s="409" t="s">
        <v>722</v>
      </c>
      <c r="AO32" s="409" t="s">
        <v>62</v>
      </c>
      <c r="AP32" s="409" t="s">
        <v>722</v>
      </c>
      <c r="AQ32" s="409" t="s">
        <v>722</v>
      </c>
      <c r="AR32" s="409" t="s">
        <v>722</v>
      </c>
      <c r="AS32" s="409" t="s">
        <v>722</v>
      </c>
      <c r="AT32" s="409" t="s">
        <v>5</v>
      </c>
      <c r="AU32" s="409" t="s">
        <v>5</v>
      </c>
      <c r="AV32" s="409" t="s">
        <v>5</v>
      </c>
    </row>
    <row r="33" spans="1:48" x14ac:dyDescent="0.25">
      <c r="A33" s="419">
        <v>4033781399</v>
      </c>
      <c r="B33" s="420" t="s">
        <v>123</v>
      </c>
      <c r="C33" s="421" t="s">
        <v>722</v>
      </c>
      <c r="D33" s="409" t="s">
        <v>722</v>
      </c>
      <c r="E33" s="409">
        <v>0</v>
      </c>
      <c r="F33" s="409" t="s">
        <v>722</v>
      </c>
      <c r="G33" s="409">
        <v>0</v>
      </c>
      <c r="H33" s="409" t="s">
        <v>722</v>
      </c>
      <c r="I33" s="409" t="s">
        <v>722</v>
      </c>
      <c r="J33" s="409" t="s">
        <v>722</v>
      </c>
      <c r="K33" s="409" t="s">
        <v>722</v>
      </c>
      <c r="L33" s="409" t="s">
        <v>722</v>
      </c>
      <c r="M33" s="409">
        <v>0</v>
      </c>
      <c r="N33" s="409">
        <v>0</v>
      </c>
      <c r="O33" s="409">
        <v>0</v>
      </c>
      <c r="P33" s="409">
        <v>0</v>
      </c>
      <c r="Q33" s="409">
        <v>0</v>
      </c>
      <c r="R33" s="409">
        <v>0</v>
      </c>
      <c r="S33" s="409">
        <v>0</v>
      </c>
      <c r="T33" s="409">
        <v>0</v>
      </c>
      <c r="U33" s="409">
        <v>0</v>
      </c>
      <c r="V33" s="409">
        <v>0</v>
      </c>
      <c r="W33" s="409">
        <v>0</v>
      </c>
      <c r="X33" s="409">
        <v>0</v>
      </c>
      <c r="Y33" s="409">
        <v>0</v>
      </c>
      <c r="Z33" s="409" t="s">
        <v>722</v>
      </c>
      <c r="AA33" s="409">
        <v>0</v>
      </c>
      <c r="AB33" s="409">
        <v>0</v>
      </c>
      <c r="AC33" s="409">
        <v>0</v>
      </c>
      <c r="AD33" s="409">
        <v>0</v>
      </c>
      <c r="AE33" s="409">
        <v>0</v>
      </c>
      <c r="AF33" s="409">
        <v>0</v>
      </c>
      <c r="AG33" s="409">
        <v>0</v>
      </c>
      <c r="AH33" s="409">
        <v>0</v>
      </c>
      <c r="AI33" s="409">
        <v>0</v>
      </c>
      <c r="AJ33" s="409">
        <v>0</v>
      </c>
      <c r="AK33" s="409">
        <v>0</v>
      </c>
      <c r="AL33" s="409">
        <v>0</v>
      </c>
      <c r="AM33" s="409" t="s">
        <v>722</v>
      </c>
      <c r="AN33" s="409" t="s">
        <v>722</v>
      </c>
      <c r="AO33" s="409">
        <v>0</v>
      </c>
      <c r="AP33" s="409" t="s">
        <v>722</v>
      </c>
      <c r="AQ33" s="409" t="s">
        <v>722</v>
      </c>
      <c r="AR33" s="409" t="s">
        <v>722</v>
      </c>
      <c r="AS33" s="409" t="s">
        <v>722</v>
      </c>
      <c r="AT33" s="409" t="s">
        <v>4</v>
      </c>
      <c r="AU33" s="409" t="s">
        <v>4</v>
      </c>
      <c r="AV33" s="409" t="s">
        <v>4</v>
      </c>
    </row>
    <row r="34" spans="1:48" x14ac:dyDescent="0.25">
      <c r="A34" s="419">
        <v>4032889341</v>
      </c>
      <c r="B34" s="420" t="s">
        <v>138</v>
      </c>
      <c r="C34" s="421" t="s">
        <v>722</v>
      </c>
      <c r="D34" s="409" t="s">
        <v>722</v>
      </c>
      <c r="E34" s="409" t="s">
        <v>35</v>
      </c>
      <c r="F34" s="409" t="s">
        <v>722</v>
      </c>
      <c r="G34" s="409" t="s">
        <v>35</v>
      </c>
      <c r="H34" s="409" t="s">
        <v>722</v>
      </c>
      <c r="I34" s="409" t="s">
        <v>722</v>
      </c>
      <c r="J34" s="409" t="s">
        <v>722</v>
      </c>
      <c r="K34" s="409" t="s">
        <v>722</v>
      </c>
      <c r="L34" s="409" t="s">
        <v>722</v>
      </c>
      <c r="M34" s="409" t="s">
        <v>5</v>
      </c>
      <c r="N34" s="409">
        <v>1</v>
      </c>
      <c r="O34" s="409" t="s">
        <v>5</v>
      </c>
      <c r="P34" s="409">
        <v>2</v>
      </c>
      <c r="Q34" s="409" t="s">
        <v>39</v>
      </c>
      <c r="R34" s="409">
        <v>3</v>
      </c>
      <c r="S34" s="409" t="s">
        <v>39</v>
      </c>
      <c r="T34" s="409">
        <v>0</v>
      </c>
      <c r="U34" s="409">
        <v>0</v>
      </c>
      <c r="V34" s="409">
        <v>0</v>
      </c>
      <c r="W34" s="409">
        <v>0</v>
      </c>
      <c r="X34" s="409">
        <v>0</v>
      </c>
      <c r="Y34" s="409">
        <v>0</v>
      </c>
      <c r="Z34" s="409" t="s">
        <v>722</v>
      </c>
      <c r="AA34" s="409">
        <v>1</v>
      </c>
      <c r="AB34" s="409" t="s">
        <v>54</v>
      </c>
      <c r="AC34" s="409">
        <v>3</v>
      </c>
      <c r="AD34" s="409" t="s">
        <v>39</v>
      </c>
      <c r="AE34" s="409">
        <v>0</v>
      </c>
      <c r="AF34" s="409">
        <v>0</v>
      </c>
      <c r="AG34" s="409">
        <v>0</v>
      </c>
      <c r="AH34" s="409">
        <v>0</v>
      </c>
      <c r="AI34" s="409">
        <v>0</v>
      </c>
      <c r="AJ34" s="409">
        <v>0</v>
      </c>
      <c r="AK34" s="409">
        <v>2</v>
      </c>
      <c r="AL34" s="409" t="s">
        <v>39</v>
      </c>
      <c r="AM34" s="409" t="s">
        <v>722</v>
      </c>
      <c r="AN34" s="409" t="s">
        <v>722</v>
      </c>
      <c r="AO34" s="409" t="s">
        <v>62</v>
      </c>
      <c r="AP34" s="409" t="s">
        <v>722</v>
      </c>
      <c r="AQ34" s="409" t="s">
        <v>722</v>
      </c>
      <c r="AR34" s="409" t="s">
        <v>722</v>
      </c>
      <c r="AS34" s="409" t="s">
        <v>722</v>
      </c>
      <c r="AT34" s="409" t="s">
        <v>39</v>
      </c>
      <c r="AU34" s="409" t="s">
        <v>39</v>
      </c>
      <c r="AV34" s="409" t="s">
        <v>39</v>
      </c>
    </row>
    <row r="35" spans="1:48" x14ac:dyDescent="0.25">
      <c r="A35" s="419">
        <v>4032199906</v>
      </c>
      <c r="B35" s="420" t="s">
        <v>137</v>
      </c>
      <c r="C35" s="421" t="s">
        <v>722</v>
      </c>
      <c r="D35" s="409" t="s">
        <v>722</v>
      </c>
      <c r="E35" s="409">
        <v>0</v>
      </c>
      <c r="F35" s="409" t="s">
        <v>722</v>
      </c>
      <c r="G35" s="409">
        <v>0</v>
      </c>
      <c r="H35" s="409" t="s">
        <v>722</v>
      </c>
      <c r="I35" s="409" t="s">
        <v>722</v>
      </c>
      <c r="J35" s="409" t="s">
        <v>722</v>
      </c>
      <c r="K35" s="409" t="s">
        <v>722</v>
      </c>
      <c r="L35" s="409" t="s">
        <v>722</v>
      </c>
      <c r="M35" s="409">
        <v>0</v>
      </c>
      <c r="N35" s="409">
        <v>0</v>
      </c>
      <c r="O35" s="409">
        <v>0</v>
      </c>
      <c r="P35" s="409">
        <v>0</v>
      </c>
      <c r="Q35" s="409">
        <v>0</v>
      </c>
      <c r="R35" s="409">
        <v>0</v>
      </c>
      <c r="S35" s="409">
        <v>0</v>
      </c>
      <c r="T35" s="409">
        <v>0</v>
      </c>
      <c r="U35" s="409">
        <v>0</v>
      </c>
      <c r="V35" s="409">
        <v>0</v>
      </c>
      <c r="W35" s="409">
        <v>0</v>
      </c>
      <c r="X35" s="409">
        <v>0</v>
      </c>
      <c r="Y35" s="409">
        <v>0</v>
      </c>
      <c r="Z35" s="409" t="s">
        <v>722</v>
      </c>
      <c r="AA35" s="409">
        <v>0</v>
      </c>
      <c r="AB35" s="409">
        <v>0</v>
      </c>
      <c r="AC35" s="409">
        <v>0</v>
      </c>
      <c r="AD35" s="409">
        <v>0</v>
      </c>
      <c r="AE35" s="409">
        <v>0</v>
      </c>
      <c r="AF35" s="409">
        <v>0</v>
      </c>
      <c r="AG35" s="409">
        <v>0</v>
      </c>
      <c r="AH35" s="409">
        <v>0</v>
      </c>
      <c r="AI35" s="409">
        <v>0</v>
      </c>
      <c r="AJ35" s="409">
        <v>0</v>
      </c>
      <c r="AK35" s="409">
        <v>0</v>
      </c>
      <c r="AL35" s="409">
        <v>0</v>
      </c>
      <c r="AM35" s="409" t="s">
        <v>722</v>
      </c>
      <c r="AN35" s="409" t="s">
        <v>722</v>
      </c>
      <c r="AO35" s="409">
        <v>0</v>
      </c>
      <c r="AP35" s="409" t="s">
        <v>722</v>
      </c>
      <c r="AQ35" s="409" t="s">
        <v>722</v>
      </c>
      <c r="AR35" s="409" t="s">
        <v>722</v>
      </c>
      <c r="AS35" s="409" t="s">
        <v>722</v>
      </c>
      <c r="AT35" s="409">
        <v>0</v>
      </c>
      <c r="AU35" s="409">
        <v>0</v>
      </c>
      <c r="AV35" s="409">
        <v>0</v>
      </c>
    </row>
    <row r="36" spans="1:48" x14ac:dyDescent="0.25">
      <c r="A36" s="419">
        <v>4031543800</v>
      </c>
      <c r="B36" s="420" t="s">
        <v>135</v>
      </c>
      <c r="C36" s="421" t="s">
        <v>722</v>
      </c>
      <c r="D36" s="409" t="s">
        <v>722</v>
      </c>
      <c r="E36" s="409">
        <v>0</v>
      </c>
      <c r="F36" s="409" t="s">
        <v>722</v>
      </c>
      <c r="G36" s="409">
        <v>0</v>
      </c>
      <c r="H36" s="409" t="s">
        <v>722</v>
      </c>
      <c r="I36" s="409" t="s">
        <v>722</v>
      </c>
      <c r="J36" s="409" t="s">
        <v>722</v>
      </c>
      <c r="K36" s="409" t="s">
        <v>722</v>
      </c>
      <c r="L36" s="409" t="s">
        <v>722</v>
      </c>
      <c r="M36" s="409">
        <v>0</v>
      </c>
      <c r="N36" s="409">
        <v>0</v>
      </c>
      <c r="O36" s="409">
        <v>0</v>
      </c>
      <c r="P36" s="409">
        <v>0</v>
      </c>
      <c r="Q36" s="409">
        <v>0</v>
      </c>
      <c r="R36" s="409">
        <v>0</v>
      </c>
      <c r="S36" s="409">
        <v>0</v>
      </c>
      <c r="T36" s="409">
        <v>0</v>
      </c>
      <c r="U36" s="409">
        <v>0</v>
      </c>
      <c r="V36" s="409">
        <v>0</v>
      </c>
      <c r="W36" s="409">
        <v>0</v>
      </c>
      <c r="X36" s="409">
        <v>0</v>
      </c>
      <c r="Y36" s="409">
        <v>0</v>
      </c>
      <c r="Z36" s="409" t="s">
        <v>722</v>
      </c>
      <c r="AA36" s="409">
        <v>0</v>
      </c>
      <c r="AB36" s="409">
        <v>0</v>
      </c>
      <c r="AC36" s="409">
        <v>0</v>
      </c>
      <c r="AD36" s="409">
        <v>0</v>
      </c>
      <c r="AE36" s="409">
        <v>0</v>
      </c>
      <c r="AF36" s="409">
        <v>0</v>
      </c>
      <c r="AG36" s="409">
        <v>0</v>
      </c>
      <c r="AH36" s="409">
        <v>0</v>
      </c>
      <c r="AI36" s="409">
        <v>0</v>
      </c>
      <c r="AJ36" s="409">
        <v>0</v>
      </c>
      <c r="AK36" s="409">
        <v>0</v>
      </c>
      <c r="AL36" s="409">
        <v>0</v>
      </c>
      <c r="AM36" s="409" t="s">
        <v>722</v>
      </c>
      <c r="AN36" s="409" t="s">
        <v>722</v>
      </c>
      <c r="AO36" s="409">
        <v>0</v>
      </c>
      <c r="AP36" s="409" t="s">
        <v>722</v>
      </c>
      <c r="AQ36" s="409" t="s">
        <v>722</v>
      </c>
      <c r="AR36" s="409" t="s">
        <v>722</v>
      </c>
      <c r="AS36" s="409" t="s">
        <v>722</v>
      </c>
      <c r="AT36" s="409" t="s">
        <v>5</v>
      </c>
      <c r="AU36" s="409" t="s">
        <v>5</v>
      </c>
      <c r="AV36" s="409" t="s">
        <v>5</v>
      </c>
    </row>
    <row r="37" spans="1:48" x14ac:dyDescent="0.25">
      <c r="A37" s="419">
        <v>4031407399</v>
      </c>
      <c r="B37" s="420" t="s">
        <v>137</v>
      </c>
      <c r="C37" s="421" t="s">
        <v>722</v>
      </c>
      <c r="D37" s="409" t="s">
        <v>722</v>
      </c>
      <c r="E37" s="409">
        <v>0</v>
      </c>
      <c r="F37" s="409" t="s">
        <v>722</v>
      </c>
      <c r="G37" s="409">
        <v>0</v>
      </c>
      <c r="H37" s="409" t="s">
        <v>722</v>
      </c>
      <c r="I37" s="409" t="s">
        <v>722</v>
      </c>
      <c r="J37" s="409" t="s">
        <v>722</v>
      </c>
      <c r="K37" s="409" t="s">
        <v>722</v>
      </c>
      <c r="L37" s="409" t="s">
        <v>722</v>
      </c>
      <c r="M37" s="409">
        <v>0</v>
      </c>
      <c r="N37" s="409">
        <v>0</v>
      </c>
      <c r="O37" s="409">
        <v>0</v>
      </c>
      <c r="P37" s="409">
        <v>0</v>
      </c>
      <c r="Q37" s="409">
        <v>0</v>
      </c>
      <c r="R37" s="409">
        <v>0</v>
      </c>
      <c r="S37" s="409">
        <v>0</v>
      </c>
      <c r="T37" s="409">
        <v>0</v>
      </c>
      <c r="U37" s="409">
        <v>0</v>
      </c>
      <c r="V37" s="409">
        <v>0</v>
      </c>
      <c r="W37" s="409">
        <v>0</v>
      </c>
      <c r="X37" s="409">
        <v>0</v>
      </c>
      <c r="Y37" s="409">
        <v>0</v>
      </c>
      <c r="Z37" s="409" t="s">
        <v>722</v>
      </c>
      <c r="AA37" s="409">
        <v>0</v>
      </c>
      <c r="AB37" s="409">
        <v>0</v>
      </c>
      <c r="AC37" s="409">
        <v>0</v>
      </c>
      <c r="AD37" s="409">
        <v>0</v>
      </c>
      <c r="AE37" s="409">
        <v>0</v>
      </c>
      <c r="AF37" s="409">
        <v>0</v>
      </c>
      <c r="AG37" s="409">
        <v>0</v>
      </c>
      <c r="AH37" s="409">
        <v>0</v>
      </c>
      <c r="AI37" s="409">
        <v>0</v>
      </c>
      <c r="AJ37" s="409">
        <v>0</v>
      </c>
      <c r="AK37" s="409">
        <v>0</v>
      </c>
      <c r="AL37" s="409">
        <v>0</v>
      </c>
      <c r="AM37" s="409" t="s">
        <v>722</v>
      </c>
      <c r="AN37" s="409" t="s">
        <v>722</v>
      </c>
      <c r="AO37" s="409">
        <v>0</v>
      </c>
      <c r="AP37" s="409" t="s">
        <v>722</v>
      </c>
      <c r="AQ37" s="409" t="s">
        <v>722</v>
      </c>
      <c r="AR37" s="409" t="s">
        <v>722</v>
      </c>
      <c r="AS37" s="409" t="s">
        <v>722</v>
      </c>
      <c r="AT37" s="409">
        <v>0</v>
      </c>
      <c r="AU37" s="409">
        <v>0</v>
      </c>
      <c r="AV37" s="409">
        <v>0</v>
      </c>
    </row>
    <row r="38" spans="1:48" x14ac:dyDescent="0.25">
      <c r="A38" s="419">
        <v>4031354786</v>
      </c>
      <c r="B38" s="420" t="s">
        <v>137</v>
      </c>
      <c r="C38" s="421" t="s">
        <v>722</v>
      </c>
      <c r="D38" s="409" t="s">
        <v>722</v>
      </c>
      <c r="E38" s="409">
        <v>0</v>
      </c>
      <c r="F38" s="409" t="s">
        <v>722</v>
      </c>
      <c r="G38" s="409">
        <v>0</v>
      </c>
      <c r="H38" s="409" t="s">
        <v>722</v>
      </c>
      <c r="I38" s="409" t="s">
        <v>722</v>
      </c>
      <c r="J38" s="409" t="s">
        <v>722</v>
      </c>
      <c r="K38" s="409" t="s">
        <v>722</v>
      </c>
      <c r="L38" s="409" t="s">
        <v>722</v>
      </c>
      <c r="M38" s="409">
        <v>0</v>
      </c>
      <c r="N38" s="409">
        <v>0</v>
      </c>
      <c r="O38" s="409" t="s">
        <v>29</v>
      </c>
      <c r="P38" s="409">
        <v>0</v>
      </c>
      <c r="Q38" s="409" t="s">
        <v>4</v>
      </c>
      <c r="R38" s="409">
        <v>0</v>
      </c>
      <c r="S38" s="409" t="s">
        <v>4</v>
      </c>
      <c r="T38" s="409">
        <v>0</v>
      </c>
      <c r="U38" s="409" t="s">
        <v>4</v>
      </c>
      <c r="V38" s="409">
        <v>0</v>
      </c>
      <c r="W38" s="409">
        <v>0</v>
      </c>
      <c r="X38" s="409">
        <v>0</v>
      </c>
      <c r="Y38" s="409">
        <v>0</v>
      </c>
      <c r="Z38" s="409" t="s">
        <v>722</v>
      </c>
      <c r="AA38" s="409">
        <v>0</v>
      </c>
      <c r="AB38" s="409" t="s">
        <v>3</v>
      </c>
      <c r="AC38" s="409">
        <v>0</v>
      </c>
      <c r="AD38" s="409" t="s">
        <v>4</v>
      </c>
      <c r="AE38" s="409">
        <v>0</v>
      </c>
      <c r="AF38" s="409" t="s">
        <v>39</v>
      </c>
      <c r="AG38" s="409">
        <v>0</v>
      </c>
      <c r="AH38" s="409" t="s">
        <v>4</v>
      </c>
      <c r="AI38" s="409">
        <v>0</v>
      </c>
      <c r="AJ38" s="409" t="s">
        <v>29</v>
      </c>
      <c r="AK38" s="409">
        <v>0</v>
      </c>
      <c r="AL38" s="409">
        <v>0</v>
      </c>
      <c r="AM38" s="409" t="s">
        <v>722</v>
      </c>
      <c r="AN38" s="409" t="s">
        <v>722</v>
      </c>
      <c r="AO38" s="409" t="s">
        <v>55</v>
      </c>
      <c r="AP38" s="409" t="s">
        <v>722</v>
      </c>
      <c r="AQ38" s="409" t="s">
        <v>722</v>
      </c>
      <c r="AR38" s="409" t="s">
        <v>722</v>
      </c>
      <c r="AS38" s="409" t="s">
        <v>722</v>
      </c>
      <c r="AT38" s="409">
        <v>0</v>
      </c>
      <c r="AU38" s="409">
        <v>0</v>
      </c>
      <c r="AV38" s="409">
        <v>0</v>
      </c>
    </row>
    <row r="39" spans="1:48" x14ac:dyDescent="0.25">
      <c r="A39" s="419">
        <v>4031265970</v>
      </c>
      <c r="B39" s="420" t="s">
        <v>137</v>
      </c>
      <c r="C39" s="421" t="s">
        <v>722</v>
      </c>
      <c r="D39" s="409" t="s">
        <v>722</v>
      </c>
      <c r="E39" s="409">
        <v>0</v>
      </c>
      <c r="F39" s="409" t="s">
        <v>722</v>
      </c>
      <c r="G39" s="409">
        <v>0</v>
      </c>
      <c r="H39" s="409" t="s">
        <v>722</v>
      </c>
      <c r="I39" s="409" t="s">
        <v>722</v>
      </c>
      <c r="J39" s="409" t="s">
        <v>722</v>
      </c>
      <c r="K39" s="409" t="s">
        <v>722</v>
      </c>
      <c r="L39" s="409" t="s">
        <v>722</v>
      </c>
      <c r="M39" s="409">
        <v>0</v>
      </c>
      <c r="N39" s="409">
        <v>0</v>
      </c>
      <c r="O39" s="409">
        <v>0</v>
      </c>
      <c r="P39" s="409">
        <v>0</v>
      </c>
      <c r="Q39" s="409">
        <v>0</v>
      </c>
      <c r="R39" s="409">
        <v>0</v>
      </c>
      <c r="S39" s="409">
        <v>0</v>
      </c>
      <c r="T39" s="409">
        <v>0</v>
      </c>
      <c r="U39" s="409">
        <v>0</v>
      </c>
      <c r="V39" s="409">
        <v>0</v>
      </c>
      <c r="W39" s="409">
        <v>0</v>
      </c>
      <c r="X39" s="409">
        <v>0</v>
      </c>
      <c r="Y39" s="409">
        <v>0</v>
      </c>
      <c r="Z39" s="409" t="s">
        <v>722</v>
      </c>
      <c r="AA39" s="409">
        <v>0</v>
      </c>
      <c r="AB39" s="409">
        <v>0</v>
      </c>
      <c r="AC39" s="409">
        <v>0</v>
      </c>
      <c r="AD39" s="409">
        <v>0</v>
      </c>
      <c r="AE39" s="409">
        <v>0</v>
      </c>
      <c r="AF39" s="409">
        <v>0</v>
      </c>
      <c r="AG39" s="409">
        <v>0</v>
      </c>
      <c r="AH39" s="409">
        <v>0</v>
      </c>
      <c r="AI39" s="409">
        <v>0</v>
      </c>
      <c r="AJ39" s="409">
        <v>0</v>
      </c>
      <c r="AK39" s="409">
        <v>0</v>
      </c>
      <c r="AL39" s="409">
        <v>0</v>
      </c>
      <c r="AM39" s="409" t="s">
        <v>722</v>
      </c>
      <c r="AN39" s="409" t="s">
        <v>722</v>
      </c>
      <c r="AO39" s="409">
        <v>0</v>
      </c>
      <c r="AP39" s="409" t="s">
        <v>722</v>
      </c>
      <c r="AQ39" s="409" t="s">
        <v>722</v>
      </c>
      <c r="AR39" s="409" t="s">
        <v>722</v>
      </c>
      <c r="AS39" s="409" t="s">
        <v>722</v>
      </c>
      <c r="AT39" s="409">
        <v>0</v>
      </c>
      <c r="AU39" s="409">
        <v>0</v>
      </c>
      <c r="AV39" s="409">
        <v>0</v>
      </c>
    </row>
    <row r="40" spans="1:48" x14ac:dyDescent="0.25">
      <c r="A40" s="419">
        <v>4027301554</v>
      </c>
      <c r="B40" s="420" t="s">
        <v>116</v>
      </c>
      <c r="C40" s="421" t="s">
        <v>722</v>
      </c>
      <c r="D40" s="409" t="s">
        <v>722</v>
      </c>
      <c r="E40" s="409">
        <v>0</v>
      </c>
      <c r="F40" s="409" t="s">
        <v>722</v>
      </c>
      <c r="G40" s="409">
        <v>0</v>
      </c>
      <c r="H40" s="409" t="s">
        <v>722</v>
      </c>
      <c r="I40" s="409" t="s">
        <v>722</v>
      </c>
      <c r="J40" s="409" t="s">
        <v>722</v>
      </c>
      <c r="K40" s="409" t="s">
        <v>722</v>
      </c>
      <c r="L40" s="409" t="s">
        <v>722</v>
      </c>
      <c r="M40" s="409">
        <v>0</v>
      </c>
      <c r="N40" s="409">
        <v>0</v>
      </c>
      <c r="O40" s="409">
        <v>0</v>
      </c>
      <c r="P40" s="409">
        <v>0</v>
      </c>
      <c r="Q40" s="409">
        <v>0</v>
      </c>
      <c r="R40" s="409">
        <v>0</v>
      </c>
      <c r="S40" s="409">
        <v>0</v>
      </c>
      <c r="T40" s="409">
        <v>0</v>
      </c>
      <c r="U40" s="409">
        <v>0</v>
      </c>
      <c r="V40" s="409">
        <v>0</v>
      </c>
      <c r="W40" s="409">
        <v>0</v>
      </c>
      <c r="X40" s="409">
        <v>0</v>
      </c>
      <c r="Y40" s="409">
        <v>0</v>
      </c>
      <c r="Z40" s="409" t="s">
        <v>722</v>
      </c>
      <c r="AA40" s="409">
        <v>0</v>
      </c>
      <c r="AB40" s="409">
        <v>0</v>
      </c>
      <c r="AC40" s="409">
        <v>0</v>
      </c>
      <c r="AD40" s="409">
        <v>0</v>
      </c>
      <c r="AE40" s="409">
        <v>0</v>
      </c>
      <c r="AF40" s="409">
        <v>0</v>
      </c>
      <c r="AG40" s="409">
        <v>0</v>
      </c>
      <c r="AH40" s="409">
        <v>0</v>
      </c>
      <c r="AI40" s="409">
        <v>0</v>
      </c>
      <c r="AJ40" s="409">
        <v>0</v>
      </c>
      <c r="AK40" s="409">
        <v>0</v>
      </c>
      <c r="AL40" s="409">
        <v>0</v>
      </c>
      <c r="AM40" s="409" t="s">
        <v>722</v>
      </c>
      <c r="AN40" s="409" t="s">
        <v>722</v>
      </c>
      <c r="AO40" s="409">
        <v>0</v>
      </c>
      <c r="AP40" s="409" t="s">
        <v>722</v>
      </c>
      <c r="AQ40" s="409" t="s">
        <v>722</v>
      </c>
      <c r="AR40" s="409" t="s">
        <v>722</v>
      </c>
      <c r="AS40" s="409" t="s">
        <v>722</v>
      </c>
      <c r="AT40" s="409">
        <v>0</v>
      </c>
      <c r="AU40" s="409">
        <v>0</v>
      </c>
      <c r="AV40" s="409">
        <v>0</v>
      </c>
    </row>
    <row r="41" spans="1:48" x14ac:dyDescent="0.25">
      <c r="A41" s="419">
        <v>4026811200</v>
      </c>
      <c r="B41" s="420" t="s">
        <v>137</v>
      </c>
      <c r="C41" s="421" t="s">
        <v>722</v>
      </c>
      <c r="D41" s="409" t="s">
        <v>722</v>
      </c>
      <c r="E41" s="409">
        <v>0</v>
      </c>
      <c r="F41" s="409" t="s">
        <v>722</v>
      </c>
      <c r="G41" s="409">
        <v>0</v>
      </c>
      <c r="H41" s="409" t="s">
        <v>722</v>
      </c>
      <c r="I41" s="409" t="s">
        <v>722</v>
      </c>
      <c r="J41" s="409" t="s">
        <v>722</v>
      </c>
      <c r="K41" s="409" t="s">
        <v>722</v>
      </c>
      <c r="L41" s="409" t="s">
        <v>722</v>
      </c>
      <c r="M41" s="409">
        <v>0</v>
      </c>
      <c r="N41" s="409">
        <v>0</v>
      </c>
      <c r="O41" s="409">
        <v>0</v>
      </c>
      <c r="P41" s="409">
        <v>0</v>
      </c>
      <c r="Q41" s="409">
        <v>0</v>
      </c>
      <c r="R41" s="409">
        <v>0</v>
      </c>
      <c r="S41" s="409">
        <v>0</v>
      </c>
      <c r="T41" s="409">
        <v>0</v>
      </c>
      <c r="U41" s="409">
        <v>0</v>
      </c>
      <c r="V41" s="409">
        <v>0</v>
      </c>
      <c r="W41" s="409">
        <v>0</v>
      </c>
      <c r="X41" s="409">
        <v>0</v>
      </c>
      <c r="Y41" s="409">
        <v>0</v>
      </c>
      <c r="Z41" s="409" t="s">
        <v>722</v>
      </c>
      <c r="AA41" s="409">
        <v>0</v>
      </c>
      <c r="AB41" s="409">
        <v>0</v>
      </c>
      <c r="AC41" s="409">
        <v>0</v>
      </c>
      <c r="AD41" s="409">
        <v>0</v>
      </c>
      <c r="AE41" s="409">
        <v>0</v>
      </c>
      <c r="AF41" s="409">
        <v>0</v>
      </c>
      <c r="AG41" s="409">
        <v>0</v>
      </c>
      <c r="AH41" s="409">
        <v>0</v>
      </c>
      <c r="AI41" s="409">
        <v>0</v>
      </c>
      <c r="AJ41" s="409">
        <v>0</v>
      </c>
      <c r="AK41" s="409">
        <v>0</v>
      </c>
      <c r="AL41" s="409">
        <v>0</v>
      </c>
      <c r="AM41" s="409" t="s">
        <v>722</v>
      </c>
      <c r="AN41" s="409" t="s">
        <v>722</v>
      </c>
      <c r="AO41" s="409">
        <v>0</v>
      </c>
      <c r="AP41" s="409" t="s">
        <v>722</v>
      </c>
      <c r="AQ41" s="409" t="s">
        <v>722</v>
      </c>
      <c r="AR41" s="409" t="s">
        <v>722</v>
      </c>
      <c r="AS41" s="409" t="s">
        <v>722</v>
      </c>
      <c r="AT41" s="409">
        <v>0</v>
      </c>
      <c r="AU41" s="409">
        <v>0</v>
      </c>
      <c r="AV41" s="409">
        <v>0</v>
      </c>
    </row>
    <row r="42" spans="1:48" x14ac:dyDescent="0.25">
      <c r="A42" s="419">
        <v>4026775834</v>
      </c>
      <c r="B42" s="420" t="s">
        <v>136</v>
      </c>
      <c r="C42" s="421" t="s">
        <v>722</v>
      </c>
      <c r="D42" s="409" t="s">
        <v>722</v>
      </c>
      <c r="E42" s="409">
        <v>0</v>
      </c>
      <c r="F42" s="409" t="s">
        <v>722</v>
      </c>
      <c r="G42" s="409">
        <v>0</v>
      </c>
      <c r="H42" s="409" t="s">
        <v>722</v>
      </c>
      <c r="I42" s="409" t="s">
        <v>722</v>
      </c>
      <c r="J42" s="409" t="s">
        <v>722</v>
      </c>
      <c r="K42" s="409" t="s">
        <v>722</v>
      </c>
      <c r="L42" s="409" t="s">
        <v>722</v>
      </c>
      <c r="M42" s="409">
        <v>0</v>
      </c>
      <c r="N42" s="409">
        <v>0</v>
      </c>
      <c r="O42" s="409">
        <v>0</v>
      </c>
      <c r="P42" s="409">
        <v>0</v>
      </c>
      <c r="Q42" s="409">
        <v>0</v>
      </c>
      <c r="R42" s="409">
        <v>0</v>
      </c>
      <c r="S42" s="409">
        <v>0</v>
      </c>
      <c r="T42" s="409">
        <v>0</v>
      </c>
      <c r="U42" s="409">
        <v>0</v>
      </c>
      <c r="V42" s="409">
        <v>0</v>
      </c>
      <c r="W42" s="409">
        <v>0</v>
      </c>
      <c r="X42" s="409">
        <v>0</v>
      </c>
      <c r="Y42" s="409">
        <v>0</v>
      </c>
      <c r="Z42" s="409" t="s">
        <v>722</v>
      </c>
      <c r="AA42" s="409">
        <v>0</v>
      </c>
      <c r="AB42" s="409">
        <v>0</v>
      </c>
      <c r="AC42" s="409">
        <v>0</v>
      </c>
      <c r="AD42" s="409">
        <v>0</v>
      </c>
      <c r="AE42" s="409">
        <v>0</v>
      </c>
      <c r="AF42" s="409">
        <v>0</v>
      </c>
      <c r="AG42" s="409">
        <v>0</v>
      </c>
      <c r="AH42" s="409">
        <v>0</v>
      </c>
      <c r="AI42" s="409">
        <v>0</v>
      </c>
      <c r="AJ42" s="409">
        <v>0</v>
      </c>
      <c r="AK42" s="409">
        <v>0</v>
      </c>
      <c r="AL42" s="409">
        <v>0</v>
      </c>
      <c r="AM42" s="409" t="s">
        <v>722</v>
      </c>
      <c r="AN42" s="409" t="s">
        <v>722</v>
      </c>
      <c r="AO42" s="409">
        <v>0</v>
      </c>
      <c r="AP42" s="409" t="s">
        <v>722</v>
      </c>
      <c r="AQ42" s="409" t="s">
        <v>722</v>
      </c>
      <c r="AR42" s="409" t="s">
        <v>722</v>
      </c>
      <c r="AS42" s="409" t="s">
        <v>722</v>
      </c>
      <c r="AT42" s="409">
        <v>0</v>
      </c>
      <c r="AU42" s="409">
        <v>0</v>
      </c>
      <c r="AV42" s="409">
        <v>0</v>
      </c>
    </row>
    <row r="43" spans="1:48" x14ac:dyDescent="0.25">
      <c r="A43" s="419">
        <v>4025861239</v>
      </c>
      <c r="B43" s="420" t="s">
        <v>135</v>
      </c>
      <c r="C43" s="421" t="s">
        <v>722</v>
      </c>
      <c r="D43" s="409" t="s">
        <v>722</v>
      </c>
      <c r="E43" s="409">
        <v>0</v>
      </c>
      <c r="F43" s="409" t="s">
        <v>722</v>
      </c>
      <c r="G43" s="409">
        <v>0</v>
      </c>
      <c r="H43" s="409" t="s">
        <v>722</v>
      </c>
      <c r="I43" s="409" t="s">
        <v>722</v>
      </c>
      <c r="J43" s="409" t="s">
        <v>722</v>
      </c>
      <c r="K43" s="409" t="s">
        <v>722</v>
      </c>
      <c r="L43" s="409" t="s">
        <v>722</v>
      </c>
      <c r="M43" s="409">
        <v>0</v>
      </c>
      <c r="N43" s="409">
        <v>0</v>
      </c>
      <c r="O43" s="409">
        <v>0</v>
      </c>
      <c r="P43" s="409">
        <v>0</v>
      </c>
      <c r="Q43" s="409">
        <v>0</v>
      </c>
      <c r="R43" s="409">
        <v>0</v>
      </c>
      <c r="S43" s="409">
        <v>0</v>
      </c>
      <c r="T43" s="409">
        <v>0</v>
      </c>
      <c r="U43" s="409">
        <v>0</v>
      </c>
      <c r="V43" s="409">
        <v>0</v>
      </c>
      <c r="W43" s="409">
        <v>0</v>
      </c>
      <c r="X43" s="409">
        <v>0</v>
      </c>
      <c r="Y43" s="409">
        <v>0</v>
      </c>
      <c r="Z43" s="409" t="s">
        <v>722</v>
      </c>
      <c r="AA43" s="409">
        <v>0</v>
      </c>
      <c r="AB43" s="409">
        <v>0</v>
      </c>
      <c r="AC43" s="409">
        <v>0</v>
      </c>
      <c r="AD43" s="409">
        <v>0</v>
      </c>
      <c r="AE43" s="409">
        <v>0</v>
      </c>
      <c r="AF43" s="409">
        <v>0</v>
      </c>
      <c r="AG43" s="409">
        <v>0</v>
      </c>
      <c r="AH43" s="409">
        <v>0</v>
      </c>
      <c r="AI43" s="409">
        <v>0</v>
      </c>
      <c r="AJ43" s="409">
        <v>0</v>
      </c>
      <c r="AK43" s="409">
        <v>0</v>
      </c>
      <c r="AL43" s="409">
        <v>0</v>
      </c>
      <c r="AM43" s="409" t="s">
        <v>722</v>
      </c>
      <c r="AN43" s="409" t="s">
        <v>722</v>
      </c>
      <c r="AO43" s="409">
        <v>0</v>
      </c>
      <c r="AP43" s="409" t="s">
        <v>722</v>
      </c>
      <c r="AQ43" s="409" t="s">
        <v>722</v>
      </c>
      <c r="AR43" s="409" t="s">
        <v>722</v>
      </c>
      <c r="AS43" s="409" t="s">
        <v>722</v>
      </c>
      <c r="AT43" s="409">
        <v>0</v>
      </c>
      <c r="AU43" s="409">
        <v>0</v>
      </c>
      <c r="AV43" s="409">
        <v>0</v>
      </c>
    </row>
    <row r="44" spans="1:48" x14ac:dyDescent="0.25">
      <c r="A44" s="419">
        <v>4025470917</v>
      </c>
      <c r="B44" s="420" t="s">
        <v>135</v>
      </c>
      <c r="C44" s="421" t="s">
        <v>722</v>
      </c>
      <c r="D44" s="409" t="s">
        <v>722</v>
      </c>
      <c r="E44" s="409">
        <v>0</v>
      </c>
      <c r="F44" s="409" t="s">
        <v>722</v>
      </c>
      <c r="G44" s="409">
        <v>0</v>
      </c>
      <c r="H44" s="409" t="s">
        <v>722</v>
      </c>
      <c r="I44" s="409" t="s">
        <v>722</v>
      </c>
      <c r="J44" s="409" t="s">
        <v>722</v>
      </c>
      <c r="K44" s="409" t="s">
        <v>722</v>
      </c>
      <c r="L44" s="409" t="s">
        <v>722</v>
      </c>
      <c r="M44" s="409">
        <v>0</v>
      </c>
      <c r="N44" s="409">
        <v>0</v>
      </c>
      <c r="O44" s="409">
        <v>0</v>
      </c>
      <c r="P44" s="409">
        <v>0</v>
      </c>
      <c r="Q44" s="409">
        <v>0</v>
      </c>
      <c r="R44" s="409">
        <v>0</v>
      </c>
      <c r="S44" s="409">
        <v>0</v>
      </c>
      <c r="T44" s="409">
        <v>0</v>
      </c>
      <c r="U44" s="409">
        <v>0</v>
      </c>
      <c r="V44" s="409">
        <v>0</v>
      </c>
      <c r="W44" s="409">
        <v>0</v>
      </c>
      <c r="X44" s="409">
        <v>0</v>
      </c>
      <c r="Y44" s="409">
        <v>0</v>
      </c>
      <c r="Z44" s="409" t="s">
        <v>722</v>
      </c>
      <c r="AA44" s="409">
        <v>0</v>
      </c>
      <c r="AB44" s="409">
        <v>0</v>
      </c>
      <c r="AC44" s="409">
        <v>0</v>
      </c>
      <c r="AD44" s="409">
        <v>0</v>
      </c>
      <c r="AE44" s="409">
        <v>0</v>
      </c>
      <c r="AF44" s="409">
        <v>0</v>
      </c>
      <c r="AG44" s="409">
        <v>0</v>
      </c>
      <c r="AH44" s="409">
        <v>0</v>
      </c>
      <c r="AI44" s="409">
        <v>0</v>
      </c>
      <c r="AJ44" s="409">
        <v>0</v>
      </c>
      <c r="AK44" s="409">
        <v>0</v>
      </c>
      <c r="AL44" s="409">
        <v>0</v>
      </c>
      <c r="AM44" s="409" t="s">
        <v>722</v>
      </c>
      <c r="AN44" s="409" t="s">
        <v>722</v>
      </c>
      <c r="AO44" s="409">
        <v>0</v>
      </c>
      <c r="AP44" s="409" t="s">
        <v>722</v>
      </c>
      <c r="AQ44" s="409" t="s">
        <v>722</v>
      </c>
      <c r="AR44" s="409" t="s">
        <v>722</v>
      </c>
      <c r="AS44" s="409" t="s">
        <v>722</v>
      </c>
      <c r="AT44" s="409">
        <v>0</v>
      </c>
      <c r="AU44" s="409">
        <v>0</v>
      </c>
      <c r="AV44" s="409">
        <v>0</v>
      </c>
    </row>
    <row r="45" spans="1:48" x14ac:dyDescent="0.25">
      <c r="A45" s="419">
        <v>4024630718</v>
      </c>
      <c r="B45" s="420" t="s">
        <v>123</v>
      </c>
      <c r="C45" s="421" t="s">
        <v>722</v>
      </c>
      <c r="D45" s="409" t="s">
        <v>722</v>
      </c>
      <c r="E45" s="409">
        <v>0</v>
      </c>
      <c r="F45" s="409" t="s">
        <v>722</v>
      </c>
      <c r="G45" s="409">
        <v>0</v>
      </c>
      <c r="H45" s="409" t="s">
        <v>722</v>
      </c>
      <c r="I45" s="409" t="s">
        <v>722</v>
      </c>
      <c r="J45" s="409" t="s">
        <v>722</v>
      </c>
      <c r="K45" s="409" t="s">
        <v>722</v>
      </c>
      <c r="L45" s="409" t="s">
        <v>722</v>
      </c>
      <c r="M45" s="409">
        <v>0</v>
      </c>
      <c r="N45" s="409">
        <v>0</v>
      </c>
      <c r="O45" s="409">
        <v>0</v>
      </c>
      <c r="P45" s="409">
        <v>0</v>
      </c>
      <c r="Q45" s="409">
        <v>0</v>
      </c>
      <c r="R45" s="409">
        <v>0</v>
      </c>
      <c r="S45" s="409">
        <v>0</v>
      </c>
      <c r="T45" s="409">
        <v>0</v>
      </c>
      <c r="U45" s="409">
        <v>0</v>
      </c>
      <c r="V45" s="409">
        <v>0</v>
      </c>
      <c r="W45" s="409">
        <v>0</v>
      </c>
      <c r="X45" s="409">
        <v>0</v>
      </c>
      <c r="Y45" s="409">
        <v>0</v>
      </c>
      <c r="Z45" s="409" t="s">
        <v>722</v>
      </c>
      <c r="AA45" s="409">
        <v>0</v>
      </c>
      <c r="AB45" s="409">
        <v>0</v>
      </c>
      <c r="AC45" s="409">
        <v>0</v>
      </c>
      <c r="AD45" s="409">
        <v>0</v>
      </c>
      <c r="AE45" s="409">
        <v>0</v>
      </c>
      <c r="AF45" s="409">
        <v>0</v>
      </c>
      <c r="AG45" s="409">
        <v>0</v>
      </c>
      <c r="AH45" s="409">
        <v>0</v>
      </c>
      <c r="AI45" s="409">
        <v>0</v>
      </c>
      <c r="AJ45" s="409">
        <v>0</v>
      </c>
      <c r="AK45" s="409">
        <v>0</v>
      </c>
      <c r="AL45" s="409">
        <v>0</v>
      </c>
      <c r="AM45" s="409" t="s">
        <v>722</v>
      </c>
      <c r="AN45" s="409" t="s">
        <v>722</v>
      </c>
      <c r="AO45" s="409">
        <v>0</v>
      </c>
      <c r="AP45" s="409" t="s">
        <v>722</v>
      </c>
      <c r="AQ45" s="409" t="s">
        <v>722</v>
      </c>
      <c r="AR45" s="409" t="s">
        <v>722</v>
      </c>
      <c r="AS45" s="409" t="s">
        <v>722</v>
      </c>
      <c r="AT45" s="409">
        <v>0</v>
      </c>
      <c r="AU45" s="409">
        <v>0</v>
      </c>
      <c r="AV45" s="409">
        <v>0</v>
      </c>
    </row>
    <row r="46" spans="1:48" x14ac:dyDescent="0.25">
      <c r="A46" s="419">
        <v>4024487671</v>
      </c>
      <c r="B46" s="420" t="s">
        <v>136</v>
      </c>
      <c r="C46" s="421" t="s">
        <v>722</v>
      </c>
      <c r="D46" s="409" t="s">
        <v>722</v>
      </c>
      <c r="E46" s="409">
        <v>0</v>
      </c>
      <c r="F46" s="409" t="s">
        <v>722</v>
      </c>
      <c r="G46" s="409">
        <v>0</v>
      </c>
      <c r="H46" s="409" t="s">
        <v>722</v>
      </c>
      <c r="I46" s="409" t="s">
        <v>722</v>
      </c>
      <c r="J46" s="409" t="s">
        <v>722</v>
      </c>
      <c r="K46" s="409" t="s">
        <v>722</v>
      </c>
      <c r="L46" s="409" t="s">
        <v>722</v>
      </c>
      <c r="M46" s="409">
        <v>0</v>
      </c>
      <c r="N46" s="409">
        <v>0</v>
      </c>
      <c r="O46" s="409">
        <v>0</v>
      </c>
      <c r="P46" s="409">
        <v>0</v>
      </c>
      <c r="Q46" s="409">
        <v>0</v>
      </c>
      <c r="R46" s="409">
        <v>0</v>
      </c>
      <c r="S46" s="409">
        <v>0</v>
      </c>
      <c r="T46" s="409">
        <v>0</v>
      </c>
      <c r="U46" s="409">
        <v>0</v>
      </c>
      <c r="V46" s="409">
        <v>0</v>
      </c>
      <c r="W46" s="409">
        <v>0</v>
      </c>
      <c r="X46" s="409">
        <v>0</v>
      </c>
      <c r="Y46" s="409">
        <v>0</v>
      </c>
      <c r="Z46" s="409" t="s">
        <v>722</v>
      </c>
      <c r="AA46" s="409">
        <v>0</v>
      </c>
      <c r="AB46" s="409">
        <v>0</v>
      </c>
      <c r="AC46" s="409">
        <v>0</v>
      </c>
      <c r="AD46" s="409">
        <v>0</v>
      </c>
      <c r="AE46" s="409">
        <v>0</v>
      </c>
      <c r="AF46" s="409">
        <v>0</v>
      </c>
      <c r="AG46" s="409">
        <v>0</v>
      </c>
      <c r="AH46" s="409">
        <v>0</v>
      </c>
      <c r="AI46" s="409">
        <v>0</v>
      </c>
      <c r="AJ46" s="409">
        <v>0</v>
      </c>
      <c r="AK46" s="409">
        <v>0</v>
      </c>
      <c r="AL46" s="409">
        <v>0</v>
      </c>
      <c r="AM46" s="409" t="s">
        <v>722</v>
      </c>
      <c r="AN46" s="409" t="s">
        <v>722</v>
      </c>
      <c r="AO46" s="409">
        <v>0</v>
      </c>
      <c r="AP46" s="409" t="s">
        <v>722</v>
      </c>
      <c r="AQ46" s="409" t="s">
        <v>722</v>
      </c>
      <c r="AR46" s="409" t="s">
        <v>722</v>
      </c>
      <c r="AS46" s="409" t="s">
        <v>722</v>
      </c>
      <c r="AT46" s="409">
        <v>0</v>
      </c>
      <c r="AU46" s="409">
        <v>0</v>
      </c>
      <c r="AV46" s="409">
        <v>0</v>
      </c>
    </row>
    <row r="47" spans="1:48" x14ac:dyDescent="0.25">
      <c r="A47" s="419">
        <v>4023439764</v>
      </c>
      <c r="B47" s="420" t="s">
        <v>123</v>
      </c>
      <c r="C47" s="421" t="s">
        <v>722</v>
      </c>
      <c r="D47" s="409" t="s">
        <v>722</v>
      </c>
      <c r="E47" s="409">
        <v>0</v>
      </c>
      <c r="F47" s="409" t="s">
        <v>722</v>
      </c>
      <c r="G47" s="409">
        <v>0</v>
      </c>
      <c r="H47" s="409" t="s">
        <v>722</v>
      </c>
      <c r="I47" s="409" t="s">
        <v>722</v>
      </c>
      <c r="J47" s="409" t="s">
        <v>722</v>
      </c>
      <c r="K47" s="409" t="s">
        <v>722</v>
      </c>
      <c r="L47" s="409" t="s">
        <v>722</v>
      </c>
      <c r="M47" s="409">
        <v>0</v>
      </c>
      <c r="N47" s="409">
        <v>0</v>
      </c>
      <c r="O47" s="409">
        <v>0</v>
      </c>
      <c r="P47" s="409">
        <v>0</v>
      </c>
      <c r="Q47" s="409">
        <v>0</v>
      </c>
      <c r="R47" s="409">
        <v>0</v>
      </c>
      <c r="S47" s="409">
        <v>0</v>
      </c>
      <c r="T47" s="409">
        <v>0</v>
      </c>
      <c r="U47" s="409">
        <v>0</v>
      </c>
      <c r="V47" s="409">
        <v>0</v>
      </c>
      <c r="W47" s="409">
        <v>0</v>
      </c>
      <c r="X47" s="409">
        <v>0</v>
      </c>
      <c r="Y47" s="409">
        <v>0</v>
      </c>
      <c r="Z47" s="409" t="s">
        <v>722</v>
      </c>
      <c r="AA47" s="409">
        <v>0</v>
      </c>
      <c r="AB47" s="409">
        <v>0</v>
      </c>
      <c r="AC47" s="409">
        <v>0</v>
      </c>
      <c r="AD47" s="409">
        <v>0</v>
      </c>
      <c r="AE47" s="409">
        <v>0</v>
      </c>
      <c r="AF47" s="409">
        <v>0</v>
      </c>
      <c r="AG47" s="409">
        <v>0</v>
      </c>
      <c r="AH47" s="409">
        <v>0</v>
      </c>
      <c r="AI47" s="409">
        <v>0</v>
      </c>
      <c r="AJ47" s="409">
        <v>0</v>
      </c>
      <c r="AK47" s="409">
        <v>0</v>
      </c>
      <c r="AL47" s="409">
        <v>0</v>
      </c>
      <c r="AM47" s="409" t="s">
        <v>722</v>
      </c>
      <c r="AN47" s="409" t="s">
        <v>722</v>
      </c>
      <c r="AO47" s="409">
        <v>0</v>
      </c>
      <c r="AP47" s="409" t="s">
        <v>722</v>
      </c>
      <c r="AQ47" s="409" t="s">
        <v>722</v>
      </c>
      <c r="AR47" s="409" t="s">
        <v>722</v>
      </c>
      <c r="AS47" s="409" t="s">
        <v>722</v>
      </c>
      <c r="AT47" s="409">
        <v>0</v>
      </c>
      <c r="AU47" s="409">
        <v>0</v>
      </c>
      <c r="AV47" s="409">
        <v>0</v>
      </c>
    </row>
    <row r="48" spans="1:48" x14ac:dyDescent="0.25">
      <c r="A48" s="419">
        <v>4022771873</v>
      </c>
      <c r="B48" s="420" t="s">
        <v>136</v>
      </c>
      <c r="C48" s="421" t="s">
        <v>722</v>
      </c>
      <c r="D48" s="409" t="s">
        <v>722</v>
      </c>
      <c r="E48" s="409">
        <v>0</v>
      </c>
      <c r="F48" s="409" t="s">
        <v>722</v>
      </c>
      <c r="G48" s="409">
        <v>0</v>
      </c>
      <c r="H48" s="409" t="s">
        <v>722</v>
      </c>
      <c r="I48" s="409" t="s">
        <v>722</v>
      </c>
      <c r="J48" s="409" t="s">
        <v>722</v>
      </c>
      <c r="K48" s="409" t="s">
        <v>722</v>
      </c>
      <c r="L48" s="409" t="s">
        <v>722</v>
      </c>
      <c r="M48" s="409">
        <v>0</v>
      </c>
      <c r="N48" s="409">
        <v>0</v>
      </c>
      <c r="O48" s="409">
        <v>0</v>
      </c>
      <c r="P48" s="409">
        <v>0</v>
      </c>
      <c r="Q48" s="409">
        <v>0</v>
      </c>
      <c r="R48" s="409">
        <v>0</v>
      </c>
      <c r="S48" s="409">
        <v>0</v>
      </c>
      <c r="T48" s="409">
        <v>0</v>
      </c>
      <c r="U48" s="409">
        <v>0</v>
      </c>
      <c r="V48" s="409">
        <v>0</v>
      </c>
      <c r="W48" s="409">
        <v>0</v>
      </c>
      <c r="X48" s="409">
        <v>0</v>
      </c>
      <c r="Y48" s="409">
        <v>0</v>
      </c>
      <c r="Z48" s="409" t="s">
        <v>722</v>
      </c>
      <c r="AA48" s="409">
        <v>0</v>
      </c>
      <c r="AB48" s="409">
        <v>0</v>
      </c>
      <c r="AC48" s="409">
        <v>0</v>
      </c>
      <c r="AD48" s="409">
        <v>0</v>
      </c>
      <c r="AE48" s="409">
        <v>0</v>
      </c>
      <c r="AF48" s="409">
        <v>0</v>
      </c>
      <c r="AG48" s="409">
        <v>0</v>
      </c>
      <c r="AH48" s="409">
        <v>0</v>
      </c>
      <c r="AI48" s="409">
        <v>0</v>
      </c>
      <c r="AJ48" s="409">
        <v>0</v>
      </c>
      <c r="AK48" s="409">
        <v>0</v>
      </c>
      <c r="AL48" s="409">
        <v>0</v>
      </c>
      <c r="AM48" s="409" t="s">
        <v>722</v>
      </c>
      <c r="AN48" s="409" t="s">
        <v>722</v>
      </c>
      <c r="AO48" s="409">
        <v>0</v>
      </c>
      <c r="AP48" s="409" t="s">
        <v>722</v>
      </c>
      <c r="AQ48" s="409" t="s">
        <v>722</v>
      </c>
      <c r="AR48" s="409" t="s">
        <v>722</v>
      </c>
      <c r="AS48" s="409" t="s">
        <v>722</v>
      </c>
      <c r="AT48" s="409">
        <v>0</v>
      </c>
      <c r="AU48" s="409">
        <v>0</v>
      </c>
      <c r="AV48" s="409">
        <v>0</v>
      </c>
    </row>
    <row r="49" spans="1:48" x14ac:dyDescent="0.25">
      <c r="A49" s="419">
        <v>4022154154</v>
      </c>
      <c r="B49" s="420" t="s">
        <v>136</v>
      </c>
      <c r="C49" s="421" t="s">
        <v>722</v>
      </c>
      <c r="D49" s="409" t="s">
        <v>722</v>
      </c>
      <c r="E49" s="409">
        <v>0</v>
      </c>
      <c r="F49" s="409" t="s">
        <v>722</v>
      </c>
      <c r="G49" s="409">
        <v>0</v>
      </c>
      <c r="H49" s="409" t="s">
        <v>722</v>
      </c>
      <c r="I49" s="409" t="s">
        <v>722</v>
      </c>
      <c r="J49" s="409" t="s">
        <v>722</v>
      </c>
      <c r="K49" s="409" t="s">
        <v>722</v>
      </c>
      <c r="L49" s="409" t="s">
        <v>722</v>
      </c>
      <c r="M49" s="409">
        <v>0</v>
      </c>
      <c r="N49" s="409">
        <v>0</v>
      </c>
      <c r="O49" s="409">
        <v>0</v>
      </c>
      <c r="P49" s="409">
        <v>0</v>
      </c>
      <c r="Q49" s="409">
        <v>0</v>
      </c>
      <c r="R49" s="409">
        <v>0</v>
      </c>
      <c r="S49" s="409">
        <v>0</v>
      </c>
      <c r="T49" s="409">
        <v>0</v>
      </c>
      <c r="U49" s="409">
        <v>0</v>
      </c>
      <c r="V49" s="409">
        <v>0</v>
      </c>
      <c r="W49" s="409">
        <v>0</v>
      </c>
      <c r="X49" s="409">
        <v>0</v>
      </c>
      <c r="Y49" s="409">
        <v>0</v>
      </c>
      <c r="Z49" s="409" t="s">
        <v>722</v>
      </c>
      <c r="AA49" s="409">
        <v>0</v>
      </c>
      <c r="AB49" s="409">
        <v>0</v>
      </c>
      <c r="AC49" s="409">
        <v>0</v>
      </c>
      <c r="AD49" s="409">
        <v>0</v>
      </c>
      <c r="AE49" s="409">
        <v>0</v>
      </c>
      <c r="AF49" s="409">
        <v>0</v>
      </c>
      <c r="AG49" s="409">
        <v>0</v>
      </c>
      <c r="AH49" s="409">
        <v>0</v>
      </c>
      <c r="AI49" s="409">
        <v>0</v>
      </c>
      <c r="AJ49" s="409">
        <v>0</v>
      </c>
      <c r="AK49" s="409">
        <v>0</v>
      </c>
      <c r="AL49" s="409">
        <v>0</v>
      </c>
      <c r="AM49" s="409" t="s">
        <v>722</v>
      </c>
      <c r="AN49" s="409" t="s">
        <v>722</v>
      </c>
      <c r="AO49" s="409">
        <v>0</v>
      </c>
      <c r="AP49" s="409" t="s">
        <v>722</v>
      </c>
      <c r="AQ49" s="409" t="s">
        <v>722</v>
      </c>
      <c r="AR49" s="409" t="s">
        <v>722</v>
      </c>
      <c r="AS49" s="409" t="s">
        <v>722</v>
      </c>
      <c r="AT49" s="409">
        <v>0</v>
      </c>
      <c r="AU49" s="409">
        <v>0</v>
      </c>
      <c r="AV49" s="409">
        <v>0</v>
      </c>
    </row>
    <row r="50" spans="1:48" x14ac:dyDescent="0.25">
      <c r="A50" s="419">
        <v>4021087857</v>
      </c>
      <c r="B50" s="420" t="s">
        <v>137</v>
      </c>
      <c r="C50" s="421" t="s">
        <v>722</v>
      </c>
      <c r="D50" s="409" t="s">
        <v>722</v>
      </c>
      <c r="E50" s="409">
        <v>0</v>
      </c>
      <c r="F50" s="409" t="s">
        <v>722</v>
      </c>
      <c r="G50" s="409">
        <v>0</v>
      </c>
      <c r="H50" s="409" t="s">
        <v>722</v>
      </c>
      <c r="I50" s="409" t="s">
        <v>722</v>
      </c>
      <c r="J50" s="409" t="s">
        <v>722</v>
      </c>
      <c r="K50" s="409" t="s">
        <v>722</v>
      </c>
      <c r="L50" s="409" t="s">
        <v>722</v>
      </c>
      <c r="M50" s="409">
        <v>0</v>
      </c>
      <c r="N50" s="409">
        <v>0</v>
      </c>
      <c r="O50" s="409">
        <v>0</v>
      </c>
      <c r="P50" s="409">
        <v>0</v>
      </c>
      <c r="Q50" s="409">
        <v>0</v>
      </c>
      <c r="R50" s="409">
        <v>0</v>
      </c>
      <c r="S50" s="409">
        <v>0</v>
      </c>
      <c r="T50" s="409">
        <v>0</v>
      </c>
      <c r="U50" s="409">
        <v>0</v>
      </c>
      <c r="V50" s="409">
        <v>0</v>
      </c>
      <c r="W50" s="409">
        <v>0</v>
      </c>
      <c r="X50" s="409">
        <v>0</v>
      </c>
      <c r="Y50" s="409">
        <v>0</v>
      </c>
      <c r="Z50" s="409" t="s">
        <v>722</v>
      </c>
      <c r="AA50" s="409">
        <v>0</v>
      </c>
      <c r="AB50" s="409">
        <v>0</v>
      </c>
      <c r="AC50" s="409">
        <v>0</v>
      </c>
      <c r="AD50" s="409">
        <v>0</v>
      </c>
      <c r="AE50" s="409">
        <v>0</v>
      </c>
      <c r="AF50" s="409">
        <v>0</v>
      </c>
      <c r="AG50" s="409">
        <v>0</v>
      </c>
      <c r="AH50" s="409">
        <v>0</v>
      </c>
      <c r="AI50" s="409">
        <v>0</v>
      </c>
      <c r="AJ50" s="409">
        <v>0</v>
      </c>
      <c r="AK50" s="409">
        <v>0</v>
      </c>
      <c r="AL50" s="409">
        <v>0</v>
      </c>
      <c r="AM50" s="409" t="s">
        <v>722</v>
      </c>
      <c r="AN50" s="409" t="s">
        <v>722</v>
      </c>
      <c r="AO50" s="409">
        <v>0</v>
      </c>
      <c r="AP50" s="409" t="s">
        <v>722</v>
      </c>
      <c r="AQ50" s="409" t="s">
        <v>722</v>
      </c>
      <c r="AR50" s="409" t="s">
        <v>722</v>
      </c>
      <c r="AS50" s="409" t="s">
        <v>722</v>
      </c>
      <c r="AT50" s="409">
        <v>0</v>
      </c>
      <c r="AU50" s="409">
        <v>0</v>
      </c>
      <c r="AV50" s="409">
        <v>0</v>
      </c>
    </row>
    <row r="51" spans="1:48" x14ac:dyDescent="0.25">
      <c r="A51" s="419">
        <v>4020175754</v>
      </c>
      <c r="B51" s="420" t="s">
        <v>123</v>
      </c>
      <c r="C51" s="421" t="s">
        <v>722</v>
      </c>
      <c r="D51" s="409" t="s">
        <v>722</v>
      </c>
      <c r="E51" s="409">
        <v>0</v>
      </c>
      <c r="F51" s="409" t="s">
        <v>722</v>
      </c>
      <c r="G51" s="409">
        <v>0</v>
      </c>
      <c r="H51" s="409" t="s">
        <v>722</v>
      </c>
      <c r="I51" s="409" t="s">
        <v>722</v>
      </c>
      <c r="J51" s="409" t="s">
        <v>722</v>
      </c>
      <c r="K51" s="409" t="s">
        <v>722</v>
      </c>
      <c r="L51" s="409" t="s">
        <v>722</v>
      </c>
      <c r="M51" s="409">
        <v>0</v>
      </c>
      <c r="N51" s="409">
        <v>0</v>
      </c>
      <c r="O51" s="409">
        <v>0</v>
      </c>
      <c r="P51" s="409">
        <v>0</v>
      </c>
      <c r="Q51" s="409">
        <v>0</v>
      </c>
      <c r="R51" s="409">
        <v>0</v>
      </c>
      <c r="S51" s="409">
        <v>0</v>
      </c>
      <c r="T51" s="409">
        <v>0</v>
      </c>
      <c r="U51" s="409">
        <v>0</v>
      </c>
      <c r="V51" s="409">
        <v>0</v>
      </c>
      <c r="W51" s="409">
        <v>0</v>
      </c>
      <c r="X51" s="409">
        <v>0</v>
      </c>
      <c r="Y51" s="409">
        <v>0</v>
      </c>
      <c r="Z51" s="409" t="s">
        <v>722</v>
      </c>
      <c r="AA51" s="409">
        <v>0</v>
      </c>
      <c r="AB51" s="409">
        <v>0</v>
      </c>
      <c r="AC51" s="409">
        <v>0</v>
      </c>
      <c r="AD51" s="409">
        <v>0</v>
      </c>
      <c r="AE51" s="409">
        <v>0</v>
      </c>
      <c r="AF51" s="409">
        <v>0</v>
      </c>
      <c r="AG51" s="409">
        <v>0</v>
      </c>
      <c r="AH51" s="409">
        <v>0</v>
      </c>
      <c r="AI51" s="409">
        <v>0</v>
      </c>
      <c r="AJ51" s="409">
        <v>0</v>
      </c>
      <c r="AK51" s="409">
        <v>0</v>
      </c>
      <c r="AL51" s="409">
        <v>0</v>
      </c>
      <c r="AM51" s="409" t="s">
        <v>722</v>
      </c>
      <c r="AN51" s="409" t="s">
        <v>722</v>
      </c>
      <c r="AO51" s="409">
        <v>0</v>
      </c>
      <c r="AP51" s="409" t="s">
        <v>722</v>
      </c>
      <c r="AQ51" s="409" t="s">
        <v>722</v>
      </c>
      <c r="AR51" s="409" t="s">
        <v>722</v>
      </c>
      <c r="AS51" s="409" t="s">
        <v>722</v>
      </c>
      <c r="AT51" s="409" t="s">
        <v>5</v>
      </c>
      <c r="AU51" s="409" t="s">
        <v>5</v>
      </c>
      <c r="AV51" s="409" t="s">
        <v>5</v>
      </c>
    </row>
    <row r="52" spans="1:48" x14ac:dyDescent="0.25">
      <c r="A52" s="419">
        <v>4019888566</v>
      </c>
      <c r="B52" s="420" t="s">
        <v>137</v>
      </c>
      <c r="C52" s="421" t="s">
        <v>722</v>
      </c>
      <c r="D52" s="409" t="s">
        <v>722</v>
      </c>
      <c r="E52" s="409">
        <v>0</v>
      </c>
      <c r="F52" s="409" t="s">
        <v>722</v>
      </c>
      <c r="G52" s="409">
        <v>0</v>
      </c>
      <c r="H52" s="409" t="s">
        <v>722</v>
      </c>
      <c r="I52" s="409" t="s">
        <v>722</v>
      </c>
      <c r="J52" s="409" t="s">
        <v>722</v>
      </c>
      <c r="K52" s="409" t="s">
        <v>722</v>
      </c>
      <c r="L52" s="409" t="s">
        <v>722</v>
      </c>
      <c r="M52" s="409">
        <v>0</v>
      </c>
      <c r="N52" s="409">
        <v>0</v>
      </c>
      <c r="O52" s="409">
        <v>0</v>
      </c>
      <c r="P52" s="409">
        <v>0</v>
      </c>
      <c r="Q52" s="409">
        <v>0</v>
      </c>
      <c r="R52" s="409">
        <v>0</v>
      </c>
      <c r="S52" s="409">
        <v>0</v>
      </c>
      <c r="T52" s="409">
        <v>0</v>
      </c>
      <c r="U52" s="409">
        <v>0</v>
      </c>
      <c r="V52" s="409">
        <v>0</v>
      </c>
      <c r="W52" s="409">
        <v>0</v>
      </c>
      <c r="X52" s="409">
        <v>0</v>
      </c>
      <c r="Y52" s="409">
        <v>0</v>
      </c>
      <c r="Z52" s="409" t="s">
        <v>722</v>
      </c>
      <c r="AA52" s="409">
        <v>0</v>
      </c>
      <c r="AB52" s="409">
        <v>0</v>
      </c>
      <c r="AC52" s="409">
        <v>0</v>
      </c>
      <c r="AD52" s="409">
        <v>0</v>
      </c>
      <c r="AE52" s="409">
        <v>0</v>
      </c>
      <c r="AF52" s="409">
        <v>0</v>
      </c>
      <c r="AG52" s="409">
        <v>0</v>
      </c>
      <c r="AH52" s="409">
        <v>0</v>
      </c>
      <c r="AI52" s="409">
        <v>0</v>
      </c>
      <c r="AJ52" s="409">
        <v>0</v>
      </c>
      <c r="AK52" s="409">
        <v>0</v>
      </c>
      <c r="AL52" s="409">
        <v>0</v>
      </c>
      <c r="AM52" s="409" t="s">
        <v>722</v>
      </c>
      <c r="AN52" s="409" t="s">
        <v>722</v>
      </c>
      <c r="AO52" s="409">
        <v>0</v>
      </c>
      <c r="AP52" s="409" t="s">
        <v>722</v>
      </c>
      <c r="AQ52" s="409" t="s">
        <v>722</v>
      </c>
      <c r="AR52" s="409" t="s">
        <v>722</v>
      </c>
      <c r="AS52" s="409" t="s">
        <v>722</v>
      </c>
      <c r="AT52" s="409">
        <v>0</v>
      </c>
      <c r="AU52" s="409">
        <v>0</v>
      </c>
      <c r="AV52" s="409">
        <v>0</v>
      </c>
    </row>
    <row r="53" spans="1:48" x14ac:dyDescent="0.25">
      <c r="A53" s="419">
        <v>4017740118</v>
      </c>
      <c r="B53" s="420" t="s">
        <v>137</v>
      </c>
      <c r="C53" s="421" t="s">
        <v>722</v>
      </c>
      <c r="D53" s="409" t="s">
        <v>722</v>
      </c>
      <c r="E53" s="409">
        <v>0</v>
      </c>
      <c r="F53" s="409" t="s">
        <v>722</v>
      </c>
      <c r="G53" s="409">
        <v>0</v>
      </c>
      <c r="H53" s="409" t="s">
        <v>722</v>
      </c>
      <c r="I53" s="409" t="s">
        <v>722</v>
      </c>
      <c r="J53" s="409" t="s">
        <v>722</v>
      </c>
      <c r="K53" s="409" t="s">
        <v>722</v>
      </c>
      <c r="L53" s="409" t="s">
        <v>722</v>
      </c>
      <c r="M53" s="409">
        <v>0</v>
      </c>
      <c r="N53" s="409">
        <v>0</v>
      </c>
      <c r="O53" s="409">
        <v>0</v>
      </c>
      <c r="P53" s="409">
        <v>0</v>
      </c>
      <c r="Q53" s="409">
        <v>0</v>
      </c>
      <c r="R53" s="409">
        <v>0</v>
      </c>
      <c r="S53" s="409">
        <v>0</v>
      </c>
      <c r="T53" s="409">
        <v>0</v>
      </c>
      <c r="U53" s="409">
        <v>0</v>
      </c>
      <c r="V53" s="409">
        <v>0</v>
      </c>
      <c r="W53" s="409">
        <v>0</v>
      </c>
      <c r="X53" s="409">
        <v>0</v>
      </c>
      <c r="Y53" s="409">
        <v>0</v>
      </c>
      <c r="Z53" s="409" t="s">
        <v>722</v>
      </c>
      <c r="AA53" s="409">
        <v>0</v>
      </c>
      <c r="AB53" s="409">
        <v>0</v>
      </c>
      <c r="AC53" s="409">
        <v>0</v>
      </c>
      <c r="AD53" s="409">
        <v>0</v>
      </c>
      <c r="AE53" s="409">
        <v>0</v>
      </c>
      <c r="AF53" s="409">
        <v>0</v>
      </c>
      <c r="AG53" s="409">
        <v>0</v>
      </c>
      <c r="AH53" s="409">
        <v>0</v>
      </c>
      <c r="AI53" s="409">
        <v>0</v>
      </c>
      <c r="AJ53" s="409">
        <v>0</v>
      </c>
      <c r="AK53" s="409">
        <v>0</v>
      </c>
      <c r="AL53" s="409">
        <v>0</v>
      </c>
      <c r="AM53" s="409" t="s">
        <v>722</v>
      </c>
      <c r="AN53" s="409" t="s">
        <v>722</v>
      </c>
      <c r="AO53" s="409">
        <v>0</v>
      </c>
      <c r="AP53" s="409" t="s">
        <v>722</v>
      </c>
      <c r="AQ53" s="409" t="s">
        <v>722</v>
      </c>
      <c r="AR53" s="409" t="s">
        <v>722</v>
      </c>
      <c r="AS53" s="409" t="s">
        <v>722</v>
      </c>
      <c r="AT53" s="409">
        <v>0</v>
      </c>
      <c r="AU53" s="409">
        <v>0</v>
      </c>
      <c r="AV53" s="409">
        <v>0</v>
      </c>
    </row>
    <row r="54" spans="1:48" x14ac:dyDescent="0.25">
      <c r="A54" s="419">
        <v>4017400504</v>
      </c>
      <c r="B54" s="420" t="s">
        <v>123</v>
      </c>
      <c r="C54" s="421" t="s">
        <v>722</v>
      </c>
      <c r="D54" s="409" t="s">
        <v>722</v>
      </c>
      <c r="E54" s="409" t="s">
        <v>34</v>
      </c>
      <c r="F54" s="409" t="s">
        <v>722</v>
      </c>
      <c r="G54" s="409" t="s">
        <v>35</v>
      </c>
      <c r="H54" s="409" t="s">
        <v>722</v>
      </c>
      <c r="I54" s="409" t="s">
        <v>722</v>
      </c>
      <c r="J54" s="409" t="s">
        <v>722</v>
      </c>
      <c r="K54" s="409" t="s">
        <v>722</v>
      </c>
      <c r="L54" s="409" t="s">
        <v>722</v>
      </c>
      <c r="M54" s="409" t="s">
        <v>29</v>
      </c>
      <c r="N54" s="409">
        <v>1</v>
      </c>
      <c r="O54" s="409" t="s">
        <v>29</v>
      </c>
      <c r="P54" s="409">
        <v>3</v>
      </c>
      <c r="Q54" s="409" t="s">
        <v>33</v>
      </c>
      <c r="R54" s="409">
        <v>2</v>
      </c>
      <c r="S54" s="409" t="s">
        <v>39</v>
      </c>
      <c r="T54" s="409">
        <v>0</v>
      </c>
      <c r="U54" s="409">
        <v>0</v>
      </c>
      <c r="V54" s="409">
        <v>0</v>
      </c>
      <c r="W54" s="409">
        <v>0</v>
      </c>
      <c r="X54" s="409">
        <v>0</v>
      </c>
      <c r="Y54" s="409">
        <v>0</v>
      </c>
      <c r="Z54" s="409" t="s">
        <v>722</v>
      </c>
      <c r="AA54" s="409">
        <v>1</v>
      </c>
      <c r="AB54" s="409" t="s">
        <v>39</v>
      </c>
      <c r="AC54" s="409">
        <v>2</v>
      </c>
      <c r="AD54" s="409" t="s">
        <v>39</v>
      </c>
      <c r="AE54" s="409">
        <v>0</v>
      </c>
      <c r="AF54" s="409">
        <v>0</v>
      </c>
      <c r="AG54" s="409">
        <v>0</v>
      </c>
      <c r="AH54" s="409">
        <v>0</v>
      </c>
      <c r="AI54" s="409">
        <v>0</v>
      </c>
      <c r="AJ54" s="409">
        <v>0</v>
      </c>
      <c r="AK54" s="409">
        <v>0</v>
      </c>
      <c r="AL54" s="409">
        <v>0</v>
      </c>
      <c r="AM54" s="409" t="s">
        <v>722</v>
      </c>
      <c r="AN54" s="409" t="s">
        <v>722</v>
      </c>
      <c r="AO54" s="409" t="s">
        <v>53</v>
      </c>
      <c r="AP54" s="409" t="s">
        <v>722</v>
      </c>
      <c r="AQ54" s="409" t="s">
        <v>722</v>
      </c>
      <c r="AR54" s="409" t="s">
        <v>722</v>
      </c>
      <c r="AS54" s="409" t="s">
        <v>722</v>
      </c>
      <c r="AT54" s="409">
        <v>0</v>
      </c>
      <c r="AU54" s="409">
        <v>0</v>
      </c>
      <c r="AV54" s="409">
        <v>0</v>
      </c>
    </row>
    <row r="55" spans="1:48" x14ac:dyDescent="0.25">
      <c r="A55" s="419">
        <v>4016700352</v>
      </c>
      <c r="B55" s="420" t="s">
        <v>135</v>
      </c>
      <c r="C55" s="421" t="s">
        <v>722</v>
      </c>
      <c r="D55" s="409" t="s">
        <v>722</v>
      </c>
      <c r="E55" s="409">
        <v>0</v>
      </c>
      <c r="F55" s="409" t="s">
        <v>722</v>
      </c>
      <c r="G55" s="409">
        <v>0</v>
      </c>
      <c r="H55" s="409" t="s">
        <v>722</v>
      </c>
      <c r="I55" s="409" t="s">
        <v>722</v>
      </c>
      <c r="J55" s="409" t="s">
        <v>722</v>
      </c>
      <c r="K55" s="409" t="s">
        <v>722</v>
      </c>
      <c r="L55" s="409" t="s">
        <v>722</v>
      </c>
      <c r="M55" s="409">
        <v>0</v>
      </c>
      <c r="N55" s="409">
        <v>0</v>
      </c>
      <c r="O55" s="409">
        <v>0</v>
      </c>
      <c r="P55" s="409">
        <v>0</v>
      </c>
      <c r="Q55" s="409">
        <v>0</v>
      </c>
      <c r="R55" s="409">
        <v>0</v>
      </c>
      <c r="S55" s="409">
        <v>0</v>
      </c>
      <c r="T55" s="409">
        <v>0</v>
      </c>
      <c r="U55" s="409">
        <v>0</v>
      </c>
      <c r="V55" s="409">
        <v>0</v>
      </c>
      <c r="W55" s="409">
        <v>0</v>
      </c>
      <c r="X55" s="409">
        <v>0</v>
      </c>
      <c r="Y55" s="409">
        <v>0</v>
      </c>
      <c r="Z55" s="409" t="s">
        <v>722</v>
      </c>
      <c r="AA55" s="409">
        <v>0</v>
      </c>
      <c r="AB55" s="409">
        <v>0</v>
      </c>
      <c r="AC55" s="409">
        <v>0</v>
      </c>
      <c r="AD55" s="409">
        <v>0</v>
      </c>
      <c r="AE55" s="409">
        <v>0</v>
      </c>
      <c r="AF55" s="409">
        <v>0</v>
      </c>
      <c r="AG55" s="409">
        <v>0</v>
      </c>
      <c r="AH55" s="409">
        <v>0</v>
      </c>
      <c r="AI55" s="409">
        <v>0</v>
      </c>
      <c r="AJ55" s="409">
        <v>0</v>
      </c>
      <c r="AK55" s="409">
        <v>0</v>
      </c>
      <c r="AL55" s="409">
        <v>0</v>
      </c>
      <c r="AM55" s="409" t="s">
        <v>722</v>
      </c>
      <c r="AN55" s="409" t="s">
        <v>722</v>
      </c>
      <c r="AO55" s="409">
        <v>0</v>
      </c>
      <c r="AP55" s="409" t="s">
        <v>722</v>
      </c>
      <c r="AQ55" s="409" t="s">
        <v>722</v>
      </c>
      <c r="AR55" s="409" t="s">
        <v>722</v>
      </c>
      <c r="AS55" s="409" t="s">
        <v>722</v>
      </c>
      <c r="AT55" s="409">
        <v>0</v>
      </c>
      <c r="AU55" s="409">
        <v>0</v>
      </c>
      <c r="AV55" s="409">
        <v>0</v>
      </c>
    </row>
    <row r="56" spans="1:48" x14ac:dyDescent="0.25">
      <c r="A56" s="419">
        <v>4015070247</v>
      </c>
      <c r="B56" s="420" t="s">
        <v>123</v>
      </c>
      <c r="C56" s="421" t="s">
        <v>722</v>
      </c>
      <c r="D56" s="409" t="s">
        <v>722</v>
      </c>
      <c r="E56" s="409">
        <v>0</v>
      </c>
      <c r="F56" s="409" t="s">
        <v>722</v>
      </c>
      <c r="G56" s="409">
        <v>0</v>
      </c>
      <c r="H56" s="409" t="s">
        <v>722</v>
      </c>
      <c r="I56" s="409" t="s">
        <v>722</v>
      </c>
      <c r="J56" s="409" t="s">
        <v>722</v>
      </c>
      <c r="K56" s="409" t="s">
        <v>722</v>
      </c>
      <c r="L56" s="409" t="s">
        <v>722</v>
      </c>
      <c r="M56" s="409">
        <v>0</v>
      </c>
      <c r="N56" s="409">
        <v>0</v>
      </c>
      <c r="O56" s="409">
        <v>0</v>
      </c>
      <c r="P56" s="409">
        <v>0</v>
      </c>
      <c r="Q56" s="409">
        <v>0</v>
      </c>
      <c r="R56" s="409">
        <v>0</v>
      </c>
      <c r="S56" s="409">
        <v>0</v>
      </c>
      <c r="T56" s="409">
        <v>0</v>
      </c>
      <c r="U56" s="409">
        <v>0</v>
      </c>
      <c r="V56" s="409">
        <v>0</v>
      </c>
      <c r="W56" s="409">
        <v>0</v>
      </c>
      <c r="X56" s="409">
        <v>0</v>
      </c>
      <c r="Y56" s="409">
        <v>0</v>
      </c>
      <c r="Z56" s="409" t="s">
        <v>722</v>
      </c>
      <c r="AA56" s="409">
        <v>0</v>
      </c>
      <c r="AB56" s="409">
        <v>0</v>
      </c>
      <c r="AC56" s="409">
        <v>0</v>
      </c>
      <c r="AD56" s="409">
        <v>0</v>
      </c>
      <c r="AE56" s="409">
        <v>0</v>
      </c>
      <c r="AF56" s="409">
        <v>0</v>
      </c>
      <c r="AG56" s="409">
        <v>0</v>
      </c>
      <c r="AH56" s="409">
        <v>0</v>
      </c>
      <c r="AI56" s="409">
        <v>0</v>
      </c>
      <c r="AJ56" s="409">
        <v>0</v>
      </c>
      <c r="AK56" s="409">
        <v>0</v>
      </c>
      <c r="AL56" s="409">
        <v>0</v>
      </c>
      <c r="AM56" s="409" t="s">
        <v>722</v>
      </c>
      <c r="AN56" s="409" t="s">
        <v>722</v>
      </c>
      <c r="AO56" s="409">
        <v>0</v>
      </c>
      <c r="AP56" s="409" t="s">
        <v>722</v>
      </c>
      <c r="AQ56" s="409" t="s">
        <v>722</v>
      </c>
      <c r="AR56" s="409" t="s">
        <v>722</v>
      </c>
      <c r="AS56" s="409" t="s">
        <v>722</v>
      </c>
      <c r="AT56" s="409">
        <v>0</v>
      </c>
      <c r="AU56" s="409">
        <v>0</v>
      </c>
      <c r="AV56" s="409">
        <v>0</v>
      </c>
    </row>
    <row r="57" spans="1:48" x14ac:dyDescent="0.25">
      <c r="A57" s="419">
        <v>4014073135</v>
      </c>
      <c r="B57" s="420" t="s">
        <v>137</v>
      </c>
      <c r="C57" s="421" t="s">
        <v>722</v>
      </c>
      <c r="D57" s="409" t="s">
        <v>722</v>
      </c>
      <c r="E57" s="409" t="s">
        <v>34</v>
      </c>
      <c r="F57" s="409" t="s">
        <v>722</v>
      </c>
      <c r="G57" s="409" t="s">
        <v>39</v>
      </c>
      <c r="H57" s="409" t="s">
        <v>722</v>
      </c>
      <c r="I57" s="409" t="s">
        <v>722</v>
      </c>
      <c r="J57" s="409" t="s">
        <v>722</v>
      </c>
      <c r="K57" s="409" t="s">
        <v>722</v>
      </c>
      <c r="L57" s="409" t="s">
        <v>722</v>
      </c>
      <c r="M57" s="409">
        <v>0</v>
      </c>
      <c r="N57" s="409">
        <v>1</v>
      </c>
      <c r="O57" s="409" t="s">
        <v>33</v>
      </c>
      <c r="P57" s="409">
        <v>0</v>
      </c>
      <c r="Q57" s="409">
        <v>0</v>
      </c>
      <c r="R57" s="409">
        <v>0</v>
      </c>
      <c r="S57" s="409">
        <v>0</v>
      </c>
      <c r="T57" s="409">
        <v>0</v>
      </c>
      <c r="U57" s="409">
        <v>0</v>
      </c>
      <c r="V57" s="409">
        <v>0</v>
      </c>
      <c r="W57" s="409">
        <v>0</v>
      </c>
      <c r="X57" s="409">
        <v>0</v>
      </c>
      <c r="Y57" s="409">
        <v>0</v>
      </c>
      <c r="Z57" s="409" t="s">
        <v>722</v>
      </c>
      <c r="AA57" s="409">
        <v>0</v>
      </c>
      <c r="AB57" s="409">
        <v>0</v>
      </c>
      <c r="AC57" s="409">
        <v>0</v>
      </c>
      <c r="AD57" s="409">
        <v>0</v>
      </c>
      <c r="AE57" s="409">
        <v>0</v>
      </c>
      <c r="AF57" s="409">
        <v>0</v>
      </c>
      <c r="AG57" s="409">
        <v>0</v>
      </c>
      <c r="AH57" s="409">
        <v>0</v>
      </c>
      <c r="AI57" s="409">
        <v>0</v>
      </c>
      <c r="AJ57" s="409">
        <v>0</v>
      </c>
      <c r="AK57" s="409">
        <v>0</v>
      </c>
      <c r="AL57" s="409">
        <v>0</v>
      </c>
      <c r="AM57" s="409" t="s">
        <v>722</v>
      </c>
      <c r="AN57" s="409" t="s">
        <v>722</v>
      </c>
      <c r="AO57" s="409" t="s">
        <v>55</v>
      </c>
      <c r="AP57" s="409" t="s">
        <v>722</v>
      </c>
      <c r="AQ57" s="409" t="s">
        <v>722</v>
      </c>
      <c r="AR57" s="409" t="s">
        <v>722</v>
      </c>
      <c r="AS57" s="409" t="s">
        <v>722</v>
      </c>
      <c r="AT57" s="409">
        <v>0</v>
      </c>
      <c r="AU57" s="409">
        <v>0</v>
      </c>
      <c r="AV57" s="409">
        <v>0</v>
      </c>
    </row>
    <row r="58" spans="1:48" x14ac:dyDescent="0.25">
      <c r="A58" s="419">
        <v>4013961973</v>
      </c>
      <c r="B58" s="420" t="s">
        <v>137</v>
      </c>
      <c r="C58" s="421" t="s">
        <v>722</v>
      </c>
      <c r="D58" s="409" t="s">
        <v>722</v>
      </c>
      <c r="E58" s="409">
        <v>0</v>
      </c>
      <c r="F58" s="409" t="s">
        <v>722</v>
      </c>
      <c r="G58" s="409">
        <v>0</v>
      </c>
      <c r="H58" s="409" t="s">
        <v>722</v>
      </c>
      <c r="I58" s="409" t="s">
        <v>722</v>
      </c>
      <c r="J58" s="409" t="s">
        <v>722</v>
      </c>
      <c r="K58" s="409" t="s">
        <v>722</v>
      </c>
      <c r="L58" s="409" t="s">
        <v>722</v>
      </c>
      <c r="M58" s="409">
        <v>0</v>
      </c>
      <c r="N58" s="409">
        <v>0</v>
      </c>
      <c r="O58" s="409">
        <v>0</v>
      </c>
      <c r="P58" s="409">
        <v>0</v>
      </c>
      <c r="Q58" s="409">
        <v>0</v>
      </c>
      <c r="R58" s="409">
        <v>0</v>
      </c>
      <c r="S58" s="409">
        <v>0</v>
      </c>
      <c r="T58" s="409">
        <v>0</v>
      </c>
      <c r="U58" s="409">
        <v>0</v>
      </c>
      <c r="V58" s="409">
        <v>0</v>
      </c>
      <c r="W58" s="409">
        <v>0</v>
      </c>
      <c r="X58" s="409">
        <v>0</v>
      </c>
      <c r="Y58" s="409">
        <v>0</v>
      </c>
      <c r="Z58" s="409" t="s">
        <v>722</v>
      </c>
      <c r="AA58" s="409">
        <v>0</v>
      </c>
      <c r="AB58" s="409">
        <v>0</v>
      </c>
      <c r="AC58" s="409">
        <v>0</v>
      </c>
      <c r="AD58" s="409">
        <v>0</v>
      </c>
      <c r="AE58" s="409">
        <v>0</v>
      </c>
      <c r="AF58" s="409">
        <v>0</v>
      </c>
      <c r="AG58" s="409">
        <v>0</v>
      </c>
      <c r="AH58" s="409">
        <v>0</v>
      </c>
      <c r="AI58" s="409">
        <v>0</v>
      </c>
      <c r="AJ58" s="409">
        <v>0</v>
      </c>
      <c r="AK58" s="409">
        <v>0</v>
      </c>
      <c r="AL58" s="409">
        <v>0</v>
      </c>
      <c r="AM58" s="409" t="s">
        <v>722</v>
      </c>
      <c r="AN58" s="409" t="s">
        <v>722</v>
      </c>
      <c r="AO58" s="409">
        <v>0</v>
      </c>
      <c r="AP58" s="409" t="s">
        <v>722</v>
      </c>
      <c r="AQ58" s="409" t="s">
        <v>722</v>
      </c>
      <c r="AR58" s="409" t="s">
        <v>722</v>
      </c>
      <c r="AS58" s="409" t="s">
        <v>722</v>
      </c>
      <c r="AT58" s="409">
        <v>0</v>
      </c>
      <c r="AU58" s="409">
        <v>0</v>
      </c>
      <c r="AV58" s="409">
        <v>0</v>
      </c>
    </row>
    <row r="59" spans="1:48" x14ac:dyDescent="0.25">
      <c r="A59" s="419">
        <v>4013134581</v>
      </c>
      <c r="B59" s="420" t="s">
        <v>123</v>
      </c>
      <c r="C59" s="421" t="s">
        <v>722</v>
      </c>
      <c r="D59" s="409" t="s">
        <v>722</v>
      </c>
      <c r="E59" s="409">
        <v>0</v>
      </c>
      <c r="F59" s="409" t="s">
        <v>722</v>
      </c>
      <c r="G59" s="409">
        <v>0</v>
      </c>
      <c r="H59" s="409" t="s">
        <v>722</v>
      </c>
      <c r="I59" s="409" t="s">
        <v>722</v>
      </c>
      <c r="J59" s="409" t="s">
        <v>722</v>
      </c>
      <c r="K59" s="409" t="s">
        <v>722</v>
      </c>
      <c r="L59" s="409" t="s">
        <v>722</v>
      </c>
      <c r="M59" s="409">
        <v>0</v>
      </c>
      <c r="N59" s="409">
        <v>0</v>
      </c>
      <c r="O59" s="409">
        <v>0</v>
      </c>
      <c r="P59" s="409">
        <v>0</v>
      </c>
      <c r="Q59" s="409">
        <v>0</v>
      </c>
      <c r="R59" s="409">
        <v>0</v>
      </c>
      <c r="S59" s="409">
        <v>0</v>
      </c>
      <c r="T59" s="409">
        <v>0</v>
      </c>
      <c r="U59" s="409">
        <v>0</v>
      </c>
      <c r="V59" s="409">
        <v>0</v>
      </c>
      <c r="W59" s="409">
        <v>0</v>
      </c>
      <c r="X59" s="409">
        <v>0</v>
      </c>
      <c r="Y59" s="409">
        <v>0</v>
      </c>
      <c r="Z59" s="409" t="s">
        <v>722</v>
      </c>
      <c r="AA59" s="409">
        <v>0</v>
      </c>
      <c r="AB59" s="409">
        <v>0</v>
      </c>
      <c r="AC59" s="409">
        <v>0</v>
      </c>
      <c r="AD59" s="409">
        <v>0</v>
      </c>
      <c r="AE59" s="409">
        <v>0</v>
      </c>
      <c r="AF59" s="409">
        <v>0</v>
      </c>
      <c r="AG59" s="409">
        <v>0</v>
      </c>
      <c r="AH59" s="409">
        <v>0</v>
      </c>
      <c r="AI59" s="409">
        <v>0</v>
      </c>
      <c r="AJ59" s="409">
        <v>0</v>
      </c>
      <c r="AK59" s="409">
        <v>0</v>
      </c>
      <c r="AL59" s="409">
        <v>0</v>
      </c>
      <c r="AM59" s="409" t="s">
        <v>722</v>
      </c>
      <c r="AN59" s="409" t="s">
        <v>722</v>
      </c>
      <c r="AO59" s="409">
        <v>0</v>
      </c>
      <c r="AP59" s="409" t="s">
        <v>722</v>
      </c>
      <c r="AQ59" s="409" t="s">
        <v>722</v>
      </c>
      <c r="AR59" s="409" t="s">
        <v>722</v>
      </c>
      <c r="AS59" s="409" t="s">
        <v>722</v>
      </c>
      <c r="AT59" s="409">
        <v>0</v>
      </c>
      <c r="AU59" s="409">
        <v>0</v>
      </c>
      <c r="AV59" s="409">
        <v>0</v>
      </c>
    </row>
    <row r="60" spans="1:48" x14ac:dyDescent="0.25">
      <c r="A60" s="419">
        <v>4012945143</v>
      </c>
      <c r="B60" s="420" t="s">
        <v>123</v>
      </c>
      <c r="C60" s="421" t="s">
        <v>722</v>
      </c>
      <c r="D60" s="409" t="s">
        <v>722</v>
      </c>
      <c r="E60" s="409" t="s">
        <v>34</v>
      </c>
      <c r="F60" s="409" t="s">
        <v>722</v>
      </c>
      <c r="G60" s="409" t="s">
        <v>34</v>
      </c>
      <c r="H60" s="409" t="s">
        <v>722</v>
      </c>
      <c r="I60" s="409" t="s">
        <v>722</v>
      </c>
      <c r="J60" s="409" t="s">
        <v>722</v>
      </c>
      <c r="K60" s="409" t="s">
        <v>722</v>
      </c>
      <c r="L60" s="409" t="s">
        <v>722</v>
      </c>
      <c r="M60" s="409" t="s">
        <v>5</v>
      </c>
      <c r="N60" s="409">
        <v>0</v>
      </c>
      <c r="O60" s="409">
        <v>0</v>
      </c>
      <c r="P60" s="409">
        <v>0</v>
      </c>
      <c r="Q60" s="409">
        <v>0</v>
      </c>
      <c r="R60" s="409">
        <v>0</v>
      </c>
      <c r="S60" s="409">
        <v>0</v>
      </c>
      <c r="T60" s="409">
        <v>0</v>
      </c>
      <c r="U60" s="409">
        <v>0</v>
      </c>
      <c r="V60" s="409">
        <v>0</v>
      </c>
      <c r="W60" s="409">
        <v>0</v>
      </c>
      <c r="X60" s="409">
        <v>1</v>
      </c>
      <c r="Y60" s="409" t="s">
        <v>5</v>
      </c>
      <c r="Z60" s="409" t="s">
        <v>722</v>
      </c>
      <c r="AA60" s="409">
        <v>0</v>
      </c>
      <c r="AB60" s="409">
        <v>0</v>
      </c>
      <c r="AC60" s="409">
        <v>0</v>
      </c>
      <c r="AD60" s="409">
        <v>0</v>
      </c>
      <c r="AE60" s="409">
        <v>0</v>
      </c>
      <c r="AF60" s="409">
        <v>0</v>
      </c>
      <c r="AG60" s="409">
        <v>0</v>
      </c>
      <c r="AH60" s="409">
        <v>0</v>
      </c>
      <c r="AI60" s="409">
        <v>0</v>
      </c>
      <c r="AJ60" s="409">
        <v>0</v>
      </c>
      <c r="AK60" s="409">
        <v>1</v>
      </c>
      <c r="AL60" s="409" t="s">
        <v>54</v>
      </c>
      <c r="AM60" s="409" t="s">
        <v>722</v>
      </c>
      <c r="AN60" s="409" t="s">
        <v>722</v>
      </c>
      <c r="AO60" s="409" t="s">
        <v>55</v>
      </c>
      <c r="AP60" s="409" t="s">
        <v>722</v>
      </c>
      <c r="AQ60" s="409" t="s">
        <v>722</v>
      </c>
      <c r="AR60" s="409" t="s">
        <v>722</v>
      </c>
      <c r="AS60" s="409" t="s">
        <v>722</v>
      </c>
      <c r="AT60" s="409" t="s">
        <v>5</v>
      </c>
      <c r="AU60" s="409" t="s">
        <v>5</v>
      </c>
      <c r="AV60" s="409" t="s">
        <v>5</v>
      </c>
    </row>
    <row r="61" spans="1:48" x14ac:dyDescent="0.25">
      <c r="A61" s="419">
        <v>4011826654</v>
      </c>
      <c r="B61" s="420" t="s">
        <v>137</v>
      </c>
      <c r="C61" s="421" t="s">
        <v>722</v>
      </c>
      <c r="D61" s="409" t="s">
        <v>722</v>
      </c>
      <c r="E61" s="409">
        <v>0</v>
      </c>
      <c r="F61" s="409" t="s">
        <v>722</v>
      </c>
      <c r="G61" s="409">
        <v>0</v>
      </c>
      <c r="H61" s="409" t="s">
        <v>722</v>
      </c>
      <c r="I61" s="409" t="s">
        <v>722</v>
      </c>
      <c r="J61" s="409" t="s">
        <v>722</v>
      </c>
      <c r="K61" s="409" t="s">
        <v>722</v>
      </c>
      <c r="L61" s="409" t="s">
        <v>722</v>
      </c>
      <c r="M61" s="409">
        <v>0</v>
      </c>
      <c r="N61" s="409">
        <v>0</v>
      </c>
      <c r="O61" s="409">
        <v>0</v>
      </c>
      <c r="P61" s="409">
        <v>0</v>
      </c>
      <c r="Q61" s="409">
        <v>0</v>
      </c>
      <c r="R61" s="409">
        <v>0</v>
      </c>
      <c r="S61" s="409">
        <v>0</v>
      </c>
      <c r="T61" s="409">
        <v>0</v>
      </c>
      <c r="U61" s="409">
        <v>0</v>
      </c>
      <c r="V61" s="409">
        <v>0</v>
      </c>
      <c r="W61" s="409">
        <v>0</v>
      </c>
      <c r="X61" s="409">
        <v>0</v>
      </c>
      <c r="Y61" s="409">
        <v>0</v>
      </c>
      <c r="Z61" s="409" t="s">
        <v>722</v>
      </c>
      <c r="AA61" s="409">
        <v>0</v>
      </c>
      <c r="AB61" s="409">
        <v>0</v>
      </c>
      <c r="AC61" s="409">
        <v>0</v>
      </c>
      <c r="AD61" s="409">
        <v>0</v>
      </c>
      <c r="AE61" s="409">
        <v>0</v>
      </c>
      <c r="AF61" s="409">
        <v>0</v>
      </c>
      <c r="AG61" s="409">
        <v>0</v>
      </c>
      <c r="AH61" s="409">
        <v>0</v>
      </c>
      <c r="AI61" s="409">
        <v>0</v>
      </c>
      <c r="AJ61" s="409">
        <v>0</v>
      </c>
      <c r="AK61" s="409">
        <v>0</v>
      </c>
      <c r="AL61" s="409">
        <v>0</v>
      </c>
      <c r="AM61" s="409" t="s">
        <v>722</v>
      </c>
      <c r="AN61" s="409" t="s">
        <v>722</v>
      </c>
      <c r="AO61" s="409">
        <v>0</v>
      </c>
      <c r="AP61" s="409" t="s">
        <v>722</v>
      </c>
      <c r="AQ61" s="409" t="s">
        <v>722</v>
      </c>
      <c r="AR61" s="409" t="s">
        <v>722</v>
      </c>
      <c r="AS61" s="409" t="s">
        <v>722</v>
      </c>
      <c r="AT61" s="409">
        <v>0</v>
      </c>
      <c r="AU61" s="409">
        <v>0</v>
      </c>
      <c r="AV61" s="409">
        <v>0</v>
      </c>
    </row>
    <row r="62" spans="1:48" x14ac:dyDescent="0.25">
      <c r="A62" s="419">
        <v>4011494692</v>
      </c>
      <c r="B62" s="420" t="s">
        <v>123</v>
      </c>
      <c r="C62" s="421" t="s">
        <v>722</v>
      </c>
      <c r="D62" s="409" t="s">
        <v>722</v>
      </c>
      <c r="E62" s="409" t="s">
        <v>34</v>
      </c>
      <c r="F62" s="409" t="s">
        <v>722</v>
      </c>
      <c r="G62" s="409" t="s">
        <v>34</v>
      </c>
      <c r="H62" s="409" t="s">
        <v>722</v>
      </c>
      <c r="I62" s="409" t="s">
        <v>722</v>
      </c>
      <c r="J62" s="409" t="s">
        <v>722</v>
      </c>
      <c r="K62" s="409" t="s">
        <v>722</v>
      </c>
      <c r="L62" s="409" t="s">
        <v>722</v>
      </c>
      <c r="M62" s="409" t="s">
        <v>4</v>
      </c>
      <c r="N62" s="409">
        <v>0</v>
      </c>
      <c r="O62" s="409">
        <v>0</v>
      </c>
      <c r="P62" s="409">
        <v>0</v>
      </c>
      <c r="Q62" s="409">
        <v>0</v>
      </c>
      <c r="R62" s="409">
        <v>0</v>
      </c>
      <c r="S62" s="409">
        <v>0</v>
      </c>
      <c r="T62" s="409">
        <v>0</v>
      </c>
      <c r="U62" s="409">
        <v>0</v>
      </c>
      <c r="V62" s="409">
        <v>0</v>
      </c>
      <c r="W62" s="409">
        <v>0</v>
      </c>
      <c r="X62" s="409">
        <v>1</v>
      </c>
      <c r="Y62" s="409" t="s">
        <v>33</v>
      </c>
      <c r="Z62" s="409" t="s">
        <v>722</v>
      </c>
      <c r="AA62" s="409">
        <v>0</v>
      </c>
      <c r="AB62" s="409">
        <v>0</v>
      </c>
      <c r="AC62" s="409">
        <v>0</v>
      </c>
      <c r="AD62" s="409">
        <v>0</v>
      </c>
      <c r="AE62" s="409">
        <v>0</v>
      </c>
      <c r="AF62" s="409">
        <v>0</v>
      </c>
      <c r="AG62" s="409">
        <v>1</v>
      </c>
      <c r="AH62" s="409" t="s">
        <v>29</v>
      </c>
      <c r="AI62" s="409">
        <v>2</v>
      </c>
      <c r="AJ62" s="409" t="s">
        <v>29</v>
      </c>
      <c r="AK62" s="409">
        <v>0</v>
      </c>
      <c r="AL62" s="409">
        <v>0</v>
      </c>
      <c r="AM62" s="409" t="s">
        <v>722</v>
      </c>
      <c r="AN62" s="409" t="s">
        <v>722</v>
      </c>
      <c r="AO62" s="409" t="s">
        <v>62</v>
      </c>
      <c r="AP62" s="409" t="s">
        <v>722</v>
      </c>
      <c r="AQ62" s="409" t="s">
        <v>722</v>
      </c>
      <c r="AR62" s="409" t="s">
        <v>722</v>
      </c>
      <c r="AS62" s="409" t="s">
        <v>722</v>
      </c>
      <c r="AT62" s="409" t="s">
        <v>5</v>
      </c>
      <c r="AU62" s="409" t="s">
        <v>5</v>
      </c>
      <c r="AV62" s="409" t="s">
        <v>5</v>
      </c>
    </row>
    <row r="63" spans="1:48" x14ac:dyDescent="0.25">
      <c r="A63" s="419">
        <v>4010770544</v>
      </c>
      <c r="B63" s="420" t="s">
        <v>137</v>
      </c>
      <c r="C63" s="421" t="s">
        <v>722</v>
      </c>
      <c r="D63" s="409" t="s">
        <v>722</v>
      </c>
      <c r="E63" s="409">
        <v>0</v>
      </c>
      <c r="F63" s="409" t="s">
        <v>722</v>
      </c>
      <c r="G63" s="409">
        <v>0</v>
      </c>
      <c r="H63" s="409" t="s">
        <v>722</v>
      </c>
      <c r="I63" s="409" t="s">
        <v>722</v>
      </c>
      <c r="J63" s="409" t="s">
        <v>722</v>
      </c>
      <c r="K63" s="409" t="s">
        <v>722</v>
      </c>
      <c r="L63" s="409" t="s">
        <v>722</v>
      </c>
      <c r="M63" s="409">
        <v>0</v>
      </c>
      <c r="N63" s="409">
        <v>0</v>
      </c>
      <c r="O63" s="409">
        <v>0</v>
      </c>
      <c r="P63" s="409">
        <v>0</v>
      </c>
      <c r="Q63" s="409">
        <v>0</v>
      </c>
      <c r="R63" s="409">
        <v>0</v>
      </c>
      <c r="S63" s="409">
        <v>0</v>
      </c>
      <c r="T63" s="409">
        <v>0</v>
      </c>
      <c r="U63" s="409">
        <v>0</v>
      </c>
      <c r="V63" s="409">
        <v>0</v>
      </c>
      <c r="W63" s="409">
        <v>0</v>
      </c>
      <c r="X63" s="409">
        <v>0</v>
      </c>
      <c r="Y63" s="409">
        <v>0</v>
      </c>
      <c r="Z63" s="409" t="s">
        <v>722</v>
      </c>
      <c r="AA63" s="409">
        <v>0</v>
      </c>
      <c r="AB63" s="409">
        <v>0</v>
      </c>
      <c r="AC63" s="409">
        <v>0</v>
      </c>
      <c r="AD63" s="409">
        <v>0</v>
      </c>
      <c r="AE63" s="409">
        <v>0</v>
      </c>
      <c r="AF63" s="409">
        <v>0</v>
      </c>
      <c r="AG63" s="409">
        <v>0</v>
      </c>
      <c r="AH63" s="409">
        <v>0</v>
      </c>
      <c r="AI63" s="409">
        <v>0</v>
      </c>
      <c r="AJ63" s="409">
        <v>0</v>
      </c>
      <c r="AK63" s="409">
        <v>0</v>
      </c>
      <c r="AL63" s="409">
        <v>0</v>
      </c>
      <c r="AM63" s="409" t="s">
        <v>722</v>
      </c>
      <c r="AN63" s="409" t="s">
        <v>722</v>
      </c>
      <c r="AO63" s="409">
        <v>0</v>
      </c>
      <c r="AP63" s="409" t="s">
        <v>722</v>
      </c>
      <c r="AQ63" s="409" t="s">
        <v>722</v>
      </c>
      <c r="AR63" s="409" t="s">
        <v>722</v>
      </c>
      <c r="AS63" s="409" t="s">
        <v>722</v>
      </c>
      <c r="AT63" s="409">
        <v>0</v>
      </c>
      <c r="AU63" s="409">
        <v>0</v>
      </c>
      <c r="AV63" s="409">
        <v>0</v>
      </c>
    </row>
    <row r="64" spans="1:48" x14ac:dyDescent="0.25">
      <c r="A64" s="419">
        <v>4004081384</v>
      </c>
      <c r="B64" s="420" t="s">
        <v>137</v>
      </c>
      <c r="C64" s="421" t="s">
        <v>722</v>
      </c>
      <c r="D64" s="409" t="s">
        <v>722</v>
      </c>
      <c r="E64" s="409">
        <v>0</v>
      </c>
      <c r="F64" s="409" t="s">
        <v>722</v>
      </c>
      <c r="G64" s="409">
        <v>0</v>
      </c>
      <c r="H64" s="409" t="s">
        <v>722</v>
      </c>
      <c r="I64" s="409" t="s">
        <v>722</v>
      </c>
      <c r="J64" s="409" t="s">
        <v>722</v>
      </c>
      <c r="K64" s="409" t="s">
        <v>722</v>
      </c>
      <c r="L64" s="409" t="s">
        <v>722</v>
      </c>
      <c r="M64" s="409">
        <v>0</v>
      </c>
      <c r="N64" s="409">
        <v>0</v>
      </c>
      <c r="O64" s="409">
        <v>0</v>
      </c>
      <c r="P64" s="409">
        <v>0</v>
      </c>
      <c r="Q64" s="409">
        <v>0</v>
      </c>
      <c r="R64" s="409">
        <v>0</v>
      </c>
      <c r="S64" s="409">
        <v>0</v>
      </c>
      <c r="T64" s="409">
        <v>0</v>
      </c>
      <c r="U64" s="409">
        <v>0</v>
      </c>
      <c r="V64" s="409">
        <v>0</v>
      </c>
      <c r="W64" s="409">
        <v>0</v>
      </c>
      <c r="X64" s="409">
        <v>0</v>
      </c>
      <c r="Y64" s="409">
        <v>0</v>
      </c>
      <c r="Z64" s="409" t="s">
        <v>722</v>
      </c>
      <c r="AA64" s="409">
        <v>0</v>
      </c>
      <c r="AB64" s="409">
        <v>0</v>
      </c>
      <c r="AC64" s="409">
        <v>0</v>
      </c>
      <c r="AD64" s="409">
        <v>0</v>
      </c>
      <c r="AE64" s="409">
        <v>0</v>
      </c>
      <c r="AF64" s="409">
        <v>0</v>
      </c>
      <c r="AG64" s="409">
        <v>0</v>
      </c>
      <c r="AH64" s="409">
        <v>0</v>
      </c>
      <c r="AI64" s="409">
        <v>0</v>
      </c>
      <c r="AJ64" s="409">
        <v>0</v>
      </c>
      <c r="AK64" s="409">
        <v>0</v>
      </c>
      <c r="AL64" s="409">
        <v>0</v>
      </c>
      <c r="AM64" s="409" t="s">
        <v>722</v>
      </c>
      <c r="AN64" s="409" t="s">
        <v>722</v>
      </c>
      <c r="AO64" s="409">
        <v>0</v>
      </c>
      <c r="AP64" s="409" t="s">
        <v>722</v>
      </c>
      <c r="AQ64" s="409" t="s">
        <v>722</v>
      </c>
      <c r="AR64" s="409" t="s">
        <v>722</v>
      </c>
      <c r="AS64" s="409" t="s">
        <v>722</v>
      </c>
      <c r="AT64" s="409">
        <v>0</v>
      </c>
      <c r="AU64" s="409">
        <v>0</v>
      </c>
      <c r="AV64" s="409">
        <v>0</v>
      </c>
    </row>
  </sheetData>
  <autoFilter ref="A8:AV64"/>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0" tint="-0.249977111117893"/>
  </sheetPr>
  <dimension ref="A1:BZ64"/>
  <sheetViews>
    <sheetView topLeftCell="A2" zoomScale="55" zoomScaleNormal="55" workbookViewId="0"/>
  </sheetViews>
  <sheetFormatPr defaultColWidth="8" defaultRowHeight="13.8" x14ac:dyDescent="0.25"/>
  <cols>
    <col min="1" max="3" width="18.09765625" style="409" customWidth="1"/>
    <col min="4" max="4" width="43.09765625" style="409" customWidth="1"/>
    <col min="5" max="5" width="43.5" style="409" customWidth="1"/>
    <col min="6" max="6" width="54" style="409" customWidth="1"/>
    <col min="7" max="7" width="62.3984375" style="409" customWidth="1"/>
    <col min="8" max="8" width="55.8984375" style="409" customWidth="1"/>
    <col min="9" max="10" width="33.19921875" style="409" customWidth="1"/>
    <col min="11" max="18" width="10.5" style="409" customWidth="1"/>
    <col min="19" max="19" width="28.69921875" style="409" customWidth="1"/>
    <col min="20" max="22" width="19.3984375" style="409" customWidth="1"/>
    <col min="23" max="26" width="17.3984375" style="409" customWidth="1"/>
    <col min="27" max="54" width="8" style="409"/>
    <col min="55" max="55" width="31.09765625" style="409" customWidth="1"/>
    <col min="56" max="56" width="86.69921875" style="409" customWidth="1"/>
    <col min="57" max="58" width="21.3984375" style="409" customWidth="1"/>
    <col min="59" max="65" width="8" style="409"/>
    <col min="66" max="66" width="16.8984375" style="409" customWidth="1"/>
    <col min="67" max="16384" width="8" style="409"/>
  </cols>
  <sheetData>
    <row r="1" spans="1:78" hidden="1" x14ac:dyDescent="0.25">
      <c r="A1" s="422" t="s">
        <v>51</v>
      </c>
      <c r="B1" s="422"/>
      <c r="C1" s="422"/>
      <c r="D1" s="423">
        <v>214</v>
      </c>
      <c r="E1" s="423">
        <v>215</v>
      </c>
      <c r="F1" s="423">
        <v>216</v>
      </c>
      <c r="G1" s="423">
        <v>217</v>
      </c>
      <c r="H1" s="423">
        <v>218</v>
      </c>
      <c r="I1" s="423">
        <v>219</v>
      </c>
      <c r="J1" s="423">
        <v>220</v>
      </c>
      <c r="K1" s="423">
        <v>221</v>
      </c>
      <c r="L1" s="423">
        <v>222</v>
      </c>
      <c r="M1" s="423">
        <v>223</v>
      </c>
      <c r="N1" s="423">
        <v>224</v>
      </c>
      <c r="O1" s="423">
        <v>225</v>
      </c>
      <c r="P1" s="423">
        <v>226</v>
      </c>
      <c r="Q1" s="423">
        <v>227</v>
      </c>
      <c r="R1" s="423">
        <v>228</v>
      </c>
      <c r="S1" s="423">
        <v>229</v>
      </c>
      <c r="T1" s="423">
        <v>230</v>
      </c>
      <c r="U1" s="423">
        <v>231</v>
      </c>
      <c r="V1" s="423">
        <v>232</v>
      </c>
      <c r="W1" s="423">
        <v>233</v>
      </c>
      <c r="X1" s="423">
        <v>234</v>
      </c>
      <c r="Y1" s="423">
        <v>235</v>
      </c>
      <c r="Z1" s="423">
        <v>236</v>
      </c>
      <c r="AA1" s="423">
        <v>237</v>
      </c>
      <c r="AB1" s="423">
        <v>238</v>
      </c>
      <c r="AC1" s="423">
        <v>239</v>
      </c>
      <c r="AD1" s="423">
        <v>240</v>
      </c>
      <c r="AE1" s="423">
        <v>241</v>
      </c>
      <c r="AF1" s="423">
        <v>242</v>
      </c>
      <c r="AG1" s="423">
        <v>243</v>
      </c>
      <c r="AH1" s="423">
        <v>244</v>
      </c>
      <c r="AI1" s="423">
        <v>245</v>
      </c>
      <c r="AJ1" s="423">
        <v>246</v>
      </c>
      <c r="AK1" s="423">
        <v>247</v>
      </c>
      <c r="AL1" s="423">
        <v>248</v>
      </c>
      <c r="AM1" s="423">
        <v>249</v>
      </c>
      <c r="AN1" s="423">
        <v>250</v>
      </c>
      <c r="AO1" s="423">
        <v>251</v>
      </c>
      <c r="AP1" s="423">
        <v>252</v>
      </c>
      <c r="AQ1" s="423">
        <v>253</v>
      </c>
      <c r="AR1" s="423">
        <v>254</v>
      </c>
      <c r="AS1" s="423">
        <v>255</v>
      </c>
      <c r="AT1" s="423">
        <v>256</v>
      </c>
      <c r="AU1" s="424">
        <v>10</v>
      </c>
      <c r="AV1" s="424">
        <v>11</v>
      </c>
      <c r="AW1" s="424">
        <v>12</v>
      </c>
      <c r="AX1" s="424">
        <v>13</v>
      </c>
      <c r="AY1" s="424">
        <v>14</v>
      </c>
      <c r="AZ1" s="424">
        <v>139</v>
      </c>
      <c r="BA1" s="424">
        <v>140</v>
      </c>
      <c r="BB1" s="424">
        <v>17</v>
      </c>
      <c r="BC1" s="424">
        <v>18</v>
      </c>
      <c r="BD1" s="424">
        <v>19</v>
      </c>
      <c r="BE1" s="424">
        <v>20</v>
      </c>
      <c r="BF1" s="424">
        <v>21</v>
      </c>
      <c r="BG1" s="424">
        <v>22</v>
      </c>
      <c r="BH1" s="424">
        <v>23</v>
      </c>
      <c r="BI1" s="424">
        <v>24</v>
      </c>
      <c r="BJ1" s="424">
        <v>25</v>
      </c>
      <c r="BK1" s="424">
        <v>26</v>
      </c>
      <c r="BL1" s="424">
        <v>27</v>
      </c>
      <c r="BM1" s="424">
        <v>28</v>
      </c>
      <c r="BN1" s="424">
        <v>29</v>
      </c>
    </row>
    <row r="2" spans="1:78" x14ac:dyDescent="0.25">
      <c r="A2" s="422" t="s">
        <v>128</v>
      </c>
      <c r="B2" s="422"/>
      <c r="C2" s="422"/>
      <c r="D2" s="412">
        <v>167</v>
      </c>
      <c r="E2" s="412">
        <v>168</v>
      </c>
      <c r="F2" s="412">
        <v>169</v>
      </c>
      <c r="G2" s="412">
        <v>170</v>
      </c>
      <c r="H2" s="412">
        <v>171</v>
      </c>
      <c r="I2" s="555">
        <v>172</v>
      </c>
      <c r="J2" s="555"/>
      <c r="K2" s="556">
        <v>173</v>
      </c>
      <c r="L2" s="555"/>
      <c r="M2" s="555"/>
      <c r="N2" s="555"/>
      <c r="O2" s="555"/>
      <c r="P2" s="555"/>
      <c r="Q2" s="555"/>
      <c r="R2" s="555"/>
      <c r="S2" s="425">
        <v>174</v>
      </c>
      <c r="T2" s="555">
        <v>175</v>
      </c>
      <c r="U2" s="555"/>
      <c r="V2" s="555"/>
      <c r="W2" s="555">
        <v>176</v>
      </c>
      <c r="X2" s="555"/>
      <c r="Y2" s="555"/>
      <c r="Z2" s="555"/>
      <c r="AA2" s="555">
        <v>177</v>
      </c>
      <c r="AB2" s="555"/>
      <c r="AC2" s="555"/>
      <c r="AD2" s="555"/>
      <c r="AE2" s="555"/>
      <c r="AF2" s="555"/>
      <c r="AG2" s="555"/>
      <c r="AH2" s="555"/>
      <c r="AI2" s="555"/>
      <c r="AJ2" s="555"/>
      <c r="AK2" s="555"/>
      <c r="AL2" s="555"/>
      <c r="AM2" s="555"/>
      <c r="AN2" s="555"/>
      <c r="AO2" s="555"/>
      <c r="AP2" s="555">
        <v>178</v>
      </c>
      <c r="AQ2" s="555"/>
      <c r="AR2" s="555"/>
      <c r="AS2" s="555"/>
      <c r="AT2" s="555"/>
      <c r="AU2" s="555"/>
      <c r="AV2" s="555"/>
      <c r="AW2" s="555"/>
      <c r="AX2" s="555"/>
      <c r="AY2" s="555"/>
      <c r="AZ2" s="555"/>
      <c r="BA2" s="555"/>
      <c r="BB2" s="555"/>
      <c r="BC2" s="409">
        <v>179</v>
      </c>
      <c r="BD2" s="412">
        <v>180</v>
      </c>
      <c r="BE2" s="554">
        <v>181</v>
      </c>
      <c r="BF2" s="554"/>
      <c r="BG2" s="555">
        <v>182</v>
      </c>
      <c r="BH2" s="555"/>
      <c r="BI2" s="555"/>
      <c r="BJ2" s="555"/>
      <c r="BK2" s="555"/>
      <c r="BL2" s="555"/>
      <c r="BM2" s="555"/>
      <c r="BN2" s="555"/>
    </row>
    <row r="3" spans="1:78" ht="50.1" customHeight="1" x14ac:dyDescent="0.25">
      <c r="A3" s="422" t="s">
        <v>127</v>
      </c>
      <c r="B3" s="422"/>
      <c r="C3" s="422"/>
      <c r="D3" s="422" t="s">
        <v>105</v>
      </c>
      <c r="E3" s="422" t="s">
        <v>104</v>
      </c>
      <c r="F3" s="412" t="s">
        <v>103</v>
      </c>
      <c r="G3" s="412" t="s">
        <v>102</v>
      </c>
      <c r="H3" s="412" t="s">
        <v>101</v>
      </c>
      <c r="I3" s="554" t="s">
        <v>168</v>
      </c>
      <c r="J3" s="554"/>
      <c r="K3" s="554" t="s">
        <v>169</v>
      </c>
      <c r="L3" s="554"/>
      <c r="M3" s="554"/>
      <c r="N3" s="554"/>
      <c r="O3" s="554"/>
      <c r="P3" s="554"/>
      <c r="Q3" s="554"/>
      <c r="R3" s="554"/>
      <c r="S3" s="426" t="s">
        <v>100</v>
      </c>
      <c r="T3" s="554" t="s">
        <v>85</v>
      </c>
      <c r="U3" s="554"/>
      <c r="V3" s="554"/>
      <c r="W3" s="554" t="s">
        <v>170</v>
      </c>
      <c r="X3" s="554"/>
      <c r="Y3" s="554"/>
      <c r="Z3" s="554"/>
      <c r="AA3" s="554" t="s">
        <v>171</v>
      </c>
      <c r="AB3" s="554"/>
      <c r="AC3" s="554"/>
      <c r="AD3" s="554"/>
      <c r="AE3" s="554"/>
      <c r="AF3" s="554"/>
      <c r="AG3" s="554"/>
      <c r="AH3" s="554"/>
      <c r="AI3" s="554"/>
      <c r="AJ3" s="554"/>
      <c r="AK3" s="554"/>
      <c r="AL3" s="554"/>
      <c r="AM3" s="554"/>
      <c r="AN3" s="554"/>
      <c r="AO3" s="554"/>
      <c r="AP3" s="554" t="s">
        <v>172</v>
      </c>
      <c r="AQ3" s="554"/>
      <c r="AR3" s="554"/>
      <c r="AS3" s="554"/>
      <c r="AT3" s="554"/>
      <c r="AU3" s="554"/>
      <c r="AV3" s="554"/>
      <c r="AW3" s="554"/>
      <c r="AX3" s="554"/>
      <c r="AY3" s="554"/>
      <c r="AZ3" s="554"/>
      <c r="BA3" s="554"/>
      <c r="BB3" s="554"/>
      <c r="BC3" s="427" t="s">
        <v>115</v>
      </c>
      <c r="BD3" s="422" t="s">
        <v>173</v>
      </c>
      <c r="BE3" s="554" t="s">
        <v>114</v>
      </c>
      <c r="BF3" s="554"/>
      <c r="BG3" s="554" t="s">
        <v>113</v>
      </c>
      <c r="BH3" s="554"/>
      <c r="BI3" s="554"/>
      <c r="BJ3" s="554"/>
      <c r="BK3" s="554"/>
      <c r="BL3" s="554"/>
      <c r="BM3" s="554"/>
      <c r="BN3" s="554"/>
    </row>
    <row r="4" spans="1:78" s="427" customFormat="1" ht="303.60000000000002" x14ac:dyDescent="0.25">
      <c r="A4" s="422" t="s">
        <v>126</v>
      </c>
      <c r="B4" s="422"/>
      <c r="D4" s="427" t="s">
        <v>46</v>
      </c>
      <c r="E4" s="427" t="s">
        <v>48</v>
      </c>
      <c r="F4" s="427" t="s">
        <v>48</v>
      </c>
      <c r="G4" s="427" t="s">
        <v>48</v>
      </c>
      <c r="H4" s="427" t="s">
        <v>48</v>
      </c>
      <c r="J4" s="427" t="s">
        <v>47</v>
      </c>
      <c r="K4" s="427" t="s">
        <v>174</v>
      </c>
      <c r="L4" s="427" t="s">
        <v>47</v>
      </c>
      <c r="M4" s="427" t="s">
        <v>175</v>
      </c>
      <c r="N4" s="427" t="s">
        <v>47</v>
      </c>
      <c r="O4" s="427" t="s">
        <v>176</v>
      </c>
      <c r="P4" s="427" t="s">
        <v>47</v>
      </c>
      <c r="Q4" s="427" t="s">
        <v>177</v>
      </c>
      <c r="R4" s="427" t="s">
        <v>47</v>
      </c>
      <c r="S4" s="427" t="s">
        <v>48</v>
      </c>
      <c r="T4" s="427" t="s">
        <v>76</v>
      </c>
      <c r="U4" s="427" t="s">
        <v>92</v>
      </c>
      <c r="V4" s="427" t="s">
        <v>84</v>
      </c>
      <c r="W4" s="427" t="s">
        <v>1</v>
      </c>
      <c r="X4" s="427" t="s">
        <v>45</v>
      </c>
      <c r="Y4" s="427" t="s">
        <v>42</v>
      </c>
      <c r="Z4" s="427" t="s">
        <v>44</v>
      </c>
      <c r="AA4" s="427" t="s">
        <v>91</v>
      </c>
      <c r="AB4" s="427" t="s">
        <v>90</v>
      </c>
      <c r="AC4" s="427" t="s">
        <v>89</v>
      </c>
      <c r="AD4" s="427" t="s">
        <v>88</v>
      </c>
      <c r="AE4" s="427" t="s">
        <v>75</v>
      </c>
      <c r="AF4" s="427" t="s">
        <v>74</v>
      </c>
      <c r="AG4" s="427" t="s">
        <v>87</v>
      </c>
      <c r="AH4" s="427" t="s">
        <v>86</v>
      </c>
      <c r="AI4" s="427" t="s">
        <v>73</v>
      </c>
      <c r="AJ4" s="427" t="s">
        <v>72</v>
      </c>
      <c r="AK4" s="427" t="s">
        <v>71</v>
      </c>
      <c r="AL4" s="427" t="s">
        <v>70</v>
      </c>
      <c r="AM4" s="427" t="s">
        <v>69</v>
      </c>
      <c r="AN4" s="427" t="s">
        <v>68</v>
      </c>
      <c r="AO4" s="427" t="s">
        <v>47</v>
      </c>
      <c r="AP4" s="427" t="s">
        <v>67</v>
      </c>
      <c r="AQ4" s="427" t="s">
        <v>66</v>
      </c>
      <c r="AR4" s="427" t="s">
        <v>65</v>
      </c>
      <c r="AS4" s="427" t="s">
        <v>64</v>
      </c>
      <c r="AT4" s="427" t="s">
        <v>63</v>
      </c>
      <c r="AU4" s="427" t="s">
        <v>83</v>
      </c>
      <c r="AV4" s="427" t="s">
        <v>82</v>
      </c>
      <c r="AW4" s="427" t="s">
        <v>81</v>
      </c>
      <c r="AX4" s="427" t="s">
        <v>80</v>
      </c>
      <c r="AY4" s="427" t="s">
        <v>79</v>
      </c>
      <c r="AZ4" s="427" t="s">
        <v>94</v>
      </c>
      <c r="BA4" s="427" t="s">
        <v>93</v>
      </c>
      <c r="BB4" s="427" t="s">
        <v>47</v>
      </c>
      <c r="BC4" s="427" t="s">
        <v>48</v>
      </c>
      <c r="BD4" s="427" t="s">
        <v>48</v>
      </c>
      <c r="BF4" s="427" t="s">
        <v>78</v>
      </c>
      <c r="BG4" s="427" t="s">
        <v>52</v>
      </c>
      <c r="BH4" s="427" t="s">
        <v>56</v>
      </c>
      <c r="BI4" s="427" t="s">
        <v>59</v>
      </c>
      <c r="BJ4" s="427" t="s">
        <v>58</v>
      </c>
      <c r="BK4" s="427" t="s">
        <v>60</v>
      </c>
      <c r="BL4" s="427" t="s">
        <v>57</v>
      </c>
      <c r="BM4" s="427" t="s">
        <v>61</v>
      </c>
      <c r="BN4" s="427" t="s">
        <v>77</v>
      </c>
      <c r="BO4" s="100" t="s">
        <v>310</v>
      </c>
      <c r="BP4" s="100" t="s">
        <v>311</v>
      </c>
      <c r="BQ4" s="100" t="s">
        <v>312</v>
      </c>
      <c r="BR4" s="100" t="s">
        <v>313</v>
      </c>
      <c r="BS4" s="100" t="s">
        <v>314</v>
      </c>
      <c r="BT4" s="100" t="s">
        <v>315</v>
      </c>
      <c r="BU4" s="100" t="s">
        <v>316</v>
      </c>
      <c r="BV4" s="100" t="s">
        <v>317</v>
      </c>
      <c r="BW4" s="100" t="s">
        <v>318</v>
      </c>
      <c r="BX4" s="100" t="s">
        <v>319</v>
      </c>
      <c r="BY4" s="100" t="s">
        <v>320</v>
      </c>
      <c r="BZ4" s="100" t="s">
        <v>321</v>
      </c>
    </row>
    <row r="5" spans="1:78" x14ac:dyDescent="0.25">
      <c r="A5" s="422" t="s">
        <v>125</v>
      </c>
      <c r="B5" s="422"/>
      <c r="C5" s="422"/>
      <c r="D5" s="409">
        <v>3</v>
      </c>
      <c r="E5" s="409">
        <v>3</v>
      </c>
      <c r="F5" s="409">
        <v>3</v>
      </c>
      <c r="G5" s="409">
        <v>3</v>
      </c>
      <c r="H5" s="409">
        <v>3</v>
      </c>
      <c r="I5" s="409">
        <v>3</v>
      </c>
      <c r="J5" s="409">
        <v>3</v>
      </c>
      <c r="K5" s="409">
        <v>3</v>
      </c>
      <c r="L5" s="409">
        <v>3</v>
      </c>
      <c r="M5" s="409">
        <v>3</v>
      </c>
      <c r="N5" s="409">
        <v>3</v>
      </c>
      <c r="O5" s="409">
        <v>3</v>
      </c>
      <c r="P5" s="409">
        <v>3</v>
      </c>
      <c r="Q5" s="409">
        <v>3</v>
      </c>
      <c r="R5" s="409">
        <v>3</v>
      </c>
      <c r="S5" s="409">
        <v>3</v>
      </c>
      <c r="T5" s="409">
        <v>3</v>
      </c>
      <c r="U5" s="409">
        <v>3</v>
      </c>
      <c r="V5" s="409">
        <v>3</v>
      </c>
      <c r="W5" s="409">
        <v>3</v>
      </c>
      <c r="X5" s="409">
        <v>3</v>
      </c>
      <c r="Y5" s="409">
        <v>3</v>
      </c>
      <c r="Z5" s="409">
        <v>3</v>
      </c>
      <c r="AA5" s="409">
        <v>3</v>
      </c>
      <c r="AB5" s="409">
        <v>3</v>
      </c>
      <c r="AC5" s="409">
        <v>3</v>
      </c>
      <c r="AD5" s="409">
        <v>3</v>
      </c>
      <c r="AE5" s="409">
        <v>3</v>
      </c>
      <c r="AF5" s="409">
        <v>3</v>
      </c>
      <c r="AG5" s="409">
        <v>3</v>
      </c>
      <c r="AH5" s="409">
        <v>3</v>
      </c>
      <c r="AI5" s="409">
        <v>3</v>
      </c>
      <c r="AJ5" s="409">
        <v>3</v>
      </c>
      <c r="AK5" s="409">
        <v>3</v>
      </c>
      <c r="AL5" s="409">
        <v>3</v>
      </c>
      <c r="AM5" s="409">
        <v>3</v>
      </c>
      <c r="AN5" s="409">
        <v>3</v>
      </c>
      <c r="AO5" s="409">
        <v>3</v>
      </c>
      <c r="AP5" s="409">
        <v>3</v>
      </c>
      <c r="AQ5" s="409">
        <v>3</v>
      </c>
      <c r="AR5" s="409">
        <v>3</v>
      </c>
      <c r="AS5" s="409">
        <v>3</v>
      </c>
      <c r="AT5" s="409">
        <v>3</v>
      </c>
      <c r="AU5" s="409">
        <v>4</v>
      </c>
      <c r="AV5" s="409">
        <v>4</v>
      </c>
      <c r="AW5" s="409">
        <v>4</v>
      </c>
      <c r="AX5" s="409">
        <v>4</v>
      </c>
      <c r="AY5" s="409">
        <v>4</v>
      </c>
      <c r="AZ5" s="409">
        <v>4</v>
      </c>
      <c r="BA5" s="409">
        <v>4</v>
      </c>
      <c r="BB5" s="409">
        <v>4</v>
      </c>
      <c r="BC5" s="409">
        <v>4</v>
      </c>
      <c r="BD5" s="409">
        <v>4</v>
      </c>
      <c r="BE5" s="409">
        <v>4</v>
      </c>
      <c r="BF5" s="409">
        <v>4</v>
      </c>
      <c r="BG5" s="409">
        <v>4</v>
      </c>
      <c r="BH5" s="409">
        <v>4</v>
      </c>
      <c r="BI5" s="409">
        <v>4</v>
      </c>
      <c r="BJ5" s="409">
        <v>4</v>
      </c>
      <c r="BK5" s="409">
        <v>4</v>
      </c>
      <c r="BL5" s="409">
        <v>4</v>
      </c>
      <c r="BM5" s="409">
        <v>4</v>
      </c>
      <c r="BN5" s="409">
        <v>4</v>
      </c>
      <c r="BO5" s="100" t="s">
        <v>381</v>
      </c>
      <c r="BP5" s="100" t="s">
        <v>381</v>
      </c>
      <c r="BQ5" s="100" t="s">
        <v>381</v>
      </c>
      <c r="BR5" s="100" t="s">
        <v>380</v>
      </c>
      <c r="BS5" s="100" t="s">
        <v>380</v>
      </c>
      <c r="BT5" s="100" t="s">
        <v>380</v>
      </c>
      <c r="BU5" s="100" t="s">
        <v>379</v>
      </c>
      <c r="BV5" s="100" t="s">
        <v>379</v>
      </c>
      <c r="BW5" s="100" t="s">
        <v>379</v>
      </c>
      <c r="BX5" s="100" t="s">
        <v>378</v>
      </c>
      <c r="BY5" s="100" t="s">
        <v>378</v>
      </c>
      <c r="BZ5" s="100" t="s">
        <v>378</v>
      </c>
    </row>
    <row r="6" spans="1:78" ht="15" thickBot="1" x14ac:dyDescent="0.3">
      <c r="A6" s="422" t="s">
        <v>124</v>
      </c>
      <c r="B6" s="422"/>
      <c r="C6" s="422" t="s">
        <v>299</v>
      </c>
      <c r="D6" s="409" t="s">
        <v>122</v>
      </c>
      <c r="E6" s="409" t="s">
        <v>121</v>
      </c>
      <c r="F6" s="409" t="s">
        <v>120</v>
      </c>
      <c r="G6" s="409" t="s">
        <v>119</v>
      </c>
      <c r="H6" s="409" t="s">
        <v>118</v>
      </c>
      <c r="I6" s="409" t="s">
        <v>117</v>
      </c>
      <c r="J6" s="409" t="s">
        <v>178</v>
      </c>
      <c r="K6" s="409" t="s">
        <v>179</v>
      </c>
      <c r="L6" s="409" t="s">
        <v>180</v>
      </c>
      <c r="M6" s="409" t="s">
        <v>181</v>
      </c>
      <c r="N6" s="409" t="s">
        <v>182</v>
      </c>
      <c r="O6" s="409" t="s">
        <v>183</v>
      </c>
      <c r="P6" s="409" t="s">
        <v>184</v>
      </c>
      <c r="Q6" s="409" t="s">
        <v>185</v>
      </c>
      <c r="R6" s="409" t="s">
        <v>186</v>
      </c>
      <c r="S6" s="409" t="s">
        <v>187</v>
      </c>
      <c r="T6" s="409" t="s">
        <v>188</v>
      </c>
      <c r="U6" s="409" t="s">
        <v>189</v>
      </c>
      <c r="V6" s="409" t="s">
        <v>190</v>
      </c>
      <c r="W6" s="409" t="s">
        <v>191</v>
      </c>
      <c r="X6" s="409" t="s">
        <v>192</v>
      </c>
      <c r="Y6" s="409" t="s">
        <v>193</v>
      </c>
      <c r="Z6" s="409" t="s">
        <v>194</v>
      </c>
      <c r="AA6" s="409" t="s">
        <v>195</v>
      </c>
      <c r="AB6" s="409" t="s">
        <v>196</v>
      </c>
      <c r="AC6" s="409" t="s">
        <v>197</v>
      </c>
      <c r="AD6" s="409" t="s">
        <v>198</v>
      </c>
      <c r="AE6" s="409" t="s">
        <v>199</v>
      </c>
      <c r="AF6" s="409" t="s">
        <v>200</v>
      </c>
      <c r="AG6" s="409" t="s">
        <v>201</v>
      </c>
      <c r="AH6" s="409" t="s">
        <v>202</v>
      </c>
      <c r="AI6" s="409" t="s">
        <v>203</v>
      </c>
      <c r="AJ6" s="409" t="s">
        <v>204</v>
      </c>
      <c r="AK6" s="409" t="s">
        <v>205</v>
      </c>
      <c r="AL6" s="409" t="s">
        <v>206</v>
      </c>
      <c r="AM6" s="409" t="s">
        <v>207</v>
      </c>
      <c r="AN6" s="409" t="s">
        <v>208</v>
      </c>
      <c r="AO6" s="409" t="s">
        <v>209</v>
      </c>
      <c r="AP6" s="409" t="s">
        <v>210</v>
      </c>
      <c r="AQ6" s="409" t="s">
        <v>211</v>
      </c>
      <c r="AR6" s="409" t="s">
        <v>212</v>
      </c>
      <c r="AS6" s="409" t="s">
        <v>213</v>
      </c>
      <c r="AT6" s="409" t="s">
        <v>214</v>
      </c>
      <c r="AU6" s="409" t="s">
        <v>215</v>
      </c>
      <c r="AV6" s="409" t="s">
        <v>139</v>
      </c>
      <c r="AW6" s="409" t="s">
        <v>216</v>
      </c>
      <c r="AX6" s="409" t="s">
        <v>217</v>
      </c>
      <c r="AY6" s="409" t="s">
        <v>140</v>
      </c>
      <c r="AZ6" s="409" t="s">
        <v>141</v>
      </c>
      <c r="BA6" s="409" t="s">
        <v>142</v>
      </c>
      <c r="BB6" s="409" t="s">
        <v>128</v>
      </c>
      <c r="BC6" s="409" t="s">
        <v>218</v>
      </c>
      <c r="BD6" s="409" t="s">
        <v>219</v>
      </c>
      <c r="BE6" s="409" t="s">
        <v>220</v>
      </c>
      <c r="BF6" s="409" t="s">
        <v>221</v>
      </c>
      <c r="BG6" s="409" t="s">
        <v>222</v>
      </c>
      <c r="BH6" s="409" t="s">
        <v>143</v>
      </c>
      <c r="BI6" s="409" t="s">
        <v>223</v>
      </c>
      <c r="BJ6" s="409" t="s">
        <v>224</v>
      </c>
      <c r="BK6" s="409" t="s">
        <v>225</v>
      </c>
      <c r="BL6" s="409" t="s">
        <v>226</v>
      </c>
      <c r="BM6" s="409" t="s">
        <v>227</v>
      </c>
      <c r="BN6" s="409" t="s">
        <v>228</v>
      </c>
      <c r="BO6" s="428" t="s">
        <v>711</v>
      </c>
      <c r="BP6" s="428" t="s">
        <v>712</v>
      </c>
      <c r="BQ6" s="428" t="s">
        <v>713</v>
      </c>
      <c r="BR6" s="428" t="s">
        <v>711</v>
      </c>
      <c r="BS6" s="428" t="s">
        <v>712</v>
      </c>
      <c r="BT6" s="428" t="s">
        <v>713</v>
      </c>
      <c r="BU6" s="428" t="s">
        <v>711</v>
      </c>
      <c r="BV6" s="428" t="s">
        <v>712</v>
      </c>
      <c r="BW6" s="428" t="s">
        <v>713</v>
      </c>
      <c r="BX6" s="428" t="s">
        <v>711</v>
      </c>
      <c r="BY6" s="428" t="s">
        <v>712</v>
      </c>
      <c r="BZ6" s="428" t="s">
        <v>713</v>
      </c>
    </row>
    <row r="7" spans="1:78" ht="14.4" x14ac:dyDescent="0.25">
      <c r="A7" s="422"/>
      <c r="BO7" s="429"/>
      <c r="BP7" s="429"/>
      <c r="BQ7" s="429"/>
      <c r="BR7" s="429"/>
      <c r="BS7" s="429"/>
      <c r="BT7" s="429"/>
      <c r="BU7" s="429"/>
      <c r="BV7" s="429"/>
      <c r="BW7" s="429"/>
      <c r="BX7" s="429"/>
      <c r="BY7" s="429"/>
      <c r="BZ7" s="429"/>
    </row>
    <row r="8" spans="1:78" ht="43.2" x14ac:dyDescent="0.25">
      <c r="A8" s="422"/>
      <c r="B8" s="418" t="s">
        <v>292</v>
      </c>
      <c r="C8" s="418" t="s">
        <v>334</v>
      </c>
      <c r="D8" s="422" t="s">
        <v>229</v>
      </c>
      <c r="E8" s="422" t="s">
        <v>230</v>
      </c>
      <c r="F8" s="422" t="s">
        <v>231</v>
      </c>
      <c r="G8" s="422" t="s">
        <v>232</v>
      </c>
      <c r="H8" s="422" t="s">
        <v>233</v>
      </c>
      <c r="I8" s="422" t="s">
        <v>234</v>
      </c>
      <c r="J8" s="422" t="s">
        <v>235</v>
      </c>
      <c r="K8" s="422" t="s">
        <v>236</v>
      </c>
      <c r="L8" s="422" t="s">
        <v>237</v>
      </c>
      <c r="M8" s="422" t="s">
        <v>238</v>
      </c>
      <c r="N8" s="422" t="s">
        <v>239</v>
      </c>
      <c r="O8" s="422" t="s">
        <v>240</v>
      </c>
      <c r="P8" s="422" t="s">
        <v>241</v>
      </c>
      <c r="Q8" s="422" t="s">
        <v>242</v>
      </c>
      <c r="R8" s="422" t="s">
        <v>243</v>
      </c>
      <c r="S8" s="422" t="s">
        <v>244</v>
      </c>
      <c r="T8" s="422" t="s">
        <v>245</v>
      </c>
      <c r="U8" s="422" t="s">
        <v>246</v>
      </c>
      <c r="V8" s="422" t="s">
        <v>247</v>
      </c>
      <c r="W8" s="422" t="s">
        <v>248</v>
      </c>
      <c r="X8" s="422" t="s">
        <v>249</v>
      </c>
      <c r="Y8" s="422" t="s">
        <v>250</v>
      </c>
      <c r="Z8" s="422" t="s">
        <v>251</v>
      </c>
      <c r="AA8" s="422" t="s">
        <v>252</v>
      </c>
      <c r="AB8" s="422" t="s">
        <v>253</v>
      </c>
      <c r="AC8" s="422" t="s">
        <v>254</v>
      </c>
      <c r="AD8" s="422" t="s">
        <v>255</v>
      </c>
      <c r="AE8" s="422" t="s">
        <v>256</v>
      </c>
      <c r="AF8" s="422" t="s">
        <v>257</v>
      </c>
      <c r="AG8" s="422" t="s">
        <v>258</v>
      </c>
      <c r="AH8" s="422" t="s">
        <v>259</v>
      </c>
      <c r="AI8" s="422" t="s">
        <v>260</v>
      </c>
      <c r="AJ8" s="422" t="s">
        <v>261</v>
      </c>
      <c r="AK8" s="422" t="s">
        <v>262</v>
      </c>
      <c r="AL8" s="422" t="s">
        <v>263</v>
      </c>
      <c r="AM8" s="422" t="s">
        <v>264</v>
      </c>
      <c r="AN8" s="422" t="s">
        <v>265</v>
      </c>
      <c r="AO8" s="422" t="s">
        <v>266</v>
      </c>
      <c r="AP8" s="422" t="s">
        <v>267</v>
      </c>
      <c r="AQ8" s="422" t="s">
        <v>268</v>
      </c>
      <c r="AR8" s="422" t="s">
        <v>269</v>
      </c>
      <c r="AS8" s="422" t="s">
        <v>270</v>
      </c>
      <c r="AT8" s="422" t="s">
        <v>271</v>
      </c>
      <c r="AU8" s="422" t="s">
        <v>272</v>
      </c>
      <c r="AV8" s="422" t="s">
        <v>273</v>
      </c>
      <c r="AW8" s="422" t="s">
        <v>274</v>
      </c>
      <c r="AX8" s="422" t="s">
        <v>275</v>
      </c>
      <c r="AY8" s="422" t="s">
        <v>276</v>
      </c>
      <c r="AZ8" s="422" t="s">
        <v>277</v>
      </c>
      <c r="BA8" s="422" t="s">
        <v>278</v>
      </c>
      <c r="BB8" s="422" t="s">
        <v>279</v>
      </c>
      <c r="BC8" s="422" t="s">
        <v>280</v>
      </c>
      <c r="BD8" s="422" t="s">
        <v>281</v>
      </c>
      <c r="BE8" s="422" t="s">
        <v>282</v>
      </c>
      <c r="BF8" s="422" t="s">
        <v>283</v>
      </c>
      <c r="BG8" s="422" t="s">
        <v>284</v>
      </c>
      <c r="BH8" s="422" t="s">
        <v>285</v>
      </c>
      <c r="BI8" s="422" t="s">
        <v>286</v>
      </c>
      <c r="BJ8" s="422" t="s">
        <v>287</v>
      </c>
      <c r="BK8" s="422" t="s">
        <v>288</v>
      </c>
      <c r="BL8" s="422" t="s">
        <v>289</v>
      </c>
      <c r="BM8" s="422" t="s">
        <v>290</v>
      </c>
      <c r="BN8" s="422" t="s">
        <v>291</v>
      </c>
      <c r="BO8" s="429" t="s">
        <v>453</v>
      </c>
      <c r="BP8" s="429" t="s">
        <v>452</v>
      </c>
      <c r="BQ8" s="429" t="s">
        <v>451</v>
      </c>
      <c r="BR8" s="429" t="s">
        <v>455</v>
      </c>
      <c r="BS8" s="429" t="s">
        <v>454</v>
      </c>
      <c r="BT8" s="429" t="s">
        <v>450</v>
      </c>
      <c r="BU8" s="429" t="s">
        <v>457</v>
      </c>
      <c r="BV8" s="429" t="s">
        <v>456</v>
      </c>
      <c r="BW8" s="429" t="s">
        <v>449</v>
      </c>
      <c r="BX8" s="429" t="s">
        <v>459</v>
      </c>
      <c r="BY8" s="429" t="s">
        <v>458</v>
      </c>
      <c r="BZ8" s="429" t="s">
        <v>448</v>
      </c>
    </row>
    <row r="9" spans="1:78" ht="14.4" x14ac:dyDescent="0.3">
      <c r="A9" s="410">
        <v>4084108261</v>
      </c>
      <c r="B9" s="409" t="s">
        <v>136</v>
      </c>
      <c r="C9" s="409" t="s">
        <v>722</v>
      </c>
      <c r="D9" s="409" t="s">
        <v>722</v>
      </c>
      <c r="E9" s="409" t="s">
        <v>722</v>
      </c>
      <c r="F9" s="409" t="s">
        <v>722</v>
      </c>
      <c r="G9" s="409" t="s">
        <v>722</v>
      </c>
      <c r="H9" s="409" t="s">
        <v>722</v>
      </c>
      <c r="I9" s="409">
        <v>0</v>
      </c>
      <c r="J9" s="409" t="s">
        <v>722</v>
      </c>
      <c r="K9" s="409">
        <v>0</v>
      </c>
      <c r="L9" s="409" t="s">
        <v>722</v>
      </c>
      <c r="M9" s="409">
        <v>0</v>
      </c>
      <c r="N9" s="409" t="s">
        <v>722</v>
      </c>
      <c r="O9" s="409">
        <v>0</v>
      </c>
      <c r="P9" s="409" t="s">
        <v>722</v>
      </c>
      <c r="Q9" s="409">
        <v>0</v>
      </c>
      <c r="R9" s="409" t="s">
        <v>722</v>
      </c>
      <c r="S9" s="409" t="s">
        <v>722</v>
      </c>
      <c r="T9" s="409" t="s">
        <v>722</v>
      </c>
      <c r="U9" s="409" t="s">
        <v>722</v>
      </c>
      <c r="V9" s="409" t="s">
        <v>722</v>
      </c>
      <c r="W9" s="409">
        <v>0</v>
      </c>
      <c r="X9" s="409">
        <v>0</v>
      </c>
      <c r="Y9" s="409">
        <v>0</v>
      </c>
      <c r="Z9" s="409">
        <v>0</v>
      </c>
      <c r="AA9" s="409">
        <v>0</v>
      </c>
      <c r="AB9" s="409">
        <v>0</v>
      </c>
      <c r="AC9" s="409">
        <v>0</v>
      </c>
      <c r="AD9" s="409">
        <v>0</v>
      </c>
      <c r="AE9" s="409">
        <v>0</v>
      </c>
      <c r="AF9" s="409">
        <v>0</v>
      </c>
      <c r="AG9" s="409">
        <v>0</v>
      </c>
      <c r="AH9" s="409">
        <v>0</v>
      </c>
      <c r="AI9" s="409">
        <v>0</v>
      </c>
      <c r="AJ9" s="409">
        <v>0</v>
      </c>
      <c r="AK9" s="409">
        <v>0</v>
      </c>
      <c r="AL9" s="409">
        <v>0</v>
      </c>
      <c r="AM9" s="409">
        <v>0</v>
      </c>
      <c r="AN9" s="409">
        <v>0</v>
      </c>
      <c r="AO9" s="409" t="s">
        <v>722</v>
      </c>
      <c r="AP9" s="409">
        <v>0</v>
      </c>
      <c r="AQ9" s="409">
        <v>0</v>
      </c>
      <c r="AR9" s="409">
        <v>0</v>
      </c>
      <c r="AS9" s="409">
        <v>0</v>
      </c>
      <c r="AT9" s="409">
        <v>0</v>
      </c>
      <c r="AU9" s="409">
        <v>0</v>
      </c>
      <c r="AV9" s="409">
        <v>0</v>
      </c>
      <c r="AW9" s="409">
        <v>0</v>
      </c>
      <c r="AX9" s="409">
        <v>0</v>
      </c>
      <c r="AY9" s="409">
        <v>0</v>
      </c>
      <c r="AZ9" s="409">
        <v>0</v>
      </c>
      <c r="BA9" s="409">
        <v>0</v>
      </c>
      <c r="BB9" s="409" t="s">
        <v>722</v>
      </c>
      <c r="BC9" s="409" t="s">
        <v>722</v>
      </c>
      <c r="BD9" s="409" t="s">
        <v>722</v>
      </c>
      <c r="BE9" s="409">
        <v>0</v>
      </c>
      <c r="BF9" s="409" t="s">
        <v>722</v>
      </c>
      <c r="BG9" s="409" t="s">
        <v>722</v>
      </c>
      <c r="BH9" s="409" t="s">
        <v>722</v>
      </c>
      <c r="BI9" s="409" t="s">
        <v>722</v>
      </c>
      <c r="BJ9" s="409" t="s">
        <v>722</v>
      </c>
      <c r="BK9" s="409" t="s">
        <v>722</v>
      </c>
      <c r="BL9" s="409" t="s">
        <v>722</v>
      </c>
      <c r="BM9" s="409" t="s">
        <v>722</v>
      </c>
      <c r="BN9" s="409" t="s">
        <v>722</v>
      </c>
      <c r="BO9" s="409">
        <v>0</v>
      </c>
      <c r="BP9" s="409">
        <v>0</v>
      </c>
      <c r="BQ9" s="409">
        <v>0</v>
      </c>
      <c r="BR9" s="409">
        <v>0</v>
      </c>
      <c r="BS9" s="409">
        <v>0</v>
      </c>
      <c r="BT9" s="409">
        <v>0</v>
      </c>
      <c r="BU9" s="409">
        <v>0</v>
      </c>
      <c r="BV9" s="409">
        <v>0</v>
      </c>
      <c r="BW9" s="409">
        <v>0</v>
      </c>
      <c r="BX9" s="409">
        <v>0</v>
      </c>
      <c r="BY9" s="409">
        <v>0</v>
      </c>
      <c r="BZ9" s="409">
        <v>0</v>
      </c>
    </row>
    <row r="10" spans="1:78" ht="14.4" x14ac:dyDescent="0.3">
      <c r="A10" s="410">
        <v>4061770804</v>
      </c>
      <c r="B10" s="409" t="s">
        <v>135</v>
      </c>
      <c r="C10" s="409" t="s">
        <v>722</v>
      </c>
      <c r="D10" s="409" t="s">
        <v>722</v>
      </c>
      <c r="E10" s="409" t="s">
        <v>722</v>
      </c>
      <c r="F10" s="409" t="s">
        <v>722</v>
      </c>
      <c r="G10" s="409" t="s">
        <v>722</v>
      </c>
      <c r="H10" s="409" t="s">
        <v>722</v>
      </c>
      <c r="I10" s="409" t="s">
        <v>35</v>
      </c>
      <c r="J10" s="409" t="s">
        <v>722</v>
      </c>
      <c r="K10" s="409" t="s">
        <v>35</v>
      </c>
      <c r="L10" s="409" t="s">
        <v>722</v>
      </c>
      <c r="M10" s="409">
        <v>0</v>
      </c>
      <c r="N10" s="409" t="s">
        <v>722</v>
      </c>
      <c r="O10" s="409">
        <v>0</v>
      </c>
      <c r="P10" s="409" t="s">
        <v>722</v>
      </c>
      <c r="Q10" s="409">
        <v>0</v>
      </c>
      <c r="R10" s="409" t="s">
        <v>722</v>
      </c>
      <c r="S10" s="409" t="s">
        <v>722</v>
      </c>
      <c r="T10" s="409" t="s">
        <v>722</v>
      </c>
      <c r="U10" s="409" t="s">
        <v>722</v>
      </c>
      <c r="V10" s="409" t="s">
        <v>722</v>
      </c>
      <c r="W10" s="409" t="s">
        <v>3</v>
      </c>
      <c r="X10" s="409">
        <v>0</v>
      </c>
      <c r="Y10" s="409">
        <v>0</v>
      </c>
      <c r="Z10" s="409">
        <v>0</v>
      </c>
      <c r="AA10" s="409">
        <v>1</v>
      </c>
      <c r="AB10" s="409" t="s">
        <v>29</v>
      </c>
      <c r="AC10" s="409">
        <v>2</v>
      </c>
      <c r="AD10" s="409" t="s">
        <v>29</v>
      </c>
      <c r="AE10" s="409">
        <v>0</v>
      </c>
      <c r="AF10" s="409">
        <v>0</v>
      </c>
      <c r="AG10" s="409">
        <v>3</v>
      </c>
      <c r="AH10" s="409" t="s">
        <v>4</v>
      </c>
      <c r="AI10" s="409">
        <v>0</v>
      </c>
      <c r="AJ10" s="409">
        <v>0</v>
      </c>
      <c r="AK10" s="409">
        <v>0</v>
      </c>
      <c r="AL10" s="409">
        <v>0</v>
      </c>
      <c r="AM10" s="409">
        <v>0</v>
      </c>
      <c r="AN10" s="409">
        <v>0</v>
      </c>
      <c r="AO10" s="409" t="s">
        <v>722</v>
      </c>
      <c r="AP10" s="409">
        <v>1</v>
      </c>
      <c r="AQ10" s="409" t="s">
        <v>33</v>
      </c>
      <c r="AR10" s="409">
        <v>0</v>
      </c>
      <c r="AS10" s="409">
        <v>0</v>
      </c>
      <c r="AT10" s="409">
        <v>0</v>
      </c>
      <c r="AU10" s="409">
        <v>0</v>
      </c>
      <c r="AV10" s="409">
        <v>0</v>
      </c>
      <c r="AW10" s="409">
        <v>0</v>
      </c>
      <c r="AX10" s="409">
        <v>0</v>
      </c>
      <c r="AY10" s="409">
        <v>0</v>
      </c>
      <c r="AZ10" s="409">
        <v>0</v>
      </c>
      <c r="BA10" s="409" t="s">
        <v>295</v>
      </c>
      <c r="BB10" s="409" t="s">
        <v>722</v>
      </c>
      <c r="BC10" s="409" t="s">
        <v>722</v>
      </c>
      <c r="BD10" s="409" t="s">
        <v>722</v>
      </c>
      <c r="BE10" s="409" t="s">
        <v>62</v>
      </c>
      <c r="BF10" s="409" t="s">
        <v>722</v>
      </c>
      <c r="BG10" s="409" t="s">
        <v>722</v>
      </c>
      <c r="BH10" s="409" t="s">
        <v>722</v>
      </c>
      <c r="BI10" s="409" t="s">
        <v>722</v>
      </c>
      <c r="BJ10" s="409" t="s">
        <v>722</v>
      </c>
      <c r="BK10" s="409" t="s">
        <v>722</v>
      </c>
      <c r="BL10" s="409" t="s">
        <v>722</v>
      </c>
      <c r="BM10" s="409" t="s">
        <v>722</v>
      </c>
      <c r="BN10" s="409" t="s">
        <v>722</v>
      </c>
      <c r="BO10" s="409">
        <v>0</v>
      </c>
      <c r="BP10" s="409">
        <v>0</v>
      </c>
      <c r="BQ10" s="409">
        <v>0</v>
      </c>
      <c r="BR10" s="409">
        <v>0</v>
      </c>
      <c r="BS10" s="409">
        <v>0</v>
      </c>
      <c r="BT10" s="409">
        <v>0</v>
      </c>
      <c r="BU10" s="409">
        <v>0</v>
      </c>
      <c r="BV10" s="409">
        <v>0</v>
      </c>
      <c r="BW10" s="409">
        <v>0</v>
      </c>
      <c r="BX10" s="409">
        <v>0</v>
      </c>
      <c r="BY10" s="409">
        <v>0</v>
      </c>
      <c r="BZ10" s="409">
        <v>0</v>
      </c>
    </row>
    <row r="11" spans="1:78" ht="14.4" x14ac:dyDescent="0.3">
      <c r="A11" s="410">
        <v>4059953640</v>
      </c>
      <c r="B11" s="409" t="s">
        <v>116</v>
      </c>
      <c r="C11" s="409" t="s">
        <v>722</v>
      </c>
      <c r="D11" s="409" t="s">
        <v>722</v>
      </c>
      <c r="E11" s="409" t="s">
        <v>722</v>
      </c>
      <c r="F11" s="409" t="s">
        <v>722</v>
      </c>
      <c r="G11" s="409" t="s">
        <v>722</v>
      </c>
      <c r="H11" s="409" t="s">
        <v>722</v>
      </c>
      <c r="I11" s="409">
        <v>0</v>
      </c>
      <c r="J11" s="409" t="s">
        <v>722</v>
      </c>
      <c r="K11" s="409">
        <v>0</v>
      </c>
      <c r="L11" s="409" t="s">
        <v>722</v>
      </c>
      <c r="M11" s="409">
        <v>0</v>
      </c>
      <c r="N11" s="409" t="s">
        <v>722</v>
      </c>
      <c r="O11" s="409">
        <v>0</v>
      </c>
      <c r="P11" s="409" t="s">
        <v>722</v>
      </c>
      <c r="Q11" s="409">
        <v>0</v>
      </c>
      <c r="R11" s="409" t="s">
        <v>722</v>
      </c>
      <c r="S11" s="409" t="s">
        <v>722</v>
      </c>
      <c r="T11" s="409" t="s">
        <v>722</v>
      </c>
      <c r="U11" s="409" t="s">
        <v>722</v>
      </c>
      <c r="V11" s="409" t="s">
        <v>722</v>
      </c>
      <c r="W11" s="409">
        <v>0</v>
      </c>
      <c r="X11" s="409">
        <v>0</v>
      </c>
      <c r="Y11" s="409">
        <v>0</v>
      </c>
      <c r="Z11" s="409">
        <v>0</v>
      </c>
      <c r="AA11" s="409">
        <v>0</v>
      </c>
      <c r="AB11" s="409">
        <v>0</v>
      </c>
      <c r="AC11" s="409">
        <v>0</v>
      </c>
      <c r="AD11" s="409">
        <v>0</v>
      </c>
      <c r="AE11" s="409">
        <v>0</v>
      </c>
      <c r="AF11" s="409">
        <v>0</v>
      </c>
      <c r="AG11" s="409">
        <v>0</v>
      </c>
      <c r="AH11" s="409">
        <v>0</v>
      </c>
      <c r="AI11" s="409">
        <v>0</v>
      </c>
      <c r="AJ11" s="409">
        <v>0</v>
      </c>
      <c r="AK11" s="409">
        <v>0</v>
      </c>
      <c r="AL11" s="409">
        <v>0</v>
      </c>
      <c r="AM11" s="409">
        <v>0</v>
      </c>
      <c r="AN11" s="409">
        <v>0</v>
      </c>
      <c r="AO11" s="409" t="s">
        <v>722</v>
      </c>
      <c r="AP11" s="409">
        <v>0</v>
      </c>
      <c r="AQ11" s="409">
        <v>0</v>
      </c>
      <c r="AR11" s="409">
        <v>0</v>
      </c>
      <c r="AS11" s="409">
        <v>0</v>
      </c>
      <c r="AT11" s="409">
        <v>0</v>
      </c>
      <c r="AU11" s="409">
        <v>0</v>
      </c>
      <c r="AV11" s="409">
        <v>0</v>
      </c>
      <c r="AW11" s="409">
        <v>0</v>
      </c>
      <c r="AX11" s="409">
        <v>0</v>
      </c>
      <c r="AY11" s="409">
        <v>0</v>
      </c>
      <c r="AZ11" s="409">
        <v>0</v>
      </c>
      <c r="BA11" s="409">
        <v>0</v>
      </c>
      <c r="BB11" s="409" t="s">
        <v>722</v>
      </c>
      <c r="BC11" s="409" t="s">
        <v>722</v>
      </c>
      <c r="BD11" s="409" t="s">
        <v>722</v>
      </c>
      <c r="BE11" s="409">
        <v>0</v>
      </c>
      <c r="BF11" s="409" t="s">
        <v>722</v>
      </c>
      <c r="BG11" s="409" t="s">
        <v>722</v>
      </c>
      <c r="BH11" s="409" t="s">
        <v>722</v>
      </c>
      <c r="BI11" s="409" t="s">
        <v>722</v>
      </c>
      <c r="BJ11" s="409" t="s">
        <v>722</v>
      </c>
      <c r="BK11" s="409" t="s">
        <v>722</v>
      </c>
      <c r="BL11" s="409" t="s">
        <v>722</v>
      </c>
      <c r="BM11" s="409" t="s">
        <v>722</v>
      </c>
      <c r="BN11" s="409" t="s">
        <v>722</v>
      </c>
      <c r="BO11" s="409">
        <v>0</v>
      </c>
      <c r="BP11" s="409">
        <v>0</v>
      </c>
      <c r="BQ11" s="409">
        <v>0</v>
      </c>
      <c r="BR11" s="409">
        <v>0</v>
      </c>
      <c r="BS11" s="409">
        <v>0</v>
      </c>
      <c r="BT11" s="409">
        <v>0</v>
      </c>
      <c r="BU11" s="409">
        <v>0</v>
      </c>
      <c r="BV11" s="409">
        <v>0</v>
      </c>
      <c r="BW11" s="409">
        <v>0</v>
      </c>
      <c r="BX11" s="409">
        <v>0</v>
      </c>
      <c r="BY11" s="409">
        <v>0</v>
      </c>
      <c r="BZ11" s="409">
        <v>0</v>
      </c>
    </row>
    <row r="12" spans="1:78" ht="14.4" x14ac:dyDescent="0.3">
      <c r="A12" s="410">
        <v>4058618473</v>
      </c>
      <c r="B12" s="409" t="s">
        <v>135</v>
      </c>
      <c r="C12" s="409" t="s">
        <v>722</v>
      </c>
      <c r="D12" s="409" t="s">
        <v>722</v>
      </c>
      <c r="E12" s="409" t="s">
        <v>722</v>
      </c>
      <c r="F12" s="409" t="s">
        <v>722</v>
      </c>
      <c r="G12" s="409" t="s">
        <v>722</v>
      </c>
      <c r="H12" s="409" t="s">
        <v>722</v>
      </c>
      <c r="I12" s="409">
        <v>0</v>
      </c>
      <c r="J12" s="409" t="s">
        <v>722</v>
      </c>
      <c r="K12" s="409">
        <v>0</v>
      </c>
      <c r="L12" s="409" t="s">
        <v>722</v>
      </c>
      <c r="M12" s="409">
        <v>0</v>
      </c>
      <c r="N12" s="409" t="s">
        <v>722</v>
      </c>
      <c r="O12" s="409">
        <v>0</v>
      </c>
      <c r="P12" s="409" t="s">
        <v>722</v>
      </c>
      <c r="Q12" s="409">
        <v>0</v>
      </c>
      <c r="R12" s="409" t="s">
        <v>722</v>
      </c>
      <c r="S12" s="409" t="s">
        <v>722</v>
      </c>
      <c r="T12" s="409" t="s">
        <v>722</v>
      </c>
      <c r="U12" s="409" t="s">
        <v>722</v>
      </c>
      <c r="V12" s="409" t="s">
        <v>722</v>
      </c>
      <c r="W12" s="409">
        <v>0</v>
      </c>
      <c r="X12" s="409">
        <v>0</v>
      </c>
      <c r="Y12" s="409">
        <v>0</v>
      </c>
      <c r="Z12" s="409">
        <v>0</v>
      </c>
      <c r="AA12" s="409">
        <v>0</v>
      </c>
      <c r="AB12" s="409">
        <v>0</v>
      </c>
      <c r="AC12" s="409">
        <v>0</v>
      </c>
      <c r="AD12" s="409">
        <v>0</v>
      </c>
      <c r="AE12" s="409">
        <v>0</v>
      </c>
      <c r="AF12" s="409">
        <v>0</v>
      </c>
      <c r="AG12" s="409">
        <v>0</v>
      </c>
      <c r="AH12" s="409">
        <v>0</v>
      </c>
      <c r="AI12" s="409">
        <v>0</v>
      </c>
      <c r="AJ12" s="409">
        <v>0</v>
      </c>
      <c r="AK12" s="409">
        <v>0</v>
      </c>
      <c r="AL12" s="409">
        <v>0</v>
      </c>
      <c r="AM12" s="409">
        <v>0</v>
      </c>
      <c r="AN12" s="409">
        <v>0</v>
      </c>
      <c r="AO12" s="409" t="s">
        <v>722</v>
      </c>
      <c r="AP12" s="409">
        <v>0</v>
      </c>
      <c r="AQ12" s="409">
        <v>0</v>
      </c>
      <c r="AR12" s="409">
        <v>0</v>
      </c>
      <c r="AS12" s="409">
        <v>0</v>
      </c>
      <c r="AT12" s="409">
        <v>0</v>
      </c>
      <c r="AU12" s="409">
        <v>0</v>
      </c>
      <c r="AV12" s="409">
        <v>0</v>
      </c>
      <c r="AW12" s="409">
        <v>0</v>
      </c>
      <c r="AX12" s="409">
        <v>0</v>
      </c>
      <c r="AY12" s="409">
        <v>0</v>
      </c>
      <c r="AZ12" s="409">
        <v>0</v>
      </c>
      <c r="BA12" s="409">
        <v>0</v>
      </c>
      <c r="BB12" s="409" t="s">
        <v>722</v>
      </c>
      <c r="BC12" s="409" t="s">
        <v>722</v>
      </c>
      <c r="BD12" s="409" t="s">
        <v>722</v>
      </c>
      <c r="BE12" s="409">
        <v>0</v>
      </c>
      <c r="BF12" s="409" t="s">
        <v>722</v>
      </c>
      <c r="BG12" s="409" t="s">
        <v>722</v>
      </c>
      <c r="BH12" s="409" t="s">
        <v>722</v>
      </c>
      <c r="BI12" s="409" t="s">
        <v>722</v>
      </c>
      <c r="BJ12" s="409" t="s">
        <v>722</v>
      </c>
      <c r="BK12" s="409" t="s">
        <v>722</v>
      </c>
      <c r="BL12" s="409" t="s">
        <v>722</v>
      </c>
      <c r="BM12" s="409" t="s">
        <v>722</v>
      </c>
      <c r="BN12" s="409" t="s">
        <v>722</v>
      </c>
      <c r="BO12" s="409">
        <v>0</v>
      </c>
      <c r="BP12" s="409">
        <v>0</v>
      </c>
      <c r="BQ12" s="409">
        <v>0</v>
      </c>
      <c r="BR12" s="409">
        <v>0</v>
      </c>
      <c r="BS12" s="409">
        <v>0</v>
      </c>
      <c r="BT12" s="409">
        <v>0</v>
      </c>
      <c r="BU12" s="409">
        <v>0</v>
      </c>
      <c r="BV12" s="409">
        <v>0</v>
      </c>
      <c r="BW12" s="409">
        <v>0</v>
      </c>
      <c r="BX12" s="409">
        <v>0</v>
      </c>
      <c r="BY12" s="409">
        <v>0</v>
      </c>
      <c r="BZ12" s="409">
        <v>0</v>
      </c>
    </row>
    <row r="13" spans="1:78" ht="14.4" x14ac:dyDescent="0.3">
      <c r="A13" s="410">
        <v>4057492657</v>
      </c>
      <c r="B13" s="409" t="s">
        <v>135</v>
      </c>
      <c r="C13" s="409" t="s">
        <v>722</v>
      </c>
      <c r="D13" s="409" t="s">
        <v>722</v>
      </c>
      <c r="E13" s="409" t="s">
        <v>722</v>
      </c>
      <c r="F13" s="409" t="s">
        <v>722</v>
      </c>
      <c r="G13" s="409" t="s">
        <v>722</v>
      </c>
      <c r="H13" s="409" t="s">
        <v>722</v>
      </c>
      <c r="I13" s="409" t="s">
        <v>36</v>
      </c>
      <c r="J13" s="409" t="s">
        <v>722</v>
      </c>
      <c r="K13" s="409" t="s">
        <v>35</v>
      </c>
      <c r="L13" s="409" t="s">
        <v>722</v>
      </c>
      <c r="M13" s="409">
        <v>0</v>
      </c>
      <c r="N13" s="409" t="s">
        <v>722</v>
      </c>
      <c r="O13" s="409">
        <v>0</v>
      </c>
      <c r="P13" s="409" t="s">
        <v>722</v>
      </c>
      <c r="Q13" s="409">
        <v>0</v>
      </c>
      <c r="R13" s="409" t="s">
        <v>722</v>
      </c>
      <c r="S13" s="409" t="s">
        <v>722</v>
      </c>
      <c r="T13" s="409" t="s">
        <v>722</v>
      </c>
      <c r="U13" s="409" t="s">
        <v>722</v>
      </c>
      <c r="V13" s="409" t="s">
        <v>722</v>
      </c>
      <c r="W13" s="409" t="s">
        <v>29</v>
      </c>
      <c r="X13" s="409">
        <v>0</v>
      </c>
      <c r="Y13" s="409">
        <v>0</v>
      </c>
      <c r="Z13" s="409">
        <v>0</v>
      </c>
      <c r="AA13" s="409">
        <v>3</v>
      </c>
      <c r="AB13" s="409" t="s">
        <v>5</v>
      </c>
      <c r="AC13" s="409">
        <v>0</v>
      </c>
      <c r="AD13" s="409">
        <v>0</v>
      </c>
      <c r="AE13" s="409">
        <v>0</v>
      </c>
      <c r="AF13" s="409">
        <v>0</v>
      </c>
      <c r="AG13" s="409">
        <v>2</v>
      </c>
      <c r="AH13" s="409" t="s">
        <v>33</v>
      </c>
      <c r="AI13" s="409">
        <v>1</v>
      </c>
      <c r="AJ13" s="409" t="s">
        <v>3</v>
      </c>
      <c r="AK13" s="409">
        <v>0</v>
      </c>
      <c r="AL13" s="409">
        <v>0</v>
      </c>
      <c r="AM13" s="409">
        <v>0</v>
      </c>
      <c r="AN13" s="409">
        <v>0</v>
      </c>
      <c r="AO13" s="409" t="s">
        <v>722</v>
      </c>
      <c r="AP13" s="409">
        <v>0</v>
      </c>
      <c r="AQ13" s="409">
        <v>0</v>
      </c>
      <c r="AR13" s="409">
        <v>0</v>
      </c>
      <c r="AS13" s="409">
        <v>0</v>
      </c>
      <c r="AT13" s="409">
        <v>0</v>
      </c>
      <c r="AU13" s="409">
        <v>0</v>
      </c>
      <c r="AV13" s="409">
        <v>0</v>
      </c>
      <c r="AW13" s="409">
        <v>0</v>
      </c>
      <c r="AX13" s="409">
        <v>1</v>
      </c>
      <c r="AY13" s="409" t="s">
        <v>4</v>
      </c>
      <c r="AZ13" s="409">
        <v>3</v>
      </c>
      <c r="BA13" s="409" t="s">
        <v>296</v>
      </c>
      <c r="BB13" s="409" t="s">
        <v>722</v>
      </c>
      <c r="BC13" s="409" t="s">
        <v>722</v>
      </c>
      <c r="BD13" s="409" t="s">
        <v>722</v>
      </c>
      <c r="BE13" s="409" t="s">
        <v>55</v>
      </c>
      <c r="BF13" s="409" t="s">
        <v>722</v>
      </c>
      <c r="BG13" s="409" t="s">
        <v>722</v>
      </c>
      <c r="BH13" s="409" t="s">
        <v>722</v>
      </c>
      <c r="BI13" s="409" t="s">
        <v>722</v>
      </c>
      <c r="BJ13" s="409" t="s">
        <v>722</v>
      </c>
      <c r="BK13" s="409" t="s">
        <v>722</v>
      </c>
      <c r="BL13" s="409" t="s">
        <v>722</v>
      </c>
      <c r="BM13" s="409" t="s">
        <v>722</v>
      </c>
      <c r="BN13" s="409" t="s">
        <v>722</v>
      </c>
      <c r="BO13" s="409">
        <v>0</v>
      </c>
      <c r="BP13" s="409">
        <v>0</v>
      </c>
      <c r="BQ13" s="409">
        <v>0</v>
      </c>
      <c r="BR13" s="409">
        <v>0</v>
      </c>
      <c r="BS13" s="409">
        <v>0</v>
      </c>
      <c r="BT13" s="409">
        <v>0</v>
      </c>
      <c r="BU13" s="409">
        <v>0</v>
      </c>
      <c r="BV13" s="409">
        <v>0</v>
      </c>
      <c r="BW13" s="409">
        <v>0</v>
      </c>
      <c r="BX13" s="409" t="s">
        <v>54</v>
      </c>
      <c r="BY13" s="409" t="s">
        <v>54</v>
      </c>
      <c r="BZ13" s="409" t="s">
        <v>54</v>
      </c>
    </row>
    <row r="14" spans="1:78" ht="14.4" x14ac:dyDescent="0.3">
      <c r="A14" s="410">
        <v>4056881783</v>
      </c>
      <c r="B14" s="409" t="s">
        <v>136</v>
      </c>
      <c r="C14" s="409" t="s">
        <v>722</v>
      </c>
      <c r="D14" s="409" t="s">
        <v>722</v>
      </c>
      <c r="E14" s="409" t="s">
        <v>722</v>
      </c>
      <c r="F14" s="409" t="s">
        <v>722</v>
      </c>
      <c r="G14" s="409" t="s">
        <v>722</v>
      </c>
      <c r="H14" s="409" t="s">
        <v>722</v>
      </c>
      <c r="I14" s="409" t="s">
        <v>35</v>
      </c>
      <c r="J14" s="409" t="s">
        <v>722</v>
      </c>
      <c r="K14" s="409" t="s">
        <v>35</v>
      </c>
      <c r="L14" s="409" t="s">
        <v>722</v>
      </c>
      <c r="M14" s="409" t="s">
        <v>34</v>
      </c>
      <c r="N14" s="409" t="s">
        <v>722</v>
      </c>
      <c r="O14" s="409" t="s">
        <v>34</v>
      </c>
      <c r="P14" s="409" t="s">
        <v>722</v>
      </c>
      <c r="Q14" s="409" t="s">
        <v>34</v>
      </c>
      <c r="R14" s="409" t="s">
        <v>722</v>
      </c>
      <c r="S14" s="409" t="s">
        <v>722</v>
      </c>
      <c r="T14" s="409" t="s">
        <v>722</v>
      </c>
      <c r="U14" s="409" t="s">
        <v>722</v>
      </c>
      <c r="V14" s="409" t="s">
        <v>722</v>
      </c>
      <c r="W14" s="409" t="s">
        <v>3</v>
      </c>
      <c r="X14" s="409" t="s">
        <v>4</v>
      </c>
      <c r="Y14" s="409" t="s">
        <v>4</v>
      </c>
      <c r="Z14" s="409" t="s">
        <v>4</v>
      </c>
      <c r="AA14" s="409">
        <v>0</v>
      </c>
      <c r="AB14" s="409" t="s">
        <v>29</v>
      </c>
      <c r="AC14" s="409">
        <v>0</v>
      </c>
      <c r="AD14" s="409" t="s">
        <v>29</v>
      </c>
      <c r="AE14" s="409">
        <v>0</v>
      </c>
      <c r="AF14" s="409">
        <v>0</v>
      </c>
      <c r="AG14" s="409">
        <v>0</v>
      </c>
      <c r="AH14" s="409" t="s">
        <v>4</v>
      </c>
      <c r="AI14" s="409">
        <v>0</v>
      </c>
      <c r="AJ14" s="409">
        <v>0</v>
      </c>
      <c r="AK14" s="409">
        <v>0</v>
      </c>
      <c r="AL14" s="409">
        <v>0</v>
      </c>
      <c r="AM14" s="409">
        <v>0</v>
      </c>
      <c r="AN14" s="409">
        <v>0</v>
      </c>
      <c r="AO14" s="409" t="s">
        <v>722</v>
      </c>
      <c r="AP14" s="409">
        <v>0</v>
      </c>
      <c r="AQ14" s="409" t="s">
        <v>33</v>
      </c>
      <c r="AR14" s="409">
        <v>0</v>
      </c>
      <c r="AS14" s="409">
        <v>0</v>
      </c>
      <c r="AT14" s="409">
        <v>0</v>
      </c>
      <c r="AU14" s="409">
        <v>0</v>
      </c>
      <c r="AV14" s="409">
        <v>0</v>
      </c>
      <c r="AW14" s="409">
        <v>0</v>
      </c>
      <c r="AX14" s="409">
        <v>0</v>
      </c>
      <c r="AY14" s="409">
        <v>0</v>
      </c>
      <c r="AZ14" s="409">
        <v>0</v>
      </c>
      <c r="BA14" s="409" t="s">
        <v>295</v>
      </c>
      <c r="BB14" s="409" t="s">
        <v>722</v>
      </c>
      <c r="BC14" s="409" t="s">
        <v>722</v>
      </c>
      <c r="BD14" s="409" t="s">
        <v>722</v>
      </c>
      <c r="BE14" s="409" t="s">
        <v>62</v>
      </c>
      <c r="BF14" s="409" t="s">
        <v>722</v>
      </c>
      <c r="BG14" s="409" t="s">
        <v>722</v>
      </c>
      <c r="BH14" s="409" t="s">
        <v>722</v>
      </c>
      <c r="BI14" s="409" t="s">
        <v>722</v>
      </c>
      <c r="BJ14" s="409" t="s">
        <v>722</v>
      </c>
      <c r="BK14" s="409" t="s">
        <v>722</v>
      </c>
      <c r="BL14" s="409" t="s">
        <v>722</v>
      </c>
      <c r="BM14" s="409" t="s">
        <v>722</v>
      </c>
      <c r="BN14" s="409" t="s">
        <v>722</v>
      </c>
      <c r="BO14" s="409" t="s">
        <v>4</v>
      </c>
      <c r="BP14" s="409" t="s">
        <v>4</v>
      </c>
      <c r="BQ14" s="409" t="s">
        <v>4</v>
      </c>
      <c r="BR14" s="409" t="s">
        <v>4</v>
      </c>
      <c r="BS14" s="409" t="s">
        <v>4</v>
      </c>
      <c r="BT14" s="409" t="s">
        <v>4</v>
      </c>
      <c r="BU14" s="409" t="s">
        <v>4</v>
      </c>
      <c r="BV14" s="409" t="s">
        <v>4</v>
      </c>
      <c r="BW14" s="409" t="s">
        <v>4</v>
      </c>
      <c r="BX14" s="409" t="s">
        <v>3</v>
      </c>
      <c r="BY14" s="409" t="s">
        <v>3</v>
      </c>
      <c r="BZ14" s="409" t="s">
        <v>3</v>
      </c>
    </row>
    <row r="15" spans="1:78" ht="14.4" x14ac:dyDescent="0.3">
      <c r="A15" s="410">
        <v>4056256476</v>
      </c>
      <c r="B15" s="409" t="s">
        <v>135</v>
      </c>
      <c r="C15" s="409" t="s">
        <v>722</v>
      </c>
      <c r="D15" s="409" t="s">
        <v>722</v>
      </c>
      <c r="E15" s="409" t="s">
        <v>722</v>
      </c>
      <c r="F15" s="409" t="s">
        <v>722</v>
      </c>
      <c r="G15" s="409" t="s">
        <v>722</v>
      </c>
      <c r="H15" s="409" t="s">
        <v>722</v>
      </c>
      <c r="I15" s="409">
        <v>0</v>
      </c>
      <c r="J15" s="409" t="s">
        <v>722</v>
      </c>
      <c r="K15" s="409">
        <v>0</v>
      </c>
      <c r="L15" s="409" t="s">
        <v>722</v>
      </c>
      <c r="M15" s="409">
        <v>0</v>
      </c>
      <c r="N15" s="409" t="s">
        <v>722</v>
      </c>
      <c r="O15" s="409">
        <v>0</v>
      </c>
      <c r="P15" s="409" t="s">
        <v>722</v>
      </c>
      <c r="Q15" s="409">
        <v>0</v>
      </c>
      <c r="R15" s="409" t="s">
        <v>722</v>
      </c>
      <c r="S15" s="409" t="s">
        <v>722</v>
      </c>
      <c r="T15" s="409" t="s">
        <v>722</v>
      </c>
      <c r="U15" s="409" t="s">
        <v>722</v>
      </c>
      <c r="V15" s="409" t="s">
        <v>722</v>
      </c>
      <c r="W15" s="409">
        <v>0</v>
      </c>
      <c r="X15" s="409">
        <v>0</v>
      </c>
      <c r="Y15" s="409">
        <v>0</v>
      </c>
      <c r="Z15" s="409">
        <v>0</v>
      </c>
      <c r="AA15" s="409">
        <v>0</v>
      </c>
      <c r="AB15" s="409">
        <v>0</v>
      </c>
      <c r="AC15" s="409">
        <v>0</v>
      </c>
      <c r="AD15" s="409">
        <v>0</v>
      </c>
      <c r="AE15" s="409">
        <v>0</v>
      </c>
      <c r="AF15" s="409">
        <v>0</v>
      </c>
      <c r="AG15" s="409">
        <v>0</v>
      </c>
      <c r="AH15" s="409">
        <v>0</v>
      </c>
      <c r="AI15" s="409">
        <v>0</v>
      </c>
      <c r="AJ15" s="409">
        <v>0</v>
      </c>
      <c r="AK15" s="409">
        <v>0</v>
      </c>
      <c r="AL15" s="409">
        <v>0</v>
      </c>
      <c r="AM15" s="409">
        <v>0</v>
      </c>
      <c r="AN15" s="409">
        <v>0</v>
      </c>
      <c r="AO15" s="409" t="s">
        <v>722</v>
      </c>
      <c r="AP15" s="409">
        <v>0</v>
      </c>
      <c r="AQ15" s="409">
        <v>0</v>
      </c>
      <c r="AR15" s="409">
        <v>0</v>
      </c>
      <c r="AS15" s="409">
        <v>0</v>
      </c>
      <c r="AT15" s="409">
        <v>0</v>
      </c>
      <c r="AU15" s="409">
        <v>0</v>
      </c>
      <c r="AV15" s="409">
        <v>0</v>
      </c>
      <c r="AW15" s="409">
        <v>0</v>
      </c>
      <c r="AX15" s="409">
        <v>0</v>
      </c>
      <c r="AY15" s="409">
        <v>0</v>
      </c>
      <c r="AZ15" s="409">
        <v>0</v>
      </c>
      <c r="BA15" s="409">
        <v>0</v>
      </c>
      <c r="BB15" s="409" t="s">
        <v>722</v>
      </c>
      <c r="BC15" s="409" t="s">
        <v>722</v>
      </c>
      <c r="BD15" s="409" t="s">
        <v>722</v>
      </c>
      <c r="BE15" s="409" t="s">
        <v>62</v>
      </c>
      <c r="BF15" s="409" t="s">
        <v>722</v>
      </c>
      <c r="BG15" s="409" t="s">
        <v>722</v>
      </c>
      <c r="BH15" s="409" t="s">
        <v>722</v>
      </c>
      <c r="BI15" s="409" t="s">
        <v>722</v>
      </c>
      <c r="BJ15" s="409" t="s">
        <v>722</v>
      </c>
      <c r="BK15" s="409" t="s">
        <v>722</v>
      </c>
      <c r="BL15" s="409" t="s">
        <v>722</v>
      </c>
      <c r="BM15" s="409" t="s">
        <v>722</v>
      </c>
      <c r="BN15" s="409" t="s">
        <v>722</v>
      </c>
      <c r="BO15" s="409">
        <v>0</v>
      </c>
      <c r="BP15" s="409">
        <v>0</v>
      </c>
      <c r="BQ15" s="409">
        <v>0</v>
      </c>
      <c r="BR15" s="409">
        <v>0</v>
      </c>
      <c r="BS15" s="409">
        <v>0</v>
      </c>
      <c r="BT15" s="409">
        <v>0</v>
      </c>
      <c r="BU15" s="409">
        <v>0</v>
      </c>
      <c r="BV15" s="409">
        <v>0</v>
      </c>
      <c r="BW15" s="409">
        <v>0</v>
      </c>
      <c r="BX15" s="409">
        <v>0</v>
      </c>
      <c r="BY15" s="409">
        <v>0</v>
      </c>
      <c r="BZ15" s="409">
        <v>0</v>
      </c>
    </row>
    <row r="16" spans="1:78" ht="14.4" x14ac:dyDescent="0.3">
      <c r="A16" s="410">
        <v>4051833556</v>
      </c>
      <c r="B16" s="409" t="s">
        <v>138</v>
      </c>
      <c r="C16" s="409" t="s">
        <v>722</v>
      </c>
      <c r="D16" s="409" t="s">
        <v>722</v>
      </c>
      <c r="E16" s="409" t="s">
        <v>722</v>
      </c>
      <c r="F16" s="409" t="s">
        <v>722</v>
      </c>
      <c r="G16" s="409" t="s">
        <v>722</v>
      </c>
      <c r="H16" s="409" t="s">
        <v>722</v>
      </c>
      <c r="I16" s="409" t="s">
        <v>38</v>
      </c>
      <c r="J16" s="409" t="s">
        <v>722</v>
      </c>
      <c r="K16" s="409" t="s">
        <v>35</v>
      </c>
      <c r="L16" s="409" t="s">
        <v>722</v>
      </c>
      <c r="M16" s="409" t="s">
        <v>39</v>
      </c>
      <c r="N16" s="409" t="s">
        <v>722</v>
      </c>
      <c r="O16" s="409">
        <v>0</v>
      </c>
      <c r="P16" s="409" t="s">
        <v>722</v>
      </c>
      <c r="Q16" s="409" t="s">
        <v>39</v>
      </c>
      <c r="R16" s="409" t="s">
        <v>722</v>
      </c>
      <c r="S16" s="409" t="s">
        <v>722</v>
      </c>
      <c r="T16" s="409" t="s">
        <v>722</v>
      </c>
      <c r="U16" s="409" t="s">
        <v>722</v>
      </c>
      <c r="V16" s="409" t="s">
        <v>722</v>
      </c>
      <c r="W16" s="409" t="s">
        <v>29</v>
      </c>
      <c r="X16" s="409" t="s">
        <v>4</v>
      </c>
      <c r="Y16" s="409">
        <v>0</v>
      </c>
      <c r="Z16" s="409" t="s">
        <v>4</v>
      </c>
      <c r="AA16" s="409">
        <v>1</v>
      </c>
      <c r="AB16" s="409">
        <v>0</v>
      </c>
      <c r="AC16" s="409">
        <v>0</v>
      </c>
      <c r="AD16" s="409">
        <v>0</v>
      </c>
      <c r="AE16" s="409">
        <v>0</v>
      </c>
      <c r="AF16" s="409">
        <v>0</v>
      </c>
      <c r="AG16" s="409">
        <v>2</v>
      </c>
      <c r="AH16" s="409">
        <v>0</v>
      </c>
      <c r="AI16" s="409">
        <v>3</v>
      </c>
      <c r="AJ16" s="409">
        <v>0</v>
      </c>
      <c r="AK16" s="409">
        <v>0</v>
      </c>
      <c r="AL16" s="409">
        <v>0</v>
      </c>
      <c r="AM16" s="409">
        <v>0</v>
      </c>
      <c r="AN16" s="409">
        <v>0</v>
      </c>
      <c r="AO16" s="409" t="s">
        <v>722</v>
      </c>
      <c r="AP16" s="409">
        <v>1</v>
      </c>
      <c r="AQ16" s="409">
        <v>0</v>
      </c>
      <c r="AR16" s="409">
        <v>0</v>
      </c>
      <c r="AS16" s="409">
        <v>0</v>
      </c>
      <c r="AT16" s="409">
        <v>0</v>
      </c>
      <c r="AU16" s="409">
        <v>0</v>
      </c>
      <c r="AV16" s="409">
        <v>0</v>
      </c>
      <c r="AW16" s="409">
        <v>0</v>
      </c>
      <c r="AX16" s="409">
        <v>2</v>
      </c>
      <c r="AY16" s="409">
        <v>0</v>
      </c>
      <c r="AZ16" s="409">
        <v>0</v>
      </c>
      <c r="BA16" s="409">
        <v>0</v>
      </c>
      <c r="BB16" s="409" t="s">
        <v>722</v>
      </c>
      <c r="BC16" s="409" t="s">
        <v>722</v>
      </c>
      <c r="BD16" s="409" t="s">
        <v>722</v>
      </c>
      <c r="BE16" s="409" t="s">
        <v>62</v>
      </c>
      <c r="BF16" s="409" t="s">
        <v>722</v>
      </c>
      <c r="BG16" s="409" t="s">
        <v>722</v>
      </c>
      <c r="BH16" s="409" t="s">
        <v>722</v>
      </c>
      <c r="BI16" s="409" t="s">
        <v>722</v>
      </c>
      <c r="BJ16" s="409" t="s">
        <v>722</v>
      </c>
      <c r="BK16" s="409" t="s">
        <v>722</v>
      </c>
      <c r="BL16" s="409" t="s">
        <v>722</v>
      </c>
      <c r="BM16" s="409" t="s">
        <v>722</v>
      </c>
      <c r="BN16" s="409" t="s">
        <v>722</v>
      </c>
      <c r="BO16" s="409" t="s">
        <v>4</v>
      </c>
      <c r="BP16" s="409" t="s">
        <v>5</v>
      </c>
      <c r="BQ16" s="409" t="s">
        <v>5</v>
      </c>
      <c r="BR16" s="409" t="s">
        <v>4</v>
      </c>
      <c r="BS16" s="409" t="s">
        <v>5</v>
      </c>
      <c r="BT16" s="409" t="s">
        <v>5</v>
      </c>
      <c r="BU16" s="409" t="s">
        <v>33</v>
      </c>
      <c r="BV16" s="409" t="s">
        <v>4</v>
      </c>
      <c r="BW16" s="409" t="s">
        <v>5</v>
      </c>
      <c r="BX16" s="409" t="s">
        <v>29</v>
      </c>
      <c r="BY16" s="409" t="s">
        <v>33</v>
      </c>
      <c r="BZ16" s="409" t="s">
        <v>4</v>
      </c>
    </row>
    <row r="17" spans="1:78" ht="14.4" x14ac:dyDescent="0.3">
      <c r="A17" s="410">
        <v>4044958277</v>
      </c>
      <c r="B17" s="409" t="s">
        <v>116</v>
      </c>
      <c r="C17" s="409" t="s">
        <v>722</v>
      </c>
      <c r="D17" s="409" t="s">
        <v>722</v>
      </c>
      <c r="E17" s="409" t="s">
        <v>722</v>
      </c>
      <c r="F17" s="409" t="s">
        <v>722</v>
      </c>
      <c r="G17" s="409" t="s">
        <v>722</v>
      </c>
      <c r="H17" s="409" t="s">
        <v>722</v>
      </c>
      <c r="I17" s="409" t="s">
        <v>35</v>
      </c>
      <c r="J17" s="409" t="s">
        <v>722</v>
      </c>
      <c r="K17" s="409" t="s">
        <v>36</v>
      </c>
      <c r="L17" s="409" t="s">
        <v>722</v>
      </c>
      <c r="M17" s="409">
        <v>0</v>
      </c>
      <c r="N17" s="409" t="s">
        <v>722</v>
      </c>
      <c r="O17" s="409">
        <v>0</v>
      </c>
      <c r="P17" s="409" t="s">
        <v>722</v>
      </c>
      <c r="Q17" s="409">
        <v>0</v>
      </c>
      <c r="R17" s="409" t="s">
        <v>722</v>
      </c>
      <c r="S17" s="409" t="s">
        <v>722</v>
      </c>
      <c r="T17" s="409" t="s">
        <v>722</v>
      </c>
      <c r="U17" s="409" t="s">
        <v>722</v>
      </c>
      <c r="V17" s="409" t="s">
        <v>722</v>
      </c>
      <c r="W17" s="409" t="s">
        <v>54</v>
      </c>
      <c r="X17" s="409">
        <v>0</v>
      </c>
      <c r="Y17" s="409">
        <v>0</v>
      </c>
      <c r="Z17" s="409">
        <v>0</v>
      </c>
      <c r="AA17" s="409">
        <v>1</v>
      </c>
      <c r="AB17" s="409">
        <v>0</v>
      </c>
      <c r="AC17" s="409">
        <v>0</v>
      </c>
      <c r="AD17" s="409">
        <v>0</v>
      </c>
      <c r="AE17" s="409">
        <v>3</v>
      </c>
      <c r="AF17" s="409">
        <v>0</v>
      </c>
      <c r="AG17" s="409">
        <v>2</v>
      </c>
      <c r="AH17" s="409">
        <v>0</v>
      </c>
      <c r="AI17" s="409">
        <v>0</v>
      </c>
      <c r="AJ17" s="409">
        <v>0</v>
      </c>
      <c r="AK17" s="409">
        <v>0</v>
      </c>
      <c r="AL17" s="409">
        <v>0</v>
      </c>
      <c r="AM17" s="409">
        <v>0</v>
      </c>
      <c r="AN17" s="409">
        <v>0</v>
      </c>
      <c r="AO17" s="409" t="s">
        <v>722</v>
      </c>
      <c r="AP17" s="409">
        <v>1</v>
      </c>
      <c r="AQ17" s="409">
        <v>0</v>
      </c>
      <c r="AR17" s="409">
        <v>3</v>
      </c>
      <c r="AS17" s="409">
        <v>0</v>
      </c>
      <c r="AT17" s="409">
        <v>0</v>
      </c>
      <c r="AU17" s="409">
        <v>0</v>
      </c>
      <c r="AV17" s="409">
        <v>0</v>
      </c>
      <c r="AW17" s="409">
        <v>0</v>
      </c>
      <c r="AX17" s="409">
        <v>2</v>
      </c>
      <c r="AY17" s="409">
        <v>0</v>
      </c>
      <c r="AZ17" s="409">
        <v>0</v>
      </c>
      <c r="BA17" s="409" t="s">
        <v>297</v>
      </c>
      <c r="BB17" s="409" t="s">
        <v>722</v>
      </c>
      <c r="BC17" s="409" t="s">
        <v>722</v>
      </c>
      <c r="BD17" s="409" t="s">
        <v>722</v>
      </c>
      <c r="BE17" s="409" t="s">
        <v>55</v>
      </c>
      <c r="BF17" s="409" t="s">
        <v>722</v>
      </c>
      <c r="BG17" s="409" t="s">
        <v>722</v>
      </c>
      <c r="BH17" s="409" t="s">
        <v>722</v>
      </c>
      <c r="BI17" s="409" t="s">
        <v>722</v>
      </c>
      <c r="BJ17" s="409" t="s">
        <v>722</v>
      </c>
      <c r="BK17" s="409" t="s">
        <v>722</v>
      </c>
      <c r="BL17" s="409" t="s">
        <v>722</v>
      </c>
      <c r="BM17" s="409" t="s">
        <v>722</v>
      </c>
      <c r="BN17" s="409" t="s">
        <v>722</v>
      </c>
      <c r="BO17" s="409">
        <v>0</v>
      </c>
      <c r="BP17" s="409">
        <v>0</v>
      </c>
      <c r="BQ17" s="409">
        <v>0</v>
      </c>
      <c r="BR17" s="409">
        <v>0</v>
      </c>
      <c r="BS17" s="409">
        <v>0</v>
      </c>
      <c r="BT17" s="409">
        <v>0</v>
      </c>
      <c r="BU17" s="409">
        <v>0</v>
      </c>
      <c r="BV17" s="409">
        <v>0</v>
      </c>
      <c r="BW17" s="409">
        <v>0</v>
      </c>
      <c r="BX17" s="409" t="s">
        <v>54</v>
      </c>
      <c r="BY17" s="409" t="s">
        <v>54</v>
      </c>
      <c r="BZ17" s="409" t="s">
        <v>3</v>
      </c>
    </row>
    <row r="18" spans="1:78" ht="14.4" x14ac:dyDescent="0.3">
      <c r="A18" s="410">
        <v>4044850144</v>
      </c>
      <c r="B18" s="409" t="s">
        <v>123</v>
      </c>
      <c r="C18" s="409" t="s">
        <v>722</v>
      </c>
      <c r="D18" s="409" t="s">
        <v>722</v>
      </c>
      <c r="E18" s="409" t="s">
        <v>722</v>
      </c>
      <c r="F18" s="409" t="s">
        <v>722</v>
      </c>
      <c r="G18" s="409" t="s">
        <v>722</v>
      </c>
      <c r="H18" s="409" t="s">
        <v>722</v>
      </c>
      <c r="I18" s="409">
        <v>0</v>
      </c>
      <c r="J18" s="409" t="s">
        <v>722</v>
      </c>
      <c r="K18" s="409">
        <v>0</v>
      </c>
      <c r="L18" s="409" t="s">
        <v>722</v>
      </c>
      <c r="M18" s="409">
        <v>0</v>
      </c>
      <c r="N18" s="409" t="s">
        <v>722</v>
      </c>
      <c r="O18" s="409">
        <v>0</v>
      </c>
      <c r="P18" s="409" t="s">
        <v>722</v>
      </c>
      <c r="Q18" s="409">
        <v>0</v>
      </c>
      <c r="R18" s="409" t="s">
        <v>722</v>
      </c>
      <c r="S18" s="409" t="s">
        <v>722</v>
      </c>
      <c r="T18" s="409" t="s">
        <v>722</v>
      </c>
      <c r="U18" s="409" t="s">
        <v>722</v>
      </c>
      <c r="V18" s="409" t="s">
        <v>722</v>
      </c>
      <c r="W18" s="409">
        <v>0</v>
      </c>
      <c r="X18" s="409">
        <v>0</v>
      </c>
      <c r="Y18" s="409">
        <v>0</v>
      </c>
      <c r="Z18" s="409">
        <v>0</v>
      </c>
      <c r="AA18" s="409">
        <v>0</v>
      </c>
      <c r="AB18" s="409">
        <v>0</v>
      </c>
      <c r="AC18" s="409">
        <v>0</v>
      </c>
      <c r="AD18" s="409">
        <v>0</v>
      </c>
      <c r="AE18" s="409">
        <v>0</v>
      </c>
      <c r="AF18" s="409">
        <v>0</v>
      </c>
      <c r="AG18" s="409">
        <v>0</v>
      </c>
      <c r="AH18" s="409">
        <v>0</v>
      </c>
      <c r="AI18" s="409">
        <v>0</v>
      </c>
      <c r="AJ18" s="409">
        <v>0</v>
      </c>
      <c r="AK18" s="409">
        <v>0</v>
      </c>
      <c r="AL18" s="409">
        <v>0</v>
      </c>
      <c r="AM18" s="409">
        <v>0</v>
      </c>
      <c r="AN18" s="409">
        <v>0</v>
      </c>
      <c r="AO18" s="409" t="s">
        <v>722</v>
      </c>
      <c r="AP18" s="409">
        <v>0</v>
      </c>
      <c r="AQ18" s="409">
        <v>0</v>
      </c>
      <c r="AR18" s="409">
        <v>0</v>
      </c>
      <c r="AS18" s="409">
        <v>0</v>
      </c>
      <c r="AT18" s="409">
        <v>0</v>
      </c>
      <c r="AU18" s="409">
        <v>0</v>
      </c>
      <c r="AV18" s="409">
        <v>0</v>
      </c>
      <c r="AW18" s="409">
        <v>0</v>
      </c>
      <c r="AX18" s="409">
        <v>0</v>
      </c>
      <c r="AY18" s="409">
        <v>0</v>
      </c>
      <c r="AZ18" s="409">
        <v>0</v>
      </c>
      <c r="BA18" s="409">
        <v>0</v>
      </c>
      <c r="BB18" s="409" t="s">
        <v>722</v>
      </c>
      <c r="BC18" s="409" t="s">
        <v>722</v>
      </c>
      <c r="BD18" s="409" t="s">
        <v>722</v>
      </c>
      <c r="BE18" s="409">
        <v>0</v>
      </c>
      <c r="BF18" s="409" t="s">
        <v>722</v>
      </c>
      <c r="BG18" s="409" t="s">
        <v>722</v>
      </c>
      <c r="BH18" s="409" t="s">
        <v>722</v>
      </c>
      <c r="BI18" s="409" t="s">
        <v>722</v>
      </c>
      <c r="BJ18" s="409" t="s">
        <v>722</v>
      </c>
      <c r="BK18" s="409" t="s">
        <v>722</v>
      </c>
      <c r="BL18" s="409" t="s">
        <v>722</v>
      </c>
      <c r="BM18" s="409" t="s">
        <v>722</v>
      </c>
      <c r="BN18" s="409" t="s">
        <v>722</v>
      </c>
      <c r="BO18" s="409">
        <v>0</v>
      </c>
      <c r="BP18" s="409">
        <v>0</v>
      </c>
      <c r="BQ18" s="409">
        <v>0</v>
      </c>
      <c r="BR18" s="409">
        <v>0</v>
      </c>
      <c r="BS18" s="409">
        <v>0</v>
      </c>
      <c r="BT18" s="409">
        <v>0</v>
      </c>
      <c r="BU18" s="409">
        <v>0</v>
      </c>
      <c r="BV18" s="409">
        <v>0</v>
      </c>
      <c r="BW18" s="409">
        <v>0</v>
      </c>
      <c r="BX18" s="409">
        <v>0</v>
      </c>
      <c r="BY18" s="409">
        <v>0</v>
      </c>
      <c r="BZ18" s="409">
        <v>0</v>
      </c>
    </row>
    <row r="19" spans="1:78" ht="14.4" x14ac:dyDescent="0.3">
      <c r="A19" s="410">
        <v>4044536792</v>
      </c>
      <c r="B19" s="409" t="s">
        <v>116</v>
      </c>
      <c r="C19" s="409" t="s">
        <v>722</v>
      </c>
      <c r="D19" s="409" t="s">
        <v>722</v>
      </c>
      <c r="E19" s="409" t="s">
        <v>722</v>
      </c>
      <c r="F19" s="409" t="s">
        <v>722</v>
      </c>
      <c r="G19" s="409" t="s">
        <v>722</v>
      </c>
      <c r="H19" s="409" t="s">
        <v>722</v>
      </c>
      <c r="I19" s="409" t="s">
        <v>35</v>
      </c>
      <c r="J19" s="409" t="s">
        <v>722</v>
      </c>
      <c r="K19" s="409" t="s">
        <v>35</v>
      </c>
      <c r="L19" s="409" t="s">
        <v>722</v>
      </c>
      <c r="M19" s="409">
        <v>0</v>
      </c>
      <c r="N19" s="409" t="s">
        <v>722</v>
      </c>
      <c r="O19" s="409">
        <v>0</v>
      </c>
      <c r="P19" s="409" t="s">
        <v>722</v>
      </c>
      <c r="Q19" s="409">
        <v>0</v>
      </c>
      <c r="R19" s="409" t="s">
        <v>722</v>
      </c>
      <c r="S19" s="409" t="s">
        <v>722</v>
      </c>
      <c r="T19" s="409" t="s">
        <v>722</v>
      </c>
      <c r="U19" s="409" t="s">
        <v>722</v>
      </c>
      <c r="V19" s="409" t="s">
        <v>722</v>
      </c>
      <c r="W19" s="409" t="s">
        <v>54</v>
      </c>
      <c r="X19" s="409">
        <v>0</v>
      </c>
      <c r="Y19" s="409">
        <v>0</v>
      </c>
      <c r="Z19" s="409">
        <v>0</v>
      </c>
      <c r="AA19" s="409">
        <v>1</v>
      </c>
      <c r="AB19" s="409" t="s">
        <v>3</v>
      </c>
      <c r="AC19" s="409">
        <v>0</v>
      </c>
      <c r="AD19" s="409">
        <v>0</v>
      </c>
      <c r="AE19" s="409">
        <v>3</v>
      </c>
      <c r="AF19" s="409" t="s">
        <v>3</v>
      </c>
      <c r="AG19" s="409">
        <v>2</v>
      </c>
      <c r="AH19" s="409" t="s">
        <v>3</v>
      </c>
      <c r="AI19" s="409">
        <v>0</v>
      </c>
      <c r="AJ19" s="409">
        <v>0</v>
      </c>
      <c r="AK19" s="409">
        <v>0</v>
      </c>
      <c r="AL19" s="409">
        <v>0</v>
      </c>
      <c r="AM19" s="409">
        <v>0</v>
      </c>
      <c r="AN19" s="409">
        <v>0</v>
      </c>
      <c r="AO19" s="409" t="s">
        <v>722</v>
      </c>
      <c r="AP19" s="409">
        <v>1</v>
      </c>
      <c r="AQ19" s="409">
        <v>0</v>
      </c>
      <c r="AR19" s="409">
        <v>3</v>
      </c>
      <c r="AS19" s="409">
        <v>0</v>
      </c>
      <c r="AT19" s="409">
        <v>0</v>
      </c>
      <c r="AU19" s="409">
        <v>0</v>
      </c>
      <c r="AV19" s="409">
        <v>0</v>
      </c>
      <c r="AW19" s="409">
        <v>0</v>
      </c>
      <c r="AX19" s="409">
        <v>2</v>
      </c>
      <c r="AY19" s="409">
        <v>0</v>
      </c>
      <c r="AZ19" s="409">
        <v>0</v>
      </c>
      <c r="BA19" s="409">
        <v>0</v>
      </c>
      <c r="BB19" s="409" t="s">
        <v>722</v>
      </c>
      <c r="BC19" s="409" t="s">
        <v>722</v>
      </c>
      <c r="BD19" s="409" t="s">
        <v>722</v>
      </c>
      <c r="BE19" s="409" t="s">
        <v>55</v>
      </c>
      <c r="BF19" s="409" t="s">
        <v>722</v>
      </c>
      <c r="BG19" s="409" t="s">
        <v>722</v>
      </c>
      <c r="BH19" s="409" t="s">
        <v>722</v>
      </c>
      <c r="BI19" s="409" t="s">
        <v>722</v>
      </c>
      <c r="BJ19" s="409" t="s">
        <v>722</v>
      </c>
      <c r="BK19" s="409" t="s">
        <v>722</v>
      </c>
      <c r="BL19" s="409" t="s">
        <v>722</v>
      </c>
      <c r="BM19" s="409" t="s">
        <v>722</v>
      </c>
      <c r="BN19" s="409" t="s">
        <v>722</v>
      </c>
      <c r="BO19" s="409">
        <v>0</v>
      </c>
      <c r="BP19" s="409">
        <v>0</v>
      </c>
      <c r="BQ19" s="409">
        <v>0</v>
      </c>
      <c r="BR19" s="409">
        <v>0</v>
      </c>
      <c r="BS19" s="409">
        <v>0</v>
      </c>
      <c r="BT19" s="409">
        <v>0</v>
      </c>
      <c r="BU19" s="409">
        <v>0</v>
      </c>
      <c r="BV19" s="409">
        <v>0</v>
      </c>
      <c r="BW19" s="409">
        <v>0</v>
      </c>
      <c r="BX19" s="409" t="s">
        <v>54</v>
      </c>
      <c r="BY19" s="409" t="s">
        <v>54</v>
      </c>
      <c r="BZ19" s="409" t="s">
        <v>3</v>
      </c>
    </row>
    <row r="20" spans="1:78" ht="14.4" x14ac:dyDescent="0.3">
      <c r="A20" s="410">
        <v>4043914052</v>
      </c>
      <c r="B20" s="409" t="s">
        <v>116</v>
      </c>
      <c r="C20" s="409" t="s">
        <v>722</v>
      </c>
      <c r="D20" s="409" t="s">
        <v>722</v>
      </c>
      <c r="E20" s="409" t="s">
        <v>722</v>
      </c>
      <c r="F20" s="409" t="s">
        <v>722</v>
      </c>
      <c r="G20" s="409" t="s">
        <v>722</v>
      </c>
      <c r="H20" s="409" t="s">
        <v>722</v>
      </c>
      <c r="I20" s="409" t="s">
        <v>35</v>
      </c>
      <c r="J20" s="409" t="s">
        <v>722</v>
      </c>
      <c r="K20" s="409" t="s">
        <v>36</v>
      </c>
      <c r="L20" s="409" t="s">
        <v>722</v>
      </c>
      <c r="M20" s="409">
        <v>0</v>
      </c>
      <c r="N20" s="409" t="s">
        <v>722</v>
      </c>
      <c r="O20" s="409">
        <v>0</v>
      </c>
      <c r="P20" s="409" t="s">
        <v>722</v>
      </c>
      <c r="Q20" s="409">
        <v>0</v>
      </c>
      <c r="R20" s="409" t="s">
        <v>722</v>
      </c>
      <c r="S20" s="409" t="s">
        <v>722</v>
      </c>
      <c r="T20" s="409" t="s">
        <v>722</v>
      </c>
      <c r="U20" s="409" t="s">
        <v>722</v>
      </c>
      <c r="V20" s="409" t="s">
        <v>722</v>
      </c>
      <c r="W20" s="409" t="s">
        <v>54</v>
      </c>
      <c r="X20" s="409">
        <v>0</v>
      </c>
      <c r="Y20" s="409">
        <v>0</v>
      </c>
      <c r="Z20" s="409">
        <v>0</v>
      </c>
      <c r="AA20" s="409">
        <v>1</v>
      </c>
      <c r="AB20" s="409" t="s">
        <v>3</v>
      </c>
      <c r="AC20" s="409">
        <v>0</v>
      </c>
      <c r="AD20" s="409">
        <v>0</v>
      </c>
      <c r="AE20" s="409">
        <v>3</v>
      </c>
      <c r="AF20" s="409" t="s">
        <v>3</v>
      </c>
      <c r="AG20" s="409">
        <v>2</v>
      </c>
      <c r="AH20" s="409" t="s">
        <v>3</v>
      </c>
      <c r="AI20" s="409">
        <v>0</v>
      </c>
      <c r="AJ20" s="409">
        <v>0</v>
      </c>
      <c r="AK20" s="409">
        <v>0</v>
      </c>
      <c r="AL20" s="409">
        <v>0</v>
      </c>
      <c r="AM20" s="409">
        <v>0</v>
      </c>
      <c r="AN20" s="409">
        <v>0</v>
      </c>
      <c r="AO20" s="409" t="s">
        <v>722</v>
      </c>
      <c r="AP20" s="409">
        <v>1</v>
      </c>
      <c r="AQ20" s="409" t="s">
        <v>3</v>
      </c>
      <c r="AR20" s="409">
        <v>3</v>
      </c>
      <c r="AS20" s="409" t="s">
        <v>3</v>
      </c>
      <c r="AT20" s="409">
        <v>0</v>
      </c>
      <c r="AU20" s="409">
        <v>0</v>
      </c>
      <c r="AV20" s="409">
        <v>0</v>
      </c>
      <c r="AW20" s="409">
        <v>0</v>
      </c>
      <c r="AX20" s="409">
        <v>2</v>
      </c>
      <c r="AY20" s="409" t="s">
        <v>3</v>
      </c>
      <c r="AZ20" s="409">
        <v>0</v>
      </c>
      <c r="BA20" s="409">
        <v>0</v>
      </c>
      <c r="BB20" s="409" t="s">
        <v>722</v>
      </c>
      <c r="BC20" s="409" t="s">
        <v>722</v>
      </c>
      <c r="BD20" s="409" t="s">
        <v>722</v>
      </c>
      <c r="BE20" s="409" t="s">
        <v>55</v>
      </c>
      <c r="BF20" s="409" t="s">
        <v>722</v>
      </c>
      <c r="BG20" s="409" t="s">
        <v>722</v>
      </c>
      <c r="BH20" s="409" t="s">
        <v>722</v>
      </c>
      <c r="BI20" s="409" t="s">
        <v>722</v>
      </c>
      <c r="BJ20" s="409" t="s">
        <v>722</v>
      </c>
      <c r="BK20" s="409" t="s">
        <v>722</v>
      </c>
      <c r="BL20" s="409" t="s">
        <v>722</v>
      </c>
      <c r="BM20" s="409" t="s">
        <v>722</v>
      </c>
      <c r="BN20" s="409" t="s">
        <v>722</v>
      </c>
      <c r="BO20" s="409">
        <v>0</v>
      </c>
      <c r="BP20" s="409">
        <v>0</v>
      </c>
      <c r="BQ20" s="409">
        <v>0</v>
      </c>
      <c r="BR20" s="409">
        <v>0</v>
      </c>
      <c r="BS20" s="409">
        <v>0</v>
      </c>
      <c r="BT20" s="409">
        <v>0</v>
      </c>
      <c r="BU20" s="409">
        <v>0</v>
      </c>
      <c r="BV20" s="409">
        <v>0</v>
      </c>
      <c r="BW20" s="409">
        <v>0</v>
      </c>
      <c r="BX20" s="409" t="s">
        <v>54</v>
      </c>
      <c r="BY20" s="409" t="s">
        <v>54</v>
      </c>
      <c r="BZ20" s="409" t="s">
        <v>3</v>
      </c>
    </row>
    <row r="21" spans="1:78" ht="14.4" x14ac:dyDescent="0.3">
      <c r="A21" s="410">
        <v>4043214511</v>
      </c>
      <c r="B21" s="409" t="s">
        <v>116</v>
      </c>
      <c r="C21" s="409" t="s">
        <v>722</v>
      </c>
      <c r="D21" s="409" t="s">
        <v>722</v>
      </c>
      <c r="E21" s="409" t="s">
        <v>722</v>
      </c>
      <c r="F21" s="409" t="s">
        <v>722</v>
      </c>
      <c r="G21" s="409" t="s">
        <v>722</v>
      </c>
      <c r="H21" s="409" t="s">
        <v>722</v>
      </c>
      <c r="I21" s="409" t="s">
        <v>35</v>
      </c>
      <c r="J21" s="409" t="s">
        <v>722</v>
      </c>
      <c r="K21" s="409" t="s">
        <v>36</v>
      </c>
      <c r="L21" s="409" t="s">
        <v>722</v>
      </c>
      <c r="M21" s="409">
        <v>0</v>
      </c>
      <c r="N21" s="409" t="s">
        <v>722</v>
      </c>
      <c r="O21" s="409">
        <v>0</v>
      </c>
      <c r="P21" s="409" t="s">
        <v>722</v>
      </c>
      <c r="Q21" s="409">
        <v>0</v>
      </c>
      <c r="R21" s="409" t="s">
        <v>722</v>
      </c>
      <c r="S21" s="409" t="s">
        <v>722</v>
      </c>
      <c r="T21" s="409" t="s">
        <v>722</v>
      </c>
      <c r="U21" s="409" t="s">
        <v>722</v>
      </c>
      <c r="V21" s="409" t="s">
        <v>722</v>
      </c>
      <c r="W21" s="409" t="s">
        <v>54</v>
      </c>
      <c r="X21" s="409">
        <v>0</v>
      </c>
      <c r="Y21" s="409">
        <v>0</v>
      </c>
      <c r="Z21" s="409">
        <v>0</v>
      </c>
      <c r="AA21" s="409">
        <v>1</v>
      </c>
      <c r="AB21" s="409" t="s">
        <v>3</v>
      </c>
      <c r="AC21" s="409">
        <v>0</v>
      </c>
      <c r="AD21" s="409">
        <v>0</v>
      </c>
      <c r="AE21" s="409">
        <v>3</v>
      </c>
      <c r="AF21" s="409" t="s">
        <v>3</v>
      </c>
      <c r="AG21" s="409">
        <v>2</v>
      </c>
      <c r="AH21" s="409" t="s">
        <v>3</v>
      </c>
      <c r="AI21" s="409">
        <v>0</v>
      </c>
      <c r="AJ21" s="409">
        <v>0</v>
      </c>
      <c r="AK21" s="409">
        <v>0</v>
      </c>
      <c r="AL21" s="409">
        <v>0</v>
      </c>
      <c r="AM21" s="409">
        <v>0</v>
      </c>
      <c r="AN21" s="409">
        <v>0</v>
      </c>
      <c r="AO21" s="409" t="s">
        <v>722</v>
      </c>
      <c r="AP21" s="409">
        <v>1</v>
      </c>
      <c r="AQ21" s="409" t="s">
        <v>39</v>
      </c>
      <c r="AR21" s="409">
        <v>3</v>
      </c>
      <c r="AS21" s="409" t="s">
        <v>39</v>
      </c>
      <c r="AT21" s="409">
        <v>0</v>
      </c>
      <c r="AU21" s="409">
        <v>0</v>
      </c>
      <c r="AV21" s="409">
        <v>0</v>
      </c>
      <c r="AW21" s="409">
        <v>0</v>
      </c>
      <c r="AX21" s="409">
        <v>2</v>
      </c>
      <c r="AY21" s="409" t="s">
        <v>39</v>
      </c>
      <c r="AZ21" s="409">
        <v>0</v>
      </c>
      <c r="BA21" s="409">
        <v>0</v>
      </c>
      <c r="BB21" s="409" t="s">
        <v>722</v>
      </c>
      <c r="BC21" s="409" t="s">
        <v>722</v>
      </c>
      <c r="BD21" s="409" t="s">
        <v>722</v>
      </c>
      <c r="BE21" s="409" t="s">
        <v>55</v>
      </c>
      <c r="BF21" s="409" t="s">
        <v>722</v>
      </c>
      <c r="BG21" s="409" t="s">
        <v>722</v>
      </c>
      <c r="BH21" s="409" t="s">
        <v>722</v>
      </c>
      <c r="BI21" s="409" t="s">
        <v>722</v>
      </c>
      <c r="BJ21" s="409" t="s">
        <v>722</v>
      </c>
      <c r="BK21" s="409" t="s">
        <v>722</v>
      </c>
      <c r="BL21" s="409" t="s">
        <v>722</v>
      </c>
      <c r="BM21" s="409" t="s">
        <v>722</v>
      </c>
      <c r="BN21" s="409" t="s">
        <v>722</v>
      </c>
      <c r="BO21" s="409">
        <v>0</v>
      </c>
      <c r="BP21" s="409">
        <v>0</v>
      </c>
      <c r="BQ21" s="409">
        <v>0</v>
      </c>
      <c r="BR21" s="409">
        <v>0</v>
      </c>
      <c r="BS21" s="409">
        <v>0</v>
      </c>
      <c r="BT21" s="409">
        <v>0</v>
      </c>
      <c r="BU21" s="409">
        <v>0</v>
      </c>
      <c r="BV21" s="409">
        <v>0</v>
      </c>
      <c r="BW21" s="409">
        <v>0</v>
      </c>
      <c r="BX21" s="409" t="s">
        <v>54</v>
      </c>
      <c r="BY21" s="409" t="s">
        <v>54</v>
      </c>
      <c r="BZ21" s="409" t="s">
        <v>3</v>
      </c>
    </row>
    <row r="22" spans="1:78" ht="14.4" x14ac:dyDescent="0.3">
      <c r="A22" s="410">
        <v>4042961734</v>
      </c>
      <c r="B22" s="409" t="s">
        <v>136</v>
      </c>
      <c r="C22" s="409" t="s">
        <v>722</v>
      </c>
      <c r="D22" s="409" t="s">
        <v>722</v>
      </c>
      <c r="E22" s="409" t="s">
        <v>722</v>
      </c>
      <c r="F22" s="409" t="s">
        <v>722</v>
      </c>
      <c r="G22" s="409" t="s">
        <v>722</v>
      </c>
      <c r="H22" s="409" t="s">
        <v>722</v>
      </c>
      <c r="I22" s="409" t="s">
        <v>36</v>
      </c>
      <c r="J22" s="409" t="s">
        <v>722</v>
      </c>
      <c r="K22" s="409" t="s">
        <v>35</v>
      </c>
      <c r="L22" s="409" t="s">
        <v>722</v>
      </c>
      <c r="M22" s="409">
        <v>0</v>
      </c>
      <c r="N22" s="409" t="s">
        <v>722</v>
      </c>
      <c r="O22" s="409">
        <v>0</v>
      </c>
      <c r="P22" s="409" t="s">
        <v>722</v>
      </c>
      <c r="Q22" s="409">
        <v>0</v>
      </c>
      <c r="R22" s="409" t="s">
        <v>722</v>
      </c>
      <c r="S22" s="409" t="s">
        <v>722</v>
      </c>
      <c r="T22" s="409" t="s">
        <v>722</v>
      </c>
      <c r="U22" s="409" t="s">
        <v>722</v>
      </c>
      <c r="V22" s="409" t="s">
        <v>722</v>
      </c>
      <c r="W22" s="409" t="s">
        <v>3</v>
      </c>
      <c r="X22" s="409">
        <v>0</v>
      </c>
      <c r="Y22" s="409">
        <v>0</v>
      </c>
      <c r="Z22" s="409">
        <v>0</v>
      </c>
      <c r="AA22" s="409">
        <v>1</v>
      </c>
      <c r="AB22" s="409" t="s">
        <v>3</v>
      </c>
      <c r="AC22" s="409">
        <v>0</v>
      </c>
      <c r="AD22" s="409">
        <v>0</v>
      </c>
      <c r="AE22" s="409">
        <v>0</v>
      </c>
      <c r="AF22" s="409">
        <v>0</v>
      </c>
      <c r="AG22" s="409">
        <v>3</v>
      </c>
      <c r="AH22" s="409" t="s">
        <v>4</v>
      </c>
      <c r="AI22" s="409">
        <v>2</v>
      </c>
      <c r="AJ22" s="409" t="s">
        <v>3</v>
      </c>
      <c r="AK22" s="409">
        <v>0</v>
      </c>
      <c r="AL22" s="409">
        <v>0</v>
      </c>
      <c r="AM22" s="409">
        <v>0</v>
      </c>
      <c r="AN22" s="409">
        <v>0</v>
      </c>
      <c r="AO22" s="409" t="s">
        <v>722</v>
      </c>
      <c r="AP22" s="409">
        <v>0</v>
      </c>
      <c r="AQ22" s="409">
        <v>0</v>
      </c>
      <c r="AR22" s="409">
        <v>0</v>
      </c>
      <c r="AS22" s="409">
        <v>0</v>
      </c>
      <c r="AT22" s="409">
        <v>0</v>
      </c>
      <c r="AU22" s="409">
        <v>0</v>
      </c>
      <c r="AV22" s="409">
        <v>0</v>
      </c>
      <c r="AW22" s="409">
        <v>0</v>
      </c>
      <c r="AX22" s="409">
        <v>1</v>
      </c>
      <c r="AY22" s="409" t="s">
        <v>3</v>
      </c>
      <c r="AZ22" s="409">
        <v>1</v>
      </c>
      <c r="BA22" s="409" t="s">
        <v>298</v>
      </c>
      <c r="BB22" s="409" t="s">
        <v>722</v>
      </c>
      <c r="BC22" s="409" t="s">
        <v>722</v>
      </c>
      <c r="BD22" s="409" t="s">
        <v>722</v>
      </c>
      <c r="BE22" s="409" t="s">
        <v>55</v>
      </c>
      <c r="BF22" s="409" t="s">
        <v>722</v>
      </c>
      <c r="BG22" s="409" t="s">
        <v>722</v>
      </c>
      <c r="BH22" s="409" t="s">
        <v>722</v>
      </c>
      <c r="BI22" s="409" t="s">
        <v>722</v>
      </c>
      <c r="BJ22" s="409" t="s">
        <v>722</v>
      </c>
      <c r="BK22" s="409" t="s">
        <v>722</v>
      </c>
      <c r="BL22" s="409" t="s">
        <v>722</v>
      </c>
      <c r="BM22" s="409" t="s">
        <v>722</v>
      </c>
      <c r="BN22" s="409" t="s">
        <v>722</v>
      </c>
      <c r="BO22" s="409">
        <v>0</v>
      </c>
      <c r="BP22" s="409">
        <v>0</v>
      </c>
      <c r="BQ22" s="409">
        <v>0</v>
      </c>
      <c r="BR22" s="409">
        <v>0</v>
      </c>
      <c r="BS22" s="409">
        <v>0</v>
      </c>
      <c r="BT22" s="409">
        <v>0</v>
      </c>
      <c r="BU22" s="409">
        <v>0</v>
      </c>
      <c r="BV22" s="409">
        <v>0</v>
      </c>
      <c r="BW22" s="409">
        <v>0</v>
      </c>
      <c r="BX22" s="409" t="s">
        <v>33</v>
      </c>
      <c r="BY22" s="409" t="s">
        <v>4</v>
      </c>
      <c r="BZ22" s="409" t="s">
        <v>5</v>
      </c>
    </row>
    <row r="23" spans="1:78" ht="14.4" x14ac:dyDescent="0.3">
      <c r="A23" s="410">
        <v>4040458110</v>
      </c>
      <c r="B23" s="409" t="s">
        <v>137</v>
      </c>
      <c r="C23" s="409" t="s">
        <v>722</v>
      </c>
      <c r="D23" s="409" t="s">
        <v>722</v>
      </c>
      <c r="E23" s="409" t="s">
        <v>722</v>
      </c>
      <c r="F23" s="409" t="s">
        <v>722</v>
      </c>
      <c r="G23" s="409" t="s">
        <v>722</v>
      </c>
      <c r="H23" s="409" t="s">
        <v>722</v>
      </c>
      <c r="I23" s="409" t="s">
        <v>35</v>
      </c>
      <c r="J23" s="409" t="s">
        <v>722</v>
      </c>
      <c r="K23" s="409" t="s">
        <v>35</v>
      </c>
      <c r="L23" s="409" t="s">
        <v>722</v>
      </c>
      <c r="M23" s="409">
        <v>0</v>
      </c>
      <c r="N23" s="409" t="s">
        <v>722</v>
      </c>
      <c r="O23" s="409">
        <v>0</v>
      </c>
      <c r="P23" s="409" t="s">
        <v>722</v>
      </c>
      <c r="Q23" s="409">
        <v>0</v>
      </c>
      <c r="R23" s="409" t="s">
        <v>722</v>
      </c>
      <c r="S23" s="409" t="s">
        <v>722</v>
      </c>
      <c r="T23" s="409" t="s">
        <v>722</v>
      </c>
      <c r="U23" s="409" t="s">
        <v>722</v>
      </c>
      <c r="V23" s="409" t="s">
        <v>722</v>
      </c>
      <c r="W23" s="409" t="s">
        <v>29</v>
      </c>
      <c r="X23" s="409">
        <v>0</v>
      </c>
      <c r="Y23" s="409">
        <v>0</v>
      </c>
      <c r="Z23" s="409">
        <v>0</v>
      </c>
      <c r="AA23" s="409">
        <v>0</v>
      </c>
      <c r="AB23" s="409">
        <v>0</v>
      </c>
      <c r="AC23" s="409">
        <v>0</v>
      </c>
      <c r="AD23" s="409">
        <v>0</v>
      </c>
      <c r="AE23" s="409">
        <v>0</v>
      </c>
      <c r="AF23" s="409">
        <v>0</v>
      </c>
      <c r="AG23" s="409">
        <v>0</v>
      </c>
      <c r="AH23" s="409">
        <v>0</v>
      </c>
      <c r="AI23" s="409">
        <v>0</v>
      </c>
      <c r="AJ23" s="409">
        <v>0</v>
      </c>
      <c r="AK23" s="409">
        <v>0</v>
      </c>
      <c r="AL23" s="409">
        <v>0</v>
      </c>
      <c r="AM23" s="409">
        <v>0</v>
      </c>
      <c r="AN23" s="409">
        <v>0</v>
      </c>
      <c r="AO23" s="409" t="s">
        <v>722</v>
      </c>
      <c r="AP23" s="409">
        <v>0</v>
      </c>
      <c r="AQ23" s="409">
        <v>0</v>
      </c>
      <c r="AR23" s="409">
        <v>0</v>
      </c>
      <c r="AS23" s="409">
        <v>0</v>
      </c>
      <c r="AT23" s="409">
        <v>0</v>
      </c>
      <c r="AU23" s="409">
        <v>0</v>
      </c>
      <c r="AV23" s="409">
        <v>0</v>
      </c>
      <c r="AW23" s="409">
        <v>0</v>
      </c>
      <c r="AX23" s="409">
        <v>0</v>
      </c>
      <c r="AY23" s="409">
        <v>0</v>
      </c>
      <c r="AZ23" s="409">
        <v>0</v>
      </c>
      <c r="BA23" s="409">
        <v>0</v>
      </c>
      <c r="BB23" s="409" t="s">
        <v>722</v>
      </c>
      <c r="BC23" s="409" t="s">
        <v>722</v>
      </c>
      <c r="BD23" s="409" t="s">
        <v>722</v>
      </c>
      <c r="BE23" s="409">
        <v>0</v>
      </c>
      <c r="BF23" s="409" t="s">
        <v>722</v>
      </c>
      <c r="BG23" s="409" t="s">
        <v>722</v>
      </c>
      <c r="BH23" s="409" t="s">
        <v>722</v>
      </c>
      <c r="BI23" s="409" t="s">
        <v>722</v>
      </c>
      <c r="BJ23" s="409" t="s">
        <v>722</v>
      </c>
      <c r="BK23" s="409" t="s">
        <v>722</v>
      </c>
      <c r="BL23" s="409" t="s">
        <v>722</v>
      </c>
      <c r="BM23" s="409" t="s">
        <v>722</v>
      </c>
      <c r="BN23" s="409" t="s">
        <v>722</v>
      </c>
      <c r="BO23" s="409">
        <v>0</v>
      </c>
      <c r="BP23" s="409">
        <v>0</v>
      </c>
      <c r="BQ23" s="409">
        <v>0</v>
      </c>
      <c r="BR23" s="409">
        <v>0</v>
      </c>
      <c r="BS23" s="409">
        <v>0</v>
      </c>
      <c r="BT23" s="409">
        <v>0</v>
      </c>
      <c r="BU23" s="409">
        <v>0</v>
      </c>
      <c r="BV23" s="409">
        <v>0</v>
      </c>
      <c r="BW23" s="409">
        <v>0</v>
      </c>
      <c r="BX23" s="409">
        <v>0</v>
      </c>
      <c r="BY23" s="409">
        <v>0</v>
      </c>
      <c r="BZ23" s="409">
        <v>0</v>
      </c>
    </row>
    <row r="24" spans="1:78" ht="14.4" x14ac:dyDescent="0.3">
      <c r="A24" s="410">
        <v>4039470833</v>
      </c>
      <c r="B24" s="409" t="s">
        <v>137</v>
      </c>
      <c r="C24" s="409" t="s">
        <v>722</v>
      </c>
      <c r="D24" s="409" t="s">
        <v>722</v>
      </c>
      <c r="E24" s="409" t="s">
        <v>722</v>
      </c>
      <c r="F24" s="409" t="s">
        <v>722</v>
      </c>
      <c r="G24" s="409" t="s">
        <v>722</v>
      </c>
      <c r="H24" s="409" t="s">
        <v>722</v>
      </c>
      <c r="I24" s="409">
        <v>0</v>
      </c>
      <c r="J24" s="409" t="s">
        <v>722</v>
      </c>
      <c r="K24" s="409">
        <v>0</v>
      </c>
      <c r="L24" s="409" t="s">
        <v>722</v>
      </c>
      <c r="M24" s="409">
        <v>0</v>
      </c>
      <c r="N24" s="409" t="s">
        <v>722</v>
      </c>
      <c r="O24" s="409">
        <v>0</v>
      </c>
      <c r="P24" s="409" t="s">
        <v>722</v>
      </c>
      <c r="Q24" s="409">
        <v>0</v>
      </c>
      <c r="R24" s="409" t="s">
        <v>722</v>
      </c>
      <c r="S24" s="409" t="s">
        <v>722</v>
      </c>
      <c r="T24" s="409" t="s">
        <v>722</v>
      </c>
      <c r="U24" s="409" t="s">
        <v>722</v>
      </c>
      <c r="V24" s="409" t="s">
        <v>722</v>
      </c>
      <c r="W24" s="409">
        <v>0</v>
      </c>
      <c r="X24" s="409">
        <v>0</v>
      </c>
      <c r="Y24" s="409">
        <v>0</v>
      </c>
      <c r="Z24" s="409">
        <v>0</v>
      </c>
      <c r="AA24" s="409">
        <v>0</v>
      </c>
      <c r="AB24" s="409">
        <v>0</v>
      </c>
      <c r="AC24" s="409">
        <v>0</v>
      </c>
      <c r="AD24" s="409">
        <v>0</v>
      </c>
      <c r="AE24" s="409">
        <v>0</v>
      </c>
      <c r="AF24" s="409">
        <v>0</v>
      </c>
      <c r="AG24" s="409">
        <v>0</v>
      </c>
      <c r="AH24" s="409">
        <v>0</v>
      </c>
      <c r="AI24" s="409">
        <v>0</v>
      </c>
      <c r="AJ24" s="409">
        <v>0</v>
      </c>
      <c r="AK24" s="409">
        <v>0</v>
      </c>
      <c r="AL24" s="409">
        <v>0</v>
      </c>
      <c r="AM24" s="409">
        <v>0</v>
      </c>
      <c r="AN24" s="409">
        <v>0</v>
      </c>
      <c r="AO24" s="409" t="s">
        <v>722</v>
      </c>
      <c r="AP24" s="409">
        <v>0</v>
      </c>
      <c r="AQ24" s="409">
        <v>0</v>
      </c>
      <c r="AR24" s="409">
        <v>0</v>
      </c>
      <c r="AS24" s="409">
        <v>0</v>
      </c>
      <c r="AT24" s="409">
        <v>0</v>
      </c>
      <c r="AU24" s="409">
        <v>0</v>
      </c>
      <c r="AV24" s="409">
        <v>0</v>
      </c>
      <c r="AW24" s="409">
        <v>0</v>
      </c>
      <c r="AX24" s="409">
        <v>0</v>
      </c>
      <c r="AY24" s="409">
        <v>0</v>
      </c>
      <c r="AZ24" s="409">
        <v>0</v>
      </c>
      <c r="BA24" s="409">
        <v>0</v>
      </c>
      <c r="BB24" s="409" t="s">
        <v>722</v>
      </c>
      <c r="BC24" s="409" t="s">
        <v>722</v>
      </c>
      <c r="BD24" s="409" t="s">
        <v>722</v>
      </c>
      <c r="BE24" s="409">
        <v>0</v>
      </c>
      <c r="BF24" s="409" t="s">
        <v>722</v>
      </c>
      <c r="BG24" s="409" t="s">
        <v>722</v>
      </c>
      <c r="BH24" s="409" t="s">
        <v>722</v>
      </c>
      <c r="BI24" s="409" t="s">
        <v>722</v>
      </c>
      <c r="BJ24" s="409" t="s">
        <v>722</v>
      </c>
      <c r="BK24" s="409" t="s">
        <v>722</v>
      </c>
      <c r="BL24" s="409" t="s">
        <v>722</v>
      </c>
      <c r="BM24" s="409" t="s">
        <v>722</v>
      </c>
      <c r="BN24" s="409" t="s">
        <v>722</v>
      </c>
      <c r="BO24" s="409">
        <v>0</v>
      </c>
      <c r="BP24" s="409">
        <v>0</v>
      </c>
      <c r="BQ24" s="409">
        <v>0</v>
      </c>
      <c r="BR24" s="409">
        <v>0</v>
      </c>
      <c r="BS24" s="409">
        <v>0</v>
      </c>
      <c r="BT24" s="409">
        <v>0</v>
      </c>
      <c r="BU24" s="409">
        <v>0</v>
      </c>
      <c r="BV24" s="409">
        <v>0</v>
      </c>
      <c r="BW24" s="409">
        <v>0</v>
      </c>
      <c r="BX24" s="409">
        <v>0</v>
      </c>
      <c r="BY24" s="409">
        <v>0</v>
      </c>
      <c r="BZ24" s="409">
        <v>0</v>
      </c>
    </row>
    <row r="25" spans="1:78" ht="14.4" x14ac:dyDescent="0.3">
      <c r="A25" s="410">
        <v>4038925408</v>
      </c>
      <c r="B25" s="409" t="s">
        <v>135</v>
      </c>
      <c r="C25" s="409" t="s">
        <v>722</v>
      </c>
      <c r="D25" s="409" t="s">
        <v>722</v>
      </c>
      <c r="E25" s="409" t="s">
        <v>722</v>
      </c>
      <c r="F25" s="409" t="s">
        <v>722</v>
      </c>
      <c r="G25" s="409" t="s">
        <v>722</v>
      </c>
      <c r="H25" s="409" t="s">
        <v>722</v>
      </c>
      <c r="I25" s="409">
        <v>0</v>
      </c>
      <c r="J25" s="409" t="s">
        <v>722</v>
      </c>
      <c r="K25" s="409">
        <v>0</v>
      </c>
      <c r="L25" s="409" t="s">
        <v>722</v>
      </c>
      <c r="M25" s="409">
        <v>0</v>
      </c>
      <c r="N25" s="409" t="s">
        <v>722</v>
      </c>
      <c r="O25" s="409">
        <v>0</v>
      </c>
      <c r="P25" s="409" t="s">
        <v>722</v>
      </c>
      <c r="Q25" s="409">
        <v>0</v>
      </c>
      <c r="R25" s="409" t="s">
        <v>722</v>
      </c>
      <c r="S25" s="409" t="s">
        <v>722</v>
      </c>
      <c r="T25" s="409" t="s">
        <v>722</v>
      </c>
      <c r="U25" s="409" t="s">
        <v>722</v>
      </c>
      <c r="V25" s="409" t="s">
        <v>722</v>
      </c>
      <c r="W25" s="409">
        <v>0</v>
      </c>
      <c r="X25" s="409">
        <v>0</v>
      </c>
      <c r="Y25" s="409">
        <v>0</v>
      </c>
      <c r="Z25" s="409">
        <v>0</v>
      </c>
      <c r="AA25" s="409">
        <v>0</v>
      </c>
      <c r="AB25" s="409">
        <v>0</v>
      </c>
      <c r="AC25" s="409">
        <v>0</v>
      </c>
      <c r="AD25" s="409">
        <v>0</v>
      </c>
      <c r="AE25" s="409">
        <v>0</v>
      </c>
      <c r="AF25" s="409">
        <v>0</v>
      </c>
      <c r="AG25" s="409">
        <v>0</v>
      </c>
      <c r="AH25" s="409">
        <v>0</v>
      </c>
      <c r="AI25" s="409">
        <v>0</v>
      </c>
      <c r="AJ25" s="409">
        <v>0</v>
      </c>
      <c r="AK25" s="409">
        <v>0</v>
      </c>
      <c r="AL25" s="409">
        <v>0</v>
      </c>
      <c r="AM25" s="409">
        <v>0</v>
      </c>
      <c r="AN25" s="409">
        <v>0</v>
      </c>
      <c r="AO25" s="409" t="s">
        <v>722</v>
      </c>
      <c r="AP25" s="409">
        <v>0</v>
      </c>
      <c r="AQ25" s="409">
        <v>0</v>
      </c>
      <c r="AR25" s="409">
        <v>0</v>
      </c>
      <c r="AS25" s="409">
        <v>0</v>
      </c>
      <c r="AT25" s="409">
        <v>0</v>
      </c>
      <c r="AU25" s="409">
        <v>0</v>
      </c>
      <c r="AV25" s="409">
        <v>0</v>
      </c>
      <c r="AW25" s="409">
        <v>0</v>
      </c>
      <c r="AX25" s="409">
        <v>0</v>
      </c>
      <c r="AY25" s="409">
        <v>0</v>
      </c>
      <c r="AZ25" s="409">
        <v>0</v>
      </c>
      <c r="BA25" s="409">
        <v>0</v>
      </c>
      <c r="BB25" s="409" t="s">
        <v>722</v>
      </c>
      <c r="BC25" s="409" t="s">
        <v>722</v>
      </c>
      <c r="BD25" s="409" t="s">
        <v>722</v>
      </c>
      <c r="BE25" s="409">
        <v>0</v>
      </c>
      <c r="BF25" s="409" t="s">
        <v>722</v>
      </c>
      <c r="BG25" s="409" t="s">
        <v>722</v>
      </c>
      <c r="BH25" s="409" t="s">
        <v>722</v>
      </c>
      <c r="BI25" s="409" t="s">
        <v>722</v>
      </c>
      <c r="BJ25" s="409" t="s">
        <v>722</v>
      </c>
      <c r="BK25" s="409" t="s">
        <v>722</v>
      </c>
      <c r="BL25" s="409" t="s">
        <v>722</v>
      </c>
      <c r="BM25" s="409" t="s">
        <v>722</v>
      </c>
      <c r="BN25" s="409" t="s">
        <v>722</v>
      </c>
      <c r="BO25" s="409">
        <v>0</v>
      </c>
      <c r="BP25" s="409">
        <v>0</v>
      </c>
      <c r="BQ25" s="409">
        <v>0</v>
      </c>
      <c r="BR25" s="409">
        <v>0</v>
      </c>
      <c r="BS25" s="409">
        <v>0</v>
      </c>
      <c r="BT25" s="409">
        <v>0</v>
      </c>
      <c r="BU25" s="409">
        <v>0</v>
      </c>
      <c r="BV25" s="409">
        <v>0</v>
      </c>
      <c r="BW25" s="409">
        <v>0</v>
      </c>
      <c r="BX25" s="409">
        <v>0</v>
      </c>
      <c r="BY25" s="409">
        <v>0</v>
      </c>
      <c r="BZ25" s="409">
        <v>0</v>
      </c>
    </row>
    <row r="26" spans="1:78" ht="14.4" x14ac:dyDescent="0.3">
      <c r="A26" s="410">
        <v>4032889341</v>
      </c>
      <c r="B26" s="409" t="s">
        <v>138</v>
      </c>
      <c r="C26" s="409" t="s">
        <v>722</v>
      </c>
      <c r="D26" s="409" t="s">
        <v>722</v>
      </c>
      <c r="E26" s="409" t="s">
        <v>722</v>
      </c>
      <c r="F26" s="409" t="s">
        <v>722</v>
      </c>
      <c r="G26" s="409" t="s">
        <v>722</v>
      </c>
      <c r="H26" s="409" t="s">
        <v>722</v>
      </c>
      <c r="I26" s="409" t="s">
        <v>36</v>
      </c>
      <c r="J26" s="409" t="s">
        <v>722</v>
      </c>
      <c r="K26" s="409" t="s">
        <v>35</v>
      </c>
      <c r="L26" s="409" t="s">
        <v>722</v>
      </c>
      <c r="M26" s="409">
        <v>0</v>
      </c>
      <c r="N26" s="409" t="s">
        <v>722</v>
      </c>
      <c r="O26" s="409">
        <v>0</v>
      </c>
      <c r="P26" s="409" t="s">
        <v>722</v>
      </c>
      <c r="Q26" s="409">
        <v>0</v>
      </c>
      <c r="R26" s="409" t="s">
        <v>722</v>
      </c>
      <c r="S26" s="409" t="s">
        <v>722</v>
      </c>
      <c r="T26" s="409" t="s">
        <v>722</v>
      </c>
      <c r="U26" s="409" t="s">
        <v>722</v>
      </c>
      <c r="V26" s="409" t="s">
        <v>722</v>
      </c>
      <c r="W26" s="409" t="s">
        <v>29</v>
      </c>
      <c r="X26" s="409">
        <v>0</v>
      </c>
      <c r="Y26" s="409">
        <v>0</v>
      </c>
      <c r="Z26" s="409">
        <v>0</v>
      </c>
      <c r="AA26" s="409">
        <v>0</v>
      </c>
      <c r="AB26" s="409">
        <v>0</v>
      </c>
      <c r="AC26" s="409">
        <v>2</v>
      </c>
      <c r="AD26" s="409" t="s">
        <v>3</v>
      </c>
      <c r="AE26" s="409">
        <v>0</v>
      </c>
      <c r="AF26" s="409">
        <v>0</v>
      </c>
      <c r="AG26" s="409">
        <v>3</v>
      </c>
      <c r="AH26" s="409" t="s">
        <v>29</v>
      </c>
      <c r="AI26" s="409">
        <v>0</v>
      </c>
      <c r="AJ26" s="409">
        <v>0</v>
      </c>
      <c r="AK26" s="409">
        <v>0</v>
      </c>
      <c r="AL26" s="409">
        <v>0</v>
      </c>
      <c r="AM26" s="409">
        <v>1</v>
      </c>
      <c r="AN26" s="409" t="s">
        <v>29</v>
      </c>
      <c r="AO26" s="409" t="s">
        <v>722</v>
      </c>
      <c r="AP26" s="409">
        <v>0</v>
      </c>
      <c r="AQ26" s="409">
        <v>0</v>
      </c>
      <c r="AR26" s="409">
        <v>0</v>
      </c>
      <c r="AS26" s="409">
        <v>0</v>
      </c>
      <c r="AT26" s="409">
        <v>0</v>
      </c>
      <c r="AU26" s="409">
        <v>0</v>
      </c>
      <c r="AV26" s="409">
        <v>0</v>
      </c>
      <c r="AW26" s="409">
        <v>0</v>
      </c>
      <c r="AX26" s="409">
        <v>1</v>
      </c>
      <c r="AY26" s="409" t="s">
        <v>29</v>
      </c>
      <c r="AZ26" s="409">
        <v>0</v>
      </c>
      <c r="BA26" s="409">
        <v>0</v>
      </c>
      <c r="BB26" s="409" t="s">
        <v>722</v>
      </c>
      <c r="BC26" s="409" t="s">
        <v>722</v>
      </c>
      <c r="BD26" s="409" t="s">
        <v>722</v>
      </c>
      <c r="BE26" s="409" t="s">
        <v>62</v>
      </c>
      <c r="BF26" s="409" t="s">
        <v>722</v>
      </c>
      <c r="BG26" s="409" t="s">
        <v>722</v>
      </c>
      <c r="BH26" s="409" t="s">
        <v>722</v>
      </c>
      <c r="BI26" s="409" t="s">
        <v>722</v>
      </c>
      <c r="BJ26" s="409" t="s">
        <v>722</v>
      </c>
      <c r="BK26" s="409" t="s">
        <v>722</v>
      </c>
      <c r="BL26" s="409" t="s">
        <v>722</v>
      </c>
      <c r="BM26" s="409" t="s">
        <v>722</v>
      </c>
      <c r="BN26" s="409" t="s">
        <v>722</v>
      </c>
      <c r="BO26" s="409">
        <v>0</v>
      </c>
      <c r="BP26" s="409">
        <v>0</v>
      </c>
      <c r="BQ26" s="409">
        <v>0</v>
      </c>
      <c r="BR26" s="409">
        <v>0</v>
      </c>
      <c r="BS26" s="409">
        <v>0</v>
      </c>
      <c r="BT26" s="409">
        <v>0</v>
      </c>
      <c r="BU26" s="409">
        <v>0</v>
      </c>
      <c r="BV26" s="409">
        <v>0</v>
      </c>
      <c r="BW26" s="409">
        <v>0</v>
      </c>
      <c r="BX26" s="409" t="s">
        <v>54</v>
      </c>
      <c r="BY26" s="409" t="s">
        <v>54</v>
      </c>
      <c r="BZ26" s="409" t="s">
        <v>3</v>
      </c>
    </row>
    <row r="27" spans="1:78" ht="14.4" x14ac:dyDescent="0.3">
      <c r="A27" s="410">
        <v>4038479358</v>
      </c>
      <c r="B27" s="409" t="s">
        <v>135</v>
      </c>
      <c r="C27" s="409" t="s">
        <v>722</v>
      </c>
      <c r="D27" s="409" t="s">
        <v>722</v>
      </c>
      <c r="E27" s="409" t="s">
        <v>722</v>
      </c>
      <c r="F27" s="409" t="s">
        <v>722</v>
      </c>
      <c r="G27" s="409" t="s">
        <v>722</v>
      </c>
      <c r="H27" s="409" t="s">
        <v>722</v>
      </c>
      <c r="I27" s="409">
        <v>0</v>
      </c>
      <c r="J27" s="409" t="s">
        <v>722</v>
      </c>
      <c r="K27" s="409">
        <v>0</v>
      </c>
      <c r="L27" s="409" t="s">
        <v>722</v>
      </c>
      <c r="M27" s="409">
        <v>0</v>
      </c>
      <c r="N27" s="409" t="s">
        <v>722</v>
      </c>
      <c r="O27" s="409">
        <v>0</v>
      </c>
      <c r="P27" s="409" t="s">
        <v>722</v>
      </c>
      <c r="Q27" s="409">
        <v>0</v>
      </c>
      <c r="R27" s="409" t="s">
        <v>722</v>
      </c>
      <c r="S27" s="409" t="s">
        <v>722</v>
      </c>
      <c r="T27" s="409" t="s">
        <v>722</v>
      </c>
      <c r="U27" s="409" t="s">
        <v>722</v>
      </c>
      <c r="V27" s="409" t="s">
        <v>722</v>
      </c>
      <c r="W27" s="409">
        <v>0</v>
      </c>
      <c r="X27" s="409">
        <v>0</v>
      </c>
      <c r="Y27" s="409">
        <v>0</v>
      </c>
      <c r="Z27" s="409">
        <v>0</v>
      </c>
      <c r="AA27" s="409">
        <v>0</v>
      </c>
      <c r="AB27" s="409">
        <v>0</v>
      </c>
      <c r="AC27" s="409">
        <v>0</v>
      </c>
      <c r="AD27" s="409">
        <v>0</v>
      </c>
      <c r="AE27" s="409">
        <v>0</v>
      </c>
      <c r="AF27" s="409">
        <v>0</v>
      </c>
      <c r="AG27" s="409">
        <v>0</v>
      </c>
      <c r="AH27" s="409">
        <v>0</v>
      </c>
      <c r="AI27" s="409">
        <v>0</v>
      </c>
      <c r="AJ27" s="409">
        <v>0</v>
      </c>
      <c r="AK27" s="409">
        <v>0</v>
      </c>
      <c r="AL27" s="409">
        <v>0</v>
      </c>
      <c r="AM27" s="409">
        <v>0</v>
      </c>
      <c r="AN27" s="409">
        <v>0</v>
      </c>
      <c r="AO27" s="409" t="s">
        <v>722</v>
      </c>
      <c r="AP27" s="409">
        <v>0</v>
      </c>
      <c r="AQ27" s="409">
        <v>0</v>
      </c>
      <c r="AR27" s="409">
        <v>0</v>
      </c>
      <c r="AS27" s="409">
        <v>0</v>
      </c>
      <c r="AT27" s="409">
        <v>0</v>
      </c>
      <c r="AU27" s="409">
        <v>0</v>
      </c>
      <c r="AV27" s="409">
        <v>0</v>
      </c>
      <c r="AW27" s="409">
        <v>0</v>
      </c>
      <c r="AX27" s="409">
        <v>0</v>
      </c>
      <c r="AY27" s="409">
        <v>0</v>
      </c>
      <c r="AZ27" s="409">
        <v>0</v>
      </c>
      <c r="BA27" s="409">
        <v>0</v>
      </c>
      <c r="BB27" s="409" t="s">
        <v>722</v>
      </c>
      <c r="BC27" s="409" t="s">
        <v>722</v>
      </c>
      <c r="BD27" s="409" t="s">
        <v>722</v>
      </c>
      <c r="BE27" s="409">
        <v>0</v>
      </c>
      <c r="BF27" s="409" t="s">
        <v>722</v>
      </c>
      <c r="BG27" s="409" t="s">
        <v>722</v>
      </c>
      <c r="BH27" s="409" t="s">
        <v>722</v>
      </c>
      <c r="BI27" s="409" t="s">
        <v>722</v>
      </c>
      <c r="BJ27" s="409" t="s">
        <v>722</v>
      </c>
      <c r="BK27" s="409" t="s">
        <v>722</v>
      </c>
      <c r="BL27" s="409" t="s">
        <v>722</v>
      </c>
      <c r="BM27" s="409" t="s">
        <v>722</v>
      </c>
      <c r="BN27" s="409" t="s">
        <v>722</v>
      </c>
      <c r="BO27" s="409">
        <v>0</v>
      </c>
      <c r="BP27" s="409">
        <v>0</v>
      </c>
      <c r="BQ27" s="409">
        <v>0</v>
      </c>
      <c r="BR27" s="409">
        <v>0</v>
      </c>
      <c r="BS27" s="409">
        <v>0</v>
      </c>
      <c r="BT27" s="409">
        <v>0</v>
      </c>
      <c r="BU27" s="409">
        <v>0</v>
      </c>
      <c r="BV27" s="409">
        <v>0</v>
      </c>
      <c r="BW27" s="409">
        <v>0</v>
      </c>
      <c r="BX27" s="409">
        <v>0</v>
      </c>
      <c r="BY27" s="409">
        <v>0</v>
      </c>
      <c r="BZ27" s="409">
        <v>0</v>
      </c>
    </row>
    <row r="28" spans="1:78" ht="14.4" x14ac:dyDescent="0.3">
      <c r="A28" s="410">
        <v>4038206831</v>
      </c>
      <c r="B28" s="409" t="s">
        <v>123</v>
      </c>
      <c r="C28" s="409" t="s">
        <v>722</v>
      </c>
      <c r="D28" s="409" t="s">
        <v>722</v>
      </c>
      <c r="E28" s="409" t="s">
        <v>722</v>
      </c>
      <c r="F28" s="409" t="s">
        <v>722</v>
      </c>
      <c r="G28" s="409" t="s">
        <v>722</v>
      </c>
      <c r="H28" s="409" t="s">
        <v>722</v>
      </c>
      <c r="I28" s="409" t="s">
        <v>38</v>
      </c>
      <c r="J28" s="409" t="s">
        <v>722</v>
      </c>
      <c r="K28" s="409">
        <v>0</v>
      </c>
      <c r="L28" s="409" t="s">
        <v>722</v>
      </c>
      <c r="M28" s="409" t="s">
        <v>34</v>
      </c>
      <c r="N28" s="409" t="s">
        <v>722</v>
      </c>
      <c r="O28" s="409">
        <v>0</v>
      </c>
      <c r="P28" s="409" t="s">
        <v>722</v>
      </c>
      <c r="Q28" s="409" t="s">
        <v>34</v>
      </c>
      <c r="R28" s="409" t="s">
        <v>722</v>
      </c>
      <c r="S28" s="409" t="s">
        <v>722</v>
      </c>
      <c r="T28" s="409" t="s">
        <v>722</v>
      </c>
      <c r="U28" s="409" t="s">
        <v>722</v>
      </c>
      <c r="V28" s="409" t="s">
        <v>722</v>
      </c>
      <c r="W28" s="409">
        <v>0</v>
      </c>
      <c r="X28" s="409" t="s">
        <v>5</v>
      </c>
      <c r="Y28" s="409">
        <v>0</v>
      </c>
      <c r="Z28" s="409" t="s">
        <v>5</v>
      </c>
      <c r="AA28" s="409">
        <v>1</v>
      </c>
      <c r="AB28" s="409" t="s">
        <v>5</v>
      </c>
      <c r="AC28" s="409">
        <v>3</v>
      </c>
      <c r="AD28" s="409" t="s">
        <v>5</v>
      </c>
      <c r="AE28" s="409">
        <v>2</v>
      </c>
      <c r="AF28" s="409" t="s">
        <v>5</v>
      </c>
      <c r="AG28" s="409">
        <v>0</v>
      </c>
      <c r="AH28" s="409">
        <v>0</v>
      </c>
      <c r="AI28" s="409">
        <v>0</v>
      </c>
      <c r="AJ28" s="409">
        <v>0</v>
      </c>
      <c r="AK28" s="409">
        <v>0</v>
      </c>
      <c r="AL28" s="409">
        <v>0</v>
      </c>
      <c r="AM28" s="409">
        <v>0</v>
      </c>
      <c r="AN28" s="409">
        <v>0</v>
      </c>
      <c r="AO28" s="409" t="s">
        <v>722</v>
      </c>
      <c r="AP28" s="409">
        <v>1</v>
      </c>
      <c r="AQ28" s="409" t="s">
        <v>54</v>
      </c>
      <c r="AR28" s="409">
        <v>2</v>
      </c>
      <c r="AS28" s="409" t="s">
        <v>39</v>
      </c>
      <c r="AT28" s="409">
        <v>0</v>
      </c>
      <c r="AU28" s="409">
        <v>0</v>
      </c>
      <c r="AV28" s="409">
        <v>0</v>
      </c>
      <c r="AW28" s="409">
        <v>0</v>
      </c>
      <c r="AX28" s="409">
        <v>0</v>
      </c>
      <c r="AY28" s="409">
        <v>0</v>
      </c>
      <c r="AZ28" s="409">
        <v>0</v>
      </c>
      <c r="BA28" s="409">
        <v>0</v>
      </c>
      <c r="BB28" s="409" t="s">
        <v>722</v>
      </c>
      <c r="BC28" s="409" t="s">
        <v>722</v>
      </c>
      <c r="BD28" s="409" t="s">
        <v>722</v>
      </c>
      <c r="BE28" s="409" t="s">
        <v>55</v>
      </c>
      <c r="BF28" s="409" t="s">
        <v>722</v>
      </c>
      <c r="BG28" s="409" t="s">
        <v>722</v>
      </c>
      <c r="BH28" s="409" t="s">
        <v>722</v>
      </c>
      <c r="BI28" s="409" t="s">
        <v>722</v>
      </c>
      <c r="BJ28" s="409" t="s">
        <v>722</v>
      </c>
      <c r="BK28" s="409" t="s">
        <v>722</v>
      </c>
      <c r="BL28" s="409" t="s">
        <v>722</v>
      </c>
      <c r="BM28" s="409" t="s">
        <v>722</v>
      </c>
      <c r="BN28" s="409" t="s">
        <v>722</v>
      </c>
      <c r="BO28" s="409">
        <v>0</v>
      </c>
      <c r="BP28" s="409">
        <v>0</v>
      </c>
      <c r="BQ28" s="409">
        <v>0</v>
      </c>
      <c r="BR28" s="409">
        <v>0</v>
      </c>
      <c r="BS28" s="409">
        <v>0</v>
      </c>
      <c r="BT28" s="409">
        <v>0</v>
      </c>
      <c r="BU28" s="409">
        <v>0</v>
      </c>
      <c r="BV28" s="409">
        <v>0</v>
      </c>
      <c r="BW28" s="409">
        <v>0</v>
      </c>
      <c r="BX28" s="409">
        <v>0</v>
      </c>
      <c r="BY28" s="409">
        <v>0</v>
      </c>
      <c r="BZ28" s="409">
        <v>0</v>
      </c>
    </row>
    <row r="29" spans="1:78" ht="14.4" x14ac:dyDescent="0.3">
      <c r="A29" s="410">
        <v>4036798053</v>
      </c>
      <c r="B29" s="409" t="s">
        <v>123</v>
      </c>
      <c r="C29" s="409" t="s">
        <v>722</v>
      </c>
      <c r="D29" s="409" t="s">
        <v>722</v>
      </c>
      <c r="E29" s="409" t="s">
        <v>722</v>
      </c>
      <c r="F29" s="409" t="s">
        <v>722</v>
      </c>
      <c r="G29" s="409" t="s">
        <v>722</v>
      </c>
      <c r="H29" s="409" t="s">
        <v>722</v>
      </c>
      <c r="I29" s="409">
        <v>0</v>
      </c>
      <c r="J29" s="409" t="s">
        <v>722</v>
      </c>
      <c r="K29" s="409">
        <v>0</v>
      </c>
      <c r="L29" s="409" t="s">
        <v>722</v>
      </c>
      <c r="M29" s="409">
        <v>0</v>
      </c>
      <c r="N29" s="409" t="s">
        <v>722</v>
      </c>
      <c r="O29" s="409">
        <v>0</v>
      </c>
      <c r="P29" s="409" t="s">
        <v>722</v>
      </c>
      <c r="Q29" s="409">
        <v>0</v>
      </c>
      <c r="R29" s="409" t="s">
        <v>722</v>
      </c>
      <c r="S29" s="409" t="s">
        <v>722</v>
      </c>
      <c r="T29" s="409" t="s">
        <v>722</v>
      </c>
      <c r="U29" s="409" t="s">
        <v>722</v>
      </c>
      <c r="V29" s="409" t="s">
        <v>722</v>
      </c>
      <c r="W29" s="409">
        <v>0</v>
      </c>
      <c r="X29" s="409">
        <v>0</v>
      </c>
      <c r="Y29" s="409">
        <v>0</v>
      </c>
      <c r="Z29" s="409">
        <v>0</v>
      </c>
      <c r="AA29" s="409">
        <v>0</v>
      </c>
      <c r="AB29" s="409">
        <v>0</v>
      </c>
      <c r="AC29" s="409">
        <v>0</v>
      </c>
      <c r="AD29" s="409">
        <v>0</v>
      </c>
      <c r="AE29" s="409">
        <v>0</v>
      </c>
      <c r="AF29" s="409">
        <v>0</v>
      </c>
      <c r="AG29" s="409">
        <v>0</v>
      </c>
      <c r="AH29" s="409">
        <v>0</v>
      </c>
      <c r="AI29" s="409">
        <v>0</v>
      </c>
      <c r="AJ29" s="409">
        <v>0</v>
      </c>
      <c r="AK29" s="409">
        <v>0</v>
      </c>
      <c r="AL29" s="409">
        <v>0</v>
      </c>
      <c r="AM29" s="409">
        <v>0</v>
      </c>
      <c r="AN29" s="409">
        <v>0</v>
      </c>
      <c r="AO29" s="409" t="s">
        <v>722</v>
      </c>
      <c r="AP29" s="409">
        <v>0</v>
      </c>
      <c r="AQ29" s="409">
        <v>0</v>
      </c>
      <c r="AR29" s="409">
        <v>0</v>
      </c>
      <c r="AS29" s="409">
        <v>0</v>
      </c>
      <c r="AT29" s="409">
        <v>0</v>
      </c>
      <c r="AU29" s="409">
        <v>0</v>
      </c>
      <c r="AV29" s="409">
        <v>0</v>
      </c>
      <c r="AW29" s="409">
        <v>0</v>
      </c>
      <c r="AX29" s="409">
        <v>0</v>
      </c>
      <c r="AY29" s="409">
        <v>0</v>
      </c>
      <c r="AZ29" s="409">
        <v>0</v>
      </c>
      <c r="BA29" s="409">
        <v>0</v>
      </c>
      <c r="BB29" s="409" t="s">
        <v>722</v>
      </c>
      <c r="BC29" s="409" t="s">
        <v>722</v>
      </c>
      <c r="BD29" s="409" t="s">
        <v>722</v>
      </c>
      <c r="BE29" s="409">
        <v>0</v>
      </c>
      <c r="BF29" s="409" t="s">
        <v>722</v>
      </c>
      <c r="BG29" s="409" t="s">
        <v>722</v>
      </c>
      <c r="BH29" s="409" t="s">
        <v>722</v>
      </c>
      <c r="BI29" s="409" t="s">
        <v>722</v>
      </c>
      <c r="BJ29" s="409" t="s">
        <v>722</v>
      </c>
      <c r="BK29" s="409" t="s">
        <v>722</v>
      </c>
      <c r="BL29" s="409" t="s">
        <v>722</v>
      </c>
      <c r="BM29" s="409" t="s">
        <v>722</v>
      </c>
      <c r="BN29" s="409" t="s">
        <v>722</v>
      </c>
      <c r="BO29" s="409">
        <v>0</v>
      </c>
      <c r="BP29" s="409">
        <v>0</v>
      </c>
      <c r="BQ29" s="409">
        <v>0</v>
      </c>
      <c r="BR29" s="409">
        <v>0</v>
      </c>
      <c r="BS29" s="409">
        <v>0</v>
      </c>
      <c r="BT29" s="409">
        <v>0</v>
      </c>
      <c r="BU29" s="409">
        <v>0</v>
      </c>
      <c r="BV29" s="409">
        <v>0</v>
      </c>
      <c r="BW29" s="409">
        <v>0</v>
      </c>
      <c r="BX29" s="409">
        <v>0</v>
      </c>
      <c r="BY29" s="409">
        <v>0</v>
      </c>
      <c r="BZ29" s="409">
        <v>0</v>
      </c>
    </row>
    <row r="30" spans="1:78" ht="14.4" x14ac:dyDescent="0.3">
      <c r="A30" s="410">
        <v>4036606821</v>
      </c>
      <c r="B30" s="409" t="s">
        <v>123</v>
      </c>
      <c r="C30" s="409" t="s">
        <v>722</v>
      </c>
      <c r="D30" s="409" t="s">
        <v>722</v>
      </c>
      <c r="E30" s="409" t="s">
        <v>722</v>
      </c>
      <c r="F30" s="409" t="s">
        <v>722</v>
      </c>
      <c r="G30" s="409" t="s">
        <v>722</v>
      </c>
      <c r="H30" s="409" t="s">
        <v>722</v>
      </c>
      <c r="I30" s="409">
        <v>0</v>
      </c>
      <c r="J30" s="409" t="s">
        <v>722</v>
      </c>
      <c r="K30" s="409">
        <v>0</v>
      </c>
      <c r="L30" s="409" t="s">
        <v>722</v>
      </c>
      <c r="M30" s="409">
        <v>0</v>
      </c>
      <c r="N30" s="409" t="s">
        <v>722</v>
      </c>
      <c r="O30" s="409">
        <v>0</v>
      </c>
      <c r="P30" s="409" t="s">
        <v>722</v>
      </c>
      <c r="Q30" s="409">
        <v>0</v>
      </c>
      <c r="R30" s="409" t="s">
        <v>722</v>
      </c>
      <c r="S30" s="409" t="s">
        <v>722</v>
      </c>
      <c r="T30" s="409" t="s">
        <v>722</v>
      </c>
      <c r="U30" s="409" t="s">
        <v>722</v>
      </c>
      <c r="V30" s="409" t="s">
        <v>722</v>
      </c>
      <c r="W30" s="409">
        <v>0</v>
      </c>
      <c r="X30" s="409">
        <v>0</v>
      </c>
      <c r="Y30" s="409">
        <v>0</v>
      </c>
      <c r="Z30" s="409">
        <v>0</v>
      </c>
      <c r="AA30" s="409">
        <v>0</v>
      </c>
      <c r="AB30" s="409">
        <v>0</v>
      </c>
      <c r="AC30" s="409">
        <v>0</v>
      </c>
      <c r="AD30" s="409">
        <v>0</v>
      </c>
      <c r="AE30" s="409">
        <v>0</v>
      </c>
      <c r="AF30" s="409">
        <v>0</v>
      </c>
      <c r="AG30" s="409">
        <v>0</v>
      </c>
      <c r="AH30" s="409">
        <v>0</v>
      </c>
      <c r="AI30" s="409">
        <v>0</v>
      </c>
      <c r="AJ30" s="409">
        <v>0</v>
      </c>
      <c r="AK30" s="409">
        <v>0</v>
      </c>
      <c r="AL30" s="409">
        <v>0</v>
      </c>
      <c r="AM30" s="409">
        <v>0</v>
      </c>
      <c r="AN30" s="409">
        <v>0</v>
      </c>
      <c r="AO30" s="409" t="s">
        <v>722</v>
      </c>
      <c r="AP30" s="409">
        <v>0</v>
      </c>
      <c r="AQ30" s="409">
        <v>0</v>
      </c>
      <c r="AR30" s="409">
        <v>0</v>
      </c>
      <c r="AS30" s="409">
        <v>0</v>
      </c>
      <c r="AT30" s="409">
        <v>0</v>
      </c>
      <c r="AU30" s="409">
        <v>0</v>
      </c>
      <c r="AV30" s="409">
        <v>0</v>
      </c>
      <c r="AW30" s="409">
        <v>0</v>
      </c>
      <c r="AX30" s="409">
        <v>0</v>
      </c>
      <c r="AY30" s="409">
        <v>0</v>
      </c>
      <c r="AZ30" s="409">
        <v>0</v>
      </c>
      <c r="BA30" s="409">
        <v>0</v>
      </c>
      <c r="BB30" s="409" t="s">
        <v>722</v>
      </c>
      <c r="BC30" s="409" t="s">
        <v>722</v>
      </c>
      <c r="BD30" s="409" t="s">
        <v>722</v>
      </c>
      <c r="BE30" s="409">
        <v>0</v>
      </c>
      <c r="BF30" s="409" t="s">
        <v>722</v>
      </c>
      <c r="BG30" s="409" t="s">
        <v>722</v>
      </c>
      <c r="BH30" s="409" t="s">
        <v>722</v>
      </c>
      <c r="BI30" s="409" t="s">
        <v>722</v>
      </c>
      <c r="BJ30" s="409" t="s">
        <v>722</v>
      </c>
      <c r="BK30" s="409" t="s">
        <v>722</v>
      </c>
      <c r="BL30" s="409" t="s">
        <v>722</v>
      </c>
      <c r="BM30" s="409" t="s">
        <v>722</v>
      </c>
      <c r="BN30" s="409" t="s">
        <v>722</v>
      </c>
      <c r="BO30" s="409">
        <v>0</v>
      </c>
      <c r="BP30" s="409">
        <v>0</v>
      </c>
      <c r="BQ30" s="409">
        <v>0</v>
      </c>
      <c r="BR30" s="409">
        <v>0</v>
      </c>
      <c r="BS30" s="409">
        <v>0</v>
      </c>
      <c r="BT30" s="409">
        <v>0</v>
      </c>
      <c r="BU30" s="409">
        <v>0</v>
      </c>
      <c r="BV30" s="409">
        <v>0</v>
      </c>
      <c r="BW30" s="409">
        <v>0</v>
      </c>
      <c r="BX30" s="409">
        <v>0</v>
      </c>
      <c r="BY30" s="409">
        <v>0</v>
      </c>
      <c r="BZ30" s="409">
        <v>0</v>
      </c>
    </row>
    <row r="31" spans="1:78" ht="14.4" x14ac:dyDescent="0.3">
      <c r="A31" s="410">
        <v>4036337853</v>
      </c>
      <c r="B31" s="409" t="s">
        <v>135</v>
      </c>
      <c r="C31" s="409" t="s">
        <v>722</v>
      </c>
      <c r="D31" s="409" t="s">
        <v>722</v>
      </c>
      <c r="E31" s="409" t="s">
        <v>722</v>
      </c>
      <c r="F31" s="409" t="s">
        <v>722</v>
      </c>
      <c r="G31" s="409" t="s">
        <v>722</v>
      </c>
      <c r="H31" s="409" t="s">
        <v>722</v>
      </c>
      <c r="I31" s="409">
        <v>0</v>
      </c>
      <c r="J31" s="409" t="s">
        <v>722</v>
      </c>
      <c r="K31" s="409">
        <v>0</v>
      </c>
      <c r="L31" s="409" t="s">
        <v>722</v>
      </c>
      <c r="M31" s="409">
        <v>0</v>
      </c>
      <c r="N31" s="409" t="s">
        <v>722</v>
      </c>
      <c r="O31" s="409">
        <v>0</v>
      </c>
      <c r="P31" s="409" t="s">
        <v>722</v>
      </c>
      <c r="Q31" s="409">
        <v>0</v>
      </c>
      <c r="R31" s="409" t="s">
        <v>722</v>
      </c>
      <c r="S31" s="409" t="s">
        <v>722</v>
      </c>
      <c r="T31" s="409" t="s">
        <v>722</v>
      </c>
      <c r="U31" s="409" t="s">
        <v>722</v>
      </c>
      <c r="V31" s="409" t="s">
        <v>722</v>
      </c>
      <c r="W31" s="409">
        <v>0</v>
      </c>
      <c r="X31" s="409">
        <v>0</v>
      </c>
      <c r="Y31" s="409">
        <v>0</v>
      </c>
      <c r="Z31" s="409">
        <v>0</v>
      </c>
      <c r="AA31" s="409">
        <v>0</v>
      </c>
      <c r="AB31" s="409">
        <v>0</v>
      </c>
      <c r="AC31" s="409">
        <v>0</v>
      </c>
      <c r="AD31" s="409">
        <v>0</v>
      </c>
      <c r="AE31" s="409">
        <v>0</v>
      </c>
      <c r="AF31" s="409">
        <v>0</v>
      </c>
      <c r="AG31" s="409">
        <v>0</v>
      </c>
      <c r="AH31" s="409">
        <v>0</v>
      </c>
      <c r="AI31" s="409">
        <v>0</v>
      </c>
      <c r="AJ31" s="409">
        <v>0</v>
      </c>
      <c r="AK31" s="409">
        <v>0</v>
      </c>
      <c r="AL31" s="409">
        <v>0</v>
      </c>
      <c r="AM31" s="409">
        <v>0</v>
      </c>
      <c r="AN31" s="409">
        <v>0</v>
      </c>
      <c r="AO31" s="409" t="s">
        <v>722</v>
      </c>
      <c r="AP31" s="409">
        <v>0</v>
      </c>
      <c r="AQ31" s="409">
        <v>0</v>
      </c>
      <c r="AR31" s="409">
        <v>0</v>
      </c>
      <c r="AS31" s="409">
        <v>0</v>
      </c>
      <c r="AT31" s="409">
        <v>0</v>
      </c>
      <c r="AU31" s="409">
        <v>0</v>
      </c>
      <c r="AV31" s="409">
        <v>0</v>
      </c>
      <c r="AW31" s="409">
        <v>0</v>
      </c>
      <c r="AX31" s="409">
        <v>0</v>
      </c>
      <c r="AY31" s="409">
        <v>0</v>
      </c>
      <c r="AZ31" s="409">
        <v>0</v>
      </c>
      <c r="BA31" s="409">
        <v>0</v>
      </c>
      <c r="BB31" s="409" t="s">
        <v>722</v>
      </c>
      <c r="BC31" s="409" t="s">
        <v>722</v>
      </c>
      <c r="BD31" s="409" t="s">
        <v>722</v>
      </c>
      <c r="BE31" s="409">
        <v>0</v>
      </c>
      <c r="BF31" s="409" t="s">
        <v>722</v>
      </c>
      <c r="BG31" s="409" t="s">
        <v>722</v>
      </c>
      <c r="BH31" s="409" t="s">
        <v>722</v>
      </c>
      <c r="BI31" s="409" t="s">
        <v>722</v>
      </c>
      <c r="BJ31" s="409" t="s">
        <v>722</v>
      </c>
      <c r="BK31" s="409" t="s">
        <v>722</v>
      </c>
      <c r="BL31" s="409" t="s">
        <v>722</v>
      </c>
      <c r="BM31" s="409" t="s">
        <v>722</v>
      </c>
      <c r="BN31" s="409" t="s">
        <v>722</v>
      </c>
      <c r="BO31" s="409">
        <v>0</v>
      </c>
      <c r="BP31" s="409">
        <v>0</v>
      </c>
      <c r="BQ31" s="409">
        <v>0</v>
      </c>
      <c r="BR31" s="409">
        <v>0</v>
      </c>
      <c r="BS31" s="409">
        <v>0</v>
      </c>
      <c r="BT31" s="409">
        <v>0</v>
      </c>
      <c r="BU31" s="409">
        <v>0</v>
      </c>
      <c r="BV31" s="409">
        <v>0</v>
      </c>
      <c r="BW31" s="409">
        <v>0</v>
      </c>
      <c r="BX31" s="409" t="s">
        <v>5</v>
      </c>
      <c r="BY31" s="409" t="s">
        <v>5</v>
      </c>
      <c r="BZ31" s="409" t="s">
        <v>5</v>
      </c>
    </row>
    <row r="32" spans="1:78" ht="14.4" x14ac:dyDescent="0.3">
      <c r="A32" s="410">
        <v>4035478157</v>
      </c>
      <c r="B32" s="409" t="s">
        <v>123</v>
      </c>
      <c r="C32" s="409" t="s">
        <v>722</v>
      </c>
      <c r="D32" s="409" t="s">
        <v>722</v>
      </c>
      <c r="E32" s="409" t="s">
        <v>722</v>
      </c>
      <c r="F32" s="409" t="s">
        <v>722</v>
      </c>
      <c r="G32" s="409" t="s">
        <v>722</v>
      </c>
      <c r="H32" s="409" t="s">
        <v>722</v>
      </c>
      <c r="I32" s="409" t="s">
        <v>35</v>
      </c>
      <c r="J32" s="409" t="s">
        <v>722</v>
      </c>
      <c r="K32" s="409" t="s">
        <v>36</v>
      </c>
      <c r="L32" s="409" t="s">
        <v>722</v>
      </c>
      <c r="M32" s="409" t="s">
        <v>39</v>
      </c>
      <c r="N32" s="409" t="s">
        <v>722</v>
      </c>
      <c r="O32" s="409" t="s">
        <v>39</v>
      </c>
      <c r="P32" s="409" t="s">
        <v>722</v>
      </c>
      <c r="Q32" s="409" t="s">
        <v>39</v>
      </c>
      <c r="R32" s="409" t="s">
        <v>722</v>
      </c>
      <c r="S32" s="409" t="s">
        <v>722</v>
      </c>
      <c r="T32" s="409" t="s">
        <v>722</v>
      </c>
      <c r="U32" s="409" t="s">
        <v>722</v>
      </c>
      <c r="V32" s="409" t="s">
        <v>722</v>
      </c>
      <c r="W32" s="409" t="s">
        <v>29</v>
      </c>
      <c r="X32" s="409" t="s">
        <v>39</v>
      </c>
      <c r="Y32" s="409" t="s">
        <v>39</v>
      </c>
      <c r="Z32" s="409" t="s">
        <v>39</v>
      </c>
      <c r="AA32" s="409">
        <v>1</v>
      </c>
      <c r="AB32" s="409" t="s">
        <v>29</v>
      </c>
      <c r="AC32" s="409">
        <v>2</v>
      </c>
      <c r="AD32" s="409" t="s">
        <v>29</v>
      </c>
      <c r="AE32" s="409">
        <v>0</v>
      </c>
      <c r="AF32" s="409" t="s">
        <v>4</v>
      </c>
      <c r="AG32" s="409">
        <v>0</v>
      </c>
      <c r="AH32" s="409" t="s">
        <v>4</v>
      </c>
      <c r="AI32" s="409">
        <v>0</v>
      </c>
      <c r="AJ32" s="409" t="s">
        <v>33</v>
      </c>
      <c r="AK32" s="409">
        <v>3</v>
      </c>
      <c r="AL32" s="409" t="s">
        <v>4</v>
      </c>
      <c r="AM32" s="409">
        <v>0</v>
      </c>
      <c r="AN32" s="409">
        <v>0</v>
      </c>
      <c r="AO32" s="409" t="s">
        <v>722</v>
      </c>
      <c r="AP32" s="409">
        <v>1</v>
      </c>
      <c r="AQ32" s="409" t="s">
        <v>29</v>
      </c>
      <c r="AR32" s="409">
        <v>0</v>
      </c>
      <c r="AS32" s="409" t="s">
        <v>4</v>
      </c>
      <c r="AT32" s="409">
        <v>3</v>
      </c>
      <c r="AU32" s="409" t="s">
        <v>3</v>
      </c>
      <c r="AV32" s="409">
        <v>2</v>
      </c>
      <c r="AW32" s="409" t="s">
        <v>29</v>
      </c>
      <c r="AX32" s="409">
        <v>0</v>
      </c>
      <c r="AY32" s="409" t="s">
        <v>33</v>
      </c>
      <c r="AZ32" s="409">
        <v>0</v>
      </c>
      <c r="BA32" s="409">
        <v>0</v>
      </c>
      <c r="BB32" s="409" t="s">
        <v>722</v>
      </c>
      <c r="BC32" s="409" t="s">
        <v>722</v>
      </c>
      <c r="BD32" s="409" t="s">
        <v>722</v>
      </c>
      <c r="BE32" s="409" t="s">
        <v>55</v>
      </c>
      <c r="BF32" s="409" t="s">
        <v>722</v>
      </c>
      <c r="BG32" s="409" t="s">
        <v>722</v>
      </c>
      <c r="BH32" s="409" t="s">
        <v>722</v>
      </c>
      <c r="BI32" s="409" t="s">
        <v>722</v>
      </c>
      <c r="BJ32" s="409" t="s">
        <v>722</v>
      </c>
      <c r="BK32" s="409" t="s">
        <v>722</v>
      </c>
      <c r="BL32" s="409" t="s">
        <v>722</v>
      </c>
      <c r="BM32" s="409" t="s">
        <v>722</v>
      </c>
      <c r="BN32" s="409" t="s">
        <v>722</v>
      </c>
      <c r="BO32" s="409">
        <v>0</v>
      </c>
      <c r="BP32" s="409">
        <v>0</v>
      </c>
      <c r="BQ32" s="409">
        <v>0</v>
      </c>
      <c r="BR32" s="409">
        <v>0</v>
      </c>
      <c r="BS32" s="409">
        <v>0</v>
      </c>
      <c r="BT32" s="409">
        <v>0</v>
      </c>
      <c r="BU32" s="409">
        <v>0</v>
      </c>
      <c r="BV32" s="409">
        <v>0</v>
      </c>
      <c r="BW32" s="409">
        <v>0</v>
      </c>
      <c r="BX32" s="409">
        <v>0</v>
      </c>
      <c r="BY32" s="409">
        <v>0</v>
      </c>
      <c r="BZ32" s="409">
        <v>0</v>
      </c>
    </row>
    <row r="33" spans="1:78" ht="14.4" x14ac:dyDescent="0.3">
      <c r="A33" s="410">
        <v>4034302851</v>
      </c>
      <c r="B33" s="409" t="s">
        <v>135</v>
      </c>
      <c r="C33" s="409" t="s">
        <v>722</v>
      </c>
      <c r="D33" s="409" t="s">
        <v>722</v>
      </c>
      <c r="E33" s="409" t="s">
        <v>722</v>
      </c>
      <c r="F33" s="409" t="s">
        <v>722</v>
      </c>
      <c r="G33" s="409" t="s">
        <v>722</v>
      </c>
      <c r="H33" s="409" t="s">
        <v>722</v>
      </c>
      <c r="I33" s="409">
        <v>0</v>
      </c>
      <c r="J33" s="409" t="s">
        <v>722</v>
      </c>
      <c r="K33" s="409">
        <v>0</v>
      </c>
      <c r="L33" s="409" t="s">
        <v>722</v>
      </c>
      <c r="M33" s="409">
        <v>0</v>
      </c>
      <c r="N33" s="409" t="s">
        <v>722</v>
      </c>
      <c r="O33" s="409">
        <v>0</v>
      </c>
      <c r="P33" s="409" t="s">
        <v>722</v>
      </c>
      <c r="Q33" s="409">
        <v>0</v>
      </c>
      <c r="R33" s="409" t="s">
        <v>722</v>
      </c>
      <c r="S33" s="409" t="s">
        <v>722</v>
      </c>
      <c r="T33" s="409" t="s">
        <v>722</v>
      </c>
      <c r="U33" s="409" t="s">
        <v>722</v>
      </c>
      <c r="V33" s="409" t="s">
        <v>722</v>
      </c>
      <c r="W33" s="409">
        <v>0</v>
      </c>
      <c r="X33" s="409">
        <v>0</v>
      </c>
      <c r="Y33" s="409">
        <v>0</v>
      </c>
      <c r="Z33" s="409">
        <v>0</v>
      </c>
      <c r="AA33" s="409">
        <v>0</v>
      </c>
      <c r="AB33" s="409">
        <v>0</v>
      </c>
      <c r="AC33" s="409">
        <v>0</v>
      </c>
      <c r="AD33" s="409">
        <v>0</v>
      </c>
      <c r="AE33" s="409">
        <v>0</v>
      </c>
      <c r="AF33" s="409">
        <v>0</v>
      </c>
      <c r="AG33" s="409">
        <v>0</v>
      </c>
      <c r="AH33" s="409">
        <v>0</v>
      </c>
      <c r="AI33" s="409">
        <v>0</v>
      </c>
      <c r="AJ33" s="409">
        <v>0</v>
      </c>
      <c r="AK33" s="409">
        <v>0</v>
      </c>
      <c r="AL33" s="409">
        <v>0</v>
      </c>
      <c r="AM33" s="409">
        <v>0</v>
      </c>
      <c r="AN33" s="409">
        <v>0</v>
      </c>
      <c r="AO33" s="409" t="s">
        <v>722</v>
      </c>
      <c r="AP33" s="409">
        <v>0</v>
      </c>
      <c r="AQ33" s="409">
        <v>0</v>
      </c>
      <c r="AR33" s="409">
        <v>0</v>
      </c>
      <c r="AS33" s="409">
        <v>0</v>
      </c>
      <c r="AT33" s="409">
        <v>0</v>
      </c>
      <c r="AU33" s="409">
        <v>0</v>
      </c>
      <c r="AV33" s="409">
        <v>0</v>
      </c>
      <c r="AW33" s="409">
        <v>0</v>
      </c>
      <c r="AX33" s="409">
        <v>0</v>
      </c>
      <c r="AY33" s="409">
        <v>0</v>
      </c>
      <c r="AZ33" s="409">
        <v>0</v>
      </c>
      <c r="BA33" s="409">
        <v>0</v>
      </c>
      <c r="BB33" s="409" t="s">
        <v>722</v>
      </c>
      <c r="BC33" s="409" t="s">
        <v>722</v>
      </c>
      <c r="BD33" s="409" t="s">
        <v>722</v>
      </c>
      <c r="BE33" s="409">
        <v>0</v>
      </c>
      <c r="BF33" s="409" t="s">
        <v>722</v>
      </c>
      <c r="BG33" s="409" t="s">
        <v>722</v>
      </c>
      <c r="BH33" s="409" t="s">
        <v>722</v>
      </c>
      <c r="BI33" s="409" t="s">
        <v>722</v>
      </c>
      <c r="BJ33" s="409" t="s">
        <v>722</v>
      </c>
      <c r="BK33" s="409" t="s">
        <v>722</v>
      </c>
      <c r="BL33" s="409" t="s">
        <v>722</v>
      </c>
      <c r="BM33" s="409" t="s">
        <v>722</v>
      </c>
      <c r="BN33" s="409" t="s">
        <v>722</v>
      </c>
      <c r="BO33" s="409">
        <v>0</v>
      </c>
      <c r="BP33" s="409">
        <v>0</v>
      </c>
      <c r="BQ33" s="409">
        <v>0</v>
      </c>
      <c r="BR33" s="409">
        <v>0</v>
      </c>
      <c r="BS33" s="409">
        <v>0</v>
      </c>
      <c r="BT33" s="409">
        <v>0</v>
      </c>
      <c r="BU33" s="409">
        <v>0</v>
      </c>
      <c r="BV33" s="409">
        <v>0</v>
      </c>
      <c r="BW33" s="409">
        <v>0</v>
      </c>
      <c r="BX33" s="409">
        <v>0</v>
      </c>
      <c r="BY33" s="409">
        <v>0</v>
      </c>
      <c r="BZ33" s="409">
        <v>0</v>
      </c>
    </row>
    <row r="34" spans="1:78" ht="14.4" x14ac:dyDescent="0.3">
      <c r="A34" s="410">
        <v>4033781399</v>
      </c>
      <c r="B34" s="409" t="s">
        <v>123</v>
      </c>
      <c r="C34" s="409" t="s">
        <v>722</v>
      </c>
      <c r="D34" s="409" t="s">
        <v>722</v>
      </c>
      <c r="E34" s="409" t="s">
        <v>722</v>
      </c>
      <c r="F34" s="409" t="s">
        <v>722</v>
      </c>
      <c r="G34" s="409" t="s">
        <v>722</v>
      </c>
      <c r="H34" s="409" t="s">
        <v>722</v>
      </c>
      <c r="I34" s="409">
        <v>0</v>
      </c>
      <c r="J34" s="409" t="s">
        <v>722</v>
      </c>
      <c r="K34" s="409">
        <v>0</v>
      </c>
      <c r="L34" s="409" t="s">
        <v>722</v>
      </c>
      <c r="M34" s="409">
        <v>0</v>
      </c>
      <c r="N34" s="409" t="s">
        <v>722</v>
      </c>
      <c r="O34" s="409">
        <v>0</v>
      </c>
      <c r="P34" s="409" t="s">
        <v>722</v>
      </c>
      <c r="Q34" s="409">
        <v>0</v>
      </c>
      <c r="R34" s="409" t="s">
        <v>722</v>
      </c>
      <c r="S34" s="409" t="s">
        <v>722</v>
      </c>
      <c r="T34" s="409" t="s">
        <v>722</v>
      </c>
      <c r="U34" s="409" t="s">
        <v>722</v>
      </c>
      <c r="V34" s="409" t="s">
        <v>722</v>
      </c>
      <c r="W34" s="409">
        <v>0</v>
      </c>
      <c r="X34" s="409">
        <v>0</v>
      </c>
      <c r="Y34" s="409">
        <v>0</v>
      </c>
      <c r="Z34" s="409">
        <v>0</v>
      </c>
      <c r="AA34" s="409">
        <v>0</v>
      </c>
      <c r="AB34" s="409">
        <v>0</v>
      </c>
      <c r="AC34" s="409">
        <v>0</v>
      </c>
      <c r="AD34" s="409">
        <v>0</v>
      </c>
      <c r="AE34" s="409">
        <v>0</v>
      </c>
      <c r="AF34" s="409">
        <v>0</v>
      </c>
      <c r="AG34" s="409">
        <v>0</v>
      </c>
      <c r="AH34" s="409">
        <v>0</v>
      </c>
      <c r="AI34" s="409">
        <v>0</v>
      </c>
      <c r="AJ34" s="409">
        <v>0</v>
      </c>
      <c r="AK34" s="409">
        <v>0</v>
      </c>
      <c r="AL34" s="409">
        <v>0</v>
      </c>
      <c r="AM34" s="409">
        <v>0</v>
      </c>
      <c r="AN34" s="409">
        <v>0</v>
      </c>
      <c r="AO34" s="409" t="s">
        <v>722</v>
      </c>
      <c r="AP34" s="409">
        <v>0</v>
      </c>
      <c r="AQ34" s="409">
        <v>0</v>
      </c>
      <c r="AR34" s="409">
        <v>0</v>
      </c>
      <c r="AS34" s="409">
        <v>0</v>
      </c>
      <c r="AT34" s="409">
        <v>0</v>
      </c>
      <c r="AU34" s="409">
        <v>0</v>
      </c>
      <c r="AV34" s="409">
        <v>0</v>
      </c>
      <c r="AW34" s="409">
        <v>0</v>
      </c>
      <c r="AX34" s="409">
        <v>0</v>
      </c>
      <c r="AY34" s="409">
        <v>0</v>
      </c>
      <c r="AZ34" s="409">
        <v>0</v>
      </c>
      <c r="BA34" s="409">
        <v>0</v>
      </c>
      <c r="BB34" s="409" t="s">
        <v>722</v>
      </c>
      <c r="BC34" s="409" t="s">
        <v>722</v>
      </c>
      <c r="BD34" s="409" t="s">
        <v>722</v>
      </c>
      <c r="BE34" s="409">
        <v>0</v>
      </c>
      <c r="BF34" s="409" t="s">
        <v>722</v>
      </c>
      <c r="BG34" s="409" t="s">
        <v>722</v>
      </c>
      <c r="BH34" s="409" t="s">
        <v>722</v>
      </c>
      <c r="BI34" s="409" t="s">
        <v>722</v>
      </c>
      <c r="BJ34" s="409" t="s">
        <v>722</v>
      </c>
      <c r="BK34" s="409" t="s">
        <v>722</v>
      </c>
      <c r="BL34" s="409" t="s">
        <v>722</v>
      </c>
      <c r="BM34" s="409" t="s">
        <v>722</v>
      </c>
      <c r="BN34" s="409" t="s">
        <v>722</v>
      </c>
      <c r="BO34" s="409">
        <v>0</v>
      </c>
      <c r="BP34" s="409">
        <v>0</v>
      </c>
      <c r="BQ34" s="409">
        <v>0</v>
      </c>
      <c r="BR34" s="409">
        <v>0</v>
      </c>
      <c r="BS34" s="409">
        <v>0</v>
      </c>
      <c r="BT34" s="409">
        <v>0</v>
      </c>
      <c r="BU34" s="409">
        <v>0</v>
      </c>
      <c r="BV34" s="409">
        <v>0</v>
      </c>
      <c r="BW34" s="409">
        <v>0</v>
      </c>
      <c r="BX34" s="409" t="s">
        <v>4</v>
      </c>
      <c r="BY34" s="409" t="s">
        <v>4</v>
      </c>
      <c r="BZ34" s="409" t="s">
        <v>4</v>
      </c>
    </row>
    <row r="35" spans="1:78" ht="14.4" x14ac:dyDescent="0.3">
      <c r="A35" s="410">
        <v>4032199906</v>
      </c>
      <c r="B35" s="409" t="s">
        <v>137</v>
      </c>
      <c r="C35" s="409" t="s">
        <v>722</v>
      </c>
      <c r="D35" s="409" t="s">
        <v>722</v>
      </c>
      <c r="E35" s="409" t="s">
        <v>722</v>
      </c>
      <c r="F35" s="409" t="s">
        <v>722</v>
      </c>
      <c r="G35" s="409" t="s">
        <v>722</v>
      </c>
      <c r="H35" s="409" t="s">
        <v>722</v>
      </c>
      <c r="I35" s="409" t="s">
        <v>36</v>
      </c>
      <c r="J35" s="409" t="s">
        <v>722</v>
      </c>
      <c r="K35" s="409">
        <v>0</v>
      </c>
      <c r="L35" s="409" t="s">
        <v>722</v>
      </c>
      <c r="M35" s="409" t="s">
        <v>35</v>
      </c>
      <c r="N35" s="409" t="s">
        <v>722</v>
      </c>
      <c r="O35" s="409">
        <v>0</v>
      </c>
      <c r="P35" s="409" t="s">
        <v>722</v>
      </c>
      <c r="Q35" s="409" t="s">
        <v>35</v>
      </c>
      <c r="R35" s="409" t="s">
        <v>722</v>
      </c>
      <c r="S35" s="409" t="s">
        <v>722</v>
      </c>
      <c r="T35" s="409" t="s">
        <v>722</v>
      </c>
      <c r="U35" s="409" t="s">
        <v>722</v>
      </c>
      <c r="V35" s="409" t="s">
        <v>722</v>
      </c>
      <c r="W35" s="409">
        <v>0</v>
      </c>
      <c r="X35" s="409" t="s">
        <v>3</v>
      </c>
      <c r="Y35" s="409">
        <v>0</v>
      </c>
      <c r="Z35" s="409" t="s">
        <v>3</v>
      </c>
      <c r="AA35" s="409">
        <v>2</v>
      </c>
      <c r="AB35" s="409">
        <v>0</v>
      </c>
      <c r="AC35" s="409">
        <v>0</v>
      </c>
      <c r="AD35" s="409">
        <v>0</v>
      </c>
      <c r="AE35" s="409">
        <v>0</v>
      </c>
      <c r="AF35" s="409">
        <v>0</v>
      </c>
      <c r="AG35" s="409">
        <v>2</v>
      </c>
      <c r="AH35" s="409">
        <v>0</v>
      </c>
      <c r="AI35" s="409">
        <v>0</v>
      </c>
      <c r="AJ35" s="409">
        <v>0</v>
      </c>
      <c r="AK35" s="409">
        <v>0</v>
      </c>
      <c r="AL35" s="409">
        <v>0</v>
      </c>
      <c r="AM35" s="409">
        <v>0</v>
      </c>
      <c r="AN35" s="409">
        <v>0</v>
      </c>
      <c r="AO35" s="409" t="s">
        <v>722</v>
      </c>
      <c r="AP35" s="409">
        <v>0</v>
      </c>
      <c r="AQ35" s="409">
        <v>0</v>
      </c>
      <c r="AR35" s="409">
        <v>0</v>
      </c>
      <c r="AS35" s="409">
        <v>0</v>
      </c>
      <c r="AT35" s="409">
        <v>0</v>
      </c>
      <c r="AU35" s="409">
        <v>0</v>
      </c>
      <c r="AV35" s="409">
        <v>0</v>
      </c>
      <c r="AW35" s="409">
        <v>0</v>
      </c>
      <c r="AX35" s="409">
        <v>0</v>
      </c>
      <c r="AY35" s="409">
        <v>0</v>
      </c>
      <c r="AZ35" s="409">
        <v>0</v>
      </c>
      <c r="BA35" s="409">
        <v>0</v>
      </c>
      <c r="BB35" s="409" t="s">
        <v>722</v>
      </c>
      <c r="BC35" s="409" t="s">
        <v>722</v>
      </c>
      <c r="BD35" s="409" t="s">
        <v>722</v>
      </c>
      <c r="BE35" s="409" t="s">
        <v>55</v>
      </c>
      <c r="BF35" s="409" t="s">
        <v>722</v>
      </c>
      <c r="BG35" s="409" t="s">
        <v>722</v>
      </c>
      <c r="BH35" s="409" t="s">
        <v>722</v>
      </c>
      <c r="BI35" s="409" t="s">
        <v>722</v>
      </c>
      <c r="BJ35" s="409" t="s">
        <v>722</v>
      </c>
      <c r="BK35" s="409" t="s">
        <v>722</v>
      </c>
      <c r="BL35" s="409" t="s">
        <v>722</v>
      </c>
      <c r="BM35" s="409" t="s">
        <v>722</v>
      </c>
      <c r="BN35" s="409" t="s">
        <v>722</v>
      </c>
      <c r="BO35" s="409">
        <v>0</v>
      </c>
      <c r="BP35" s="409">
        <v>0</v>
      </c>
      <c r="BQ35" s="409">
        <v>0</v>
      </c>
      <c r="BR35" s="409">
        <v>0</v>
      </c>
      <c r="BS35" s="409">
        <v>0</v>
      </c>
      <c r="BT35" s="409">
        <v>0</v>
      </c>
      <c r="BU35" s="409">
        <v>0</v>
      </c>
      <c r="BV35" s="409">
        <v>0</v>
      </c>
      <c r="BW35" s="409">
        <v>0</v>
      </c>
      <c r="BX35" s="409">
        <v>0</v>
      </c>
      <c r="BY35" s="409">
        <v>0</v>
      </c>
      <c r="BZ35" s="409">
        <v>0</v>
      </c>
    </row>
    <row r="36" spans="1:78" ht="14.4" x14ac:dyDescent="0.3">
      <c r="A36" s="410">
        <v>4031543800</v>
      </c>
      <c r="B36" s="409" t="s">
        <v>135</v>
      </c>
      <c r="C36" s="409" t="s">
        <v>722</v>
      </c>
      <c r="D36" s="409" t="s">
        <v>722</v>
      </c>
      <c r="E36" s="409" t="s">
        <v>722</v>
      </c>
      <c r="F36" s="409" t="s">
        <v>722</v>
      </c>
      <c r="G36" s="409" t="s">
        <v>722</v>
      </c>
      <c r="H36" s="409" t="s">
        <v>722</v>
      </c>
      <c r="I36" s="409">
        <v>0</v>
      </c>
      <c r="J36" s="409" t="s">
        <v>722</v>
      </c>
      <c r="K36" s="409">
        <v>0</v>
      </c>
      <c r="L36" s="409" t="s">
        <v>722</v>
      </c>
      <c r="M36" s="409">
        <v>0</v>
      </c>
      <c r="N36" s="409" t="s">
        <v>722</v>
      </c>
      <c r="O36" s="409">
        <v>0</v>
      </c>
      <c r="P36" s="409" t="s">
        <v>722</v>
      </c>
      <c r="Q36" s="409">
        <v>0</v>
      </c>
      <c r="R36" s="409" t="s">
        <v>722</v>
      </c>
      <c r="S36" s="409" t="s">
        <v>722</v>
      </c>
      <c r="T36" s="409" t="s">
        <v>722</v>
      </c>
      <c r="U36" s="409" t="s">
        <v>722</v>
      </c>
      <c r="V36" s="409" t="s">
        <v>722</v>
      </c>
      <c r="W36" s="409">
        <v>0</v>
      </c>
      <c r="X36" s="409">
        <v>0</v>
      </c>
      <c r="Y36" s="409">
        <v>0</v>
      </c>
      <c r="Z36" s="409">
        <v>0</v>
      </c>
      <c r="AA36" s="409">
        <v>0</v>
      </c>
      <c r="AB36" s="409">
        <v>0</v>
      </c>
      <c r="AC36" s="409">
        <v>0</v>
      </c>
      <c r="AD36" s="409">
        <v>0</v>
      </c>
      <c r="AE36" s="409">
        <v>0</v>
      </c>
      <c r="AF36" s="409">
        <v>0</v>
      </c>
      <c r="AG36" s="409">
        <v>0</v>
      </c>
      <c r="AH36" s="409">
        <v>0</v>
      </c>
      <c r="AI36" s="409">
        <v>0</v>
      </c>
      <c r="AJ36" s="409">
        <v>0</v>
      </c>
      <c r="AK36" s="409">
        <v>0</v>
      </c>
      <c r="AL36" s="409">
        <v>0</v>
      </c>
      <c r="AM36" s="409">
        <v>0</v>
      </c>
      <c r="AN36" s="409">
        <v>0</v>
      </c>
      <c r="AO36" s="409" t="s">
        <v>722</v>
      </c>
      <c r="AP36" s="409">
        <v>0</v>
      </c>
      <c r="AQ36" s="409">
        <v>0</v>
      </c>
      <c r="AR36" s="409">
        <v>0</v>
      </c>
      <c r="AS36" s="409">
        <v>0</v>
      </c>
      <c r="AT36" s="409">
        <v>0</v>
      </c>
      <c r="AU36" s="409">
        <v>0</v>
      </c>
      <c r="AV36" s="409">
        <v>0</v>
      </c>
      <c r="AW36" s="409">
        <v>0</v>
      </c>
      <c r="AX36" s="409">
        <v>0</v>
      </c>
      <c r="AY36" s="409">
        <v>0</v>
      </c>
      <c r="AZ36" s="409">
        <v>0</v>
      </c>
      <c r="BA36" s="409">
        <v>0</v>
      </c>
      <c r="BB36" s="409" t="s">
        <v>722</v>
      </c>
      <c r="BC36" s="409" t="s">
        <v>722</v>
      </c>
      <c r="BD36" s="409" t="s">
        <v>722</v>
      </c>
      <c r="BE36" s="409">
        <v>0</v>
      </c>
      <c r="BF36" s="409" t="s">
        <v>722</v>
      </c>
      <c r="BG36" s="409" t="s">
        <v>722</v>
      </c>
      <c r="BH36" s="409" t="s">
        <v>722</v>
      </c>
      <c r="BI36" s="409" t="s">
        <v>722</v>
      </c>
      <c r="BJ36" s="409" t="s">
        <v>722</v>
      </c>
      <c r="BK36" s="409" t="s">
        <v>722</v>
      </c>
      <c r="BL36" s="409" t="s">
        <v>722</v>
      </c>
      <c r="BM36" s="409" t="s">
        <v>722</v>
      </c>
      <c r="BN36" s="409" t="s">
        <v>722</v>
      </c>
      <c r="BO36" s="409">
        <v>0</v>
      </c>
      <c r="BP36" s="409">
        <v>0</v>
      </c>
      <c r="BQ36" s="409">
        <v>0</v>
      </c>
      <c r="BR36" s="409">
        <v>0</v>
      </c>
      <c r="BS36" s="409">
        <v>0</v>
      </c>
      <c r="BT36" s="409">
        <v>0</v>
      </c>
      <c r="BU36" s="409">
        <v>0</v>
      </c>
      <c r="BV36" s="409">
        <v>0</v>
      </c>
      <c r="BW36" s="409">
        <v>0</v>
      </c>
      <c r="BX36" s="409" t="s">
        <v>5</v>
      </c>
      <c r="BY36" s="409" t="s">
        <v>5</v>
      </c>
      <c r="BZ36" s="409" t="s">
        <v>5</v>
      </c>
    </row>
    <row r="37" spans="1:78" ht="14.4" x14ac:dyDescent="0.3">
      <c r="A37" s="410">
        <v>4031407399</v>
      </c>
      <c r="B37" s="409" t="s">
        <v>137</v>
      </c>
      <c r="C37" s="409" t="s">
        <v>722</v>
      </c>
      <c r="D37" s="409" t="s">
        <v>722</v>
      </c>
      <c r="E37" s="409" t="s">
        <v>722</v>
      </c>
      <c r="F37" s="409" t="s">
        <v>722</v>
      </c>
      <c r="G37" s="409" t="s">
        <v>722</v>
      </c>
      <c r="H37" s="409" t="s">
        <v>722</v>
      </c>
      <c r="I37" s="409" t="s">
        <v>36</v>
      </c>
      <c r="J37" s="409" t="s">
        <v>722</v>
      </c>
      <c r="K37" s="409">
        <v>0</v>
      </c>
      <c r="L37" s="409" t="s">
        <v>722</v>
      </c>
      <c r="M37" s="409" t="s">
        <v>36</v>
      </c>
      <c r="N37" s="409" t="s">
        <v>722</v>
      </c>
      <c r="O37" s="409">
        <v>0</v>
      </c>
      <c r="P37" s="409" t="s">
        <v>722</v>
      </c>
      <c r="Q37" s="409">
        <v>0</v>
      </c>
      <c r="R37" s="409" t="s">
        <v>722</v>
      </c>
      <c r="S37" s="409" t="s">
        <v>722</v>
      </c>
      <c r="T37" s="409" t="s">
        <v>722</v>
      </c>
      <c r="U37" s="409" t="s">
        <v>722</v>
      </c>
      <c r="V37" s="409" t="s">
        <v>722</v>
      </c>
      <c r="W37" s="409">
        <v>0</v>
      </c>
      <c r="X37" s="409" t="s">
        <v>33</v>
      </c>
      <c r="Y37" s="409">
        <v>0</v>
      </c>
      <c r="Z37" s="409">
        <v>0</v>
      </c>
      <c r="AA37" s="409">
        <v>3</v>
      </c>
      <c r="AB37" s="409">
        <v>0</v>
      </c>
      <c r="AC37" s="409">
        <v>0</v>
      </c>
      <c r="AD37" s="409">
        <v>0</v>
      </c>
      <c r="AE37" s="409">
        <v>1</v>
      </c>
      <c r="AF37" s="409">
        <v>0</v>
      </c>
      <c r="AG37" s="409">
        <v>2</v>
      </c>
      <c r="AH37" s="409">
        <v>0</v>
      </c>
      <c r="AI37" s="409">
        <v>0</v>
      </c>
      <c r="AJ37" s="409">
        <v>0</v>
      </c>
      <c r="AK37" s="409">
        <v>0</v>
      </c>
      <c r="AL37" s="409">
        <v>0</v>
      </c>
      <c r="AM37" s="409">
        <v>0</v>
      </c>
      <c r="AN37" s="409">
        <v>0</v>
      </c>
      <c r="AO37" s="409" t="s">
        <v>722</v>
      </c>
      <c r="AP37" s="409">
        <v>2</v>
      </c>
      <c r="AQ37" s="409">
        <v>0</v>
      </c>
      <c r="AR37" s="409">
        <v>1</v>
      </c>
      <c r="AS37" s="409">
        <v>0</v>
      </c>
      <c r="AT37" s="409">
        <v>0</v>
      </c>
      <c r="AU37" s="409">
        <v>0</v>
      </c>
      <c r="AV37" s="409">
        <v>3</v>
      </c>
      <c r="AW37" s="409">
        <v>0</v>
      </c>
      <c r="AX37" s="409">
        <v>0</v>
      </c>
      <c r="AY37" s="409">
        <v>0</v>
      </c>
      <c r="AZ37" s="409">
        <v>0</v>
      </c>
      <c r="BA37" s="409">
        <v>0</v>
      </c>
      <c r="BB37" s="409" t="s">
        <v>722</v>
      </c>
      <c r="BC37" s="409" t="s">
        <v>722</v>
      </c>
      <c r="BD37" s="409" t="s">
        <v>722</v>
      </c>
      <c r="BE37" s="409" t="s">
        <v>53</v>
      </c>
      <c r="BF37" s="409" t="s">
        <v>722</v>
      </c>
      <c r="BG37" s="409" t="s">
        <v>722</v>
      </c>
      <c r="BH37" s="409" t="s">
        <v>722</v>
      </c>
      <c r="BI37" s="409" t="s">
        <v>722</v>
      </c>
      <c r="BJ37" s="409" t="s">
        <v>722</v>
      </c>
      <c r="BK37" s="409" t="s">
        <v>722</v>
      </c>
      <c r="BL37" s="409" t="s">
        <v>722</v>
      </c>
      <c r="BM37" s="409" t="s">
        <v>722</v>
      </c>
      <c r="BN37" s="409" t="s">
        <v>722</v>
      </c>
      <c r="BO37" s="409">
        <v>0</v>
      </c>
      <c r="BP37" s="409">
        <v>0</v>
      </c>
      <c r="BQ37" s="409">
        <v>0</v>
      </c>
      <c r="BR37" s="409">
        <v>0</v>
      </c>
      <c r="BS37" s="409">
        <v>0</v>
      </c>
      <c r="BT37" s="409">
        <v>0</v>
      </c>
      <c r="BU37" s="409">
        <v>0</v>
      </c>
      <c r="BV37" s="409">
        <v>0</v>
      </c>
      <c r="BW37" s="409">
        <v>0</v>
      </c>
      <c r="BX37" s="409">
        <v>0</v>
      </c>
      <c r="BY37" s="409">
        <v>0</v>
      </c>
      <c r="BZ37" s="409">
        <v>0</v>
      </c>
    </row>
    <row r="38" spans="1:78" ht="14.4" x14ac:dyDescent="0.3">
      <c r="A38" s="410">
        <v>4031354786</v>
      </c>
      <c r="B38" s="409" t="s">
        <v>137</v>
      </c>
      <c r="C38" s="409" t="s">
        <v>722</v>
      </c>
      <c r="D38" s="409" t="s">
        <v>722</v>
      </c>
      <c r="E38" s="409" t="s">
        <v>722</v>
      </c>
      <c r="F38" s="409" t="s">
        <v>722</v>
      </c>
      <c r="G38" s="409" t="s">
        <v>722</v>
      </c>
      <c r="H38" s="409" t="s">
        <v>722</v>
      </c>
      <c r="I38" s="409" t="s">
        <v>34</v>
      </c>
      <c r="J38" s="409" t="s">
        <v>722</v>
      </c>
      <c r="K38" s="409" t="s">
        <v>34</v>
      </c>
      <c r="L38" s="409" t="s">
        <v>722</v>
      </c>
      <c r="M38" s="409">
        <v>0</v>
      </c>
      <c r="N38" s="409" t="s">
        <v>722</v>
      </c>
      <c r="O38" s="409">
        <v>0</v>
      </c>
      <c r="P38" s="409" t="s">
        <v>722</v>
      </c>
      <c r="Q38" s="409">
        <v>0</v>
      </c>
      <c r="R38" s="409" t="s">
        <v>722</v>
      </c>
      <c r="S38" s="409" t="s">
        <v>722</v>
      </c>
      <c r="T38" s="409" t="s">
        <v>722</v>
      </c>
      <c r="U38" s="409" t="s">
        <v>722</v>
      </c>
      <c r="V38" s="409" t="s">
        <v>722</v>
      </c>
      <c r="W38" s="409">
        <v>0</v>
      </c>
      <c r="X38" s="409">
        <v>0</v>
      </c>
      <c r="Y38" s="409">
        <v>0</v>
      </c>
      <c r="Z38" s="409">
        <v>0</v>
      </c>
      <c r="AA38" s="409">
        <v>0</v>
      </c>
      <c r="AB38" s="409" t="s">
        <v>4</v>
      </c>
      <c r="AC38" s="409">
        <v>0</v>
      </c>
      <c r="AD38" s="409" t="s">
        <v>4</v>
      </c>
      <c r="AE38" s="409">
        <v>0</v>
      </c>
      <c r="AF38" s="409" t="s">
        <v>4</v>
      </c>
      <c r="AG38" s="409">
        <v>0</v>
      </c>
      <c r="AH38" s="409" t="s">
        <v>4</v>
      </c>
      <c r="AI38" s="409">
        <v>0</v>
      </c>
      <c r="AJ38" s="409" t="s">
        <v>4</v>
      </c>
      <c r="AK38" s="409">
        <v>0</v>
      </c>
      <c r="AL38" s="409" t="s">
        <v>39</v>
      </c>
      <c r="AM38" s="409">
        <v>0</v>
      </c>
      <c r="AN38" s="409">
        <v>0</v>
      </c>
      <c r="AO38" s="409" t="s">
        <v>722</v>
      </c>
      <c r="AP38" s="409">
        <v>0</v>
      </c>
      <c r="AQ38" s="409">
        <v>0</v>
      </c>
      <c r="AR38" s="409">
        <v>0</v>
      </c>
      <c r="AS38" s="409">
        <v>0</v>
      </c>
      <c r="AT38" s="409">
        <v>0</v>
      </c>
      <c r="AU38" s="409">
        <v>0</v>
      </c>
      <c r="AV38" s="409">
        <v>0</v>
      </c>
      <c r="AW38" s="409">
        <v>0</v>
      </c>
      <c r="AX38" s="409">
        <v>0</v>
      </c>
      <c r="AY38" s="409">
        <v>0</v>
      </c>
      <c r="AZ38" s="409">
        <v>0</v>
      </c>
      <c r="BA38" s="409" t="s">
        <v>112</v>
      </c>
      <c r="BB38" s="409" t="s">
        <v>722</v>
      </c>
      <c r="BC38" s="409" t="s">
        <v>722</v>
      </c>
      <c r="BD38" s="409" t="s">
        <v>722</v>
      </c>
      <c r="BE38" s="409" t="s">
        <v>55</v>
      </c>
      <c r="BF38" s="409" t="s">
        <v>722</v>
      </c>
      <c r="BG38" s="409" t="s">
        <v>722</v>
      </c>
      <c r="BH38" s="409" t="s">
        <v>722</v>
      </c>
      <c r="BI38" s="409" t="s">
        <v>722</v>
      </c>
      <c r="BJ38" s="409" t="s">
        <v>722</v>
      </c>
      <c r="BK38" s="409" t="s">
        <v>722</v>
      </c>
      <c r="BL38" s="409" t="s">
        <v>722</v>
      </c>
      <c r="BM38" s="409" t="s">
        <v>722</v>
      </c>
      <c r="BN38" s="409" t="s">
        <v>722</v>
      </c>
      <c r="BO38" s="409">
        <v>0</v>
      </c>
      <c r="BP38" s="409">
        <v>0</v>
      </c>
      <c r="BQ38" s="409">
        <v>0</v>
      </c>
      <c r="BR38" s="409">
        <v>0</v>
      </c>
      <c r="BS38" s="409">
        <v>0</v>
      </c>
      <c r="BT38" s="409">
        <v>0</v>
      </c>
      <c r="BU38" s="409">
        <v>0</v>
      </c>
      <c r="BV38" s="409">
        <v>0</v>
      </c>
      <c r="BW38" s="409">
        <v>0</v>
      </c>
      <c r="BX38" s="409">
        <v>0</v>
      </c>
      <c r="BY38" s="409">
        <v>0</v>
      </c>
      <c r="BZ38" s="409">
        <v>0</v>
      </c>
    </row>
    <row r="39" spans="1:78" ht="14.4" x14ac:dyDescent="0.3">
      <c r="A39" s="410">
        <v>4031265970</v>
      </c>
      <c r="B39" s="409" t="s">
        <v>137</v>
      </c>
      <c r="C39" s="409" t="s">
        <v>722</v>
      </c>
      <c r="D39" s="409" t="s">
        <v>722</v>
      </c>
      <c r="E39" s="409" t="s">
        <v>722</v>
      </c>
      <c r="F39" s="409" t="s">
        <v>722</v>
      </c>
      <c r="G39" s="409" t="s">
        <v>722</v>
      </c>
      <c r="H39" s="409" t="s">
        <v>722</v>
      </c>
      <c r="I39" s="409">
        <v>0</v>
      </c>
      <c r="J39" s="409" t="s">
        <v>722</v>
      </c>
      <c r="K39" s="409">
        <v>0</v>
      </c>
      <c r="L39" s="409" t="s">
        <v>722</v>
      </c>
      <c r="M39" s="409">
        <v>0</v>
      </c>
      <c r="N39" s="409" t="s">
        <v>722</v>
      </c>
      <c r="O39" s="409">
        <v>0</v>
      </c>
      <c r="P39" s="409" t="s">
        <v>722</v>
      </c>
      <c r="Q39" s="409">
        <v>0</v>
      </c>
      <c r="R39" s="409" t="s">
        <v>722</v>
      </c>
      <c r="S39" s="409" t="s">
        <v>722</v>
      </c>
      <c r="T39" s="409" t="s">
        <v>722</v>
      </c>
      <c r="U39" s="409" t="s">
        <v>722</v>
      </c>
      <c r="V39" s="409" t="s">
        <v>722</v>
      </c>
      <c r="W39" s="409">
        <v>0</v>
      </c>
      <c r="X39" s="409">
        <v>0</v>
      </c>
      <c r="Y39" s="409">
        <v>0</v>
      </c>
      <c r="Z39" s="409">
        <v>0</v>
      </c>
      <c r="AA39" s="409">
        <v>0</v>
      </c>
      <c r="AB39" s="409">
        <v>0</v>
      </c>
      <c r="AC39" s="409">
        <v>0</v>
      </c>
      <c r="AD39" s="409">
        <v>0</v>
      </c>
      <c r="AE39" s="409">
        <v>0</v>
      </c>
      <c r="AF39" s="409">
        <v>0</v>
      </c>
      <c r="AG39" s="409">
        <v>0</v>
      </c>
      <c r="AH39" s="409">
        <v>0</v>
      </c>
      <c r="AI39" s="409">
        <v>0</v>
      </c>
      <c r="AJ39" s="409">
        <v>0</v>
      </c>
      <c r="AK39" s="409">
        <v>0</v>
      </c>
      <c r="AL39" s="409">
        <v>0</v>
      </c>
      <c r="AM39" s="409">
        <v>0</v>
      </c>
      <c r="AN39" s="409">
        <v>0</v>
      </c>
      <c r="AO39" s="409" t="s">
        <v>722</v>
      </c>
      <c r="AP39" s="409">
        <v>0</v>
      </c>
      <c r="AQ39" s="409">
        <v>0</v>
      </c>
      <c r="AR39" s="409">
        <v>0</v>
      </c>
      <c r="AS39" s="409">
        <v>0</v>
      </c>
      <c r="AT39" s="409">
        <v>0</v>
      </c>
      <c r="AU39" s="409">
        <v>0</v>
      </c>
      <c r="AV39" s="409">
        <v>0</v>
      </c>
      <c r="AW39" s="409">
        <v>0</v>
      </c>
      <c r="AX39" s="409">
        <v>0</v>
      </c>
      <c r="AY39" s="409">
        <v>0</v>
      </c>
      <c r="AZ39" s="409">
        <v>0</v>
      </c>
      <c r="BA39" s="409">
        <v>0</v>
      </c>
      <c r="BB39" s="409" t="s">
        <v>722</v>
      </c>
      <c r="BC39" s="409" t="s">
        <v>722</v>
      </c>
      <c r="BD39" s="409" t="s">
        <v>722</v>
      </c>
      <c r="BE39" s="409">
        <v>0</v>
      </c>
      <c r="BF39" s="409" t="s">
        <v>722</v>
      </c>
      <c r="BG39" s="409" t="s">
        <v>722</v>
      </c>
      <c r="BH39" s="409" t="s">
        <v>722</v>
      </c>
      <c r="BI39" s="409" t="s">
        <v>722</v>
      </c>
      <c r="BJ39" s="409" t="s">
        <v>722</v>
      </c>
      <c r="BK39" s="409" t="s">
        <v>722</v>
      </c>
      <c r="BL39" s="409" t="s">
        <v>722</v>
      </c>
      <c r="BM39" s="409" t="s">
        <v>722</v>
      </c>
      <c r="BN39" s="409" t="s">
        <v>722</v>
      </c>
      <c r="BO39" s="409">
        <v>0</v>
      </c>
      <c r="BP39" s="409">
        <v>0</v>
      </c>
      <c r="BQ39" s="409">
        <v>0</v>
      </c>
      <c r="BR39" s="409">
        <v>0</v>
      </c>
      <c r="BS39" s="409">
        <v>0</v>
      </c>
      <c r="BT39" s="409">
        <v>0</v>
      </c>
      <c r="BU39" s="409">
        <v>0</v>
      </c>
      <c r="BV39" s="409">
        <v>0</v>
      </c>
      <c r="BW39" s="409">
        <v>0</v>
      </c>
      <c r="BX39" s="409">
        <v>0</v>
      </c>
      <c r="BY39" s="409">
        <v>0</v>
      </c>
      <c r="BZ39" s="409">
        <v>0</v>
      </c>
    </row>
    <row r="40" spans="1:78" ht="14.4" x14ac:dyDescent="0.3">
      <c r="A40" s="410">
        <v>4027301554</v>
      </c>
      <c r="B40" s="409" t="s">
        <v>116</v>
      </c>
      <c r="C40" s="409" t="s">
        <v>722</v>
      </c>
      <c r="D40" s="409" t="s">
        <v>722</v>
      </c>
      <c r="E40" s="409" t="s">
        <v>722</v>
      </c>
      <c r="F40" s="409" t="s">
        <v>722</v>
      </c>
      <c r="G40" s="409" t="s">
        <v>722</v>
      </c>
      <c r="H40" s="409" t="s">
        <v>722</v>
      </c>
      <c r="I40" s="409">
        <v>0</v>
      </c>
      <c r="J40" s="409" t="s">
        <v>722</v>
      </c>
      <c r="K40" s="409">
        <v>0</v>
      </c>
      <c r="L40" s="409" t="s">
        <v>722</v>
      </c>
      <c r="M40" s="409">
        <v>0</v>
      </c>
      <c r="N40" s="409" t="s">
        <v>722</v>
      </c>
      <c r="O40" s="409">
        <v>0</v>
      </c>
      <c r="P40" s="409" t="s">
        <v>722</v>
      </c>
      <c r="Q40" s="409">
        <v>0</v>
      </c>
      <c r="R40" s="409" t="s">
        <v>722</v>
      </c>
      <c r="S40" s="409" t="s">
        <v>722</v>
      </c>
      <c r="T40" s="409" t="s">
        <v>722</v>
      </c>
      <c r="U40" s="409" t="s">
        <v>722</v>
      </c>
      <c r="V40" s="409" t="s">
        <v>722</v>
      </c>
      <c r="W40" s="409">
        <v>0</v>
      </c>
      <c r="X40" s="409">
        <v>0</v>
      </c>
      <c r="Y40" s="409">
        <v>0</v>
      </c>
      <c r="Z40" s="409">
        <v>0</v>
      </c>
      <c r="AA40" s="409">
        <v>0</v>
      </c>
      <c r="AB40" s="409">
        <v>0</v>
      </c>
      <c r="AC40" s="409">
        <v>0</v>
      </c>
      <c r="AD40" s="409">
        <v>0</v>
      </c>
      <c r="AE40" s="409">
        <v>0</v>
      </c>
      <c r="AF40" s="409">
        <v>0</v>
      </c>
      <c r="AG40" s="409">
        <v>0</v>
      </c>
      <c r="AH40" s="409">
        <v>0</v>
      </c>
      <c r="AI40" s="409">
        <v>0</v>
      </c>
      <c r="AJ40" s="409">
        <v>0</v>
      </c>
      <c r="AK40" s="409">
        <v>0</v>
      </c>
      <c r="AL40" s="409">
        <v>0</v>
      </c>
      <c r="AM40" s="409">
        <v>0</v>
      </c>
      <c r="AN40" s="409">
        <v>0</v>
      </c>
      <c r="AO40" s="409" t="s">
        <v>722</v>
      </c>
      <c r="AP40" s="409">
        <v>0</v>
      </c>
      <c r="AQ40" s="409">
        <v>0</v>
      </c>
      <c r="AR40" s="409">
        <v>0</v>
      </c>
      <c r="AS40" s="409">
        <v>0</v>
      </c>
      <c r="AT40" s="409">
        <v>0</v>
      </c>
      <c r="AU40" s="409">
        <v>0</v>
      </c>
      <c r="AV40" s="409">
        <v>0</v>
      </c>
      <c r="AW40" s="409">
        <v>0</v>
      </c>
      <c r="AX40" s="409">
        <v>0</v>
      </c>
      <c r="AY40" s="409">
        <v>0</v>
      </c>
      <c r="AZ40" s="409">
        <v>0</v>
      </c>
      <c r="BA40" s="409">
        <v>0</v>
      </c>
      <c r="BB40" s="409" t="s">
        <v>722</v>
      </c>
      <c r="BC40" s="409" t="s">
        <v>722</v>
      </c>
      <c r="BD40" s="409" t="s">
        <v>722</v>
      </c>
      <c r="BE40" s="409">
        <v>0</v>
      </c>
      <c r="BF40" s="409" t="s">
        <v>722</v>
      </c>
      <c r="BG40" s="409" t="s">
        <v>722</v>
      </c>
      <c r="BH40" s="409" t="s">
        <v>722</v>
      </c>
      <c r="BI40" s="409" t="s">
        <v>722</v>
      </c>
      <c r="BJ40" s="409" t="s">
        <v>722</v>
      </c>
      <c r="BK40" s="409" t="s">
        <v>722</v>
      </c>
      <c r="BL40" s="409" t="s">
        <v>722</v>
      </c>
      <c r="BM40" s="409" t="s">
        <v>722</v>
      </c>
      <c r="BN40" s="409" t="s">
        <v>722</v>
      </c>
      <c r="BO40" s="409">
        <v>0</v>
      </c>
      <c r="BP40" s="409">
        <v>0</v>
      </c>
      <c r="BQ40" s="409">
        <v>0</v>
      </c>
      <c r="BR40" s="409">
        <v>0</v>
      </c>
      <c r="BS40" s="409">
        <v>0</v>
      </c>
      <c r="BT40" s="409">
        <v>0</v>
      </c>
      <c r="BU40" s="409">
        <v>0</v>
      </c>
      <c r="BV40" s="409">
        <v>0</v>
      </c>
      <c r="BW40" s="409">
        <v>0</v>
      </c>
      <c r="BX40" s="409">
        <v>0</v>
      </c>
      <c r="BY40" s="409">
        <v>0</v>
      </c>
      <c r="BZ40" s="409">
        <v>0</v>
      </c>
    </row>
    <row r="41" spans="1:78" ht="14.4" x14ac:dyDescent="0.3">
      <c r="A41" s="410">
        <v>4026811200</v>
      </c>
      <c r="B41" s="409" t="s">
        <v>137</v>
      </c>
      <c r="C41" s="409" t="s">
        <v>722</v>
      </c>
      <c r="D41" s="409" t="s">
        <v>722</v>
      </c>
      <c r="E41" s="409" t="s">
        <v>722</v>
      </c>
      <c r="F41" s="409" t="s">
        <v>722</v>
      </c>
      <c r="G41" s="409" t="s">
        <v>722</v>
      </c>
      <c r="H41" s="409" t="s">
        <v>722</v>
      </c>
      <c r="I41" s="409" t="s">
        <v>38</v>
      </c>
      <c r="J41" s="409" t="s">
        <v>722</v>
      </c>
      <c r="K41" s="409">
        <v>0</v>
      </c>
      <c r="L41" s="409" t="s">
        <v>722</v>
      </c>
      <c r="M41" s="409" t="s">
        <v>34</v>
      </c>
      <c r="N41" s="409" t="s">
        <v>722</v>
      </c>
      <c r="O41" s="409">
        <v>0</v>
      </c>
      <c r="P41" s="409" t="s">
        <v>722</v>
      </c>
      <c r="Q41" s="409" t="s">
        <v>34</v>
      </c>
      <c r="R41" s="409" t="s">
        <v>722</v>
      </c>
      <c r="S41" s="409" t="s">
        <v>722</v>
      </c>
      <c r="T41" s="409" t="s">
        <v>722</v>
      </c>
      <c r="U41" s="409" t="s">
        <v>722</v>
      </c>
      <c r="V41" s="409" t="s">
        <v>722</v>
      </c>
      <c r="W41" s="409">
        <v>0</v>
      </c>
      <c r="X41" s="409" t="s">
        <v>5</v>
      </c>
      <c r="Y41" s="409">
        <v>0</v>
      </c>
      <c r="Z41" s="409" t="s">
        <v>5</v>
      </c>
      <c r="AA41" s="409">
        <v>1</v>
      </c>
      <c r="AB41" s="409" t="s">
        <v>4</v>
      </c>
      <c r="AC41" s="409">
        <v>2</v>
      </c>
      <c r="AD41" s="409" t="s">
        <v>33</v>
      </c>
      <c r="AE41" s="409">
        <v>0</v>
      </c>
      <c r="AF41" s="409">
        <v>0</v>
      </c>
      <c r="AG41" s="409">
        <v>3</v>
      </c>
      <c r="AH41" s="409" t="s">
        <v>4</v>
      </c>
      <c r="AI41" s="409">
        <v>0</v>
      </c>
      <c r="AJ41" s="409">
        <v>0</v>
      </c>
      <c r="AK41" s="409">
        <v>0</v>
      </c>
      <c r="AL41" s="409">
        <v>0</v>
      </c>
      <c r="AM41" s="409">
        <v>0</v>
      </c>
      <c r="AN41" s="409">
        <v>0</v>
      </c>
      <c r="AO41" s="409" t="s">
        <v>722</v>
      </c>
      <c r="AP41" s="409">
        <v>1</v>
      </c>
      <c r="AQ41" s="409" t="s">
        <v>3</v>
      </c>
      <c r="AR41" s="409">
        <v>3</v>
      </c>
      <c r="AS41" s="409" t="s">
        <v>5</v>
      </c>
      <c r="AT41" s="409">
        <v>0</v>
      </c>
      <c r="AU41" s="409">
        <v>0</v>
      </c>
      <c r="AV41" s="409">
        <v>2</v>
      </c>
      <c r="AW41" s="409" t="s">
        <v>3</v>
      </c>
      <c r="AX41" s="409">
        <v>0</v>
      </c>
      <c r="AY41" s="409">
        <v>0</v>
      </c>
      <c r="AZ41" s="409">
        <v>0</v>
      </c>
      <c r="BA41" s="409">
        <v>0</v>
      </c>
      <c r="BB41" s="409" t="s">
        <v>722</v>
      </c>
      <c r="BC41" s="409" t="s">
        <v>722</v>
      </c>
      <c r="BD41" s="409" t="s">
        <v>722</v>
      </c>
      <c r="BE41" s="409" t="s">
        <v>55</v>
      </c>
      <c r="BF41" s="409" t="s">
        <v>722</v>
      </c>
      <c r="BG41" s="409" t="s">
        <v>722</v>
      </c>
      <c r="BH41" s="409" t="s">
        <v>722</v>
      </c>
      <c r="BI41" s="409" t="s">
        <v>722</v>
      </c>
      <c r="BJ41" s="409" t="s">
        <v>722</v>
      </c>
      <c r="BK41" s="409" t="s">
        <v>722</v>
      </c>
      <c r="BL41" s="409" t="s">
        <v>722</v>
      </c>
      <c r="BM41" s="409" t="s">
        <v>722</v>
      </c>
      <c r="BN41" s="409" t="s">
        <v>722</v>
      </c>
      <c r="BO41" s="409" t="s">
        <v>3</v>
      </c>
      <c r="BP41" s="409" t="s">
        <v>5</v>
      </c>
      <c r="BQ41" s="409" t="s">
        <v>5</v>
      </c>
      <c r="BR41" s="409">
        <v>0</v>
      </c>
      <c r="BS41" s="409">
        <v>0</v>
      </c>
      <c r="BT41" s="409">
        <v>0</v>
      </c>
      <c r="BU41" s="409" t="s">
        <v>3</v>
      </c>
      <c r="BV41" s="409" t="s">
        <v>5</v>
      </c>
      <c r="BW41" s="409" t="s">
        <v>5</v>
      </c>
      <c r="BX41" s="409">
        <v>0</v>
      </c>
      <c r="BY41" s="409">
        <v>0</v>
      </c>
      <c r="BZ41" s="409">
        <v>0</v>
      </c>
    </row>
    <row r="42" spans="1:78" ht="14.4" x14ac:dyDescent="0.3">
      <c r="A42" s="410">
        <v>4026775834</v>
      </c>
      <c r="B42" s="409" t="s">
        <v>136</v>
      </c>
      <c r="C42" s="409" t="s">
        <v>722</v>
      </c>
      <c r="D42" s="409" t="s">
        <v>722</v>
      </c>
      <c r="E42" s="409" t="s">
        <v>722</v>
      </c>
      <c r="F42" s="409" t="s">
        <v>722</v>
      </c>
      <c r="G42" s="409" t="s">
        <v>722</v>
      </c>
      <c r="H42" s="409" t="s">
        <v>722</v>
      </c>
      <c r="I42" s="409">
        <v>0</v>
      </c>
      <c r="J42" s="409" t="s">
        <v>722</v>
      </c>
      <c r="K42" s="409">
        <v>0</v>
      </c>
      <c r="L42" s="409" t="s">
        <v>722</v>
      </c>
      <c r="M42" s="409">
        <v>0</v>
      </c>
      <c r="N42" s="409" t="s">
        <v>722</v>
      </c>
      <c r="O42" s="409">
        <v>0</v>
      </c>
      <c r="P42" s="409" t="s">
        <v>722</v>
      </c>
      <c r="Q42" s="409">
        <v>0</v>
      </c>
      <c r="R42" s="409" t="s">
        <v>722</v>
      </c>
      <c r="S42" s="409" t="s">
        <v>722</v>
      </c>
      <c r="T42" s="409" t="s">
        <v>722</v>
      </c>
      <c r="U42" s="409" t="s">
        <v>722</v>
      </c>
      <c r="V42" s="409" t="s">
        <v>722</v>
      </c>
      <c r="W42" s="409">
        <v>0</v>
      </c>
      <c r="X42" s="409">
        <v>0</v>
      </c>
      <c r="Y42" s="409">
        <v>0</v>
      </c>
      <c r="Z42" s="409">
        <v>0</v>
      </c>
      <c r="AA42" s="409">
        <v>0</v>
      </c>
      <c r="AB42" s="409">
        <v>0</v>
      </c>
      <c r="AC42" s="409">
        <v>0</v>
      </c>
      <c r="AD42" s="409">
        <v>0</v>
      </c>
      <c r="AE42" s="409">
        <v>0</v>
      </c>
      <c r="AF42" s="409">
        <v>0</v>
      </c>
      <c r="AG42" s="409">
        <v>0</v>
      </c>
      <c r="AH42" s="409">
        <v>0</v>
      </c>
      <c r="AI42" s="409">
        <v>0</v>
      </c>
      <c r="AJ42" s="409">
        <v>0</v>
      </c>
      <c r="AK42" s="409">
        <v>0</v>
      </c>
      <c r="AL42" s="409">
        <v>0</v>
      </c>
      <c r="AM42" s="409">
        <v>0</v>
      </c>
      <c r="AN42" s="409">
        <v>0</v>
      </c>
      <c r="AO42" s="409" t="s">
        <v>722</v>
      </c>
      <c r="AP42" s="409">
        <v>0</v>
      </c>
      <c r="AQ42" s="409">
        <v>0</v>
      </c>
      <c r="AR42" s="409">
        <v>0</v>
      </c>
      <c r="AS42" s="409">
        <v>0</v>
      </c>
      <c r="AT42" s="409">
        <v>0</v>
      </c>
      <c r="AU42" s="409">
        <v>0</v>
      </c>
      <c r="AV42" s="409">
        <v>0</v>
      </c>
      <c r="AW42" s="409">
        <v>0</v>
      </c>
      <c r="AX42" s="409">
        <v>0</v>
      </c>
      <c r="AY42" s="409">
        <v>0</v>
      </c>
      <c r="AZ42" s="409">
        <v>0</v>
      </c>
      <c r="BA42" s="409">
        <v>0</v>
      </c>
      <c r="BB42" s="409" t="s">
        <v>722</v>
      </c>
      <c r="BC42" s="409" t="s">
        <v>722</v>
      </c>
      <c r="BD42" s="409" t="s">
        <v>722</v>
      </c>
      <c r="BE42" s="409">
        <v>0</v>
      </c>
      <c r="BF42" s="409" t="s">
        <v>722</v>
      </c>
      <c r="BG42" s="409" t="s">
        <v>722</v>
      </c>
      <c r="BH42" s="409" t="s">
        <v>722</v>
      </c>
      <c r="BI42" s="409" t="s">
        <v>722</v>
      </c>
      <c r="BJ42" s="409" t="s">
        <v>722</v>
      </c>
      <c r="BK42" s="409" t="s">
        <v>722</v>
      </c>
      <c r="BL42" s="409" t="s">
        <v>722</v>
      </c>
      <c r="BM42" s="409" t="s">
        <v>722</v>
      </c>
      <c r="BN42" s="409" t="s">
        <v>722</v>
      </c>
      <c r="BO42" s="409">
        <v>0</v>
      </c>
      <c r="BP42" s="409">
        <v>0</v>
      </c>
      <c r="BQ42" s="409">
        <v>0</v>
      </c>
      <c r="BR42" s="409">
        <v>0</v>
      </c>
      <c r="BS42" s="409">
        <v>0</v>
      </c>
      <c r="BT42" s="409">
        <v>0</v>
      </c>
      <c r="BU42" s="409">
        <v>0</v>
      </c>
      <c r="BV42" s="409">
        <v>0</v>
      </c>
      <c r="BW42" s="409">
        <v>0</v>
      </c>
      <c r="BX42" s="409">
        <v>0</v>
      </c>
      <c r="BY42" s="409">
        <v>0</v>
      </c>
      <c r="BZ42" s="409">
        <v>0</v>
      </c>
    </row>
    <row r="43" spans="1:78" ht="14.4" x14ac:dyDescent="0.3">
      <c r="A43" s="410">
        <v>4025861239</v>
      </c>
      <c r="B43" s="409" t="s">
        <v>135</v>
      </c>
      <c r="C43" s="409" t="s">
        <v>722</v>
      </c>
      <c r="D43" s="409" t="s">
        <v>722</v>
      </c>
      <c r="E43" s="409" t="s">
        <v>722</v>
      </c>
      <c r="F43" s="409" t="s">
        <v>722</v>
      </c>
      <c r="G43" s="409" t="s">
        <v>722</v>
      </c>
      <c r="H43" s="409" t="s">
        <v>722</v>
      </c>
      <c r="I43" s="409">
        <v>0</v>
      </c>
      <c r="J43" s="409" t="s">
        <v>722</v>
      </c>
      <c r="K43" s="409">
        <v>0</v>
      </c>
      <c r="L43" s="409" t="s">
        <v>722</v>
      </c>
      <c r="M43" s="409">
        <v>0</v>
      </c>
      <c r="N43" s="409" t="s">
        <v>722</v>
      </c>
      <c r="O43" s="409">
        <v>0</v>
      </c>
      <c r="P43" s="409" t="s">
        <v>722</v>
      </c>
      <c r="Q43" s="409">
        <v>0</v>
      </c>
      <c r="R43" s="409" t="s">
        <v>722</v>
      </c>
      <c r="S43" s="409" t="s">
        <v>722</v>
      </c>
      <c r="T43" s="409" t="s">
        <v>722</v>
      </c>
      <c r="U43" s="409" t="s">
        <v>722</v>
      </c>
      <c r="V43" s="409" t="s">
        <v>722</v>
      </c>
      <c r="W43" s="409">
        <v>0</v>
      </c>
      <c r="X43" s="409">
        <v>0</v>
      </c>
      <c r="Y43" s="409">
        <v>0</v>
      </c>
      <c r="Z43" s="409">
        <v>0</v>
      </c>
      <c r="AA43" s="409">
        <v>0</v>
      </c>
      <c r="AB43" s="409">
        <v>0</v>
      </c>
      <c r="AC43" s="409">
        <v>0</v>
      </c>
      <c r="AD43" s="409">
        <v>0</v>
      </c>
      <c r="AE43" s="409">
        <v>0</v>
      </c>
      <c r="AF43" s="409">
        <v>0</v>
      </c>
      <c r="AG43" s="409">
        <v>0</v>
      </c>
      <c r="AH43" s="409">
        <v>0</v>
      </c>
      <c r="AI43" s="409">
        <v>0</v>
      </c>
      <c r="AJ43" s="409">
        <v>0</v>
      </c>
      <c r="AK43" s="409">
        <v>0</v>
      </c>
      <c r="AL43" s="409">
        <v>0</v>
      </c>
      <c r="AM43" s="409">
        <v>0</v>
      </c>
      <c r="AN43" s="409">
        <v>0</v>
      </c>
      <c r="AO43" s="409" t="s">
        <v>722</v>
      </c>
      <c r="AP43" s="409">
        <v>0</v>
      </c>
      <c r="AQ43" s="409">
        <v>0</v>
      </c>
      <c r="AR43" s="409">
        <v>0</v>
      </c>
      <c r="AS43" s="409">
        <v>0</v>
      </c>
      <c r="AT43" s="409">
        <v>0</v>
      </c>
      <c r="AU43" s="409">
        <v>0</v>
      </c>
      <c r="AV43" s="409">
        <v>0</v>
      </c>
      <c r="AW43" s="409">
        <v>0</v>
      </c>
      <c r="AX43" s="409">
        <v>0</v>
      </c>
      <c r="AY43" s="409">
        <v>0</v>
      </c>
      <c r="AZ43" s="409">
        <v>0</v>
      </c>
      <c r="BA43" s="409">
        <v>0</v>
      </c>
      <c r="BB43" s="409" t="s">
        <v>722</v>
      </c>
      <c r="BC43" s="409" t="s">
        <v>722</v>
      </c>
      <c r="BD43" s="409" t="s">
        <v>722</v>
      </c>
      <c r="BE43" s="409">
        <v>0</v>
      </c>
      <c r="BF43" s="409" t="s">
        <v>722</v>
      </c>
      <c r="BG43" s="409" t="s">
        <v>722</v>
      </c>
      <c r="BH43" s="409" t="s">
        <v>722</v>
      </c>
      <c r="BI43" s="409" t="s">
        <v>722</v>
      </c>
      <c r="BJ43" s="409" t="s">
        <v>722</v>
      </c>
      <c r="BK43" s="409" t="s">
        <v>722</v>
      </c>
      <c r="BL43" s="409" t="s">
        <v>722</v>
      </c>
      <c r="BM43" s="409" t="s">
        <v>722</v>
      </c>
      <c r="BN43" s="409" t="s">
        <v>722</v>
      </c>
      <c r="BO43" s="409">
        <v>0</v>
      </c>
      <c r="BP43" s="409">
        <v>0</v>
      </c>
      <c r="BQ43" s="409">
        <v>0</v>
      </c>
      <c r="BR43" s="409" t="s">
        <v>4</v>
      </c>
      <c r="BS43" s="409" t="s">
        <v>4</v>
      </c>
      <c r="BT43" s="409" t="s">
        <v>4</v>
      </c>
      <c r="BU43" s="409">
        <v>0</v>
      </c>
      <c r="BV43" s="409">
        <v>0</v>
      </c>
      <c r="BW43" s="409">
        <v>0</v>
      </c>
      <c r="BX43" s="409">
        <v>0</v>
      </c>
      <c r="BY43" s="409">
        <v>0</v>
      </c>
      <c r="BZ43" s="409">
        <v>0</v>
      </c>
    </row>
    <row r="44" spans="1:78" ht="14.4" x14ac:dyDescent="0.3">
      <c r="A44" s="410">
        <v>4025470917</v>
      </c>
      <c r="B44" s="409" t="s">
        <v>135</v>
      </c>
      <c r="C44" s="409" t="s">
        <v>722</v>
      </c>
      <c r="D44" s="409" t="s">
        <v>722</v>
      </c>
      <c r="E44" s="409" t="s">
        <v>722</v>
      </c>
      <c r="F44" s="409" t="s">
        <v>722</v>
      </c>
      <c r="G44" s="409" t="s">
        <v>722</v>
      </c>
      <c r="H44" s="409" t="s">
        <v>722</v>
      </c>
      <c r="I44" s="409">
        <v>0</v>
      </c>
      <c r="J44" s="409" t="s">
        <v>722</v>
      </c>
      <c r="K44" s="409">
        <v>0</v>
      </c>
      <c r="L44" s="409" t="s">
        <v>722</v>
      </c>
      <c r="M44" s="409">
        <v>0</v>
      </c>
      <c r="N44" s="409" t="s">
        <v>722</v>
      </c>
      <c r="O44" s="409">
        <v>0</v>
      </c>
      <c r="P44" s="409" t="s">
        <v>722</v>
      </c>
      <c r="Q44" s="409">
        <v>0</v>
      </c>
      <c r="R44" s="409" t="s">
        <v>722</v>
      </c>
      <c r="S44" s="409" t="s">
        <v>722</v>
      </c>
      <c r="T44" s="409" t="s">
        <v>722</v>
      </c>
      <c r="U44" s="409" t="s">
        <v>722</v>
      </c>
      <c r="V44" s="409" t="s">
        <v>722</v>
      </c>
      <c r="W44" s="409">
        <v>0</v>
      </c>
      <c r="X44" s="409">
        <v>0</v>
      </c>
      <c r="Y44" s="409">
        <v>0</v>
      </c>
      <c r="Z44" s="409">
        <v>0</v>
      </c>
      <c r="AA44" s="409">
        <v>0</v>
      </c>
      <c r="AB44" s="409">
        <v>0</v>
      </c>
      <c r="AC44" s="409">
        <v>0</v>
      </c>
      <c r="AD44" s="409">
        <v>0</v>
      </c>
      <c r="AE44" s="409">
        <v>0</v>
      </c>
      <c r="AF44" s="409">
        <v>0</v>
      </c>
      <c r="AG44" s="409">
        <v>0</v>
      </c>
      <c r="AH44" s="409">
        <v>0</v>
      </c>
      <c r="AI44" s="409">
        <v>0</v>
      </c>
      <c r="AJ44" s="409">
        <v>0</v>
      </c>
      <c r="AK44" s="409">
        <v>0</v>
      </c>
      <c r="AL44" s="409">
        <v>0</v>
      </c>
      <c r="AM44" s="409">
        <v>0</v>
      </c>
      <c r="AN44" s="409">
        <v>0</v>
      </c>
      <c r="AO44" s="409" t="s">
        <v>722</v>
      </c>
      <c r="AP44" s="409">
        <v>0</v>
      </c>
      <c r="AQ44" s="409">
        <v>0</v>
      </c>
      <c r="AR44" s="409">
        <v>0</v>
      </c>
      <c r="AS44" s="409">
        <v>0</v>
      </c>
      <c r="AT44" s="409">
        <v>0</v>
      </c>
      <c r="AU44" s="409">
        <v>0</v>
      </c>
      <c r="AV44" s="409">
        <v>0</v>
      </c>
      <c r="AW44" s="409">
        <v>0</v>
      </c>
      <c r="AX44" s="409">
        <v>0</v>
      </c>
      <c r="AY44" s="409">
        <v>0</v>
      </c>
      <c r="AZ44" s="409">
        <v>0</v>
      </c>
      <c r="BA44" s="409">
        <v>0</v>
      </c>
      <c r="BB44" s="409" t="s">
        <v>722</v>
      </c>
      <c r="BC44" s="409" t="s">
        <v>722</v>
      </c>
      <c r="BD44" s="409" t="s">
        <v>722</v>
      </c>
      <c r="BE44" s="409">
        <v>0</v>
      </c>
      <c r="BF44" s="409" t="s">
        <v>722</v>
      </c>
      <c r="BG44" s="409" t="s">
        <v>722</v>
      </c>
      <c r="BH44" s="409" t="s">
        <v>722</v>
      </c>
      <c r="BI44" s="409" t="s">
        <v>722</v>
      </c>
      <c r="BJ44" s="409" t="s">
        <v>722</v>
      </c>
      <c r="BK44" s="409" t="s">
        <v>722</v>
      </c>
      <c r="BL44" s="409" t="s">
        <v>722</v>
      </c>
      <c r="BM44" s="409" t="s">
        <v>722</v>
      </c>
      <c r="BN44" s="409" t="s">
        <v>722</v>
      </c>
      <c r="BO44" s="409">
        <v>0</v>
      </c>
      <c r="BP44" s="409">
        <v>0</v>
      </c>
      <c r="BQ44" s="409">
        <v>0</v>
      </c>
      <c r="BR44" s="409">
        <v>0</v>
      </c>
      <c r="BS44" s="409">
        <v>0</v>
      </c>
      <c r="BT44" s="409">
        <v>0</v>
      </c>
      <c r="BU44" s="409">
        <v>0</v>
      </c>
      <c r="BV44" s="409">
        <v>0</v>
      </c>
      <c r="BW44" s="409">
        <v>0</v>
      </c>
      <c r="BX44" s="409">
        <v>0</v>
      </c>
      <c r="BY44" s="409">
        <v>0</v>
      </c>
      <c r="BZ44" s="409">
        <v>0</v>
      </c>
    </row>
    <row r="45" spans="1:78" ht="14.4" x14ac:dyDescent="0.3">
      <c r="A45" s="410">
        <v>4024630718</v>
      </c>
      <c r="B45" s="409" t="s">
        <v>123</v>
      </c>
      <c r="C45" s="409" t="s">
        <v>722</v>
      </c>
      <c r="D45" s="409" t="s">
        <v>722</v>
      </c>
      <c r="E45" s="409" t="s">
        <v>722</v>
      </c>
      <c r="F45" s="409" t="s">
        <v>722</v>
      </c>
      <c r="G45" s="409" t="s">
        <v>722</v>
      </c>
      <c r="H45" s="409" t="s">
        <v>722</v>
      </c>
      <c r="I45" s="409">
        <v>0</v>
      </c>
      <c r="J45" s="409" t="s">
        <v>722</v>
      </c>
      <c r="K45" s="409">
        <v>0</v>
      </c>
      <c r="L45" s="409" t="s">
        <v>722</v>
      </c>
      <c r="M45" s="409">
        <v>0</v>
      </c>
      <c r="N45" s="409" t="s">
        <v>722</v>
      </c>
      <c r="O45" s="409">
        <v>0</v>
      </c>
      <c r="P45" s="409" t="s">
        <v>722</v>
      </c>
      <c r="Q45" s="409">
        <v>0</v>
      </c>
      <c r="R45" s="409" t="s">
        <v>722</v>
      </c>
      <c r="S45" s="409" t="s">
        <v>722</v>
      </c>
      <c r="T45" s="409" t="s">
        <v>722</v>
      </c>
      <c r="U45" s="409" t="s">
        <v>722</v>
      </c>
      <c r="V45" s="409" t="s">
        <v>722</v>
      </c>
      <c r="W45" s="409">
        <v>0</v>
      </c>
      <c r="X45" s="409">
        <v>0</v>
      </c>
      <c r="Y45" s="409">
        <v>0</v>
      </c>
      <c r="Z45" s="409">
        <v>0</v>
      </c>
      <c r="AA45" s="409">
        <v>0</v>
      </c>
      <c r="AB45" s="409">
        <v>0</v>
      </c>
      <c r="AC45" s="409">
        <v>0</v>
      </c>
      <c r="AD45" s="409">
        <v>0</v>
      </c>
      <c r="AE45" s="409">
        <v>0</v>
      </c>
      <c r="AF45" s="409">
        <v>0</v>
      </c>
      <c r="AG45" s="409">
        <v>0</v>
      </c>
      <c r="AH45" s="409">
        <v>0</v>
      </c>
      <c r="AI45" s="409">
        <v>0</v>
      </c>
      <c r="AJ45" s="409">
        <v>0</v>
      </c>
      <c r="AK45" s="409">
        <v>0</v>
      </c>
      <c r="AL45" s="409">
        <v>0</v>
      </c>
      <c r="AM45" s="409">
        <v>0</v>
      </c>
      <c r="AN45" s="409">
        <v>0</v>
      </c>
      <c r="AO45" s="409" t="s">
        <v>722</v>
      </c>
      <c r="AP45" s="409">
        <v>0</v>
      </c>
      <c r="AQ45" s="409">
        <v>0</v>
      </c>
      <c r="AR45" s="409">
        <v>0</v>
      </c>
      <c r="AS45" s="409">
        <v>0</v>
      </c>
      <c r="AT45" s="409">
        <v>0</v>
      </c>
      <c r="AU45" s="409">
        <v>0</v>
      </c>
      <c r="AV45" s="409">
        <v>0</v>
      </c>
      <c r="AW45" s="409">
        <v>0</v>
      </c>
      <c r="AX45" s="409">
        <v>0</v>
      </c>
      <c r="AY45" s="409">
        <v>0</v>
      </c>
      <c r="AZ45" s="409">
        <v>0</v>
      </c>
      <c r="BA45" s="409">
        <v>0</v>
      </c>
      <c r="BB45" s="409" t="s">
        <v>722</v>
      </c>
      <c r="BC45" s="409" t="s">
        <v>722</v>
      </c>
      <c r="BD45" s="409" t="s">
        <v>722</v>
      </c>
      <c r="BE45" s="409">
        <v>0</v>
      </c>
      <c r="BF45" s="409" t="s">
        <v>722</v>
      </c>
      <c r="BG45" s="409" t="s">
        <v>722</v>
      </c>
      <c r="BH45" s="409" t="s">
        <v>722</v>
      </c>
      <c r="BI45" s="409" t="s">
        <v>722</v>
      </c>
      <c r="BJ45" s="409" t="s">
        <v>722</v>
      </c>
      <c r="BK45" s="409" t="s">
        <v>722</v>
      </c>
      <c r="BL45" s="409" t="s">
        <v>722</v>
      </c>
      <c r="BM45" s="409" t="s">
        <v>722</v>
      </c>
      <c r="BN45" s="409" t="s">
        <v>722</v>
      </c>
      <c r="BO45" s="409">
        <v>0</v>
      </c>
      <c r="BP45" s="409">
        <v>0</v>
      </c>
      <c r="BQ45" s="409">
        <v>0</v>
      </c>
      <c r="BR45" s="409">
        <v>0</v>
      </c>
      <c r="BS45" s="409">
        <v>0</v>
      </c>
      <c r="BT45" s="409">
        <v>0</v>
      </c>
      <c r="BU45" s="409">
        <v>0</v>
      </c>
      <c r="BV45" s="409">
        <v>0</v>
      </c>
      <c r="BW45" s="409">
        <v>0</v>
      </c>
      <c r="BX45" s="409">
        <v>0</v>
      </c>
      <c r="BY45" s="409">
        <v>0</v>
      </c>
      <c r="BZ45" s="409">
        <v>0</v>
      </c>
    </row>
    <row r="46" spans="1:78" ht="14.4" x14ac:dyDescent="0.3">
      <c r="A46" s="410">
        <v>4024487671</v>
      </c>
      <c r="B46" s="409" t="s">
        <v>136</v>
      </c>
      <c r="C46" s="409" t="s">
        <v>722</v>
      </c>
      <c r="D46" s="409" t="s">
        <v>722</v>
      </c>
      <c r="E46" s="409" t="s">
        <v>722</v>
      </c>
      <c r="F46" s="409" t="s">
        <v>722</v>
      </c>
      <c r="G46" s="409" t="s">
        <v>722</v>
      </c>
      <c r="H46" s="409" t="s">
        <v>722</v>
      </c>
      <c r="I46" s="409" t="s">
        <v>38</v>
      </c>
      <c r="J46" s="409" t="s">
        <v>722</v>
      </c>
      <c r="K46" s="409">
        <v>0</v>
      </c>
      <c r="L46" s="409" t="s">
        <v>722</v>
      </c>
      <c r="M46" s="409">
        <v>0</v>
      </c>
      <c r="N46" s="409" t="s">
        <v>722</v>
      </c>
      <c r="O46" s="409">
        <v>0</v>
      </c>
      <c r="P46" s="409" t="s">
        <v>722</v>
      </c>
      <c r="Q46" s="409" t="s">
        <v>34</v>
      </c>
      <c r="R46" s="409" t="s">
        <v>722</v>
      </c>
      <c r="S46" s="409" t="s">
        <v>722</v>
      </c>
      <c r="T46" s="409" t="s">
        <v>722</v>
      </c>
      <c r="U46" s="409" t="s">
        <v>722</v>
      </c>
      <c r="V46" s="409" t="s">
        <v>722</v>
      </c>
      <c r="W46" s="409">
        <v>0</v>
      </c>
      <c r="X46" s="409">
        <v>0</v>
      </c>
      <c r="Y46" s="409">
        <v>0</v>
      </c>
      <c r="Z46" s="409" t="s">
        <v>29</v>
      </c>
      <c r="AA46" s="409">
        <v>2</v>
      </c>
      <c r="AB46" s="409" t="s">
        <v>29</v>
      </c>
      <c r="AC46" s="409">
        <v>1</v>
      </c>
      <c r="AD46" s="409" t="s">
        <v>29</v>
      </c>
      <c r="AE46" s="409">
        <v>3</v>
      </c>
      <c r="AF46" s="409" t="s">
        <v>3</v>
      </c>
      <c r="AG46" s="409">
        <v>0</v>
      </c>
      <c r="AH46" s="409">
        <v>0</v>
      </c>
      <c r="AI46" s="409">
        <v>0</v>
      </c>
      <c r="AJ46" s="409">
        <v>0</v>
      </c>
      <c r="AK46" s="409">
        <v>0</v>
      </c>
      <c r="AL46" s="409">
        <v>0</v>
      </c>
      <c r="AM46" s="409">
        <v>0</v>
      </c>
      <c r="AN46" s="409">
        <v>0</v>
      </c>
      <c r="AO46" s="409" t="s">
        <v>722</v>
      </c>
      <c r="AP46" s="409">
        <v>3</v>
      </c>
      <c r="AQ46" s="409">
        <v>0</v>
      </c>
      <c r="AR46" s="409">
        <v>1</v>
      </c>
      <c r="AS46" s="409">
        <v>0</v>
      </c>
      <c r="AT46" s="409">
        <v>0</v>
      </c>
      <c r="AU46" s="409">
        <v>0</v>
      </c>
      <c r="AV46" s="409">
        <v>2</v>
      </c>
      <c r="AW46" s="409">
        <v>0</v>
      </c>
      <c r="AX46" s="409">
        <v>0</v>
      </c>
      <c r="AY46" s="409">
        <v>0</v>
      </c>
      <c r="AZ46" s="409">
        <v>0</v>
      </c>
      <c r="BA46" s="409">
        <v>0</v>
      </c>
      <c r="BB46" s="409" t="s">
        <v>722</v>
      </c>
      <c r="BC46" s="409" t="s">
        <v>722</v>
      </c>
      <c r="BD46" s="409" t="s">
        <v>722</v>
      </c>
      <c r="BE46" s="409" t="s">
        <v>53</v>
      </c>
      <c r="BF46" s="409" t="s">
        <v>722</v>
      </c>
      <c r="BG46" s="409" t="s">
        <v>722</v>
      </c>
      <c r="BH46" s="409" t="s">
        <v>722</v>
      </c>
      <c r="BI46" s="409" t="s">
        <v>722</v>
      </c>
      <c r="BJ46" s="409" t="s">
        <v>722</v>
      </c>
      <c r="BK46" s="409" t="s">
        <v>722</v>
      </c>
      <c r="BL46" s="409" t="s">
        <v>722</v>
      </c>
      <c r="BM46" s="409" t="s">
        <v>722</v>
      </c>
      <c r="BN46" s="409" t="s">
        <v>722</v>
      </c>
      <c r="BO46" s="409" t="s">
        <v>29</v>
      </c>
      <c r="BP46" s="409">
        <v>0</v>
      </c>
      <c r="BQ46" s="409">
        <v>0</v>
      </c>
      <c r="BR46" s="409">
        <v>0</v>
      </c>
      <c r="BS46" s="409">
        <v>0</v>
      </c>
      <c r="BT46" s="409">
        <v>0</v>
      </c>
      <c r="BU46" s="409">
        <v>0</v>
      </c>
      <c r="BV46" s="409">
        <v>0</v>
      </c>
      <c r="BW46" s="409">
        <v>0</v>
      </c>
      <c r="BX46" s="409">
        <v>0</v>
      </c>
      <c r="BY46" s="409">
        <v>0</v>
      </c>
      <c r="BZ46" s="409">
        <v>0</v>
      </c>
    </row>
    <row r="47" spans="1:78" ht="14.4" x14ac:dyDescent="0.3">
      <c r="A47" s="410">
        <v>4023439764</v>
      </c>
      <c r="B47" s="409" t="s">
        <v>123</v>
      </c>
      <c r="C47" s="409" t="s">
        <v>722</v>
      </c>
      <c r="D47" s="409" t="s">
        <v>722</v>
      </c>
      <c r="E47" s="409" t="s">
        <v>722</v>
      </c>
      <c r="F47" s="409" t="s">
        <v>722</v>
      </c>
      <c r="G47" s="409" t="s">
        <v>722</v>
      </c>
      <c r="H47" s="409" t="s">
        <v>722</v>
      </c>
      <c r="I47" s="409">
        <v>0</v>
      </c>
      <c r="J47" s="409" t="s">
        <v>722</v>
      </c>
      <c r="K47" s="409">
        <v>0</v>
      </c>
      <c r="L47" s="409" t="s">
        <v>722</v>
      </c>
      <c r="M47" s="409">
        <v>0</v>
      </c>
      <c r="N47" s="409" t="s">
        <v>722</v>
      </c>
      <c r="O47" s="409">
        <v>0</v>
      </c>
      <c r="P47" s="409" t="s">
        <v>722</v>
      </c>
      <c r="Q47" s="409">
        <v>0</v>
      </c>
      <c r="R47" s="409" t="s">
        <v>722</v>
      </c>
      <c r="S47" s="409" t="s">
        <v>722</v>
      </c>
      <c r="T47" s="409" t="s">
        <v>722</v>
      </c>
      <c r="U47" s="409" t="s">
        <v>722</v>
      </c>
      <c r="V47" s="409" t="s">
        <v>722</v>
      </c>
      <c r="W47" s="409">
        <v>0</v>
      </c>
      <c r="X47" s="409">
        <v>0</v>
      </c>
      <c r="Y47" s="409">
        <v>0</v>
      </c>
      <c r="Z47" s="409">
        <v>0</v>
      </c>
      <c r="AA47" s="409">
        <v>0</v>
      </c>
      <c r="AB47" s="409">
        <v>0</v>
      </c>
      <c r="AC47" s="409">
        <v>0</v>
      </c>
      <c r="AD47" s="409">
        <v>0</v>
      </c>
      <c r="AE47" s="409">
        <v>0</v>
      </c>
      <c r="AF47" s="409">
        <v>0</v>
      </c>
      <c r="AG47" s="409">
        <v>0</v>
      </c>
      <c r="AH47" s="409">
        <v>0</v>
      </c>
      <c r="AI47" s="409">
        <v>0</v>
      </c>
      <c r="AJ47" s="409">
        <v>0</v>
      </c>
      <c r="AK47" s="409">
        <v>0</v>
      </c>
      <c r="AL47" s="409">
        <v>0</v>
      </c>
      <c r="AM47" s="409">
        <v>0</v>
      </c>
      <c r="AN47" s="409">
        <v>0</v>
      </c>
      <c r="AO47" s="409" t="s">
        <v>722</v>
      </c>
      <c r="AP47" s="409">
        <v>0</v>
      </c>
      <c r="AQ47" s="409">
        <v>0</v>
      </c>
      <c r="AR47" s="409">
        <v>0</v>
      </c>
      <c r="AS47" s="409">
        <v>0</v>
      </c>
      <c r="AT47" s="409">
        <v>0</v>
      </c>
      <c r="AU47" s="409">
        <v>0</v>
      </c>
      <c r="AV47" s="409">
        <v>0</v>
      </c>
      <c r="AW47" s="409">
        <v>0</v>
      </c>
      <c r="AX47" s="409">
        <v>0</v>
      </c>
      <c r="AY47" s="409">
        <v>0</v>
      </c>
      <c r="AZ47" s="409">
        <v>0</v>
      </c>
      <c r="BA47" s="409">
        <v>0</v>
      </c>
      <c r="BB47" s="409" t="s">
        <v>722</v>
      </c>
      <c r="BC47" s="409" t="s">
        <v>722</v>
      </c>
      <c r="BD47" s="409" t="s">
        <v>722</v>
      </c>
      <c r="BE47" s="409">
        <v>0</v>
      </c>
      <c r="BF47" s="409" t="s">
        <v>722</v>
      </c>
      <c r="BG47" s="409" t="s">
        <v>722</v>
      </c>
      <c r="BH47" s="409" t="s">
        <v>722</v>
      </c>
      <c r="BI47" s="409" t="s">
        <v>722</v>
      </c>
      <c r="BJ47" s="409" t="s">
        <v>722</v>
      </c>
      <c r="BK47" s="409" t="s">
        <v>722</v>
      </c>
      <c r="BL47" s="409" t="s">
        <v>722</v>
      </c>
      <c r="BM47" s="409" t="s">
        <v>722</v>
      </c>
      <c r="BN47" s="409" t="s">
        <v>722</v>
      </c>
      <c r="BO47" s="409">
        <v>0</v>
      </c>
      <c r="BP47" s="409">
        <v>0</v>
      </c>
      <c r="BQ47" s="409">
        <v>0</v>
      </c>
      <c r="BR47" s="409">
        <v>0</v>
      </c>
      <c r="BS47" s="409">
        <v>0</v>
      </c>
      <c r="BT47" s="409">
        <v>0</v>
      </c>
      <c r="BU47" s="409">
        <v>0</v>
      </c>
      <c r="BV47" s="409">
        <v>0</v>
      </c>
      <c r="BW47" s="409">
        <v>0</v>
      </c>
      <c r="BX47" s="409">
        <v>0</v>
      </c>
      <c r="BY47" s="409">
        <v>0</v>
      </c>
      <c r="BZ47" s="409">
        <v>0</v>
      </c>
    </row>
    <row r="48" spans="1:78" ht="14.4" x14ac:dyDescent="0.3">
      <c r="A48" s="410">
        <v>4022771873</v>
      </c>
      <c r="B48" s="409" t="s">
        <v>136</v>
      </c>
      <c r="C48" s="409" t="s">
        <v>722</v>
      </c>
      <c r="D48" s="409" t="s">
        <v>722</v>
      </c>
      <c r="E48" s="409" t="s">
        <v>722</v>
      </c>
      <c r="F48" s="409" t="s">
        <v>722</v>
      </c>
      <c r="G48" s="409" t="s">
        <v>722</v>
      </c>
      <c r="H48" s="409" t="s">
        <v>722</v>
      </c>
      <c r="I48" s="409">
        <v>0</v>
      </c>
      <c r="J48" s="409" t="s">
        <v>722</v>
      </c>
      <c r="K48" s="409">
        <v>0</v>
      </c>
      <c r="L48" s="409" t="s">
        <v>722</v>
      </c>
      <c r="M48" s="409">
        <v>0</v>
      </c>
      <c r="N48" s="409" t="s">
        <v>722</v>
      </c>
      <c r="O48" s="409">
        <v>0</v>
      </c>
      <c r="P48" s="409" t="s">
        <v>722</v>
      </c>
      <c r="Q48" s="409">
        <v>0</v>
      </c>
      <c r="R48" s="409" t="s">
        <v>722</v>
      </c>
      <c r="S48" s="409" t="s">
        <v>722</v>
      </c>
      <c r="T48" s="409" t="s">
        <v>722</v>
      </c>
      <c r="U48" s="409" t="s">
        <v>722</v>
      </c>
      <c r="V48" s="409" t="s">
        <v>722</v>
      </c>
      <c r="W48" s="409">
        <v>0</v>
      </c>
      <c r="X48" s="409">
        <v>0</v>
      </c>
      <c r="Y48" s="409">
        <v>0</v>
      </c>
      <c r="Z48" s="409">
        <v>0</v>
      </c>
      <c r="AA48" s="409">
        <v>0</v>
      </c>
      <c r="AB48" s="409">
        <v>0</v>
      </c>
      <c r="AC48" s="409">
        <v>0</v>
      </c>
      <c r="AD48" s="409">
        <v>0</v>
      </c>
      <c r="AE48" s="409">
        <v>0</v>
      </c>
      <c r="AF48" s="409">
        <v>0</v>
      </c>
      <c r="AG48" s="409">
        <v>0</v>
      </c>
      <c r="AH48" s="409">
        <v>0</v>
      </c>
      <c r="AI48" s="409">
        <v>0</v>
      </c>
      <c r="AJ48" s="409">
        <v>0</v>
      </c>
      <c r="AK48" s="409">
        <v>0</v>
      </c>
      <c r="AL48" s="409">
        <v>0</v>
      </c>
      <c r="AM48" s="409">
        <v>0</v>
      </c>
      <c r="AN48" s="409">
        <v>0</v>
      </c>
      <c r="AO48" s="409" t="s">
        <v>722</v>
      </c>
      <c r="AP48" s="409">
        <v>0</v>
      </c>
      <c r="AQ48" s="409">
        <v>0</v>
      </c>
      <c r="AR48" s="409">
        <v>0</v>
      </c>
      <c r="AS48" s="409">
        <v>0</v>
      </c>
      <c r="AT48" s="409">
        <v>0</v>
      </c>
      <c r="AU48" s="409">
        <v>0</v>
      </c>
      <c r="AV48" s="409">
        <v>0</v>
      </c>
      <c r="AW48" s="409">
        <v>0</v>
      </c>
      <c r="AX48" s="409">
        <v>0</v>
      </c>
      <c r="AY48" s="409">
        <v>0</v>
      </c>
      <c r="AZ48" s="409">
        <v>0</v>
      </c>
      <c r="BA48" s="409">
        <v>0</v>
      </c>
      <c r="BB48" s="409" t="s">
        <v>722</v>
      </c>
      <c r="BC48" s="409" t="s">
        <v>722</v>
      </c>
      <c r="BD48" s="409" t="s">
        <v>722</v>
      </c>
      <c r="BE48" s="409">
        <v>0</v>
      </c>
      <c r="BF48" s="409" t="s">
        <v>722</v>
      </c>
      <c r="BG48" s="409" t="s">
        <v>722</v>
      </c>
      <c r="BH48" s="409" t="s">
        <v>722</v>
      </c>
      <c r="BI48" s="409" t="s">
        <v>722</v>
      </c>
      <c r="BJ48" s="409" t="s">
        <v>722</v>
      </c>
      <c r="BK48" s="409" t="s">
        <v>722</v>
      </c>
      <c r="BL48" s="409" t="s">
        <v>722</v>
      </c>
      <c r="BM48" s="409" t="s">
        <v>722</v>
      </c>
      <c r="BN48" s="409" t="s">
        <v>722</v>
      </c>
      <c r="BO48" s="409">
        <v>0</v>
      </c>
      <c r="BP48" s="409">
        <v>0</v>
      </c>
      <c r="BQ48" s="409">
        <v>0</v>
      </c>
      <c r="BR48" s="409">
        <v>0</v>
      </c>
      <c r="BS48" s="409">
        <v>0</v>
      </c>
      <c r="BT48" s="409">
        <v>0</v>
      </c>
      <c r="BU48" s="409">
        <v>0</v>
      </c>
      <c r="BV48" s="409">
        <v>0</v>
      </c>
      <c r="BW48" s="409">
        <v>0</v>
      </c>
      <c r="BX48" s="409">
        <v>0</v>
      </c>
      <c r="BY48" s="409">
        <v>0</v>
      </c>
      <c r="BZ48" s="409">
        <v>0</v>
      </c>
    </row>
    <row r="49" spans="1:78" ht="14.4" x14ac:dyDescent="0.3">
      <c r="A49" s="410">
        <v>4022154154</v>
      </c>
      <c r="B49" s="409" t="s">
        <v>136</v>
      </c>
      <c r="C49" s="409" t="s">
        <v>722</v>
      </c>
      <c r="D49" s="409" t="s">
        <v>722</v>
      </c>
      <c r="E49" s="409" t="s">
        <v>722</v>
      </c>
      <c r="F49" s="409" t="s">
        <v>722</v>
      </c>
      <c r="G49" s="409" t="s">
        <v>722</v>
      </c>
      <c r="H49" s="409" t="s">
        <v>722</v>
      </c>
      <c r="I49" s="409">
        <v>0</v>
      </c>
      <c r="J49" s="409" t="s">
        <v>722</v>
      </c>
      <c r="K49" s="409">
        <v>0</v>
      </c>
      <c r="L49" s="409" t="s">
        <v>722</v>
      </c>
      <c r="M49" s="409">
        <v>0</v>
      </c>
      <c r="N49" s="409" t="s">
        <v>722</v>
      </c>
      <c r="O49" s="409">
        <v>0</v>
      </c>
      <c r="P49" s="409" t="s">
        <v>722</v>
      </c>
      <c r="Q49" s="409">
        <v>0</v>
      </c>
      <c r="R49" s="409" t="s">
        <v>722</v>
      </c>
      <c r="S49" s="409" t="s">
        <v>722</v>
      </c>
      <c r="T49" s="409" t="s">
        <v>722</v>
      </c>
      <c r="U49" s="409" t="s">
        <v>722</v>
      </c>
      <c r="V49" s="409" t="s">
        <v>722</v>
      </c>
      <c r="W49" s="409">
        <v>0</v>
      </c>
      <c r="X49" s="409">
        <v>0</v>
      </c>
      <c r="Y49" s="409">
        <v>0</v>
      </c>
      <c r="Z49" s="409">
        <v>0</v>
      </c>
      <c r="AA49" s="409">
        <v>0</v>
      </c>
      <c r="AB49" s="409">
        <v>0</v>
      </c>
      <c r="AC49" s="409">
        <v>0</v>
      </c>
      <c r="AD49" s="409">
        <v>0</v>
      </c>
      <c r="AE49" s="409">
        <v>0</v>
      </c>
      <c r="AF49" s="409">
        <v>0</v>
      </c>
      <c r="AG49" s="409">
        <v>0</v>
      </c>
      <c r="AH49" s="409">
        <v>0</v>
      </c>
      <c r="AI49" s="409">
        <v>0</v>
      </c>
      <c r="AJ49" s="409">
        <v>0</v>
      </c>
      <c r="AK49" s="409">
        <v>0</v>
      </c>
      <c r="AL49" s="409">
        <v>0</v>
      </c>
      <c r="AM49" s="409">
        <v>0</v>
      </c>
      <c r="AN49" s="409">
        <v>0</v>
      </c>
      <c r="AO49" s="409" t="s">
        <v>722</v>
      </c>
      <c r="AP49" s="409">
        <v>0</v>
      </c>
      <c r="AQ49" s="409">
        <v>0</v>
      </c>
      <c r="AR49" s="409">
        <v>0</v>
      </c>
      <c r="AS49" s="409">
        <v>0</v>
      </c>
      <c r="AT49" s="409">
        <v>0</v>
      </c>
      <c r="AU49" s="409">
        <v>0</v>
      </c>
      <c r="AV49" s="409">
        <v>0</v>
      </c>
      <c r="AW49" s="409">
        <v>0</v>
      </c>
      <c r="AX49" s="409">
        <v>0</v>
      </c>
      <c r="AY49" s="409">
        <v>0</v>
      </c>
      <c r="AZ49" s="409">
        <v>0</v>
      </c>
      <c r="BA49" s="409">
        <v>0</v>
      </c>
      <c r="BB49" s="409" t="s">
        <v>722</v>
      </c>
      <c r="BC49" s="409" t="s">
        <v>722</v>
      </c>
      <c r="BD49" s="409" t="s">
        <v>722</v>
      </c>
      <c r="BE49" s="409">
        <v>0</v>
      </c>
      <c r="BF49" s="409" t="s">
        <v>722</v>
      </c>
      <c r="BG49" s="409" t="s">
        <v>722</v>
      </c>
      <c r="BH49" s="409" t="s">
        <v>722</v>
      </c>
      <c r="BI49" s="409" t="s">
        <v>722</v>
      </c>
      <c r="BJ49" s="409" t="s">
        <v>722</v>
      </c>
      <c r="BK49" s="409" t="s">
        <v>722</v>
      </c>
      <c r="BL49" s="409" t="s">
        <v>722</v>
      </c>
      <c r="BM49" s="409" t="s">
        <v>722</v>
      </c>
      <c r="BN49" s="409" t="s">
        <v>722</v>
      </c>
      <c r="BO49" s="409">
        <v>0</v>
      </c>
      <c r="BP49" s="409">
        <v>0</v>
      </c>
      <c r="BQ49" s="409">
        <v>0</v>
      </c>
      <c r="BR49" s="409">
        <v>0</v>
      </c>
      <c r="BS49" s="409">
        <v>0</v>
      </c>
      <c r="BT49" s="409">
        <v>0</v>
      </c>
      <c r="BU49" s="409">
        <v>0</v>
      </c>
      <c r="BV49" s="409">
        <v>0</v>
      </c>
      <c r="BW49" s="409">
        <v>0</v>
      </c>
      <c r="BX49" s="409">
        <v>0</v>
      </c>
      <c r="BY49" s="409">
        <v>0</v>
      </c>
      <c r="BZ49" s="409">
        <v>0</v>
      </c>
    </row>
    <row r="50" spans="1:78" ht="14.4" x14ac:dyDescent="0.3">
      <c r="A50" s="410">
        <v>4021087857</v>
      </c>
      <c r="B50" s="409" t="s">
        <v>137</v>
      </c>
      <c r="C50" s="409" t="s">
        <v>722</v>
      </c>
      <c r="D50" s="409" t="s">
        <v>722</v>
      </c>
      <c r="E50" s="409" t="s">
        <v>722</v>
      </c>
      <c r="F50" s="409" t="s">
        <v>722</v>
      </c>
      <c r="G50" s="409" t="s">
        <v>722</v>
      </c>
      <c r="H50" s="409" t="s">
        <v>722</v>
      </c>
      <c r="I50" s="409">
        <v>0</v>
      </c>
      <c r="J50" s="409" t="s">
        <v>722</v>
      </c>
      <c r="K50" s="409">
        <v>0</v>
      </c>
      <c r="L50" s="409" t="s">
        <v>722</v>
      </c>
      <c r="M50" s="409">
        <v>0</v>
      </c>
      <c r="N50" s="409" t="s">
        <v>722</v>
      </c>
      <c r="O50" s="409">
        <v>0</v>
      </c>
      <c r="P50" s="409" t="s">
        <v>722</v>
      </c>
      <c r="Q50" s="409">
        <v>0</v>
      </c>
      <c r="R50" s="409" t="s">
        <v>722</v>
      </c>
      <c r="S50" s="409" t="s">
        <v>722</v>
      </c>
      <c r="T50" s="409" t="s">
        <v>722</v>
      </c>
      <c r="U50" s="409" t="s">
        <v>722</v>
      </c>
      <c r="V50" s="409" t="s">
        <v>722</v>
      </c>
      <c r="W50" s="409">
        <v>0</v>
      </c>
      <c r="X50" s="409">
        <v>0</v>
      </c>
      <c r="Y50" s="409">
        <v>0</v>
      </c>
      <c r="Z50" s="409">
        <v>0</v>
      </c>
      <c r="AA50" s="409">
        <v>0</v>
      </c>
      <c r="AB50" s="409">
        <v>0</v>
      </c>
      <c r="AC50" s="409">
        <v>0</v>
      </c>
      <c r="AD50" s="409">
        <v>0</v>
      </c>
      <c r="AE50" s="409">
        <v>0</v>
      </c>
      <c r="AF50" s="409">
        <v>0</v>
      </c>
      <c r="AG50" s="409">
        <v>0</v>
      </c>
      <c r="AH50" s="409">
        <v>0</v>
      </c>
      <c r="AI50" s="409">
        <v>0</v>
      </c>
      <c r="AJ50" s="409">
        <v>0</v>
      </c>
      <c r="AK50" s="409">
        <v>0</v>
      </c>
      <c r="AL50" s="409">
        <v>0</v>
      </c>
      <c r="AM50" s="409">
        <v>0</v>
      </c>
      <c r="AN50" s="409">
        <v>0</v>
      </c>
      <c r="AO50" s="409" t="s">
        <v>722</v>
      </c>
      <c r="AP50" s="409">
        <v>0</v>
      </c>
      <c r="AQ50" s="409">
        <v>0</v>
      </c>
      <c r="AR50" s="409">
        <v>0</v>
      </c>
      <c r="AS50" s="409">
        <v>0</v>
      </c>
      <c r="AT50" s="409">
        <v>0</v>
      </c>
      <c r="AU50" s="409">
        <v>0</v>
      </c>
      <c r="AV50" s="409">
        <v>0</v>
      </c>
      <c r="AW50" s="409">
        <v>0</v>
      </c>
      <c r="AX50" s="409">
        <v>0</v>
      </c>
      <c r="AY50" s="409">
        <v>0</v>
      </c>
      <c r="AZ50" s="409">
        <v>0</v>
      </c>
      <c r="BA50" s="409">
        <v>0</v>
      </c>
      <c r="BB50" s="409" t="s">
        <v>722</v>
      </c>
      <c r="BC50" s="409" t="s">
        <v>722</v>
      </c>
      <c r="BD50" s="409" t="s">
        <v>722</v>
      </c>
      <c r="BE50" s="409">
        <v>0</v>
      </c>
      <c r="BF50" s="409" t="s">
        <v>722</v>
      </c>
      <c r="BG50" s="409" t="s">
        <v>722</v>
      </c>
      <c r="BH50" s="409" t="s">
        <v>722</v>
      </c>
      <c r="BI50" s="409" t="s">
        <v>722</v>
      </c>
      <c r="BJ50" s="409" t="s">
        <v>722</v>
      </c>
      <c r="BK50" s="409" t="s">
        <v>722</v>
      </c>
      <c r="BL50" s="409" t="s">
        <v>722</v>
      </c>
      <c r="BM50" s="409" t="s">
        <v>722</v>
      </c>
      <c r="BN50" s="409" t="s">
        <v>722</v>
      </c>
      <c r="BO50" s="409">
        <v>0</v>
      </c>
      <c r="BP50" s="409">
        <v>0</v>
      </c>
      <c r="BQ50" s="409">
        <v>0</v>
      </c>
      <c r="BR50" s="409">
        <v>0</v>
      </c>
      <c r="BS50" s="409">
        <v>0</v>
      </c>
      <c r="BT50" s="409">
        <v>0</v>
      </c>
      <c r="BU50" s="409">
        <v>0</v>
      </c>
      <c r="BV50" s="409">
        <v>0</v>
      </c>
      <c r="BW50" s="409">
        <v>0</v>
      </c>
      <c r="BX50" s="409">
        <v>0</v>
      </c>
      <c r="BY50" s="409">
        <v>0</v>
      </c>
      <c r="BZ50" s="409">
        <v>0</v>
      </c>
    </row>
    <row r="51" spans="1:78" ht="14.4" x14ac:dyDescent="0.3">
      <c r="A51" s="410">
        <v>4020175754</v>
      </c>
      <c r="B51" s="409" t="s">
        <v>123</v>
      </c>
      <c r="C51" s="409" t="s">
        <v>722</v>
      </c>
      <c r="D51" s="409" t="s">
        <v>722</v>
      </c>
      <c r="E51" s="409" t="s">
        <v>722</v>
      </c>
      <c r="F51" s="409" t="s">
        <v>722</v>
      </c>
      <c r="G51" s="409" t="s">
        <v>722</v>
      </c>
      <c r="H51" s="409" t="s">
        <v>722</v>
      </c>
      <c r="I51" s="409">
        <v>0</v>
      </c>
      <c r="J51" s="409" t="s">
        <v>722</v>
      </c>
      <c r="K51" s="409">
        <v>0</v>
      </c>
      <c r="L51" s="409" t="s">
        <v>722</v>
      </c>
      <c r="M51" s="409">
        <v>0</v>
      </c>
      <c r="N51" s="409" t="s">
        <v>722</v>
      </c>
      <c r="O51" s="409">
        <v>0</v>
      </c>
      <c r="P51" s="409" t="s">
        <v>722</v>
      </c>
      <c r="Q51" s="409">
        <v>0</v>
      </c>
      <c r="R51" s="409" t="s">
        <v>722</v>
      </c>
      <c r="S51" s="409" t="s">
        <v>722</v>
      </c>
      <c r="T51" s="409" t="s">
        <v>722</v>
      </c>
      <c r="U51" s="409" t="s">
        <v>722</v>
      </c>
      <c r="V51" s="409" t="s">
        <v>722</v>
      </c>
      <c r="W51" s="409">
        <v>0</v>
      </c>
      <c r="X51" s="409">
        <v>0</v>
      </c>
      <c r="Y51" s="409">
        <v>0</v>
      </c>
      <c r="Z51" s="409">
        <v>0</v>
      </c>
      <c r="AA51" s="409">
        <v>0</v>
      </c>
      <c r="AB51" s="409">
        <v>0</v>
      </c>
      <c r="AC51" s="409">
        <v>0</v>
      </c>
      <c r="AD51" s="409">
        <v>0</v>
      </c>
      <c r="AE51" s="409">
        <v>0</v>
      </c>
      <c r="AF51" s="409">
        <v>0</v>
      </c>
      <c r="AG51" s="409">
        <v>0</v>
      </c>
      <c r="AH51" s="409">
        <v>0</v>
      </c>
      <c r="AI51" s="409">
        <v>0</v>
      </c>
      <c r="AJ51" s="409">
        <v>0</v>
      </c>
      <c r="AK51" s="409">
        <v>0</v>
      </c>
      <c r="AL51" s="409">
        <v>0</v>
      </c>
      <c r="AM51" s="409">
        <v>0</v>
      </c>
      <c r="AN51" s="409">
        <v>0</v>
      </c>
      <c r="AO51" s="409" t="s">
        <v>722</v>
      </c>
      <c r="AP51" s="409">
        <v>0</v>
      </c>
      <c r="AQ51" s="409">
        <v>0</v>
      </c>
      <c r="AR51" s="409">
        <v>0</v>
      </c>
      <c r="AS51" s="409">
        <v>0</v>
      </c>
      <c r="AT51" s="409">
        <v>0</v>
      </c>
      <c r="AU51" s="409">
        <v>0</v>
      </c>
      <c r="AV51" s="409">
        <v>0</v>
      </c>
      <c r="AW51" s="409">
        <v>0</v>
      </c>
      <c r="AX51" s="409">
        <v>0</v>
      </c>
      <c r="AY51" s="409">
        <v>0</v>
      </c>
      <c r="AZ51" s="409">
        <v>0</v>
      </c>
      <c r="BA51" s="409">
        <v>0</v>
      </c>
      <c r="BB51" s="409" t="s">
        <v>722</v>
      </c>
      <c r="BC51" s="409" t="s">
        <v>722</v>
      </c>
      <c r="BD51" s="409" t="s">
        <v>722</v>
      </c>
      <c r="BE51" s="409">
        <v>0</v>
      </c>
      <c r="BF51" s="409" t="s">
        <v>722</v>
      </c>
      <c r="BG51" s="409" t="s">
        <v>722</v>
      </c>
      <c r="BH51" s="409" t="s">
        <v>722</v>
      </c>
      <c r="BI51" s="409" t="s">
        <v>722</v>
      </c>
      <c r="BJ51" s="409" t="s">
        <v>722</v>
      </c>
      <c r="BK51" s="409" t="s">
        <v>722</v>
      </c>
      <c r="BL51" s="409" t="s">
        <v>722</v>
      </c>
      <c r="BM51" s="409" t="s">
        <v>722</v>
      </c>
      <c r="BN51" s="409" t="s">
        <v>722</v>
      </c>
      <c r="BO51" s="409">
        <v>0</v>
      </c>
      <c r="BP51" s="409">
        <v>0</v>
      </c>
      <c r="BQ51" s="409">
        <v>0</v>
      </c>
      <c r="BR51" s="409">
        <v>0</v>
      </c>
      <c r="BS51" s="409">
        <v>0</v>
      </c>
      <c r="BT51" s="409">
        <v>0</v>
      </c>
      <c r="BU51" s="409">
        <v>0</v>
      </c>
      <c r="BV51" s="409">
        <v>0</v>
      </c>
      <c r="BW51" s="409">
        <v>0</v>
      </c>
      <c r="BX51" s="409" t="s">
        <v>5</v>
      </c>
      <c r="BY51" s="409" t="s">
        <v>5</v>
      </c>
      <c r="BZ51" s="409" t="s">
        <v>5</v>
      </c>
    </row>
    <row r="52" spans="1:78" ht="14.4" x14ac:dyDescent="0.3">
      <c r="A52" s="410">
        <v>4019888566</v>
      </c>
      <c r="B52" s="409" t="s">
        <v>137</v>
      </c>
      <c r="C52" s="409" t="s">
        <v>722</v>
      </c>
      <c r="D52" s="409" t="s">
        <v>722</v>
      </c>
      <c r="E52" s="409" t="s">
        <v>722</v>
      </c>
      <c r="F52" s="409" t="s">
        <v>722</v>
      </c>
      <c r="G52" s="409" t="s">
        <v>722</v>
      </c>
      <c r="H52" s="409" t="s">
        <v>722</v>
      </c>
      <c r="I52" s="409">
        <v>0</v>
      </c>
      <c r="J52" s="409" t="s">
        <v>722</v>
      </c>
      <c r="K52" s="409">
        <v>0</v>
      </c>
      <c r="L52" s="409" t="s">
        <v>722</v>
      </c>
      <c r="M52" s="409">
        <v>0</v>
      </c>
      <c r="N52" s="409" t="s">
        <v>722</v>
      </c>
      <c r="O52" s="409">
        <v>0</v>
      </c>
      <c r="P52" s="409" t="s">
        <v>722</v>
      </c>
      <c r="Q52" s="409">
        <v>0</v>
      </c>
      <c r="R52" s="409" t="s">
        <v>722</v>
      </c>
      <c r="S52" s="409" t="s">
        <v>722</v>
      </c>
      <c r="T52" s="409" t="s">
        <v>722</v>
      </c>
      <c r="U52" s="409" t="s">
        <v>722</v>
      </c>
      <c r="V52" s="409" t="s">
        <v>722</v>
      </c>
      <c r="W52" s="409">
        <v>0</v>
      </c>
      <c r="X52" s="409">
        <v>0</v>
      </c>
      <c r="Y52" s="409">
        <v>0</v>
      </c>
      <c r="Z52" s="409">
        <v>0</v>
      </c>
      <c r="AA52" s="409">
        <v>0</v>
      </c>
      <c r="AB52" s="409">
        <v>0</v>
      </c>
      <c r="AC52" s="409">
        <v>0</v>
      </c>
      <c r="AD52" s="409">
        <v>0</v>
      </c>
      <c r="AE52" s="409">
        <v>0</v>
      </c>
      <c r="AF52" s="409">
        <v>0</v>
      </c>
      <c r="AG52" s="409">
        <v>0</v>
      </c>
      <c r="AH52" s="409">
        <v>0</v>
      </c>
      <c r="AI52" s="409">
        <v>0</v>
      </c>
      <c r="AJ52" s="409">
        <v>0</v>
      </c>
      <c r="AK52" s="409">
        <v>0</v>
      </c>
      <c r="AL52" s="409">
        <v>0</v>
      </c>
      <c r="AM52" s="409">
        <v>0</v>
      </c>
      <c r="AN52" s="409">
        <v>0</v>
      </c>
      <c r="AO52" s="409" t="s">
        <v>722</v>
      </c>
      <c r="AP52" s="409">
        <v>0</v>
      </c>
      <c r="AQ52" s="409">
        <v>0</v>
      </c>
      <c r="AR52" s="409">
        <v>0</v>
      </c>
      <c r="AS52" s="409">
        <v>0</v>
      </c>
      <c r="AT52" s="409">
        <v>0</v>
      </c>
      <c r="AU52" s="409">
        <v>0</v>
      </c>
      <c r="AV52" s="409">
        <v>0</v>
      </c>
      <c r="AW52" s="409">
        <v>0</v>
      </c>
      <c r="AX52" s="409">
        <v>0</v>
      </c>
      <c r="AY52" s="409">
        <v>0</v>
      </c>
      <c r="AZ52" s="409">
        <v>0</v>
      </c>
      <c r="BA52" s="409">
        <v>0</v>
      </c>
      <c r="BB52" s="409" t="s">
        <v>722</v>
      </c>
      <c r="BC52" s="409" t="s">
        <v>722</v>
      </c>
      <c r="BD52" s="409" t="s">
        <v>722</v>
      </c>
      <c r="BE52" s="409">
        <v>0</v>
      </c>
      <c r="BF52" s="409" t="s">
        <v>722</v>
      </c>
      <c r="BG52" s="409" t="s">
        <v>722</v>
      </c>
      <c r="BH52" s="409" t="s">
        <v>722</v>
      </c>
      <c r="BI52" s="409" t="s">
        <v>722</v>
      </c>
      <c r="BJ52" s="409" t="s">
        <v>722</v>
      </c>
      <c r="BK52" s="409" t="s">
        <v>722</v>
      </c>
      <c r="BL52" s="409" t="s">
        <v>722</v>
      </c>
      <c r="BM52" s="409" t="s">
        <v>722</v>
      </c>
      <c r="BN52" s="409" t="s">
        <v>722</v>
      </c>
      <c r="BO52" s="409">
        <v>0</v>
      </c>
      <c r="BP52" s="409">
        <v>0</v>
      </c>
      <c r="BQ52" s="409">
        <v>0</v>
      </c>
      <c r="BR52" s="409">
        <v>0</v>
      </c>
      <c r="BS52" s="409">
        <v>0</v>
      </c>
      <c r="BT52" s="409">
        <v>0</v>
      </c>
      <c r="BU52" s="409">
        <v>0</v>
      </c>
      <c r="BV52" s="409">
        <v>0</v>
      </c>
      <c r="BW52" s="409">
        <v>0</v>
      </c>
      <c r="BX52" s="409">
        <v>0</v>
      </c>
      <c r="BY52" s="409">
        <v>0</v>
      </c>
      <c r="BZ52" s="409">
        <v>0</v>
      </c>
    </row>
    <row r="53" spans="1:78" ht="14.4" x14ac:dyDescent="0.3">
      <c r="A53" s="410">
        <v>4017740118</v>
      </c>
      <c r="B53" s="409" t="s">
        <v>137</v>
      </c>
      <c r="C53" s="409" t="s">
        <v>722</v>
      </c>
      <c r="D53" s="409" t="s">
        <v>722</v>
      </c>
      <c r="E53" s="409" t="s">
        <v>722</v>
      </c>
      <c r="F53" s="409" t="s">
        <v>722</v>
      </c>
      <c r="G53" s="409" t="s">
        <v>722</v>
      </c>
      <c r="H53" s="409" t="s">
        <v>722</v>
      </c>
      <c r="I53" s="409">
        <v>0</v>
      </c>
      <c r="J53" s="409" t="s">
        <v>722</v>
      </c>
      <c r="K53" s="409">
        <v>0</v>
      </c>
      <c r="L53" s="409" t="s">
        <v>722</v>
      </c>
      <c r="M53" s="409">
        <v>0</v>
      </c>
      <c r="N53" s="409" t="s">
        <v>722</v>
      </c>
      <c r="O53" s="409">
        <v>0</v>
      </c>
      <c r="P53" s="409" t="s">
        <v>722</v>
      </c>
      <c r="Q53" s="409">
        <v>0</v>
      </c>
      <c r="R53" s="409" t="s">
        <v>722</v>
      </c>
      <c r="S53" s="409" t="s">
        <v>722</v>
      </c>
      <c r="T53" s="409" t="s">
        <v>722</v>
      </c>
      <c r="U53" s="409" t="s">
        <v>722</v>
      </c>
      <c r="V53" s="409" t="s">
        <v>722</v>
      </c>
      <c r="W53" s="409">
        <v>0</v>
      </c>
      <c r="X53" s="409">
        <v>0</v>
      </c>
      <c r="Y53" s="409">
        <v>0</v>
      </c>
      <c r="Z53" s="409">
        <v>0</v>
      </c>
      <c r="AA53" s="409">
        <v>0</v>
      </c>
      <c r="AB53" s="409">
        <v>0</v>
      </c>
      <c r="AC53" s="409">
        <v>0</v>
      </c>
      <c r="AD53" s="409">
        <v>0</v>
      </c>
      <c r="AE53" s="409">
        <v>0</v>
      </c>
      <c r="AF53" s="409">
        <v>0</v>
      </c>
      <c r="AG53" s="409">
        <v>0</v>
      </c>
      <c r="AH53" s="409">
        <v>0</v>
      </c>
      <c r="AI53" s="409">
        <v>0</v>
      </c>
      <c r="AJ53" s="409">
        <v>0</v>
      </c>
      <c r="AK53" s="409">
        <v>0</v>
      </c>
      <c r="AL53" s="409">
        <v>0</v>
      </c>
      <c r="AM53" s="409">
        <v>0</v>
      </c>
      <c r="AN53" s="409">
        <v>0</v>
      </c>
      <c r="AO53" s="409" t="s">
        <v>722</v>
      </c>
      <c r="AP53" s="409">
        <v>0</v>
      </c>
      <c r="AQ53" s="409">
        <v>0</v>
      </c>
      <c r="AR53" s="409">
        <v>0</v>
      </c>
      <c r="AS53" s="409">
        <v>0</v>
      </c>
      <c r="AT53" s="409">
        <v>0</v>
      </c>
      <c r="AU53" s="409">
        <v>0</v>
      </c>
      <c r="AV53" s="409">
        <v>0</v>
      </c>
      <c r="AW53" s="409">
        <v>0</v>
      </c>
      <c r="AX53" s="409">
        <v>0</v>
      </c>
      <c r="AY53" s="409">
        <v>0</v>
      </c>
      <c r="AZ53" s="409">
        <v>0</v>
      </c>
      <c r="BA53" s="409">
        <v>0</v>
      </c>
      <c r="BB53" s="409" t="s">
        <v>722</v>
      </c>
      <c r="BC53" s="409" t="s">
        <v>722</v>
      </c>
      <c r="BD53" s="409" t="s">
        <v>722</v>
      </c>
      <c r="BE53" s="409">
        <v>0</v>
      </c>
      <c r="BF53" s="409" t="s">
        <v>722</v>
      </c>
      <c r="BG53" s="409" t="s">
        <v>722</v>
      </c>
      <c r="BH53" s="409" t="s">
        <v>722</v>
      </c>
      <c r="BI53" s="409" t="s">
        <v>722</v>
      </c>
      <c r="BJ53" s="409" t="s">
        <v>722</v>
      </c>
      <c r="BK53" s="409" t="s">
        <v>722</v>
      </c>
      <c r="BL53" s="409" t="s">
        <v>722</v>
      </c>
      <c r="BM53" s="409" t="s">
        <v>722</v>
      </c>
      <c r="BN53" s="409" t="s">
        <v>722</v>
      </c>
      <c r="BO53" s="409">
        <v>0</v>
      </c>
      <c r="BP53" s="409">
        <v>0</v>
      </c>
      <c r="BQ53" s="409">
        <v>0</v>
      </c>
      <c r="BR53" s="409">
        <v>0</v>
      </c>
      <c r="BS53" s="409">
        <v>0</v>
      </c>
      <c r="BT53" s="409">
        <v>0</v>
      </c>
      <c r="BU53" s="409">
        <v>0</v>
      </c>
      <c r="BV53" s="409">
        <v>0</v>
      </c>
      <c r="BW53" s="409">
        <v>0</v>
      </c>
      <c r="BX53" s="409">
        <v>0</v>
      </c>
      <c r="BY53" s="409">
        <v>0</v>
      </c>
      <c r="BZ53" s="409">
        <v>0</v>
      </c>
    </row>
    <row r="54" spans="1:78" ht="14.4" x14ac:dyDescent="0.3">
      <c r="A54" s="410">
        <v>4017400504</v>
      </c>
      <c r="B54" s="409" t="s">
        <v>123</v>
      </c>
      <c r="C54" s="409" t="s">
        <v>722</v>
      </c>
      <c r="D54" s="409" t="s">
        <v>722</v>
      </c>
      <c r="E54" s="409" t="s">
        <v>722</v>
      </c>
      <c r="F54" s="409" t="s">
        <v>722</v>
      </c>
      <c r="G54" s="409" t="s">
        <v>722</v>
      </c>
      <c r="H54" s="409" t="s">
        <v>722</v>
      </c>
      <c r="I54" s="409" t="s">
        <v>36</v>
      </c>
      <c r="J54" s="409" t="s">
        <v>722</v>
      </c>
      <c r="K54" s="409" t="s">
        <v>34</v>
      </c>
      <c r="L54" s="409" t="s">
        <v>722</v>
      </c>
      <c r="M54" s="409" t="s">
        <v>39</v>
      </c>
      <c r="N54" s="409" t="s">
        <v>722</v>
      </c>
      <c r="O54" s="409" t="s">
        <v>39</v>
      </c>
      <c r="P54" s="409" t="s">
        <v>722</v>
      </c>
      <c r="Q54" s="409" t="s">
        <v>39</v>
      </c>
      <c r="R54" s="409" t="s">
        <v>722</v>
      </c>
      <c r="S54" s="409" t="s">
        <v>722</v>
      </c>
      <c r="T54" s="409" t="s">
        <v>722</v>
      </c>
      <c r="U54" s="409" t="s">
        <v>722</v>
      </c>
      <c r="V54" s="409" t="s">
        <v>722</v>
      </c>
      <c r="W54" s="409" t="s">
        <v>5</v>
      </c>
      <c r="X54" s="409" t="s">
        <v>39</v>
      </c>
      <c r="Y54" s="409" t="s">
        <v>39</v>
      </c>
      <c r="Z54" s="409" t="s">
        <v>39</v>
      </c>
      <c r="AA54" s="409">
        <v>1</v>
      </c>
      <c r="AB54" s="409" t="s">
        <v>5</v>
      </c>
      <c r="AC54" s="409">
        <v>2</v>
      </c>
      <c r="AD54" s="409" t="s">
        <v>5</v>
      </c>
      <c r="AE54" s="409">
        <v>3</v>
      </c>
      <c r="AF54" s="409" t="s">
        <v>39</v>
      </c>
      <c r="AG54" s="409">
        <v>0</v>
      </c>
      <c r="AH54" s="409">
        <v>0</v>
      </c>
      <c r="AI54" s="409">
        <v>0</v>
      </c>
      <c r="AJ54" s="409">
        <v>0</v>
      </c>
      <c r="AK54" s="409">
        <v>0</v>
      </c>
      <c r="AL54" s="409">
        <v>0</v>
      </c>
      <c r="AM54" s="409">
        <v>0</v>
      </c>
      <c r="AN54" s="409">
        <v>0</v>
      </c>
      <c r="AO54" s="409" t="s">
        <v>722</v>
      </c>
      <c r="AP54" s="409">
        <v>1</v>
      </c>
      <c r="AQ54" s="409" t="s">
        <v>39</v>
      </c>
      <c r="AR54" s="409">
        <v>2</v>
      </c>
      <c r="AS54" s="409" t="s">
        <v>39</v>
      </c>
      <c r="AT54" s="409">
        <v>0</v>
      </c>
      <c r="AU54" s="409">
        <v>0</v>
      </c>
      <c r="AV54" s="409">
        <v>0</v>
      </c>
      <c r="AW54" s="409">
        <v>0</v>
      </c>
      <c r="AX54" s="409">
        <v>0</v>
      </c>
      <c r="AY54" s="409">
        <v>0</v>
      </c>
      <c r="AZ54" s="409">
        <v>0</v>
      </c>
      <c r="BA54" s="409">
        <v>0</v>
      </c>
      <c r="BB54" s="409" t="s">
        <v>722</v>
      </c>
      <c r="BC54" s="409" t="s">
        <v>722</v>
      </c>
      <c r="BD54" s="409" t="s">
        <v>722</v>
      </c>
      <c r="BE54" s="409" t="s">
        <v>53</v>
      </c>
      <c r="BF54" s="409" t="s">
        <v>722</v>
      </c>
      <c r="BG54" s="409" t="s">
        <v>722</v>
      </c>
      <c r="BH54" s="409" t="s">
        <v>722</v>
      </c>
      <c r="BI54" s="409" t="s">
        <v>722</v>
      </c>
      <c r="BJ54" s="409" t="s">
        <v>722</v>
      </c>
      <c r="BK54" s="409" t="s">
        <v>722</v>
      </c>
      <c r="BL54" s="409" t="s">
        <v>722</v>
      </c>
      <c r="BM54" s="409" t="s">
        <v>722</v>
      </c>
      <c r="BN54" s="409" t="s">
        <v>722</v>
      </c>
      <c r="BO54" s="409">
        <v>0</v>
      </c>
      <c r="BP54" s="409">
        <v>0</v>
      </c>
      <c r="BQ54" s="409">
        <v>0</v>
      </c>
      <c r="BR54" s="409">
        <v>0</v>
      </c>
      <c r="BS54" s="409">
        <v>0</v>
      </c>
      <c r="BT54" s="409">
        <v>0</v>
      </c>
      <c r="BU54" s="409">
        <v>0</v>
      </c>
      <c r="BV54" s="409">
        <v>0</v>
      </c>
      <c r="BW54" s="409">
        <v>0</v>
      </c>
      <c r="BX54" s="409">
        <v>0</v>
      </c>
      <c r="BY54" s="409">
        <v>0</v>
      </c>
      <c r="BZ54" s="409">
        <v>0</v>
      </c>
    </row>
    <row r="55" spans="1:78" ht="14.4" x14ac:dyDescent="0.3">
      <c r="A55" s="410">
        <v>4016700352</v>
      </c>
      <c r="B55" s="409" t="s">
        <v>135</v>
      </c>
      <c r="C55" s="409" t="s">
        <v>722</v>
      </c>
      <c r="D55" s="409" t="s">
        <v>722</v>
      </c>
      <c r="E55" s="409" t="s">
        <v>722</v>
      </c>
      <c r="F55" s="409" t="s">
        <v>722</v>
      </c>
      <c r="G55" s="409" t="s">
        <v>722</v>
      </c>
      <c r="H55" s="409" t="s">
        <v>722</v>
      </c>
      <c r="I55" s="409">
        <v>0</v>
      </c>
      <c r="J55" s="409" t="s">
        <v>722</v>
      </c>
      <c r="K55" s="409">
        <v>0</v>
      </c>
      <c r="L55" s="409" t="s">
        <v>722</v>
      </c>
      <c r="M55" s="409">
        <v>0</v>
      </c>
      <c r="N55" s="409" t="s">
        <v>722</v>
      </c>
      <c r="O55" s="409">
        <v>0</v>
      </c>
      <c r="P55" s="409" t="s">
        <v>722</v>
      </c>
      <c r="Q55" s="409">
        <v>0</v>
      </c>
      <c r="R55" s="409" t="s">
        <v>722</v>
      </c>
      <c r="S55" s="409" t="s">
        <v>722</v>
      </c>
      <c r="T55" s="409" t="s">
        <v>722</v>
      </c>
      <c r="U55" s="409" t="s">
        <v>722</v>
      </c>
      <c r="V55" s="409" t="s">
        <v>722</v>
      </c>
      <c r="W55" s="409">
        <v>0</v>
      </c>
      <c r="X55" s="409">
        <v>0</v>
      </c>
      <c r="Y55" s="409">
        <v>0</v>
      </c>
      <c r="Z55" s="409">
        <v>0</v>
      </c>
      <c r="AA55" s="409">
        <v>0</v>
      </c>
      <c r="AB55" s="409">
        <v>0</v>
      </c>
      <c r="AC55" s="409">
        <v>0</v>
      </c>
      <c r="AD55" s="409">
        <v>0</v>
      </c>
      <c r="AE55" s="409">
        <v>0</v>
      </c>
      <c r="AF55" s="409">
        <v>0</v>
      </c>
      <c r="AG55" s="409">
        <v>0</v>
      </c>
      <c r="AH55" s="409">
        <v>0</v>
      </c>
      <c r="AI55" s="409">
        <v>0</v>
      </c>
      <c r="AJ55" s="409">
        <v>0</v>
      </c>
      <c r="AK55" s="409">
        <v>0</v>
      </c>
      <c r="AL55" s="409">
        <v>0</v>
      </c>
      <c r="AM55" s="409">
        <v>0</v>
      </c>
      <c r="AN55" s="409">
        <v>0</v>
      </c>
      <c r="AO55" s="409" t="s">
        <v>722</v>
      </c>
      <c r="AP55" s="409">
        <v>0</v>
      </c>
      <c r="AQ55" s="409">
        <v>0</v>
      </c>
      <c r="AR55" s="409">
        <v>0</v>
      </c>
      <c r="AS55" s="409">
        <v>0</v>
      </c>
      <c r="AT55" s="409">
        <v>0</v>
      </c>
      <c r="AU55" s="409">
        <v>0</v>
      </c>
      <c r="AV55" s="409">
        <v>0</v>
      </c>
      <c r="AW55" s="409">
        <v>0</v>
      </c>
      <c r="AX55" s="409">
        <v>0</v>
      </c>
      <c r="AY55" s="409">
        <v>0</v>
      </c>
      <c r="AZ55" s="409">
        <v>0</v>
      </c>
      <c r="BA55" s="409">
        <v>0</v>
      </c>
      <c r="BB55" s="409" t="s">
        <v>722</v>
      </c>
      <c r="BC55" s="409" t="s">
        <v>722</v>
      </c>
      <c r="BD55" s="409" t="s">
        <v>722</v>
      </c>
      <c r="BE55" s="409">
        <v>0</v>
      </c>
      <c r="BF55" s="409" t="s">
        <v>722</v>
      </c>
      <c r="BG55" s="409" t="s">
        <v>722</v>
      </c>
      <c r="BH55" s="409" t="s">
        <v>722</v>
      </c>
      <c r="BI55" s="409" t="s">
        <v>722</v>
      </c>
      <c r="BJ55" s="409" t="s">
        <v>722</v>
      </c>
      <c r="BK55" s="409" t="s">
        <v>722</v>
      </c>
      <c r="BL55" s="409" t="s">
        <v>722</v>
      </c>
      <c r="BM55" s="409" t="s">
        <v>722</v>
      </c>
      <c r="BN55" s="409" t="s">
        <v>722</v>
      </c>
      <c r="BO55" s="409" t="s">
        <v>5</v>
      </c>
      <c r="BP55" s="409" t="s">
        <v>5</v>
      </c>
      <c r="BQ55" s="409" t="s">
        <v>5</v>
      </c>
      <c r="BR55" s="409">
        <v>0</v>
      </c>
      <c r="BS55" s="409">
        <v>0</v>
      </c>
      <c r="BT55" s="409">
        <v>0</v>
      </c>
      <c r="BU55" s="409" t="s">
        <v>5</v>
      </c>
      <c r="BV55" s="409" t="s">
        <v>5</v>
      </c>
      <c r="BW55" s="409" t="s">
        <v>5</v>
      </c>
      <c r="BX55" s="409">
        <v>0</v>
      </c>
      <c r="BY55" s="409">
        <v>0</v>
      </c>
      <c r="BZ55" s="409">
        <v>0</v>
      </c>
    </row>
    <row r="56" spans="1:78" ht="14.4" x14ac:dyDescent="0.3">
      <c r="A56" s="410">
        <v>4015070247</v>
      </c>
      <c r="B56" s="409" t="s">
        <v>123</v>
      </c>
      <c r="C56" s="409" t="s">
        <v>722</v>
      </c>
      <c r="D56" s="409" t="s">
        <v>722</v>
      </c>
      <c r="E56" s="409" t="s">
        <v>722</v>
      </c>
      <c r="F56" s="409" t="s">
        <v>722</v>
      </c>
      <c r="G56" s="409" t="s">
        <v>722</v>
      </c>
      <c r="H56" s="409" t="s">
        <v>722</v>
      </c>
      <c r="I56" s="409">
        <v>0</v>
      </c>
      <c r="J56" s="409" t="s">
        <v>722</v>
      </c>
      <c r="K56" s="409">
        <v>0</v>
      </c>
      <c r="L56" s="409" t="s">
        <v>722</v>
      </c>
      <c r="M56" s="409">
        <v>0</v>
      </c>
      <c r="N56" s="409" t="s">
        <v>722</v>
      </c>
      <c r="O56" s="409">
        <v>0</v>
      </c>
      <c r="P56" s="409" t="s">
        <v>722</v>
      </c>
      <c r="Q56" s="409">
        <v>0</v>
      </c>
      <c r="R56" s="409" t="s">
        <v>722</v>
      </c>
      <c r="S56" s="409" t="s">
        <v>722</v>
      </c>
      <c r="T56" s="409" t="s">
        <v>722</v>
      </c>
      <c r="U56" s="409" t="s">
        <v>722</v>
      </c>
      <c r="V56" s="409" t="s">
        <v>722</v>
      </c>
      <c r="W56" s="409">
        <v>0</v>
      </c>
      <c r="X56" s="409">
        <v>0</v>
      </c>
      <c r="Y56" s="409">
        <v>0</v>
      </c>
      <c r="Z56" s="409">
        <v>0</v>
      </c>
      <c r="AA56" s="409">
        <v>0</v>
      </c>
      <c r="AB56" s="409">
        <v>0</v>
      </c>
      <c r="AC56" s="409">
        <v>0</v>
      </c>
      <c r="AD56" s="409">
        <v>0</v>
      </c>
      <c r="AE56" s="409">
        <v>0</v>
      </c>
      <c r="AF56" s="409">
        <v>0</v>
      </c>
      <c r="AG56" s="409">
        <v>0</v>
      </c>
      <c r="AH56" s="409">
        <v>0</v>
      </c>
      <c r="AI56" s="409">
        <v>0</v>
      </c>
      <c r="AJ56" s="409">
        <v>0</v>
      </c>
      <c r="AK56" s="409">
        <v>0</v>
      </c>
      <c r="AL56" s="409">
        <v>0</v>
      </c>
      <c r="AM56" s="409">
        <v>0</v>
      </c>
      <c r="AN56" s="409">
        <v>0</v>
      </c>
      <c r="AO56" s="409" t="s">
        <v>722</v>
      </c>
      <c r="AP56" s="409">
        <v>0</v>
      </c>
      <c r="AQ56" s="409">
        <v>0</v>
      </c>
      <c r="AR56" s="409">
        <v>0</v>
      </c>
      <c r="AS56" s="409">
        <v>0</v>
      </c>
      <c r="AT56" s="409">
        <v>0</v>
      </c>
      <c r="AU56" s="409">
        <v>0</v>
      </c>
      <c r="AV56" s="409">
        <v>0</v>
      </c>
      <c r="AW56" s="409">
        <v>0</v>
      </c>
      <c r="AX56" s="409">
        <v>0</v>
      </c>
      <c r="AY56" s="409">
        <v>0</v>
      </c>
      <c r="AZ56" s="409">
        <v>0</v>
      </c>
      <c r="BA56" s="409">
        <v>0</v>
      </c>
      <c r="BB56" s="409" t="s">
        <v>722</v>
      </c>
      <c r="BC56" s="409" t="s">
        <v>722</v>
      </c>
      <c r="BD56" s="409" t="s">
        <v>722</v>
      </c>
      <c r="BE56" s="409">
        <v>0</v>
      </c>
      <c r="BF56" s="409" t="s">
        <v>722</v>
      </c>
      <c r="BG56" s="409" t="s">
        <v>722</v>
      </c>
      <c r="BH56" s="409" t="s">
        <v>722</v>
      </c>
      <c r="BI56" s="409" t="s">
        <v>722</v>
      </c>
      <c r="BJ56" s="409" t="s">
        <v>722</v>
      </c>
      <c r="BK56" s="409" t="s">
        <v>722</v>
      </c>
      <c r="BL56" s="409" t="s">
        <v>722</v>
      </c>
      <c r="BM56" s="409" t="s">
        <v>722</v>
      </c>
      <c r="BN56" s="409" t="s">
        <v>722</v>
      </c>
      <c r="BO56" s="409" t="s">
        <v>5</v>
      </c>
      <c r="BP56" s="409" t="s">
        <v>5</v>
      </c>
      <c r="BQ56" s="409" t="s">
        <v>5</v>
      </c>
      <c r="BR56" s="409" t="s">
        <v>5</v>
      </c>
      <c r="BS56" s="409" t="s">
        <v>5</v>
      </c>
      <c r="BT56" s="409" t="s">
        <v>5</v>
      </c>
      <c r="BU56" s="409" t="s">
        <v>5</v>
      </c>
      <c r="BV56" s="409" t="s">
        <v>5</v>
      </c>
      <c r="BW56" s="409" t="s">
        <v>5</v>
      </c>
      <c r="BX56" s="409">
        <v>0</v>
      </c>
      <c r="BY56" s="409">
        <v>0</v>
      </c>
      <c r="BZ56" s="409">
        <v>0</v>
      </c>
    </row>
    <row r="57" spans="1:78" ht="14.4" x14ac:dyDescent="0.3">
      <c r="A57" s="410">
        <v>4014073135</v>
      </c>
      <c r="B57" s="409" t="s">
        <v>137</v>
      </c>
      <c r="C57" s="409" t="s">
        <v>722</v>
      </c>
      <c r="D57" s="409" t="s">
        <v>722</v>
      </c>
      <c r="E57" s="409" t="s">
        <v>722</v>
      </c>
      <c r="F57" s="409" t="s">
        <v>722</v>
      </c>
      <c r="G57" s="409" t="s">
        <v>722</v>
      </c>
      <c r="H57" s="409" t="s">
        <v>722</v>
      </c>
      <c r="I57" s="409" t="s">
        <v>34</v>
      </c>
      <c r="J57" s="409" t="s">
        <v>722</v>
      </c>
      <c r="K57" s="409" t="s">
        <v>34</v>
      </c>
      <c r="L57" s="409" t="s">
        <v>722</v>
      </c>
      <c r="M57" s="409">
        <v>0</v>
      </c>
      <c r="N57" s="409" t="s">
        <v>722</v>
      </c>
      <c r="O57" s="409">
        <v>0</v>
      </c>
      <c r="P57" s="409" t="s">
        <v>722</v>
      </c>
      <c r="Q57" s="409">
        <v>0</v>
      </c>
      <c r="R57" s="409" t="s">
        <v>722</v>
      </c>
      <c r="S57" s="409" t="s">
        <v>722</v>
      </c>
      <c r="T57" s="409" t="s">
        <v>722</v>
      </c>
      <c r="U57" s="409" t="s">
        <v>722</v>
      </c>
      <c r="V57" s="409" t="s">
        <v>722</v>
      </c>
      <c r="W57" s="409" t="s">
        <v>5</v>
      </c>
      <c r="X57" s="409">
        <v>0</v>
      </c>
      <c r="Y57" s="409">
        <v>0</v>
      </c>
      <c r="Z57" s="409">
        <v>0</v>
      </c>
      <c r="AA57" s="409">
        <v>1</v>
      </c>
      <c r="AB57" s="409" t="s">
        <v>33</v>
      </c>
      <c r="AC57" s="409">
        <v>2</v>
      </c>
      <c r="AD57" s="409" t="s">
        <v>5</v>
      </c>
      <c r="AE57" s="409">
        <v>0</v>
      </c>
      <c r="AF57" s="409">
        <v>0</v>
      </c>
      <c r="AG57" s="409">
        <v>3</v>
      </c>
      <c r="AH57" s="409" t="s">
        <v>29</v>
      </c>
      <c r="AI57" s="409">
        <v>0</v>
      </c>
      <c r="AJ57" s="409">
        <v>0</v>
      </c>
      <c r="AK57" s="409">
        <v>0</v>
      </c>
      <c r="AL57" s="409">
        <v>0</v>
      </c>
      <c r="AM57" s="409">
        <v>0</v>
      </c>
      <c r="AN57" s="409">
        <v>0</v>
      </c>
      <c r="AO57" s="409" t="s">
        <v>722</v>
      </c>
      <c r="AP57" s="409">
        <v>2</v>
      </c>
      <c r="AQ57" s="409" t="s">
        <v>3</v>
      </c>
      <c r="AR57" s="409">
        <v>0</v>
      </c>
      <c r="AS57" s="409">
        <v>0</v>
      </c>
      <c r="AT57" s="409">
        <v>0</v>
      </c>
      <c r="AU57" s="409">
        <v>0</v>
      </c>
      <c r="AV57" s="409">
        <v>3</v>
      </c>
      <c r="AW57" s="409" t="s">
        <v>29</v>
      </c>
      <c r="AX57" s="409">
        <v>1</v>
      </c>
      <c r="AY57" s="409" t="s">
        <v>3</v>
      </c>
      <c r="AZ57" s="409">
        <v>0</v>
      </c>
      <c r="BA57" s="409" t="s">
        <v>111</v>
      </c>
      <c r="BB57" s="409" t="s">
        <v>722</v>
      </c>
      <c r="BC57" s="409" t="s">
        <v>722</v>
      </c>
      <c r="BD57" s="409" t="s">
        <v>722</v>
      </c>
      <c r="BE57" s="409" t="s">
        <v>55</v>
      </c>
      <c r="BF57" s="409" t="s">
        <v>722</v>
      </c>
      <c r="BG57" s="409" t="s">
        <v>722</v>
      </c>
      <c r="BH57" s="409" t="s">
        <v>722</v>
      </c>
      <c r="BI57" s="409" t="s">
        <v>722</v>
      </c>
      <c r="BJ57" s="409" t="s">
        <v>722</v>
      </c>
      <c r="BK57" s="409" t="s">
        <v>722</v>
      </c>
      <c r="BL57" s="409" t="s">
        <v>722</v>
      </c>
      <c r="BM57" s="409" t="s">
        <v>722</v>
      </c>
      <c r="BN57" s="409" t="s">
        <v>722</v>
      </c>
      <c r="BO57" s="409">
        <v>0</v>
      </c>
      <c r="BP57" s="409">
        <v>0</v>
      </c>
      <c r="BQ57" s="409">
        <v>0</v>
      </c>
      <c r="BR57" s="409">
        <v>0</v>
      </c>
      <c r="BS57" s="409">
        <v>0</v>
      </c>
      <c r="BT57" s="409">
        <v>0</v>
      </c>
      <c r="BU57" s="409">
        <v>0</v>
      </c>
      <c r="BV57" s="409">
        <v>0</v>
      </c>
      <c r="BW57" s="409">
        <v>0</v>
      </c>
      <c r="BX57" s="409">
        <v>0</v>
      </c>
      <c r="BY57" s="409">
        <v>0</v>
      </c>
      <c r="BZ57" s="409">
        <v>0</v>
      </c>
    </row>
    <row r="58" spans="1:78" ht="14.4" x14ac:dyDescent="0.3">
      <c r="A58" s="410">
        <v>4013961973</v>
      </c>
      <c r="B58" s="409" t="s">
        <v>137</v>
      </c>
      <c r="C58" s="409" t="s">
        <v>722</v>
      </c>
      <c r="D58" s="409" t="s">
        <v>722</v>
      </c>
      <c r="E58" s="409" t="s">
        <v>722</v>
      </c>
      <c r="F58" s="409" t="s">
        <v>722</v>
      </c>
      <c r="G58" s="409" t="s">
        <v>722</v>
      </c>
      <c r="H58" s="409" t="s">
        <v>722</v>
      </c>
      <c r="I58" s="409">
        <v>0</v>
      </c>
      <c r="J58" s="409" t="s">
        <v>722</v>
      </c>
      <c r="K58" s="409">
        <v>0</v>
      </c>
      <c r="L58" s="409" t="s">
        <v>722</v>
      </c>
      <c r="M58" s="409">
        <v>0</v>
      </c>
      <c r="N58" s="409" t="s">
        <v>722</v>
      </c>
      <c r="O58" s="409">
        <v>0</v>
      </c>
      <c r="P58" s="409" t="s">
        <v>722</v>
      </c>
      <c r="Q58" s="409">
        <v>0</v>
      </c>
      <c r="R58" s="409" t="s">
        <v>722</v>
      </c>
      <c r="S58" s="409" t="s">
        <v>722</v>
      </c>
      <c r="T58" s="409" t="s">
        <v>722</v>
      </c>
      <c r="U58" s="409" t="s">
        <v>722</v>
      </c>
      <c r="V58" s="409" t="s">
        <v>722</v>
      </c>
      <c r="W58" s="409">
        <v>0</v>
      </c>
      <c r="X58" s="409">
        <v>0</v>
      </c>
      <c r="Y58" s="409">
        <v>0</v>
      </c>
      <c r="Z58" s="409">
        <v>0</v>
      </c>
      <c r="AA58" s="409">
        <v>0</v>
      </c>
      <c r="AB58" s="409">
        <v>0</v>
      </c>
      <c r="AC58" s="409">
        <v>0</v>
      </c>
      <c r="AD58" s="409">
        <v>0</v>
      </c>
      <c r="AE58" s="409">
        <v>0</v>
      </c>
      <c r="AF58" s="409">
        <v>0</v>
      </c>
      <c r="AG58" s="409">
        <v>0</v>
      </c>
      <c r="AH58" s="409">
        <v>0</v>
      </c>
      <c r="AI58" s="409">
        <v>0</v>
      </c>
      <c r="AJ58" s="409">
        <v>0</v>
      </c>
      <c r="AK58" s="409">
        <v>0</v>
      </c>
      <c r="AL58" s="409">
        <v>0</v>
      </c>
      <c r="AM58" s="409">
        <v>0</v>
      </c>
      <c r="AN58" s="409">
        <v>0</v>
      </c>
      <c r="AO58" s="409" t="s">
        <v>722</v>
      </c>
      <c r="AP58" s="409">
        <v>0</v>
      </c>
      <c r="AQ58" s="409">
        <v>0</v>
      </c>
      <c r="AR58" s="409">
        <v>0</v>
      </c>
      <c r="AS58" s="409">
        <v>0</v>
      </c>
      <c r="AT58" s="409">
        <v>0</v>
      </c>
      <c r="AU58" s="409">
        <v>0</v>
      </c>
      <c r="AV58" s="409">
        <v>0</v>
      </c>
      <c r="AW58" s="409">
        <v>0</v>
      </c>
      <c r="AX58" s="409">
        <v>0</v>
      </c>
      <c r="AY58" s="409">
        <v>0</v>
      </c>
      <c r="AZ58" s="409">
        <v>0</v>
      </c>
      <c r="BA58" s="409">
        <v>0</v>
      </c>
      <c r="BB58" s="409" t="s">
        <v>722</v>
      </c>
      <c r="BC58" s="409" t="s">
        <v>722</v>
      </c>
      <c r="BD58" s="409" t="s">
        <v>722</v>
      </c>
      <c r="BE58" s="409">
        <v>0</v>
      </c>
      <c r="BF58" s="409" t="s">
        <v>722</v>
      </c>
      <c r="BG58" s="409" t="s">
        <v>722</v>
      </c>
      <c r="BH58" s="409" t="s">
        <v>722</v>
      </c>
      <c r="BI58" s="409" t="s">
        <v>722</v>
      </c>
      <c r="BJ58" s="409" t="s">
        <v>722</v>
      </c>
      <c r="BK58" s="409" t="s">
        <v>722</v>
      </c>
      <c r="BL58" s="409" t="s">
        <v>722</v>
      </c>
      <c r="BM58" s="409" t="s">
        <v>722</v>
      </c>
      <c r="BN58" s="409" t="s">
        <v>722</v>
      </c>
      <c r="BO58" s="409">
        <v>0</v>
      </c>
      <c r="BP58" s="409">
        <v>0</v>
      </c>
      <c r="BQ58" s="409">
        <v>0</v>
      </c>
      <c r="BR58" s="409">
        <v>0</v>
      </c>
      <c r="BS58" s="409">
        <v>0</v>
      </c>
      <c r="BT58" s="409">
        <v>0</v>
      </c>
      <c r="BU58" s="409">
        <v>0</v>
      </c>
      <c r="BV58" s="409">
        <v>0</v>
      </c>
      <c r="BW58" s="409">
        <v>0</v>
      </c>
      <c r="BX58" s="409">
        <v>0</v>
      </c>
      <c r="BY58" s="409">
        <v>0</v>
      </c>
      <c r="BZ58" s="409">
        <v>0</v>
      </c>
    </row>
    <row r="59" spans="1:78" ht="14.4" x14ac:dyDescent="0.3">
      <c r="A59" s="410">
        <v>4013134581</v>
      </c>
      <c r="B59" s="409" t="s">
        <v>123</v>
      </c>
      <c r="C59" s="409" t="s">
        <v>722</v>
      </c>
      <c r="D59" s="409" t="s">
        <v>722</v>
      </c>
      <c r="E59" s="409" t="s">
        <v>722</v>
      </c>
      <c r="F59" s="409" t="s">
        <v>722</v>
      </c>
      <c r="G59" s="409" t="s">
        <v>722</v>
      </c>
      <c r="H59" s="409" t="s">
        <v>722</v>
      </c>
      <c r="I59" s="409" t="s">
        <v>34</v>
      </c>
      <c r="J59" s="409" t="s">
        <v>722</v>
      </c>
      <c r="K59" s="409" t="s">
        <v>39</v>
      </c>
      <c r="L59" s="409" t="s">
        <v>722</v>
      </c>
      <c r="M59" s="409" t="s">
        <v>39</v>
      </c>
      <c r="N59" s="409" t="s">
        <v>722</v>
      </c>
      <c r="O59" s="409" t="s">
        <v>34</v>
      </c>
      <c r="P59" s="409" t="s">
        <v>722</v>
      </c>
      <c r="Q59" s="409" t="s">
        <v>34</v>
      </c>
      <c r="R59" s="409" t="s">
        <v>722</v>
      </c>
      <c r="S59" s="409" t="s">
        <v>722</v>
      </c>
      <c r="T59" s="409" t="s">
        <v>722</v>
      </c>
      <c r="U59" s="409" t="s">
        <v>722</v>
      </c>
      <c r="V59" s="409" t="s">
        <v>722</v>
      </c>
      <c r="W59" s="409" t="s">
        <v>39</v>
      </c>
      <c r="X59" s="409" t="s">
        <v>5</v>
      </c>
      <c r="Y59" s="409" t="s">
        <v>5</v>
      </c>
      <c r="Z59" s="409" t="s">
        <v>5</v>
      </c>
      <c r="AA59" s="409">
        <v>0</v>
      </c>
      <c r="AB59" s="409">
        <v>0</v>
      </c>
      <c r="AC59" s="409">
        <v>0</v>
      </c>
      <c r="AD59" s="409">
        <v>0</v>
      </c>
      <c r="AE59" s="409">
        <v>0</v>
      </c>
      <c r="AF59" s="409">
        <v>0</v>
      </c>
      <c r="AG59" s="409">
        <v>0</v>
      </c>
      <c r="AH59" s="409">
        <v>0</v>
      </c>
      <c r="AI59" s="409">
        <v>0</v>
      </c>
      <c r="AJ59" s="409">
        <v>0</v>
      </c>
      <c r="AK59" s="409">
        <v>0</v>
      </c>
      <c r="AL59" s="409">
        <v>0</v>
      </c>
      <c r="AM59" s="409">
        <v>0</v>
      </c>
      <c r="AN59" s="409">
        <v>0</v>
      </c>
      <c r="AO59" s="409" t="s">
        <v>722</v>
      </c>
      <c r="AP59" s="409">
        <v>0</v>
      </c>
      <c r="AQ59" s="409">
        <v>0</v>
      </c>
      <c r="AR59" s="409">
        <v>0</v>
      </c>
      <c r="AS59" s="409">
        <v>0</v>
      </c>
      <c r="AT59" s="409">
        <v>0</v>
      </c>
      <c r="AU59" s="409">
        <v>0</v>
      </c>
      <c r="AV59" s="409">
        <v>0</v>
      </c>
      <c r="AW59" s="409">
        <v>0</v>
      </c>
      <c r="AX59" s="409">
        <v>0</v>
      </c>
      <c r="AY59" s="409">
        <v>0</v>
      </c>
      <c r="AZ59" s="409">
        <v>0</v>
      </c>
      <c r="BA59" s="409">
        <v>0</v>
      </c>
      <c r="BB59" s="409" t="s">
        <v>722</v>
      </c>
      <c r="BC59" s="409" t="s">
        <v>722</v>
      </c>
      <c r="BD59" s="409" t="s">
        <v>722</v>
      </c>
      <c r="BE59" s="409" t="s">
        <v>55</v>
      </c>
      <c r="BF59" s="409" t="s">
        <v>722</v>
      </c>
      <c r="BG59" s="409" t="s">
        <v>722</v>
      </c>
      <c r="BH59" s="409" t="s">
        <v>722</v>
      </c>
      <c r="BI59" s="409" t="s">
        <v>722</v>
      </c>
      <c r="BJ59" s="409" t="s">
        <v>722</v>
      </c>
      <c r="BK59" s="409" t="s">
        <v>722</v>
      </c>
      <c r="BL59" s="409" t="s">
        <v>722</v>
      </c>
      <c r="BM59" s="409" t="s">
        <v>722</v>
      </c>
      <c r="BN59" s="409" t="s">
        <v>722</v>
      </c>
      <c r="BO59" s="409" t="s">
        <v>5</v>
      </c>
      <c r="BP59" s="409" t="s">
        <v>5</v>
      </c>
      <c r="BQ59" s="409" t="s">
        <v>5</v>
      </c>
      <c r="BR59" s="409" t="s">
        <v>5</v>
      </c>
      <c r="BS59" s="409" t="s">
        <v>5</v>
      </c>
      <c r="BT59" s="409" t="s">
        <v>5</v>
      </c>
      <c r="BU59" s="409" t="s">
        <v>5</v>
      </c>
      <c r="BV59" s="409" t="s">
        <v>5</v>
      </c>
      <c r="BW59" s="409" t="s">
        <v>5</v>
      </c>
      <c r="BX59" s="409">
        <v>0</v>
      </c>
      <c r="BY59" s="409">
        <v>0</v>
      </c>
      <c r="BZ59" s="409">
        <v>0</v>
      </c>
    </row>
    <row r="60" spans="1:78" ht="14.4" x14ac:dyDescent="0.3">
      <c r="A60" s="410">
        <v>4012945143</v>
      </c>
      <c r="B60" s="409" t="s">
        <v>123</v>
      </c>
      <c r="C60" s="409" t="s">
        <v>722</v>
      </c>
      <c r="D60" s="409" t="s">
        <v>722</v>
      </c>
      <c r="E60" s="409" t="s">
        <v>722</v>
      </c>
      <c r="F60" s="409" t="s">
        <v>722</v>
      </c>
      <c r="G60" s="409" t="s">
        <v>722</v>
      </c>
      <c r="H60" s="409" t="s">
        <v>722</v>
      </c>
      <c r="I60" s="409" t="s">
        <v>35</v>
      </c>
      <c r="J60" s="409" t="s">
        <v>722</v>
      </c>
      <c r="K60" s="409" t="s">
        <v>35</v>
      </c>
      <c r="L60" s="409" t="s">
        <v>722</v>
      </c>
      <c r="M60" s="409">
        <v>0</v>
      </c>
      <c r="N60" s="409" t="s">
        <v>722</v>
      </c>
      <c r="O60" s="409">
        <v>0</v>
      </c>
      <c r="P60" s="409" t="s">
        <v>722</v>
      </c>
      <c r="Q60" s="409">
        <v>0</v>
      </c>
      <c r="R60" s="409" t="s">
        <v>722</v>
      </c>
      <c r="S60" s="409" t="s">
        <v>722</v>
      </c>
      <c r="T60" s="409" t="s">
        <v>722</v>
      </c>
      <c r="U60" s="409" t="s">
        <v>722</v>
      </c>
      <c r="V60" s="409" t="s">
        <v>722</v>
      </c>
      <c r="W60" s="409" t="s">
        <v>5</v>
      </c>
      <c r="X60" s="409">
        <v>0</v>
      </c>
      <c r="Y60" s="409">
        <v>0</v>
      </c>
      <c r="Z60" s="409">
        <v>0</v>
      </c>
      <c r="AA60" s="409">
        <v>0</v>
      </c>
      <c r="AB60" s="409">
        <v>0</v>
      </c>
      <c r="AC60" s="409">
        <v>0</v>
      </c>
      <c r="AD60" s="409">
        <v>0</v>
      </c>
      <c r="AE60" s="409">
        <v>0</v>
      </c>
      <c r="AF60" s="409">
        <v>0</v>
      </c>
      <c r="AG60" s="409">
        <v>0</v>
      </c>
      <c r="AH60" s="409">
        <v>0</v>
      </c>
      <c r="AI60" s="409">
        <v>0</v>
      </c>
      <c r="AJ60" s="409">
        <v>0</v>
      </c>
      <c r="AK60" s="409">
        <v>0</v>
      </c>
      <c r="AL60" s="409">
        <v>0</v>
      </c>
      <c r="AM60" s="409">
        <v>1</v>
      </c>
      <c r="AN60" s="409" t="s">
        <v>54</v>
      </c>
      <c r="AO60" s="409" t="s">
        <v>722</v>
      </c>
      <c r="AP60" s="409">
        <v>0</v>
      </c>
      <c r="AQ60" s="409">
        <v>0</v>
      </c>
      <c r="AR60" s="409">
        <v>0</v>
      </c>
      <c r="AS60" s="409">
        <v>0</v>
      </c>
      <c r="AT60" s="409">
        <v>0</v>
      </c>
      <c r="AU60" s="409">
        <v>0</v>
      </c>
      <c r="AV60" s="409">
        <v>0</v>
      </c>
      <c r="AW60" s="409">
        <v>0</v>
      </c>
      <c r="AX60" s="409">
        <v>0</v>
      </c>
      <c r="AY60" s="409">
        <v>0</v>
      </c>
      <c r="AZ60" s="409">
        <v>0</v>
      </c>
      <c r="BA60" s="409">
        <v>0</v>
      </c>
      <c r="BB60" s="409" t="s">
        <v>722</v>
      </c>
      <c r="BC60" s="409" t="s">
        <v>722</v>
      </c>
      <c r="BD60" s="409" t="s">
        <v>722</v>
      </c>
      <c r="BE60" s="409" t="s">
        <v>55</v>
      </c>
      <c r="BF60" s="409" t="s">
        <v>722</v>
      </c>
      <c r="BG60" s="409" t="s">
        <v>722</v>
      </c>
      <c r="BH60" s="409" t="s">
        <v>722</v>
      </c>
      <c r="BI60" s="409" t="s">
        <v>722</v>
      </c>
      <c r="BJ60" s="409" t="s">
        <v>722</v>
      </c>
      <c r="BK60" s="409" t="s">
        <v>722</v>
      </c>
      <c r="BL60" s="409" t="s">
        <v>722</v>
      </c>
      <c r="BM60" s="409" t="s">
        <v>722</v>
      </c>
      <c r="BN60" s="409" t="s">
        <v>722</v>
      </c>
      <c r="BO60" s="409">
        <v>0</v>
      </c>
      <c r="BP60" s="409">
        <v>0</v>
      </c>
      <c r="BQ60" s="409">
        <v>0</v>
      </c>
      <c r="BR60" s="409">
        <v>0</v>
      </c>
      <c r="BS60" s="409">
        <v>0</v>
      </c>
      <c r="BT60" s="409">
        <v>0</v>
      </c>
      <c r="BU60" s="409">
        <v>0</v>
      </c>
      <c r="BV60" s="409">
        <v>0</v>
      </c>
      <c r="BW60" s="409">
        <v>0</v>
      </c>
      <c r="BX60" s="409" t="s">
        <v>3</v>
      </c>
      <c r="BY60" s="409" t="s">
        <v>29</v>
      </c>
      <c r="BZ60" s="409" t="s">
        <v>29</v>
      </c>
    </row>
    <row r="61" spans="1:78" ht="14.4" x14ac:dyDescent="0.3">
      <c r="A61" s="410">
        <v>4011826654</v>
      </c>
      <c r="B61" s="409" t="s">
        <v>137</v>
      </c>
      <c r="C61" s="409" t="s">
        <v>722</v>
      </c>
      <c r="D61" s="409" t="s">
        <v>722</v>
      </c>
      <c r="E61" s="409" t="s">
        <v>722</v>
      </c>
      <c r="F61" s="409" t="s">
        <v>722</v>
      </c>
      <c r="G61" s="409" t="s">
        <v>722</v>
      </c>
      <c r="H61" s="409" t="s">
        <v>722</v>
      </c>
      <c r="I61" s="409">
        <v>0</v>
      </c>
      <c r="J61" s="409" t="s">
        <v>722</v>
      </c>
      <c r="K61" s="409">
        <v>0</v>
      </c>
      <c r="L61" s="409" t="s">
        <v>722</v>
      </c>
      <c r="M61" s="409">
        <v>0</v>
      </c>
      <c r="N61" s="409" t="s">
        <v>722</v>
      </c>
      <c r="O61" s="409">
        <v>0</v>
      </c>
      <c r="P61" s="409" t="s">
        <v>722</v>
      </c>
      <c r="Q61" s="409">
        <v>0</v>
      </c>
      <c r="R61" s="409" t="s">
        <v>722</v>
      </c>
      <c r="S61" s="409" t="s">
        <v>722</v>
      </c>
      <c r="T61" s="409" t="s">
        <v>722</v>
      </c>
      <c r="U61" s="409" t="s">
        <v>722</v>
      </c>
      <c r="V61" s="409" t="s">
        <v>722</v>
      </c>
      <c r="W61" s="409">
        <v>0</v>
      </c>
      <c r="X61" s="409">
        <v>0</v>
      </c>
      <c r="Y61" s="409">
        <v>0</v>
      </c>
      <c r="Z61" s="409">
        <v>0</v>
      </c>
      <c r="AA61" s="409">
        <v>0</v>
      </c>
      <c r="AB61" s="409">
        <v>0</v>
      </c>
      <c r="AC61" s="409">
        <v>0</v>
      </c>
      <c r="AD61" s="409">
        <v>0</v>
      </c>
      <c r="AE61" s="409">
        <v>0</v>
      </c>
      <c r="AF61" s="409">
        <v>0</v>
      </c>
      <c r="AG61" s="409">
        <v>0</v>
      </c>
      <c r="AH61" s="409">
        <v>0</v>
      </c>
      <c r="AI61" s="409">
        <v>0</v>
      </c>
      <c r="AJ61" s="409">
        <v>0</v>
      </c>
      <c r="AK61" s="409">
        <v>0</v>
      </c>
      <c r="AL61" s="409">
        <v>0</v>
      </c>
      <c r="AM61" s="409">
        <v>0</v>
      </c>
      <c r="AN61" s="409">
        <v>0</v>
      </c>
      <c r="AO61" s="409" t="s">
        <v>722</v>
      </c>
      <c r="AP61" s="409">
        <v>0</v>
      </c>
      <c r="AQ61" s="409">
        <v>0</v>
      </c>
      <c r="AR61" s="409">
        <v>0</v>
      </c>
      <c r="AS61" s="409">
        <v>0</v>
      </c>
      <c r="AT61" s="409">
        <v>0</v>
      </c>
      <c r="AU61" s="409">
        <v>0</v>
      </c>
      <c r="AV61" s="409">
        <v>0</v>
      </c>
      <c r="AW61" s="409">
        <v>0</v>
      </c>
      <c r="AX61" s="409">
        <v>0</v>
      </c>
      <c r="AY61" s="409">
        <v>0</v>
      </c>
      <c r="AZ61" s="409">
        <v>0</v>
      </c>
      <c r="BA61" s="409">
        <v>0</v>
      </c>
      <c r="BB61" s="409" t="s">
        <v>722</v>
      </c>
      <c r="BC61" s="409" t="s">
        <v>722</v>
      </c>
      <c r="BD61" s="409" t="s">
        <v>722</v>
      </c>
      <c r="BE61" s="409">
        <v>0</v>
      </c>
      <c r="BF61" s="409" t="s">
        <v>722</v>
      </c>
      <c r="BG61" s="409" t="s">
        <v>722</v>
      </c>
      <c r="BH61" s="409" t="s">
        <v>722</v>
      </c>
      <c r="BI61" s="409" t="s">
        <v>722</v>
      </c>
      <c r="BJ61" s="409" t="s">
        <v>722</v>
      </c>
      <c r="BK61" s="409" t="s">
        <v>722</v>
      </c>
      <c r="BL61" s="409" t="s">
        <v>722</v>
      </c>
      <c r="BM61" s="409" t="s">
        <v>722</v>
      </c>
      <c r="BN61" s="409" t="s">
        <v>722</v>
      </c>
      <c r="BO61" s="409">
        <v>0</v>
      </c>
      <c r="BP61" s="409">
        <v>0</v>
      </c>
      <c r="BQ61" s="409">
        <v>0</v>
      </c>
      <c r="BR61" s="409">
        <v>0</v>
      </c>
      <c r="BS61" s="409">
        <v>0</v>
      </c>
      <c r="BT61" s="409">
        <v>0</v>
      </c>
      <c r="BU61" s="409">
        <v>0</v>
      </c>
      <c r="BV61" s="409">
        <v>0</v>
      </c>
      <c r="BW61" s="409">
        <v>0</v>
      </c>
      <c r="BX61" s="409">
        <v>0</v>
      </c>
      <c r="BY61" s="409">
        <v>0</v>
      </c>
      <c r="BZ61" s="409">
        <v>0</v>
      </c>
    </row>
    <row r="62" spans="1:78" ht="14.4" x14ac:dyDescent="0.3">
      <c r="A62" s="410">
        <v>4011494692</v>
      </c>
      <c r="B62" s="409" t="s">
        <v>123</v>
      </c>
      <c r="C62" s="409" t="s">
        <v>722</v>
      </c>
      <c r="D62" s="409" t="s">
        <v>722</v>
      </c>
      <c r="E62" s="409" t="s">
        <v>722</v>
      </c>
      <c r="F62" s="409" t="s">
        <v>722</v>
      </c>
      <c r="G62" s="409" t="s">
        <v>722</v>
      </c>
      <c r="H62" s="409" t="s">
        <v>722</v>
      </c>
      <c r="I62" s="409" t="s">
        <v>39</v>
      </c>
      <c r="J62" s="409" t="s">
        <v>722</v>
      </c>
      <c r="K62" s="409" t="s">
        <v>39</v>
      </c>
      <c r="L62" s="409" t="s">
        <v>722</v>
      </c>
      <c r="M62" s="409">
        <v>0</v>
      </c>
      <c r="N62" s="409" t="s">
        <v>722</v>
      </c>
      <c r="O62" s="409">
        <v>0</v>
      </c>
      <c r="P62" s="409" t="s">
        <v>722</v>
      </c>
      <c r="Q62" s="409">
        <v>0</v>
      </c>
      <c r="R62" s="409" t="s">
        <v>722</v>
      </c>
      <c r="S62" s="409" t="s">
        <v>722</v>
      </c>
      <c r="T62" s="409" t="s">
        <v>722</v>
      </c>
      <c r="U62" s="409" t="s">
        <v>722</v>
      </c>
      <c r="V62" s="409" t="s">
        <v>722</v>
      </c>
      <c r="W62" s="409" t="s">
        <v>39</v>
      </c>
      <c r="X62" s="409" t="s">
        <v>39</v>
      </c>
      <c r="Y62" s="409" t="s">
        <v>39</v>
      </c>
      <c r="Z62" s="409" t="s">
        <v>39</v>
      </c>
      <c r="AA62" s="409">
        <v>0</v>
      </c>
      <c r="AB62" s="409">
        <v>0</v>
      </c>
      <c r="AC62" s="409">
        <v>0</v>
      </c>
      <c r="AD62" s="409">
        <v>0</v>
      </c>
      <c r="AE62" s="409">
        <v>0</v>
      </c>
      <c r="AF62" s="409">
        <v>0</v>
      </c>
      <c r="AG62" s="409">
        <v>0</v>
      </c>
      <c r="AH62" s="409">
        <v>0</v>
      </c>
      <c r="AI62" s="409">
        <v>0</v>
      </c>
      <c r="AJ62" s="409">
        <v>0</v>
      </c>
      <c r="AK62" s="409">
        <v>0</v>
      </c>
      <c r="AL62" s="409">
        <v>0</v>
      </c>
      <c r="AM62" s="409">
        <v>1</v>
      </c>
      <c r="AN62" s="409" t="s">
        <v>29</v>
      </c>
      <c r="AO62" s="409" t="s">
        <v>722</v>
      </c>
      <c r="AP62" s="409">
        <v>0</v>
      </c>
      <c r="AQ62" s="409">
        <v>0</v>
      </c>
      <c r="AR62" s="409">
        <v>0</v>
      </c>
      <c r="AS62" s="409">
        <v>0</v>
      </c>
      <c r="AT62" s="409">
        <v>0</v>
      </c>
      <c r="AU62" s="409">
        <v>0</v>
      </c>
      <c r="AV62" s="409">
        <v>0</v>
      </c>
      <c r="AW62" s="409">
        <v>0</v>
      </c>
      <c r="AX62" s="409">
        <v>0</v>
      </c>
      <c r="AY62" s="409">
        <v>0</v>
      </c>
      <c r="AZ62" s="409">
        <v>0</v>
      </c>
      <c r="BA62" s="409">
        <v>0</v>
      </c>
      <c r="BB62" s="409" t="s">
        <v>722</v>
      </c>
      <c r="BC62" s="409" t="s">
        <v>722</v>
      </c>
      <c r="BD62" s="409" t="s">
        <v>722</v>
      </c>
      <c r="BE62" s="409" t="s">
        <v>62</v>
      </c>
      <c r="BF62" s="409" t="s">
        <v>722</v>
      </c>
      <c r="BG62" s="409" t="s">
        <v>722</v>
      </c>
      <c r="BH62" s="409" t="s">
        <v>722</v>
      </c>
      <c r="BI62" s="409" t="s">
        <v>722</v>
      </c>
      <c r="BJ62" s="409" t="s">
        <v>722</v>
      </c>
      <c r="BK62" s="409" t="s">
        <v>722</v>
      </c>
      <c r="BL62" s="409" t="s">
        <v>722</v>
      </c>
      <c r="BM62" s="409" t="s">
        <v>722</v>
      </c>
      <c r="BN62" s="409" t="s">
        <v>722</v>
      </c>
      <c r="BO62" s="409">
        <v>0</v>
      </c>
      <c r="BP62" s="409">
        <v>0</v>
      </c>
      <c r="BQ62" s="409">
        <v>0</v>
      </c>
      <c r="BR62" s="409">
        <v>0</v>
      </c>
      <c r="BS62" s="409">
        <v>0</v>
      </c>
      <c r="BT62" s="409">
        <v>0</v>
      </c>
      <c r="BU62" s="409">
        <v>0</v>
      </c>
      <c r="BV62" s="409">
        <v>0</v>
      </c>
      <c r="BW62" s="409">
        <v>0</v>
      </c>
      <c r="BX62" s="409" t="s">
        <v>5</v>
      </c>
      <c r="BY62" s="409" t="s">
        <v>5</v>
      </c>
      <c r="BZ62" s="409" t="s">
        <v>5</v>
      </c>
    </row>
    <row r="63" spans="1:78" ht="14.4" x14ac:dyDescent="0.3">
      <c r="A63" s="410">
        <v>4010770544</v>
      </c>
      <c r="B63" s="409" t="s">
        <v>137</v>
      </c>
      <c r="C63" s="409" t="s">
        <v>722</v>
      </c>
      <c r="D63" s="409" t="s">
        <v>722</v>
      </c>
      <c r="E63" s="409" t="s">
        <v>722</v>
      </c>
      <c r="F63" s="409" t="s">
        <v>722</v>
      </c>
      <c r="G63" s="409" t="s">
        <v>722</v>
      </c>
      <c r="H63" s="409" t="s">
        <v>722</v>
      </c>
      <c r="I63" s="409">
        <v>0</v>
      </c>
      <c r="J63" s="409" t="s">
        <v>722</v>
      </c>
      <c r="K63" s="409">
        <v>0</v>
      </c>
      <c r="L63" s="409" t="s">
        <v>722</v>
      </c>
      <c r="M63" s="409">
        <v>0</v>
      </c>
      <c r="N63" s="409" t="s">
        <v>722</v>
      </c>
      <c r="O63" s="409">
        <v>0</v>
      </c>
      <c r="P63" s="409" t="s">
        <v>722</v>
      </c>
      <c r="Q63" s="409">
        <v>0</v>
      </c>
      <c r="R63" s="409" t="s">
        <v>722</v>
      </c>
      <c r="S63" s="409" t="s">
        <v>722</v>
      </c>
      <c r="T63" s="409" t="s">
        <v>722</v>
      </c>
      <c r="U63" s="409" t="s">
        <v>722</v>
      </c>
      <c r="V63" s="409" t="s">
        <v>722</v>
      </c>
      <c r="W63" s="409">
        <v>0</v>
      </c>
      <c r="X63" s="409">
        <v>0</v>
      </c>
      <c r="Y63" s="409">
        <v>0</v>
      </c>
      <c r="Z63" s="409">
        <v>0</v>
      </c>
      <c r="AA63" s="409">
        <v>0</v>
      </c>
      <c r="AB63" s="409">
        <v>0</v>
      </c>
      <c r="AC63" s="409">
        <v>0</v>
      </c>
      <c r="AD63" s="409">
        <v>0</v>
      </c>
      <c r="AE63" s="409">
        <v>0</v>
      </c>
      <c r="AF63" s="409">
        <v>0</v>
      </c>
      <c r="AG63" s="409">
        <v>0</v>
      </c>
      <c r="AH63" s="409">
        <v>0</v>
      </c>
      <c r="AI63" s="409">
        <v>0</v>
      </c>
      <c r="AJ63" s="409">
        <v>0</v>
      </c>
      <c r="AK63" s="409">
        <v>0</v>
      </c>
      <c r="AL63" s="409">
        <v>0</v>
      </c>
      <c r="AM63" s="409">
        <v>0</v>
      </c>
      <c r="AN63" s="409">
        <v>0</v>
      </c>
      <c r="AO63" s="409" t="s">
        <v>722</v>
      </c>
      <c r="AP63" s="409">
        <v>0</v>
      </c>
      <c r="AQ63" s="409">
        <v>0</v>
      </c>
      <c r="AR63" s="409">
        <v>0</v>
      </c>
      <c r="AS63" s="409">
        <v>0</v>
      </c>
      <c r="AT63" s="409">
        <v>0</v>
      </c>
      <c r="AU63" s="409">
        <v>0</v>
      </c>
      <c r="AV63" s="409">
        <v>0</v>
      </c>
      <c r="AW63" s="409">
        <v>0</v>
      </c>
      <c r="AX63" s="409">
        <v>0</v>
      </c>
      <c r="AY63" s="409">
        <v>0</v>
      </c>
      <c r="AZ63" s="409">
        <v>0</v>
      </c>
      <c r="BA63" s="409">
        <v>0</v>
      </c>
      <c r="BB63" s="409" t="s">
        <v>722</v>
      </c>
      <c r="BC63" s="409" t="s">
        <v>722</v>
      </c>
      <c r="BD63" s="409" t="s">
        <v>722</v>
      </c>
      <c r="BE63" s="409">
        <v>0</v>
      </c>
      <c r="BF63" s="409" t="s">
        <v>722</v>
      </c>
      <c r="BG63" s="409" t="s">
        <v>722</v>
      </c>
      <c r="BH63" s="409" t="s">
        <v>722</v>
      </c>
      <c r="BI63" s="409" t="s">
        <v>722</v>
      </c>
      <c r="BJ63" s="409" t="s">
        <v>722</v>
      </c>
      <c r="BK63" s="409" t="s">
        <v>722</v>
      </c>
      <c r="BL63" s="409" t="s">
        <v>722</v>
      </c>
      <c r="BM63" s="409" t="s">
        <v>722</v>
      </c>
      <c r="BN63" s="409" t="s">
        <v>722</v>
      </c>
      <c r="BO63" s="409">
        <v>0</v>
      </c>
      <c r="BP63" s="409">
        <v>0</v>
      </c>
      <c r="BQ63" s="409">
        <v>0</v>
      </c>
      <c r="BR63" s="409">
        <v>0</v>
      </c>
      <c r="BS63" s="409">
        <v>0</v>
      </c>
      <c r="BT63" s="409">
        <v>0</v>
      </c>
      <c r="BU63" s="409">
        <v>0</v>
      </c>
      <c r="BV63" s="409">
        <v>0</v>
      </c>
      <c r="BW63" s="409">
        <v>0</v>
      </c>
      <c r="BX63" s="409">
        <v>0</v>
      </c>
      <c r="BY63" s="409">
        <v>0</v>
      </c>
      <c r="BZ63" s="409">
        <v>0</v>
      </c>
    </row>
    <row r="64" spans="1:78" ht="14.4" x14ac:dyDescent="0.3">
      <c r="A64" s="410">
        <v>4004081384</v>
      </c>
      <c r="B64" s="409" t="s">
        <v>137</v>
      </c>
      <c r="C64" s="409" t="s">
        <v>722</v>
      </c>
      <c r="D64" s="409" t="s">
        <v>722</v>
      </c>
      <c r="E64" s="409" t="s">
        <v>722</v>
      </c>
      <c r="F64" s="409" t="s">
        <v>722</v>
      </c>
      <c r="G64" s="409" t="s">
        <v>722</v>
      </c>
      <c r="H64" s="409" t="s">
        <v>722</v>
      </c>
      <c r="I64" s="409">
        <v>0</v>
      </c>
      <c r="J64" s="409" t="s">
        <v>722</v>
      </c>
      <c r="K64" s="409">
        <v>0</v>
      </c>
      <c r="L64" s="409" t="s">
        <v>722</v>
      </c>
      <c r="M64" s="409">
        <v>0</v>
      </c>
      <c r="N64" s="409" t="s">
        <v>722</v>
      </c>
      <c r="O64" s="409">
        <v>0</v>
      </c>
      <c r="P64" s="409" t="s">
        <v>722</v>
      </c>
      <c r="Q64" s="409">
        <v>0</v>
      </c>
      <c r="R64" s="409" t="s">
        <v>722</v>
      </c>
      <c r="S64" s="409" t="s">
        <v>722</v>
      </c>
      <c r="T64" s="409" t="s">
        <v>722</v>
      </c>
      <c r="U64" s="409" t="s">
        <v>722</v>
      </c>
      <c r="V64" s="409" t="s">
        <v>722</v>
      </c>
      <c r="W64" s="409">
        <v>0</v>
      </c>
      <c r="X64" s="409">
        <v>0</v>
      </c>
      <c r="Y64" s="409">
        <v>0</v>
      </c>
      <c r="Z64" s="409">
        <v>0</v>
      </c>
      <c r="AA64" s="409">
        <v>0</v>
      </c>
      <c r="AB64" s="409">
        <v>0</v>
      </c>
      <c r="AC64" s="409">
        <v>0</v>
      </c>
      <c r="AD64" s="409">
        <v>0</v>
      </c>
      <c r="AE64" s="409">
        <v>0</v>
      </c>
      <c r="AF64" s="409">
        <v>0</v>
      </c>
      <c r="AG64" s="409">
        <v>0</v>
      </c>
      <c r="AH64" s="409">
        <v>0</v>
      </c>
      <c r="AI64" s="409">
        <v>0</v>
      </c>
      <c r="AJ64" s="409">
        <v>0</v>
      </c>
      <c r="AK64" s="409">
        <v>0</v>
      </c>
      <c r="AL64" s="409">
        <v>0</v>
      </c>
      <c r="AM64" s="409">
        <v>0</v>
      </c>
      <c r="AN64" s="409">
        <v>0</v>
      </c>
      <c r="AO64" s="409" t="s">
        <v>722</v>
      </c>
      <c r="AP64" s="409">
        <v>0</v>
      </c>
      <c r="AQ64" s="409">
        <v>0</v>
      </c>
      <c r="AR64" s="409">
        <v>0</v>
      </c>
      <c r="AS64" s="409">
        <v>0</v>
      </c>
      <c r="AT64" s="409">
        <v>0</v>
      </c>
      <c r="AU64" s="409">
        <v>0</v>
      </c>
      <c r="AV64" s="409">
        <v>0</v>
      </c>
      <c r="AW64" s="409">
        <v>0</v>
      </c>
      <c r="AX64" s="409">
        <v>0</v>
      </c>
      <c r="AY64" s="409">
        <v>0</v>
      </c>
      <c r="AZ64" s="409">
        <v>0</v>
      </c>
      <c r="BA64" s="409">
        <v>0</v>
      </c>
      <c r="BB64" s="409" t="s">
        <v>722</v>
      </c>
      <c r="BC64" s="409" t="s">
        <v>722</v>
      </c>
      <c r="BD64" s="409" t="s">
        <v>722</v>
      </c>
      <c r="BE64" s="409">
        <v>0</v>
      </c>
      <c r="BF64" s="409" t="s">
        <v>722</v>
      </c>
      <c r="BG64" s="409" t="s">
        <v>722</v>
      </c>
      <c r="BH64" s="409" t="s">
        <v>722</v>
      </c>
      <c r="BI64" s="409" t="s">
        <v>722</v>
      </c>
      <c r="BJ64" s="409" t="s">
        <v>722</v>
      </c>
      <c r="BK64" s="409" t="s">
        <v>722</v>
      </c>
      <c r="BL64" s="409" t="s">
        <v>722</v>
      </c>
      <c r="BM64" s="409" t="s">
        <v>722</v>
      </c>
      <c r="BN64" s="409" t="s">
        <v>722</v>
      </c>
      <c r="BO64" s="409">
        <v>0</v>
      </c>
      <c r="BP64" s="409">
        <v>0</v>
      </c>
      <c r="BQ64" s="409">
        <v>0</v>
      </c>
      <c r="BR64" s="409" t="s">
        <v>5</v>
      </c>
      <c r="BS64" s="409" t="s">
        <v>5</v>
      </c>
      <c r="BT64" s="409" t="s">
        <v>5</v>
      </c>
      <c r="BU64" s="409">
        <v>0</v>
      </c>
      <c r="BV64" s="409">
        <v>0</v>
      </c>
      <c r="BW64" s="409">
        <v>0</v>
      </c>
      <c r="BX64" s="409">
        <v>0</v>
      </c>
      <c r="BY64" s="409">
        <v>0</v>
      </c>
      <c r="BZ64" s="409">
        <v>0</v>
      </c>
    </row>
  </sheetData>
  <autoFilter ref="A8:BZ64"/>
  <mergeCells count="16">
    <mergeCell ref="BE2:BF2"/>
    <mergeCell ref="BG2:BN2"/>
    <mergeCell ref="I3:J3"/>
    <mergeCell ref="K3:R3"/>
    <mergeCell ref="T3:V3"/>
    <mergeCell ref="W3:Z3"/>
    <mergeCell ref="AA3:AO3"/>
    <mergeCell ref="AP3:BB3"/>
    <mergeCell ref="BE3:BF3"/>
    <mergeCell ref="BG3:BN3"/>
    <mergeCell ref="I2:J2"/>
    <mergeCell ref="K2:R2"/>
    <mergeCell ref="T2:V2"/>
    <mergeCell ref="W2:Z2"/>
    <mergeCell ref="AA2:AO2"/>
    <mergeCell ref="AP2:BB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249977111117893"/>
  </sheetPr>
  <dimension ref="A3:K66"/>
  <sheetViews>
    <sheetView topLeftCell="A19" zoomScale="70" zoomScaleNormal="70" workbookViewId="0">
      <selection activeCell="AT9" sqref="AT9"/>
    </sheetView>
  </sheetViews>
  <sheetFormatPr defaultRowHeight="13.8" x14ac:dyDescent="0.25"/>
  <cols>
    <col min="3" max="3" width="32" customWidth="1"/>
    <col min="4" max="4" width="16.8984375" bestFit="1" customWidth="1"/>
    <col min="6" max="6" width="26.69921875" bestFit="1" customWidth="1"/>
  </cols>
  <sheetData>
    <row r="3" spans="1:11" x14ac:dyDescent="0.25">
      <c r="A3" t="s">
        <v>162</v>
      </c>
      <c r="F3" t="s">
        <v>167</v>
      </c>
      <c r="J3" s="11" t="s">
        <v>134</v>
      </c>
      <c r="K3" s="10"/>
    </row>
    <row r="4" spans="1:11" x14ac:dyDescent="0.25">
      <c r="B4" s="5">
        <v>1</v>
      </c>
      <c r="C4" s="5" t="s">
        <v>55</v>
      </c>
      <c r="D4">
        <v>2</v>
      </c>
      <c r="F4" s="5" t="s">
        <v>144</v>
      </c>
      <c r="G4" s="5">
        <v>3</v>
      </c>
      <c r="J4" s="11"/>
      <c r="K4" s="10"/>
    </row>
    <row r="5" spans="1:11" ht="14.4" x14ac:dyDescent="0.3">
      <c r="B5" s="5">
        <v>2</v>
      </c>
      <c r="C5" s="5" t="s">
        <v>144</v>
      </c>
      <c r="D5">
        <v>3</v>
      </c>
      <c r="F5" s="5" t="s">
        <v>55</v>
      </c>
      <c r="G5" s="5">
        <v>2</v>
      </c>
      <c r="J5" s="10" t="s">
        <v>123</v>
      </c>
      <c r="K5" s="9" t="s">
        <v>133</v>
      </c>
    </row>
    <row r="6" spans="1:11" ht="14.4" x14ac:dyDescent="0.3">
      <c r="B6" s="5">
        <v>3</v>
      </c>
      <c r="C6" s="5" t="s">
        <v>53</v>
      </c>
      <c r="D6">
        <v>1</v>
      </c>
      <c r="F6" s="5" t="s">
        <v>53</v>
      </c>
      <c r="G6" s="5">
        <v>1</v>
      </c>
      <c r="J6" s="10" t="s">
        <v>135</v>
      </c>
      <c r="K6" s="9" t="s">
        <v>132</v>
      </c>
    </row>
    <row r="7" spans="1:11" ht="14.4" x14ac:dyDescent="0.3">
      <c r="J7" s="10" t="s">
        <v>136</v>
      </c>
      <c r="K7" s="9" t="s">
        <v>131</v>
      </c>
    </row>
    <row r="8" spans="1:11" ht="14.4" x14ac:dyDescent="0.3">
      <c r="A8" t="s">
        <v>161</v>
      </c>
      <c r="F8" t="s">
        <v>166</v>
      </c>
      <c r="J8" s="10" t="s">
        <v>137</v>
      </c>
      <c r="K8" s="271" t="s">
        <v>563</v>
      </c>
    </row>
    <row r="9" spans="1:11" ht="14.4" x14ac:dyDescent="0.3">
      <c r="C9" s="5">
        <v>1</v>
      </c>
      <c r="F9" s="5">
        <v>3</v>
      </c>
      <c r="G9" s="5">
        <v>2</v>
      </c>
      <c r="H9" s="5">
        <v>1</v>
      </c>
      <c r="J9" s="10" t="s">
        <v>116</v>
      </c>
      <c r="K9" s="9" t="s">
        <v>130</v>
      </c>
    </row>
    <row r="10" spans="1:11" ht="14.4" x14ac:dyDescent="0.3">
      <c r="C10" s="5">
        <v>2</v>
      </c>
      <c r="J10" s="10" t="s">
        <v>138</v>
      </c>
      <c r="K10" s="9" t="s">
        <v>129</v>
      </c>
    </row>
    <row r="11" spans="1:11" x14ac:dyDescent="0.25">
      <c r="C11" s="5">
        <v>3</v>
      </c>
    </row>
    <row r="14" spans="1:11" x14ac:dyDescent="0.25">
      <c r="A14" t="s">
        <v>564</v>
      </c>
      <c r="F14" s="259" t="s">
        <v>555</v>
      </c>
    </row>
    <row r="15" spans="1:11" x14ac:dyDescent="0.25">
      <c r="B15" s="5">
        <v>1</v>
      </c>
      <c r="C15" s="3" t="s">
        <v>34</v>
      </c>
      <c r="F15" s="5" t="s">
        <v>556</v>
      </c>
      <c r="G15" s="5">
        <v>3</v>
      </c>
    </row>
    <row r="16" spans="1:11" x14ac:dyDescent="0.25">
      <c r="B16" s="5">
        <v>2</v>
      </c>
      <c r="C16" s="3" t="s">
        <v>35</v>
      </c>
      <c r="F16" s="5" t="s">
        <v>557</v>
      </c>
      <c r="G16" s="5">
        <v>2.5</v>
      </c>
    </row>
    <row r="17" spans="1:11" x14ac:dyDescent="0.25">
      <c r="B17" s="5">
        <v>3</v>
      </c>
      <c r="C17" t="s">
        <v>40</v>
      </c>
      <c r="F17" s="5" t="s">
        <v>558</v>
      </c>
      <c r="G17" s="5">
        <v>1.5</v>
      </c>
    </row>
    <row r="18" spans="1:11" x14ac:dyDescent="0.25">
      <c r="B18" s="5">
        <v>4</v>
      </c>
      <c r="C18" s="3" t="s">
        <v>36</v>
      </c>
    </row>
    <row r="19" spans="1:11" x14ac:dyDescent="0.25">
      <c r="B19" s="5">
        <v>5</v>
      </c>
      <c r="C19" s="3" t="s">
        <v>38</v>
      </c>
    </row>
    <row r="20" spans="1:11" x14ac:dyDescent="0.25">
      <c r="B20" s="208">
        <v>6</v>
      </c>
      <c r="C20" t="s">
        <v>43</v>
      </c>
    </row>
    <row r="21" spans="1:11" x14ac:dyDescent="0.25">
      <c r="B21" s="5">
        <v>7</v>
      </c>
      <c r="C21" s="3" t="s">
        <v>37</v>
      </c>
    </row>
    <row r="22" spans="1:11" x14ac:dyDescent="0.25">
      <c r="C22" s="12" t="s">
        <v>163</v>
      </c>
    </row>
    <row r="24" spans="1:11" x14ac:dyDescent="0.25">
      <c r="A24" t="s">
        <v>565</v>
      </c>
      <c r="F24" t="s">
        <v>165</v>
      </c>
    </row>
    <row r="26" spans="1:11" x14ac:dyDescent="0.25">
      <c r="B26" s="5">
        <v>1</v>
      </c>
      <c r="C26" s="3" t="s">
        <v>5</v>
      </c>
      <c r="F26" s="5" t="s">
        <v>5</v>
      </c>
      <c r="G26" s="5" t="s">
        <v>4</v>
      </c>
      <c r="H26" s="5" t="s">
        <v>33</v>
      </c>
      <c r="I26" s="5" t="s">
        <v>29</v>
      </c>
      <c r="J26" s="5" t="s">
        <v>3</v>
      </c>
      <c r="K26" s="5" t="s">
        <v>54</v>
      </c>
    </row>
    <row r="27" spans="1:11" x14ac:dyDescent="0.25">
      <c r="B27" s="5">
        <v>2</v>
      </c>
      <c r="C27" s="3" t="s">
        <v>4</v>
      </c>
      <c r="F27" s="5">
        <v>1</v>
      </c>
      <c r="G27" s="5">
        <v>2</v>
      </c>
      <c r="H27" s="5">
        <v>3</v>
      </c>
      <c r="I27" s="5">
        <v>4</v>
      </c>
      <c r="J27" s="5">
        <v>5</v>
      </c>
      <c r="K27" s="5">
        <v>6</v>
      </c>
    </row>
    <row r="28" spans="1:11" x14ac:dyDescent="0.25">
      <c r="B28" s="5">
        <v>3</v>
      </c>
      <c r="C28" s="3" t="s">
        <v>33</v>
      </c>
    </row>
    <row r="29" spans="1:11" x14ac:dyDescent="0.25">
      <c r="B29" s="5">
        <v>4</v>
      </c>
      <c r="C29" s="3" t="s">
        <v>29</v>
      </c>
    </row>
    <row r="30" spans="1:11" x14ac:dyDescent="0.25">
      <c r="B30" s="5">
        <v>5</v>
      </c>
      <c r="C30" s="3" t="s">
        <v>3</v>
      </c>
    </row>
    <row r="31" spans="1:11" x14ac:dyDescent="0.25">
      <c r="B31" s="5">
        <v>6</v>
      </c>
      <c r="C31" s="3" t="s">
        <v>54</v>
      </c>
    </row>
    <row r="32" spans="1:11" x14ac:dyDescent="0.25">
      <c r="B32" s="5">
        <v>7</v>
      </c>
      <c r="C32" s="3" t="s">
        <v>39</v>
      </c>
    </row>
    <row r="33" spans="1:7" x14ac:dyDescent="0.25">
      <c r="B33" s="1"/>
      <c r="C33" s="6"/>
    </row>
    <row r="34" spans="1:7" x14ac:dyDescent="0.25">
      <c r="A34" t="s">
        <v>566</v>
      </c>
    </row>
    <row r="36" spans="1:7" x14ac:dyDescent="0.25">
      <c r="B36" s="5">
        <v>1</v>
      </c>
      <c r="C36" s="4" t="s">
        <v>9</v>
      </c>
      <c r="F36" t="s">
        <v>678</v>
      </c>
      <c r="G36" s="288" t="s">
        <v>679</v>
      </c>
    </row>
    <row r="37" spans="1:7" x14ac:dyDescent="0.25">
      <c r="B37" s="5">
        <v>2</v>
      </c>
      <c r="C37" s="3" t="s">
        <v>10</v>
      </c>
      <c r="F37" t="s">
        <v>680</v>
      </c>
      <c r="G37" s="288" t="s">
        <v>681</v>
      </c>
    </row>
    <row r="38" spans="1:7" x14ac:dyDescent="0.25">
      <c r="B38" s="5">
        <v>3</v>
      </c>
      <c r="C38" s="3" t="s">
        <v>11</v>
      </c>
    </row>
    <row r="39" spans="1:7" x14ac:dyDescent="0.25">
      <c r="B39" s="5">
        <v>4</v>
      </c>
      <c r="C39" s="3" t="s">
        <v>15</v>
      </c>
      <c r="F39" t="s">
        <v>699</v>
      </c>
      <c r="G39" t="s">
        <v>702</v>
      </c>
    </row>
    <row r="40" spans="1:7" x14ac:dyDescent="0.25">
      <c r="B40" s="5">
        <v>5</v>
      </c>
      <c r="C40" s="3" t="s">
        <v>12</v>
      </c>
      <c r="F40" t="s">
        <v>700</v>
      </c>
      <c r="G40" t="s">
        <v>700</v>
      </c>
    </row>
    <row r="41" spans="1:7" x14ac:dyDescent="0.25">
      <c r="B41" s="5">
        <v>6</v>
      </c>
      <c r="C41" s="3" t="s">
        <v>13</v>
      </c>
    </row>
    <row r="43" spans="1:7" x14ac:dyDescent="0.25">
      <c r="A43" t="s">
        <v>567</v>
      </c>
    </row>
    <row r="45" spans="1:7" x14ac:dyDescent="0.25">
      <c r="B45" s="5">
        <v>1</v>
      </c>
      <c r="C45" s="4" t="s">
        <v>16</v>
      </c>
    </row>
    <row r="46" spans="1:7" x14ac:dyDescent="0.25">
      <c r="B46" s="5">
        <v>2</v>
      </c>
      <c r="C46" s="4" t="s">
        <v>17</v>
      </c>
    </row>
    <row r="47" spans="1:7" x14ac:dyDescent="0.25">
      <c r="B47" s="5">
        <v>3</v>
      </c>
      <c r="C47" s="4" t="s">
        <v>18</v>
      </c>
    </row>
    <row r="48" spans="1:7" x14ac:dyDescent="0.25">
      <c r="B48" s="5">
        <v>4</v>
      </c>
      <c r="C48" s="4" t="s">
        <v>19</v>
      </c>
    </row>
    <row r="49" spans="1:4" x14ac:dyDescent="0.25">
      <c r="B49" s="5">
        <v>5</v>
      </c>
      <c r="C49" s="4" t="s">
        <v>20</v>
      </c>
    </row>
    <row r="50" spans="1:4" x14ac:dyDescent="0.25">
      <c r="B50" s="5">
        <v>6</v>
      </c>
      <c r="C50" s="4"/>
    </row>
    <row r="53" spans="1:4" ht="14.4" x14ac:dyDescent="0.3">
      <c r="A53" s="153" t="s">
        <v>361</v>
      </c>
    </row>
    <row r="54" spans="1:4" ht="14.4" x14ac:dyDescent="0.3">
      <c r="A54" s="153" t="s">
        <v>26</v>
      </c>
    </row>
    <row r="55" spans="1:4" ht="14.4" x14ac:dyDescent="0.3">
      <c r="A55" s="153" t="s">
        <v>21</v>
      </c>
    </row>
    <row r="56" spans="1:4" ht="14.4" x14ac:dyDescent="0.3">
      <c r="A56" s="153" t="s">
        <v>25</v>
      </c>
    </row>
    <row r="58" spans="1:4" ht="14.4" x14ac:dyDescent="0.3">
      <c r="A58" s="308" t="s">
        <v>693</v>
      </c>
    </row>
    <row r="59" spans="1:4" x14ac:dyDescent="0.25">
      <c r="B59" s="309" t="s">
        <v>694</v>
      </c>
      <c r="C59" s="309" t="s">
        <v>695</v>
      </c>
      <c r="D59" s="309" t="s">
        <v>696</v>
      </c>
    </row>
    <row r="60" spans="1:4" x14ac:dyDescent="0.25">
      <c r="B60" s="310"/>
      <c r="C60" s="311">
        <f>MAX(C61:C66)</f>
        <v>0</v>
      </c>
      <c r="D60" s="312" t="s">
        <v>697</v>
      </c>
    </row>
    <row r="61" spans="1:4" x14ac:dyDescent="0.25">
      <c r="B61" s="5">
        <v>0</v>
      </c>
      <c r="C61" s="313">
        <f t="shared" ref="C61:C66" si="0">IFERROR(LEN(MID(B61,SEARCH(".",B61)+1,100)),0)</f>
        <v>0</v>
      </c>
      <c r="D61" s="313" t="s">
        <v>5</v>
      </c>
    </row>
    <row r="62" spans="1:4" x14ac:dyDescent="0.25">
      <c r="B62" s="5">
        <v>1</v>
      </c>
      <c r="C62" s="5">
        <f t="shared" si="0"/>
        <v>0</v>
      </c>
      <c r="D62" s="5" t="s">
        <v>4</v>
      </c>
    </row>
    <row r="63" spans="1:4" x14ac:dyDescent="0.25">
      <c r="B63" s="5">
        <v>2</v>
      </c>
      <c r="C63" s="5">
        <f t="shared" si="0"/>
        <v>0</v>
      </c>
      <c r="D63" s="5" t="s">
        <v>33</v>
      </c>
    </row>
    <row r="64" spans="1:4" x14ac:dyDescent="0.25">
      <c r="B64" s="5">
        <v>3</v>
      </c>
      <c r="C64" s="5">
        <f t="shared" si="0"/>
        <v>0</v>
      </c>
      <c r="D64" s="5" t="s">
        <v>29</v>
      </c>
    </row>
    <row r="65" spans="2:4" x14ac:dyDescent="0.25">
      <c r="B65" s="5">
        <v>4</v>
      </c>
      <c r="C65" s="5">
        <f t="shared" si="0"/>
        <v>0</v>
      </c>
      <c r="D65" s="5" t="s">
        <v>3</v>
      </c>
    </row>
    <row r="66" spans="2:4" x14ac:dyDescent="0.25">
      <c r="B66" s="5">
        <v>5</v>
      </c>
      <c r="C66" s="5">
        <f t="shared" si="0"/>
        <v>0</v>
      </c>
      <c r="D66" s="5" t="s">
        <v>54</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tint="-0.249977111117893"/>
  </sheetPr>
  <dimension ref="A1:C5"/>
  <sheetViews>
    <sheetView zoomScale="70" zoomScaleNormal="70" workbookViewId="0">
      <selection activeCell="AT9" sqref="AT9"/>
    </sheetView>
  </sheetViews>
  <sheetFormatPr defaultRowHeight="13.8" x14ac:dyDescent="0.25"/>
  <cols>
    <col min="2" max="2" width="153.59765625" customWidth="1"/>
  </cols>
  <sheetData>
    <row r="1" spans="1:3" ht="15" customHeight="1" x14ac:dyDescent="0.25">
      <c r="A1" s="178">
        <v>26</v>
      </c>
      <c r="B1" s="178" t="s">
        <v>446</v>
      </c>
      <c r="C1" s="177"/>
    </row>
    <row r="2" spans="1:3" ht="15" customHeight="1" x14ac:dyDescent="0.25">
      <c r="A2" s="178" t="s">
        <v>378</v>
      </c>
      <c r="B2" s="178" t="s">
        <v>568</v>
      </c>
      <c r="C2" s="177"/>
    </row>
    <row r="3" spans="1:3" ht="15" customHeight="1" x14ac:dyDescent="0.25">
      <c r="A3" s="178" t="s">
        <v>379</v>
      </c>
      <c r="B3" s="178" t="s">
        <v>569</v>
      </c>
      <c r="C3" s="177"/>
    </row>
    <row r="4" spans="1:3" ht="15" customHeight="1" x14ac:dyDescent="0.25">
      <c r="A4" s="178" t="s">
        <v>380</v>
      </c>
      <c r="B4" s="178" t="s">
        <v>570</v>
      </c>
      <c r="C4" s="177"/>
    </row>
    <row r="5" spans="1:3" ht="15" customHeight="1" x14ac:dyDescent="0.25">
      <c r="A5" s="178" t="s">
        <v>381</v>
      </c>
      <c r="B5" s="178" t="s">
        <v>571</v>
      </c>
      <c r="C5" s="17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B12"/>
  <sheetViews>
    <sheetView zoomScale="75" zoomScaleNormal="75" workbookViewId="0"/>
  </sheetViews>
  <sheetFormatPr defaultColWidth="9" defaultRowHeight="13.8" x14ac:dyDescent="0.25"/>
  <cols>
    <col min="2" max="2" width="94.59765625" style="300" customWidth="1"/>
  </cols>
  <sheetData>
    <row r="1" spans="1:2" ht="15" customHeight="1" x14ac:dyDescent="0.25">
      <c r="A1" s="197" t="s">
        <v>643</v>
      </c>
      <c r="B1" s="291"/>
    </row>
    <row r="3" spans="1:2" ht="60" customHeight="1" x14ac:dyDescent="0.25">
      <c r="A3" s="240" t="s">
        <v>0</v>
      </c>
      <c r="B3" s="240" t="s">
        <v>573</v>
      </c>
    </row>
    <row r="4" spans="1:2" ht="68.400000000000006" x14ac:dyDescent="0.25">
      <c r="A4" s="198">
        <v>26</v>
      </c>
      <c r="B4" s="276" t="str">
        <f ca="1">INDIRECT("'S"&amp;$A4&amp;" overview'!"&amp;"$E$10")</f>
        <v xml:space="preserve">Respondents to the questionnaire said that this scenario is either definitely not occurring or sometimes occurring now. They qualified this by saying that ‘sometimes’ means rarely or occasionally, so the overall rank could be regarded as ‘rarely’.  Respondents thought it is very unlikely in the future The main reason for the opinion that this is unlikely in the future is that the financial return on pellets is insufficient to drive this change and would not compete with the return on planted pine for saw timber. The literature does not provide any evidence to contradict this. The counterfactual was not considered accurate in most locations in Southeastern USA. 
Conversion of agricultural land is not modelled in SRTS. </v>
      </c>
    </row>
    <row r="5" spans="1:2" ht="136.80000000000001" x14ac:dyDescent="0.25">
      <c r="A5" s="198" t="s">
        <v>378</v>
      </c>
      <c r="B5" s="276" t="str">
        <f t="shared" ref="B5:B8" ca="1" si="0">INDIRECT("'S"&amp;$A5&amp;" overview'!"&amp;"$E$10")</f>
        <v>Responses to the questionnaire indicated this scenario is sometimes occurring now but no consensus on the future (views were widespread). The lack of consensus in the questionnaire reflected a lack of consensus on the meaning of the term unmanaged forest. This was defined as “forest that has no management plan”. The responses to the questionnaire and the literature indicate that there are two types of forest that may be affected by this scenario: a) forests that are legally protected from harvest, via conservation easements or wetland or wilderness designation or similar, and b) forests that are owned by family forestland owners because they like owning forestland (for aesthetic or other purposes).  Neither category is being harvested now, but category a) are legally protected and will not be harvested under any circumstances, while category b) are the forests that might come into production if the price increases enough (see report Chapter 4). The counterfactual is thought to be an accurate description sometimes, but there were difficulties in agreeing with it because management will depend on forest owner objectives. There was little information on bringing private small scale forest back into management in the literature but surveys of small scale owners confirm the results to the questionnaire (in fact a number of respondents quoted this source as well). From the responses to the questionnaire there is a possibility that saw timber demand would drive harvest (management) of these forests but there is no evidence that pellet demand would. There was no evidence from SRTS modelling on this scenario.</v>
      </c>
    </row>
    <row r="6" spans="1:2" ht="79.8" x14ac:dyDescent="0.25">
      <c r="A6" s="198" t="s">
        <v>379</v>
      </c>
      <c r="B6" s="276" t="str">
        <f t="shared" ca="1" si="0"/>
        <v>Responses to the questionnaire indicated no consensus now and that this scenario is very unlikely in the future. 
The no consensus view is influenced by the small number of responses and the high proportion of 'I don't know' responses to the questionnaire. The literature indicates that these scenarios are definitely not occurring now. It is unlikely that unmanaged forest would be brought back into production as a result of pellet demand because the Annual Allowable Cut is not achieved in many regions in Canada (see report Chapter 5). It is more likely that this would be exploited before management of unmanaged forests is considered. The counterfactual is considered by respondents to be an accurate description sometimes; the majority of unmanaged forest is remote and with little infrastructure in Canada.</v>
      </c>
    </row>
    <row r="7" spans="1:2" ht="79.8" x14ac:dyDescent="0.25">
      <c r="A7" s="198" t="s">
        <v>380</v>
      </c>
      <c r="B7" s="276" t="str">
        <f t="shared" ca="1" si="0"/>
        <v>Responses to the questionnaire indicated no consensus now and that this scenario is very unlikely in the future. 
The no consensus view is influenced by the small number of responses and the high proportion of 'I don't know' responses to the questionnaire. The literature indicates that these scenarios are definitely not occurring now. It is unlikely that unmanaged forest would be brought back into production as a result of pellet demand because the Annual Allowable Cut is not achieved in many regions in Canada (see report Chapter 5). It is more likely that this would be exploited before management of unmanaged forests is considered. The counterfactual is considered by respondents to be an accurate description sometimes; the majority of unmanaged forest is remote and with little infrastructure in Canada.</v>
      </c>
    </row>
    <row r="8" spans="1:2" ht="57" x14ac:dyDescent="0.25">
      <c r="A8" s="198" t="s">
        <v>381</v>
      </c>
      <c r="B8" s="276" t="str">
        <f t="shared" ca="1" si="0"/>
        <v>Responses to the questionnaire indicated that this scenario definitely does not occur now and is very unlikely in the future. The literature indicates that this scenario is definitely not occurring now (see Chapter 5 in report). It is unlikely that unmanaged forest would be brought back into production as a result of pellet demand because the Annual Allowable Cut is not achieved in many regions in Canada. It is more likely that this would be exploited before management of unmanaged forests is considered. The counterfactual is an accurate description sometimes; the majority of unmanaged forest is remote and with little infrastructure in Canada.</v>
      </c>
    </row>
    <row r="10" spans="1:2" ht="14.4" thickBot="1" x14ac:dyDescent="0.3"/>
    <row r="11" spans="1:2" x14ac:dyDescent="0.25">
      <c r="B11" s="404" t="s">
        <v>770</v>
      </c>
    </row>
    <row r="12" spans="1:2" ht="14.4" thickBot="1" x14ac:dyDescent="0.3">
      <c r="A12" s="174"/>
      <c r="B12" s="405" t="s">
        <v>539</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249977111117893"/>
    <pageSetUpPr fitToPage="1"/>
  </sheetPr>
  <dimension ref="A2:AP7"/>
  <sheetViews>
    <sheetView zoomScale="70" zoomScaleNormal="70" workbookViewId="0">
      <pane xSplit="1" ySplit="2" topLeftCell="B3" activePane="bottomRight" state="frozen"/>
      <selection activeCell="AT9" sqref="AT9"/>
      <selection pane="topRight" activeCell="AT9" sqref="AT9"/>
      <selection pane="bottomLeft" activeCell="AT9" sqref="AT9"/>
      <selection pane="bottomRight" activeCell="AT9" sqref="AT9"/>
    </sheetView>
  </sheetViews>
  <sheetFormatPr defaultColWidth="9" defaultRowHeight="14.4" x14ac:dyDescent="0.3"/>
  <cols>
    <col min="1" max="1" width="20.19921875" style="334" customWidth="1"/>
    <col min="2" max="2" width="20.19921875" style="336" customWidth="1"/>
    <col min="3" max="3" width="21.3984375" style="334" customWidth="1"/>
    <col min="4" max="4" width="20.09765625" style="334" customWidth="1"/>
    <col min="5" max="5" width="24.19921875" style="334" customWidth="1"/>
    <col min="6" max="8" width="21.8984375" style="335" customWidth="1"/>
    <col min="9" max="42" width="20" style="334" customWidth="1"/>
    <col min="43" max="16384" width="9" style="334"/>
  </cols>
  <sheetData>
    <row r="2" spans="1:42" ht="100.8" x14ac:dyDescent="0.3">
      <c r="A2" s="337" t="s">
        <v>0</v>
      </c>
      <c r="B2" s="340" t="s">
        <v>739</v>
      </c>
      <c r="C2" s="338" t="s">
        <v>293</v>
      </c>
      <c r="D2" s="338" t="s">
        <v>401</v>
      </c>
      <c r="E2" s="343" t="s">
        <v>402</v>
      </c>
      <c r="F2" s="342" t="s">
        <v>403</v>
      </c>
      <c r="G2" s="342" t="s">
        <v>404</v>
      </c>
      <c r="H2" s="342" t="s">
        <v>405</v>
      </c>
      <c r="I2" s="557" t="s">
        <v>406</v>
      </c>
      <c r="J2" s="558"/>
      <c r="K2" s="558"/>
      <c r="L2" s="558"/>
      <c r="M2" s="558"/>
      <c r="N2" s="558"/>
      <c r="O2" s="558"/>
      <c r="P2" s="559"/>
      <c r="Q2" s="560" t="s">
        <v>407</v>
      </c>
      <c r="R2" s="561"/>
      <c r="S2" s="561"/>
      <c r="T2" s="561"/>
      <c r="U2" s="561"/>
      <c r="V2" s="561"/>
      <c r="W2" s="561"/>
      <c r="X2" s="562"/>
      <c r="Y2" s="560" t="s">
        <v>408</v>
      </c>
      <c r="Z2" s="561"/>
      <c r="AA2" s="561"/>
      <c r="AB2" s="561"/>
      <c r="AC2" s="561"/>
      <c r="AD2" s="561"/>
      <c r="AE2" s="561"/>
      <c r="AF2" s="561"/>
      <c r="AG2" s="562"/>
      <c r="AH2" s="560" t="s">
        <v>409</v>
      </c>
      <c r="AI2" s="561"/>
      <c r="AJ2" s="561"/>
      <c r="AK2" s="561"/>
      <c r="AL2" s="561"/>
      <c r="AM2" s="561"/>
      <c r="AN2" s="561"/>
      <c r="AO2" s="561"/>
      <c r="AP2" s="562"/>
    </row>
    <row r="3" spans="1:42" x14ac:dyDescent="0.3">
      <c r="A3" s="341" t="s">
        <v>346</v>
      </c>
      <c r="B3" s="340" t="s">
        <v>410</v>
      </c>
      <c r="C3" s="337" t="s">
        <v>411</v>
      </c>
      <c r="D3" s="337" t="s">
        <v>413</v>
      </c>
      <c r="E3" s="337" t="s">
        <v>417</v>
      </c>
      <c r="F3" s="339" t="s">
        <v>418</v>
      </c>
      <c r="G3" s="339" t="s">
        <v>419</v>
      </c>
      <c r="H3" s="339" t="s">
        <v>420</v>
      </c>
      <c r="I3" s="338" t="s">
        <v>421</v>
      </c>
      <c r="J3" s="338" t="s">
        <v>422</v>
      </c>
      <c r="K3" s="338" t="s">
        <v>423</v>
      </c>
      <c r="L3" s="338" t="s">
        <v>424</v>
      </c>
      <c r="M3" s="338" t="s">
        <v>425</v>
      </c>
      <c r="N3" s="338" t="s">
        <v>426</v>
      </c>
      <c r="O3" s="337"/>
      <c r="P3" s="337"/>
      <c r="Q3" s="338" t="s">
        <v>427</v>
      </c>
      <c r="R3" s="338" t="s">
        <v>428</v>
      </c>
      <c r="S3" s="338" t="s">
        <v>429</v>
      </c>
      <c r="T3" s="338" t="s">
        <v>430</v>
      </c>
      <c r="U3" s="338" t="s">
        <v>431</v>
      </c>
      <c r="V3" s="338" t="s">
        <v>432</v>
      </c>
      <c r="W3" s="337"/>
      <c r="X3" s="337"/>
      <c r="Y3" s="338" t="s">
        <v>434</v>
      </c>
      <c r="Z3" s="338" t="s">
        <v>435</v>
      </c>
      <c r="AA3" s="338" t="s">
        <v>436</v>
      </c>
      <c r="AB3" s="338" t="s">
        <v>437</v>
      </c>
      <c r="AC3" s="338" t="s">
        <v>438</v>
      </c>
      <c r="AD3" s="338" t="s">
        <v>439</v>
      </c>
      <c r="AE3" s="337"/>
      <c r="AF3" s="337"/>
      <c r="AG3" s="337"/>
      <c r="AH3" s="338" t="s">
        <v>440</v>
      </c>
      <c r="AI3" s="338" t="s">
        <v>441</v>
      </c>
      <c r="AJ3" s="338" t="s">
        <v>442</v>
      </c>
      <c r="AK3" s="338" t="s">
        <v>443</v>
      </c>
      <c r="AL3" s="338" t="s">
        <v>444</v>
      </c>
      <c r="AM3" s="338" t="s">
        <v>445</v>
      </c>
      <c r="AN3" s="337"/>
      <c r="AO3" s="337"/>
      <c r="AP3" s="337"/>
    </row>
    <row r="4" spans="1:42" x14ac:dyDescent="0.3">
      <c r="A4" s="341" t="s">
        <v>738</v>
      </c>
      <c r="B4" s="340" t="s">
        <v>282</v>
      </c>
      <c r="C4" s="337" t="s">
        <v>234</v>
      </c>
      <c r="D4" s="337" t="s">
        <v>236</v>
      </c>
      <c r="E4" s="337" t="s">
        <v>248</v>
      </c>
      <c r="F4" s="339" t="s">
        <v>737</v>
      </c>
      <c r="G4" s="339" t="s">
        <v>736</v>
      </c>
      <c r="H4" s="339" t="s">
        <v>735</v>
      </c>
      <c r="I4" s="338" t="s">
        <v>252</v>
      </c>
      <c r="J4" s="338" t="s">
        <v>254</v>
      </c>
      <c r="K4" s="338" t="s">
        <v>256</v>
      </c>
      <c r="L4" s="338" t="s">
        <v>258</v>
      </c>
      <c r="M4" s="338" t="s">
        <v>260</v>
      </c>
      <c r="N4" s="338" t="s">
        <v>262</v>
      </c>
      <c r="O4" s="338" t="s">
        <v>264</v>
      </c>
      <c r="P4" s="337"/>
      <c r="Q4" s="338" t="s">
        <v>253</v>
      </c>
      <c r="R4" s="338" t="s">
        <v>255</v>
      </c>
      <c r="S4" s="338" t="s">
        <v>257</v>
      </c>
      <c r="T4" s="338" t="s">
        <v>259</v>
      </c>
      <c r="U4" s="338" t="s">
        <v>261</v>
      </c>
      <c r="V4" s="338" t="s">
        <v>263</v>
      </c>
      <c r="W4" s="338" t="s">
        <v>265</v>
      </c>
      <c r="X4" s="337"/>
      <c r="Y4" s="338" t="s">
        <v>267</v>
      </c>
      <c r="Z4" s="338" t="s">
        <v>269</v>
      </c>
      <c r="AA4" s="338" t="s">
        <v>271</v>
      </c>
      <c r="AB4" s="338" t="s">
        <v>273</v>
      </c>
      <c r="AC4" s="338" t="s">
        <v>275</v>
      </c>
      <c r="AD4" s="338" t="s">
        <v>277</v>
      </c>
      <c r="AE4" s="337"/>
      <c r="AF4" s="337"/>
      <c r="AG4" s="337"/>
      <c r="AH4" s="338" t="s">
        <v>268</v>
      </c>
      <c r="AI4" s="338" t="s">
        <v>270</v>
      </c>
      <c r="AJ4" s="338" t="s">
        <v>272</v>
      </c>
      <c r="AK4" s="338" t="s">
        <v>274</v>
      </c>
      <c r="AL4" s="338" t="s">
        <v>276</v>
      </c>
      <c r="AM4" s="338" t="s">
        <v>278</v>
      </c>
      <c r="AN4" s="337"/>
      <c r="AO4" s="337"/>
      <c r="AP4" s="337"/>
    </row>
    <row r="5" spans="1:42" x14ac:dyDescent="0.3">
      <c r="A5" s="341" t="s">
        <v>734</v>
      </c>
      <c r="B5" s="340" t="s">
        <v>282</v>
      </c>
      <c r="C5" s="337" t="s">
        <v>234</v>
      </c>
      <c r="D5" s="337" t="s">
        <v>238</v>
      </c>
      <c r="E5" s="337" t="s">
        <v>249</v>
      </c>
      <c r="F5" s="339" t="s">
        <v>733</v>
      </c>
      <c r="G5" s="339" t="s">
        <v>732</v>
      </c>
      <c r="H5" s="339" t="s">
        <v>731</v>
      </c>
      <c r="I5" s="338" t="s">
        <v>252</v>
      </c>
      <c r="J5" s="338" t="s">
        <v>254</v>
      </c>
      <c r="K5" s="338" t="s">
        <v>256</v>
      </c>
      <c r="L5" s="338" t="s">
        <v>258</v>
      </c>
      <c r="M5" s="338" t="s">
        <v>260</v>
      </c>
      <c r="N5" s="338" t="s">
        <v>262</v>
      </c>
      <c r="O5" s="338" t="s">
        <v>264</v>
      </c>
      <c r="P5" s="337"/>
      <c r="Q5" s="338" t="s">
        <v>253</v>
      </c>
      <c r="R5" s="338" t="s">
        <v>255</v>
      </c>
      <c r="S5" s="338" t="s">
        <v>257</v>
      </c>
      <c r="T5" s="338" t="s">
        <v>259</v>
      </c>
      <c r="U5" s="338" t="s">
        <v>261</v>
      </c>
      <c r="V5" s="338" t="s">
        <v>263</v>
      </c>
      <c r="W5" s="338" t="s">
        <v>265</v>
      </c>
      <c r="X5" s="337"/>
      <c r="Y5" s="338" t="s">
        <v>267</v>
      </c>
      <c r="Z5" s="338" t="s">
        <v>269</v>
      </c>
      <c r="AA5" s="338" t="s">
        <v>271</v>
      </c>
      <c r="AB5" s="338" t="s">
        <v>273</v>
      </c>
      <c r="AC5" s="338" t="s">
        <v>275</v>
      </c>
      <c r="AD5" s="338" t="s">
        <v>277</v>
      </c>
      <c r="AE5" s="337"/>
      <c r="AF5" s="337"/>
      <c r="AG5" s="337"/>
      <c r="AH5" s="338" t="s">
        <v>268</v>
      </c>
      <c r="AI5" s="338" t="s">
        <v>270</v>
      </c>
      <c r="AJ5" s="338" t="s">
        <v>272</v>
      </c>
      <c r="AK5" s="338" t="s">
        <v>274</v>
      </c>
      <c r="AL5" s="338" t="s">
        <v>276</v>
      </c>
      <c r="AM5" s="338" t="s">
        <v>278</v>
      </c>
      <c r="AN5" s="337"/>
      <c r="AO5" s="337"/>
      <c r="AP5" s="337"/>
    </row>
    <row r="6" spans="1:42" x14ac:dyDescent="0.3">
      <c r="A6" s="341" t="s">
        <v>730</v>
      </c>
      <c r="B6" s="340" t="s">
        <v>282</v>
      </c>
      <c r="C6" s="337" t="s">
        <v>234</v>
      </c>
      <c r="D6" s="337" t="s">
        <v>240</v>
      </c>
      <c r="E6" s="337" t="s">
        <v>250</v>
      </c>
      <c r="F6" s="339" t="s">
        <v>729</v>
      </c>
      <c r="G6" s="339" t="s">
        <v>728</v>
      </c>
      <c r="H6" s="339" t="s">
        <v>727</v>
      </c>
      <c r="I6" s="338" t="s">
        <v>252</v>
      </c>
      <c r="J6" s="338" t="s">
        <v>254</v>
      </c>
      <c r="K6" s="338" t="s">
        <v>256</v>
      </c>
      <c r="L6" s="338" t="s">
        <v>258</v>
      </c>
      <c r="M6" s="338" t="s">
        <v>260</v>
      </c>
      <c r="N6" s="338" t="s">
        <v>262</v>
      </c>
      <c r="O6" s="338" t="s">
        <v>264</v>
      </c>
      <c r="P6" s="337"/>
      <c r="Q6" s="338" t="s">
        <v>253</v>
      </c>
      <c r="R6" s="338" t="s">
        <v>255</v>
      </c>
      <c r="S6" s="338" t="s">
        <v>257</v>
      </c>
      <c r="T6" s="338" t="s">
        <v>259</v>
      </c>
      <c r="U6" s="338" t="s">
        <v>261</v>
      </c>
      <c r="V6" s="338" t="s">
        <v>263</v>
      </c>
      <c r="W6" s="338" t="s">
        <v>265</v>
      </c>
      <c r="X6" s="337"/>
      <c r="Y6" s="338" t="s">
        <v>267</v>
      </c>
      <c r="Z6" s="338" t="s">
        <v>269</v>
      </c>
      <c r="AA6" s="338" t="s">
        <v>271</v>
      </c>
      <c r="AB6" s="338" t="s">
        <v>273</v>
      </c>
      <c r="AC6" s="338" t="s">
        <v>275</v>
      </c>
      <c r="AD6" s="338" t="s">
        <v>277</v>
      </c>
      <c r="AE6" s="337"/>
      <c r="AF6" s="337"/>
      <c r="AG6" s="337"/>
      <c r="AH6" s="338" t="s">
        <v>268</v>
      </c>
      <c r="AI6" s="338" t="s">
        <v>270</v>
      </c>
      <c r="AJ6" s="338" t="s">
        <v>272</v>
      </c>
      <c r="AK6" s="338" t="s">
        <v>274</v>
      </c>
      <c r="AL6" s="338" t="s">
        <v>276</v>
      </c>
      <c r="AM6" s="338" t="s">
        <v>278</v>
      </c>
      <c r="AN6" s="337"/>
      <c r="AO6" s="337"/>
      <c r="AP6" s="337"/>
    </row>
    <row r="7" spans="1:42" x14ac:dyDescent="0.3">
      <c r="A7" s="341" t="s">
        <v>726</v>
      </c>
      <c r="B7" s="340" t="s">
        <v>282</v>
      </c>
      <c r="C7" s="337" t="s">
        <v>234</v>
      </c>
      <c r="D7" s="337" t="s">
        <v>242</v>
      </c>
      <c r="E7" s="337" t="s">
        <v>251</v>
      </c>
      <c r="F7" s="339" t="s">
        <v>725</v>
      </c>
      <c r="G7" s="339" t="s">
        <v>724</v>
      </c>
      <c r="H7" s="339" t="s">
        <v>723</v>
      </c>
      <c r="I7" s="338" t="s">
        <v>252</v>
      </c>
      <c r="J7" s="338" t="s">
        <v>254</v>
      </c>
      <c r="K7" s="338" t="s">
        <v>256</v>
      </c>
      <c r="L7" s="338" t="s">
        <v>258</v>
      </c>
      <c r="M7" s="338" t="s">
        <v>260</v>
      </c>
      <c r="N7" s="338" t="s">
        <v>262</v>
      </c>
      <c r="O7" s="338" t="s">
        <v>264</v>
      </c>
      <c r="P7" s="337"/>
      <c r="Q7" s="338" t="s">
        <v>253</v>
      </c>
      <c r="R7" s="338" t="s">
        <v>255</v>
      </c>
      <c r="S7" s="338" t="s">
        <v>257</v>
      </c>
      <c r="T7" s="338" t="s">
        <v>259</v>
      </c>
      <c r="U7" s="338" t="s">
        <v>261</v>
      </c>
      <c r="V7" s="338" t="s">
        <v>263</v>
      </c>
      <c r="W7" s="338" t="s">
        <v>265</v>
      </c>
      <c r="X7" s="337"/>
      <c r="Y7" s="338" t="s">
        <v>267</v>
      </c>
      <c r="Z7" s="338" t="s">
        <v>269</v>
      </c>
      <c r="AA7" s="338" t="s">
        <v>271</v>
      </c>
      <c r="AB7" s="338" t="s">
        <v>273</v>
      </c>
      <c r="AC7" s="338" t="s">
        <v>275</v>
      </c>
      <c r="AD7" s="338" t="s">
        <v>277</v>
      </c>
      <c r="AE7" s="337"/>
      <c r="AF7" s="337"/>
      <c r="AG7" s="337"/>
      <c r="AH7" s="338" t="s">
        <v>268</v>
      </c>
      <c r="AI7" s="338" t="s">
        <v>270</v>
      </c>
      <c r="AJ7" s="338" t="s">
        <v>272</v>
      </c>
      <c r="AK7" s="338" t="s">
        <v>274</v>
      </c>
      <c r="AL7" s="338" t="s">
        <v>276</v>
      </c>
      <c r="AM7" s="338" t="s">
        <v>278</v>
      </c>
      <c r="AN7" s="337"/>
      <c r="AO7" s="337"/>
      <c r="AP7" s="337"/>
    </row>
  </sheetData>
  <autoFilter ref="A2:AP7">
    <filterColumn colId="8" showButton="0"/>
    <filterColumn colId="9" showButton="0"/>
    <filterColumn colId="10" showButton="0"/>
    <filterColumn colId="11" showButton="0"/>
    <filterColumn colId="12" showButton="0"/>
    <filterColumn colId="13" showButton="0"/>
    <filterColumn colId="14" showButton="0"/>
    <filterColumn colId="16" showButton="0"/>
    <filterColumn colId="17" showButton="0"/>
    <filterColumn colId="18" showButton="0"/>
    <filterColumn colId="19" showButton="0"/>
    <filterColumn colId="20" showButton="0"/>
    <filterColumn colId="21" showButton="0"/>
    <filterColumn colId="22"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3" showButton="0"/>
    <filterColumn colId="34" showButton="0"/>
    <filterColumn colId="35" showButton="0"/>
    <filterColumn colId="36" showButton="0"/>
    <filterColumn colId="37" showButton="0"/>
    <filterColumn colId="38" showButton="0"/>
    <filterColumn colId="39" showButton="0"/>
    <filterColumn colId="40" showButton="0"/>
  </autoFilter>
  <mergeCells count="4">
    <mergeCell ref="I2:P2"/>
    <mergeCell ref="Q2:X2"/>
    <mergeCell ref="Y2:AG2"/>
    <mergeCell ref="AH2:AP2"/>
  </mergeCells>
  <pageMargins left="0.70866141732283472" right="0.70866141732283472" top="0.74803149606299213" bottom="0.74803149606299213" header="0.31496062992125984" footer="0.31496062992125984"/>
  <pageSetup paperSize="9" scale="4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AA23"/>
  <sheetViews>
    <sheetView zoomScale="75" zoomScaleNormal="75" workbookViewId="0">
      <selection activeCell="S5" sqref="S5:S9"/>
    </sheetView>
  </sheetViews>
  <sheetFormatPr defaultColWidth="9" defaultRowHeight="13.8" x14ac:dyDescent="0.25"/>
  <cols>
    <col min="2" max="2" width="46.8984375" customWidth="1"/>
    <col min="3" max="3" width="54" customWidth="1"/>
    <col min="4" max="4" width="48.59765625" customWidth="1"/>
    <col min="5" max="5" width="26.3984375" customWidth="1"/>
    <col min="6" max="6" width="32.19921875" customWidth="1"/>
    <col min="7" max="7" width="39.59765625" customWidth="1"/>
    <col min="8" max="8" width="11.8984375" customWidth="1"/>
    <col min="14" max="14" width="8.5" customWidth="1"/>
  </cols>
  <sheetData>
    <row r="1" spans="1:27" ht="15" customHeight="1" x14ac:dyDescent="0.25">
      <c r="A1" s="277" t="s">
        <v>768</v>
      </c>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row>
    <row r="2" spans="1:27" ht="15" customHeight="1" x14ac:dyDescent="0.25">
      <c r="A2" s="172"/>
      <c r="B2" s="448" t="s">
        <v>677</v>
      </c>
      <c r="C2" s="448"/>
      <c r="D2" s="448"/>
      <c r="E2" s="448"/>
      <c r="F2" s="448"/>
      <c r="G2" s="448"/>
      <c r="H2" s="449" t="s">
        <v>537</v>
      </c>
      <c r="I2" s="450"/>
      <c r="J2" s="450"/>
      <c r="K2" s="450"/>
      <c r="L2" s="450"/>
      <c r="M2" s="450"/>
      <c r="N2" s="450"/>
      <c r="O2" s="451"/>
      <c r="P2" s="452" t="s">
        <v>538</v>
      </c>
      <c r="Q2" s="453"/>
      <c r="R2" s="453"/>
      <c r="S2" s="453"/>
      <c r="T2" s="453"/>
      <c r="U2" s="454"/>
      <c r="V2" s="452" t="s">
        <v>538</v>
      </c>
      <c r="W2" s="453"/>
      <c r="X2" s="453"/>
      <c r="Y2" s="453"/>
      <c r="Z2" s="453"/>
      <c r="AA2" s="454"/>
    </row>
    <row r="4" spans="1:27" ht="60" customHeight="1" x14ac:dyDescent="0.25">
      <c r="A4" s="240" t="s">
        <v>0</v>
      </c>
      <c r="B4" s="240" t="s">
        <v>548</v>
      </c>
      <c r="C4" s="241" t="s">
        <v>549</v>
      </c>
      <c r="D4" s="241" t="s">
        <v>550</v>
      </c>
      <c r="E4" s="241" t="s">
        <v>551</v>
      </c>
      <c r="F4" s="241" t="s">
        <v>552</v>
      </c>
      <c r="G4" s="241" t="s">
        <v>553</v>
      </c>
      <c r="H4" s="242" t="s">
        <v>387</v>
      </c>
      <c r="I4" s="242" t="s">
        <v>386</v>
      </c>
      <c r="J4" s="242" t="s">
        <v>382</v>
      </c>
      <c r="K4" s="242" t="s">
        <v>383</v>
      </c>
      <c r="L4" s="242" t="s">
        <v>384</v>
      </c>
      <c r="M4" s="242" t="s">
        <v>394</v>
      </c>
      <c r="N4" s="242" t="s">
        <v>395</v>
      </c>
      <c r="O4" s="242" t="s">
        <v>28</v>
      </c>
      <c r="P4" s="175" t="s">
        <v>387</v>
      </c>
      <c r="Q4" s="175" t="s">
        <v>386</v>
      </c>
      <c r="R4" s="175" t="s">
        <v>382</v>
      </c>
      <c r="S4" s="175" t="s">
        <v>383</v>
      </c>
      <c r="T4" s="175" t="s">
        <v>384</v>
      </c>
      <c r="U4" s="175" t="s">
        <v>28</v>
      </c>
      <c r="V4" s="175" t="s">
        <v>387</v>
      </c>
      <c r="W4" s="175" t="s">
        <v>386</v>
      </c>
      <c r="X4" s="175" t="s">
        <v>382</v>
      </c>
      <c r="Y4" s="175" t="s">
        <v>383</v>
      </c>
      <c r="Z4" s="175" t="s">
        <v>384</v>
      </c>
      <c r="AA4" s="175" t="s">
        <v>28</v>
      </c>
    </row>
    <row r="5" spans="1:27" ht="15" customHeight="1" x14ac:dyDescent="0.25">
      <c r="A5" s="198">
        <v>26</v>
      </c>
      <c r="B5" s="173" t="str">
        <f t="shared" ref="B5:K9" ca="1" si="0">INDIRECT("'S"&amp;$A5&amp;" likelihood'!"&amp;B$23)</f>
        <v>Definitely not/sometimes</v>
      </c>
      <c r="C5" s="173" t="str">
        <f t="shared" ca="1" si="0"/>
        <v>Very unlikely</v>
      </c>
      <c r="D5" s="173" t="str">
        <f t="shared" ca="1" si="0"/>
        <v>Very unlikely/unlikely</v>
      </c>
      <c r="E5" s="173" t="str">
        <f t="shared" ca="1" si="0"/>
        <v>Very unlikely/unlikely</v>
      </c>
      <c r="F5" s="173" t="str">
        <f t="shared" ca="1" si="0"/>
        <v>Very unlikely/unlikely</v>
      </c>
      <c r="G5" s="173" t="str">
        <f t="shared" ca="1" si="0"/>
        <v>Definitely not/sometimes</v>
      </c>
      <c r="H5" s="243">
        <f t="shared" ca="1" si="0"/>
        <v>12</v>
      </c>
      <c r="I5" s="243">
        <f t="shared" ca="1" si="0"/>
        <v>10</v>
      </c>
      <c r="J5" s="243">
        <f t="shared" ca="1" si="0"/>
        <v>16</v>
      </c>
      <c r="K5" s="243">
        <f t="shared" ca="1" si="0"/>
        <v>16</v>
      </c>
      <c r="L5" s="243">
        <f t="shared" ref="L5:U9" ca="1" si="1">INDIRECT("'S"&amp;$A5&amp;" likelihood'!"&amp;L$23)</f>
        <v>16</v>
      </c>
      <c r="M5" s="243">
        <f t="shared" ca="1" si="1"/>
        <v>7</v>
      </c>
      <c r="N5" s="243">
        <f t="shared" ca="1" si="1"/>
        <v>9</v>
      </c>
      <c r="O5" s="243">
        <f t="shared" ca="1" si="1"/>
        <v>12</v>
      </c>
      <c r="P5" s="176">
        <f t="shared" ca="1" si="1"/>
        <v>0</v>
      </c>
      <c r="Q5" s="176">
        <f t="shared" ca="1" si="1"/>
        <v>0</v>
      </c>
      <c r="R5" s="176">
        <f t="shared" ca="1" si="1"/>
        <v>1</v>
      </c>
      <c r="S5" s="176">
        <f t="shared" ca="1" si="1"/>
        <v>1</v>
      </c>
      <c r="T5" s="176">
        <f t="shared" ca="1" si="1"/>
        <v>1</v>
      </c>
      <c r="U5" s="176">
        <f t="shared" ca="1" si="1"/>
        <v>0</v>
      </c>
      <c r="V5" s="244">
        <f ca="1">P5/H5</f>
        <v>0</v>
      </c>
      <c r="W5" s="244">
        <f t="shared" ref="W5:AA9" ca="1" si="2">IFERROR(Q5/I5,0)</f>
        <v>0</v>
      </c>
      <c r="X5" s="244">
        <f t="shared" ca="1" si="2"/>
        <v>6.25E-2</v>
      </c>
      <c r="Y5" s="244">
        <f t="shared" ca="1" si="2"/>
        <v>6.25E-2</v>
      </c>
      <c r="Z5" s="244">
        <f t="shared" ca="1" si="2"/>
        <v>6.25E-2</v>
      </c>
      <c r="AA5" s="244">
        <f t="shared" ca="1" si="2"/>
        <v>0</v>
      </c>
    </row>
    <row r="6" spans="1:27" x14ac:dyDescent="0.25">
      <c r="A6" s="198" t="s">
        <v>378</v>
      </c>
      <c r="B6" s="173" t="str">
        <f t="shared" ca="1" si="0"/>
        <v>Sometimes</v>
      </c>
      <c r="C6" s="173" t="str">
        <f t="shared" ca="1" si="0"/>
        <v>Moderately likely/likely</v>
      </c>
      <c r="D6" s="173" t="str">
        <f t="shared" ca="1" si="0"/>
        <v>No consensus</v>
      </c>
      <c r="E6" s="173" t="str">
        <f t="shared" ca="1" si="0"/>
        <v>No consensus</v>
      </c>
      <c r="F6" s="173" t="str">
        <f t="shared" ca="1" si="0"/>
        <v>No consensus</v>
      </c>
      <c r="G6" s="173" t="str">
        <f t="shared" ca="1" si="0"/>
        <v>Sometimes/Most of the time</v>
      </c>
      <c r="H6" s="243">
        <f t="shared" ca="1" si="0"/>
        <v>18</v>
      </c>
      <c r="I6" s="243">
        <f t="shared" ca="1" si="0"/>
        <v>17</v>
      </c>
      <c r="J6" s="243">
        <f t="shared" ca="1" si="0"/>
        <v>15</v>
      </c>
      <c r="K6" s="243">
        <f t="shared" ca="1" si="0"/>
        <v>15</v>
      </c>
      <c r="L6" s="243">
        <f t="shared" ca="1" si="1"/>
        <v>15</v>
      </c>
      <c r="M6" s="243">
        <f t="shared" ca="1" si="1"/>
        <v>17</v>
      </c>
      <c r="N6" s="243">
        <f t="shared" ca="1" si="1"/>
        <v>13</v>
      </c>
      <c r="O6" s="243">
        <f t="shared" ca="1" si="1"/>
        <v>18</v>
      </c>
      <c r="P6" s="176">
        <f t="shared" ca="1" si="1"/>
        <v>2</v>
      </c>
      <c r="Q6" s="176">
        <f t="shared" ca="1" si="1"/>
        <v>2</v>
      </c>
      <c r="R6" s="176">
        <f t="shared" ca="1" si="1"/>
        <v>0</v>
      </c>
      <c r="S6" s="176">
        <f t="shared" ca="1" si="1"/>
        <v>0</v>
      </c>
      <c r="T6" s="176">
        <f t="shared" ca="1" si="1"/>
        <v>0</v>
      </c>
      <c r="U6" s="176">
        <f t="shared" ca="1" si="1"/>
        <v>1</v>
      </c>
      <c r="V6" s="244">
        <f ca="1">P6/H6</f>
        <v>0.1111111111111111</v>
      </c>
      <c r="W6" s="244">
        <f t="shared" ca="1" si="2"/>
        <v>0.11764705882352941</v>
      </c>
      <c r="X6" s="244">
        <f t="shared" ca="1" si="2"/>
        <v>0</v>
      </c>
      <c r="Y6" s="244">
        <f t="shared" ca="1" si="2"/>
        <v>0</v>
      </c>
      <c r="Z6" s="244">
        <f t="shared" ca="1" si="2"/>
        <v>0</v>
      </c>
      <c r="AA6" s="244">
        <f t="shared" ca="1" si="2"/>
        <v>5.8823529411764705E-2</v>
      </c>
    </row>
    <row r="7" spans="1:27" x14ac:dyDescent="0.25">
      <c r="A7" s="198" t="s">
        <v>379</v>
      </c>
      <c r="B7" s="173" t="str">
        <f t="shared" ca="1" si="0"/>
        <v>No consensus</v>
      </c>
      <c r="C7" s="173" t="str">
        <f t="shared" ca="1" si="0"/>
        <v>Very unlikely/unlikely</v>
      </c>
      <c r="D7" s="173" t="str">
        <f t="shared" ca="1" si="0"/>
        <v>Very unlikely</v>
      </c>
      <c r="E7" s="173" t="str">
        <f t="shared" ca="1" si="0"/>
        <v>Very unlikely/unlikely</v>
      </c>
      <c r="F7" s="173" t="str">
        <f t="shared" ca="1" si="0"/>
        <v>Very unlikely/unlikely</v>
      </c>
      <c r="G7" s="173" t="str">
        <f t="shared" ca="1" si="0"/>
        <v>Sometimes/ Yes, always</v>
      </c>
      <c r="H7" s="243">
        <f t="shared" ca="1" si="0"/>
        <v>9</v>
      </c>
      <c r="I7" s="243">
        <f t="shared" ca="1" si="0"/>
        <v>10</v>
      </c>
      <c r="J7" s="243">
        <f t="shared" ca="1" si="0"/>
        <v>6</v>
      </c>
      <c r="K7" s="243">
        <f t="shared" ca="1" si="0"/>
        <v>6</v>
      </c>
      <c r="L7" s="243">
        <f t="shared" ca="1" si="1"/>
        <v>6</v>
      </c>
      <c r="M7" s="243">
        <f t="shared" ca="1" si="1"/>
        <v>14</v>
      </c>
      <c r="N7" s="243">
        <f t="shared" ca="1" si="1"/>
        <v>6</v>
      </c>
      <c r="O7" s="243">
        <f t="shared" ca="1" si="1"/>
        <v>9</v>
      </c>
      <c r="P7" s="176">
        <f t="shared" ca="1" si="1"/>
        <v>4</v>
      </c>
      <c r="Q7" s="176">
        <f t="shared" ca="1" si="1"/>
        <v>3</v>
      </c>
      <c r="R7" s="176">
        <f t="shared" ca="1" si="1"/>
        <v>0</v>
      </c>
      <c r="S7" s="176">
        <f t="shared" ca="1" si="1"/>
        <v>0</v>
      </c>
      <c r="T7" s="176">
        <f t="shared" ca="1" si="1"/>
        <v>0</v>
      </c>
      <c r="U7" s="176">
        <f t="shared" ca="1" si="1"/>
        <v>0</v>
      </c>
      <c r="V7" s="244">
        <f ca="1">P7/H7</f>
        <v>0.44444444444444442</v>
      </c>
      <c r="W7" s="244">
        <f t="shared" ca="1" si="2"/>
        <v>0.3</v>
      </c>
      <c r="X7" s="244">
        <f t="shared" ca="1" si="2"/>
        <v>0</v>
      </c>
      <c r="Y7" s="244">
        <f t="shared" ca="1" si="2"/>
        <v>0</v>
      </c>
      <c r="Z7" s="244">
        <f t="shared" ca="1" si="2"/>
        <v>0</v>
      </c>
      <c r="AA7" s="244">
        <f t="shared" ca="1" si="2"/>
        <v>0</v>
      </c>
    </row>
    <row r="8" spans="1:27" x14ac:dyDescent="0.25">
      <c r="A8" s="198" t="s">
        <v>380</v>
      </c>
      <c r="B8" s="173" t="str">
        <f t="shared" ca="1" si="0"/>
        <v>No consensus</v>
      </c>
      <c r="C8" s="173" t="str">
        <f t="shared" ca="1" si="0"/>
        <v>No consensus</v>
      </c>
      <c r="D8" s="173" t="str">
        <f t="shared" ca="1" si="0"/>
        <v>very unlikely/unlikely</v>
      </c>
      <c r="E8" s="173" t="str">
        <f t="shared" ca="1" si="0"/>
        <v>Very unlikely/unlikely</v>
      </c>
      <c r="F8" s="173" t="str">
        <f t="shared" ca="1" si="0"/>
        <v>very unlikely/unlikely</v>
      </c>
      <c r="G8" s="173" t="str">
        <f t="shared" ca="1" si="0"/>
        <v>No consensus</v>
      </c>
      <c r="H8" s="243">
        <f t="shared" ca="1" si="0"/>
        <v>4</v>
      </c>
      <c r="I8" s="243">
        <f t="shared" ca="1" si="0"/>
        <v>5</v>
      </c>
      <c r="J8" s="243">
        <f t="shared" ca="1" si="0"/>
        <v>6</v>
      </c>
      <c r="K8" s="243">
        <f t="shared" ca="1" si="0"/>
        <v>6</v>
      </c>
      <c r="L8" s="243">
        <f t="shared" ca="1" si="1"/>
        <v>6</v>
      </c>
      <c r="M8" s="243">
        <f t="shared" ca="1" si="1"/>
        <v>12</v>
      </c>
      <c r="N8" s="243">
        <f t="shared" ca="1" si="1"/>
        <v>2</v>
      </c>
      <c r="O8" s="243">
        <f t="shared" ca="1" si="1"/>
        <v>4</v>
      </c>
      <c r="P8" s="176">
        <f t="shared" ca="1" si="1"/>
        <v>2</v>
      </c>
      <c r="Q8" s="176">
        <f t="shared" ca="1" si="1"/>
        <v>3</v>
      </c>
      <c r="R8" s="176">
        <f t="shared" ca="1" si="1"/>
        <v>0</v>
      </c>
      <c r="S8" s="176">
        <f t="shared" ca="1" si="1"/>
        <v>0</v>
      </c>
      <c r="T8" s="176">
        <f t="shared" ca="1" si="1"/>
        <v>0</v>
      </c>
      <c r="U8" s="176">
        <f t="shared" ca="1" si="1"/>
        <v>0</v>
      </c>
      <c r="V8" s="244">
        <f ca="1">P8/H8</f>
        <v>0.5</v>
      </c>
      <c r="W8" s="244">
        <f t="shared" ca="1" si="2"/>
        <v>0.6</v>
      </c>
      <c r="X8" s="244">
        <f t="shared" ca="1" si="2"/>
        <v>0</v>
      </c>
      <c r="Y8" s="244">
        <f t="shared" ca="1" si="2"/>
        <v>0</v>
      </c>
      <c r="Z8" s="244">
        <f t="shared" ca="1" si="2"/>
        <v>0</v>
      </c>
      <c r="AA8" s="244">
        <f t="shared" ca="1" si="2"/>
        <v>0</v>
      </c>
    </row>
    <row r="9" spans="1:27" x14ac:dyDescent="0.25">
      <c r="A9" s="198" t="s">
        <v>381</v>
      </c>
      <c r="B9" s="173" t="str">
        <f t="shared" ca="1" si="0"/>
        <v>Definitely not</v>
      </c>
      <c r="C9" s="173" t="str">
        <f t="shared" ca="1" si="0"/>
        <v>Very unlikely/Unlikely</v>
      </c>
      <c r="D9" s="173" t="str">
        <f t="shared" ca="1" si="0"/>
        <v>Very unlikely</v>
      </c>
      <c r="E9" s="173" t="str">
        <f t="shared" ca="1" si="0"/>
        <v>Very unlikely</v>
      </c>
      <c r="F9" s="173" t="str">
        <f t="shared" ca="1" si="0"/>
        <v>Very unlikely/unlikely</v>
      </c>
      <c r="G9" s="173" t="str">
        <f t="shared" ca="1" si="0"/>
        <v>Sometimes/Yes, always</v>
      </c>
      <c r="H9" s="243">
        <f t="shared" ca="1" si="0"/>
        <v>9</v>
      </c>
      <c r="I9" s="243">
        <f t="shared" ca="1" si="0"/>
        <v>10</v>
      </c>
      <c r="J9" s="243">
        <f t="shared" ca="1" si="0"/>
        <v>6</v>
      </c>
      <c r="K9" s="243">
        <f t="shared" ca="1" si="0"/>
        <v>6</v>
      </c>
      <c r="L9" s="243">
        <f t="shared" ca="1" si="1"/>
        <v>7</v>
      </c>
      <c r="M9" s="243">
        <f t="shared" ca="1" si="1"/>
        <v>14</v>
      </c>
      <c r="N9" s="243">
        <f t="shared" ca="1" si="1"/>
        <v>6</v>
      </c>
      <c r="O9" s="243">
        <f t="shared" ca="1" si="1"/>
        <v>9</v>
      </c>
      <c r="P9" s="176">
        <f t="shared" ca="1" si="1"/>
        <v>3</v>
      </c>
      <c r="Q9" s="176">
        <f t="shared" ca="1" si="1"/>
        <v>3</v>
      </c>
      <c r="R9" s="176">
        <f t="shared" ca="1" si="1"/>
        <v>0</v>
      </c>
      <c r="S9" s="176">
        <f t="shared" ca="1" si="1"/>
        <v>0</v>
      </c>
      <c r="T9" s="176">
        <f t="shared" ca="1" si="1"/>
        <v>0</v>
      </c>
      <c r="U9" s="176">
        <f t="shared" ca="1" si="1"/>
        <v>0</v>
      </c>
      <c r="V9" s="244">
        <f ca="1">P9/H9</f>
        <v>0.33333333333333331</v>
      </c>
      <c r="W9" s="244">
        <f t="shared" ca="1" si="2"/>
        <v>0.3</v>
      </c>
      <c r="X9" s="244">
        <f t="shared" ca="1" si="2"/>
        <v>0</v>
      </c>
      <c r="Y9" s="244">
        <f t="shared" ca="1" si="2"/>
        <v>0</v>
      </c>
      <c r="Z9" s="244">
        <f t="shared" ca="1" si="2"/>
        <v>0</v>
      </c>
      <c r="AA9" s="244">
        <f t="shared" ca="1" si="2"/>
        <v>0</v>
      </c>
    </row>
    <row r="11" spans="1:27" x14ac:dyDescent="0.25">
      <c r="A11" s="275" t="s">
        <v>0</v>
      </c>
      <c r="B11" s="455" t="s">
        <v>642</v>
      </c>
      <c r="C11" s="456"/>
      <c r="D11" s="456"/>
      <c r="E11" s="455" t="s">
        <v>683</v>
      </c>
      <c r="F11" s="456"/>
      <c r="G11" s="457"/>
      <c r="V11" s="458" t="s">
        <v>684</v>
      </c>
      <c r="W11" s="458"/>
      <c r="X11" s="458"/>
      <c r="Y11" s="458"/>
      <c r="Z11" s="458"/>
      <c r="AA11" s="458"/>
    </row>
    <row r="12" spans="1:27" x14ac:dyDescent="0.25">
      <c r="A12" s="275"/>
      <c r="B12" s="283" t="s">
        <v>657</v>
      </c>
      <c r="C12" s="284" t="s">
        <v>658</v>
      </c>
      <c r="D12" s="284" t="s">
        <v>659</v>
      </c>
      <c r="E12" s="283" t="s">
        <v>657</v>
      </c>
      <c r="F12" s="284" t="s">
        <v>658</v>
      </c>
      <c r="G12" s="284" t="s">
        <v>659</v>
      </c>
      <c r="V12" s="458"/>
      <c r="W12" s="458"/>
      <c r="X12" s="458"/>
      <c r="Y12" s="458"/>
      <c r="Z12" s="458"/>
      <c r="AA12" s="458"/>
    </row>
    <row r="13" spans="1:27" x14ac:dyDescent="0.25">
      <c r="A13" s="278">
        <v>26</v>
      </c>
      <c r="B13" s="279" t="str">
        <f ca="1">(INDIRECT("'S"&amp;$A13&amp;" likelihood'!$cd22"))</f>
        <v>Increased pellet demand allows sufficient financial return</v>
      </c>
      <c r="C13" s="279" t="str">
        <f t="shared" ref="C13:C17" ca="1" si="3">(INDIRECT("'S"&amp;$A13&amp;" likelihood'!$cd23"))</f>
        <v>Changes in forest incentives</v>
      </c>
      <c r="D13" s="279" t="str">
        <f t="shared" ref="D13:D17" ca="1" si="4">(INDIRECT("'S"&amp;$A13&amp;" likelihood'!$cd24"))</f>
        <v>Changes in legislation or policy</v>
      </c>
      <c r="E13" s="279" t="str">
        <f t="shared" ref="E13:E17" ca="1" si="5">(INDIRECT("'S"&amp;$A13&amp;" likelihood'!$cv22"))</f>
        <v>Insufficient financial return</v>
      </c>
      <c r="F13" s="279" t="str">
        <f t="shared" ref="F13:F17" ca="1" si="6">(INDIRECT("'S"&amp;$A13&amp;" likelihood'!$cv23"))</f>
        <v>Other</v>
      </c>
      <c r="G13" s="280" t="str">
        <f t="shared" ref="G13:G17" ca="1" si="7">(INDIRECT("'S"&amp;$A13&amp;" likelihood'!$cv24"))</f>
        <v>Other uses increase land value</v>
      </c>
      <c r="V13" s="458"/>
      <c r="W13" s="458"/>
      <c r="X13" s="458"/>
      <c r="Y13" s="458"/>
      <c r="Z13" s="458"/>
      <c r="AA13" s="458"/>
    </row>
    <row r="14" spans="1:27" x14ac:dyDescent="0.25">
      <c r="A14" s="278" t="s">
        <v>378</v>
      </c>
      <c r="B14" s="279" t="str">
        <f t="shared" ref="B14:B17" ca="1" si="8">(INDIRECT("'S"&amp;$A14&amp;" likelihood'!$cd22"))</f>
        <v>Increased demand for pellet fibre provides sufficient financial return</v>
      </c>
      <c r="C14" s="279" t="str">
        <f t="shared" ca="1" si="3"/>
        <v>Changes in forestry incentives</v>
      </c>
      <c r="D14" s="279" t="str">
        <f t="shared" ca="1" si="4"/>
        <v>Increased demand for saw timber enables management of unmanaged forest</v>
      </c>
      <c r="E14" s="279" t="str">
        <f t="shared" ca="1" si="5"/>
        <v>Insufficient financial return</v>
      </c>
      <c r="F14" s="279" t="str">
        <f t="shared" ca="1" si="6"/>
        <v>Other uses make land value more attractive</v>
      </c>
      <c r="G14" s="280" t="str">
        <f t="shared" ca="1" si="7"/>
        <v>Other / Low roundwood demand - longer haulage / Changes in legislation or policy</v>
      </c>
      <c r="V14" s="458"/>
      <c r="W14" s="458"/>
      <c r="X14" s="458"/>
      <c r="Y14" s="458"/>
      <c r="Z14" s="458"/>
      <c r="AA14" s="458"/>
    </row>
    <row r="15" spans="1:27" x14ac:dyDescent="0.25">
      <c r="A15" s="278" t="s">
        <v>379</v>
      </c>
      <c r="B15" s="279" t="str">
        <f t="shared" ca="1" si="8"/>
        <v>Increased demand for pellet fibre provides sufficient financial return</v>
      </c>
      <c r="C15" s="279" t="str">
        <f t="shared" ca="1" si="3"/>
        <v>Changes in forestry incentives</v>
      </c>
      <c r="D15" s="279" t="str">
        <f t="shared" ca="1" si="4"/>
        <v>Increased demand for saw timber enables management of unmanaged forest</v>
      </c>
      <c r="E15" s="279" t="str">
        <f t="shared" ca="1" si="5"/>
        <v>Insufficient financial return</v>
      </c>
      <c r="F15" s="279" t="str">
        <f t="shared" ca="1" si="6"/>
        <v>Changes in legislation or policy</v>
      </c>
      <c r="G15" s="280" t="str">
        <f t="shared" ca="1" si="7"/>
        <v>Low roundwood demand - longer haulage</v>
      </c>
      <c r="V15" s="458"/>
      <c r="W15" s="458"/>
      <c r="X15" s="458"/>
      <c r="Y15" s="458"/>
      <c r="Z15" s="458"/>
      <c r="AA15" s="458"/>
    </row>
    <row r="16" spans="1:27" x14ac:dyDescent="0.25">
      <c r="A16" s="278" t="s">
        <v>380</v>
      </c>
      <c r="B16" s="279" t="str">
        <f t="shared" ca="1" si="8"/>
        <v>Increased demand for pellet fibre provides sufficient financial return</v>
      </c>
      <c r="C16" s="279" t="str">
        <f t="shared" ca="1" si="3"/>
        <v>Increased demand for saw timber enables management of unmanaged forest</v>
      </c>
      <c r="D16" s="279" t="str">
        <f t="shared" ca="1" si="4"/>
        <v>Reduction in vulnerability to disease/pests / Changes in legislation or forest policy</v>
      </c>
      <c r="E16" s="279" t="str">
        <f t="shared" ca="1" si="5"/>
        <v>Insufficient financial return</v>
      </c>
      <c r="F16" s="279" t="str">
        <f t="shared" ca="1" si="6"/>
        <v>Low roundwood demand - longer haulage</v>
      </c>
      <c r="G16" s="280" t="str">
        <f t="shared" ca="1" si="7"/>
        <v>Changes in legislation or policy</v>
      </c>
      <c r="V16" s="458"/>
      <c r="W16" s="458"/>
      <c r="X16" s="458"/>
      <c r="Y16" s="458"/>
      <c r="Z16" s="458"/>
      <c r="AA16" s="458"/>
    </row>
    <row r="17" spans="1:27" x14ac:dyDescent="0.25">
      <c r="A17" s="278" t="s">
        <v>381</v>
      </c>
      <c r="B17" s="279" t="str">
        <f t="shared" ca="1" si="8"/>
        <v>Increased demand for pellet fibre provides sufficient financial return</v>
      </c>
      <c r="C17" s="279" t="str">
        <f t="shared" ca="1" si="3"/>
        <v>Increased demand for saw timber enables management of unmanaged forest</v>
      </c>
      <c r="D17" s="279" t="str">
        <f t="shared" ca="1" si="4"/>
        <v>Changes in forestry incentives</v>
      </c>
      <c r="E17" s="279" t="str">
        <f t="shared" ca="1" si="5"/>
        <v>Insufficient financial return</v>
      </c>
      <c r="F17" s="279" t="str">
        <f t="shared" ca="1" si="6"/>
        <v>Changes in legislation or policy</v>
      </c>
      <c r="G17" s="280" t="str">
        <f t="shared" ca="1" si="7"/>
        <v>Low roundwood demand - longer haulage</v>
      </c>
      <c r="V17" s="458"/>
      <c r="W17" s="458"/>
      <c r="X17" s="458"/>
      <c r="Y17" s="458"/>
      <c r="Z17" s="458"/>
      <c r="AA17" s="458"/>
    </row>
    <row r="21" spans="1:27" ht="14.4" thickBot="1" x14ac:dyDescent="0.3"/>
    <row r="22" spans="1:27" x14ac:dyDescent="0.25">
      <c r="B22" s="398" t="s">
        <v>769</v>
      </c>
      <c r="C22" s="399"/>
      <c r="D22" s="399"/>
      <c r="E22" s="399"/>
      <c r="F22" s="399"/>
      <c r="G22" s="399"/>
      <c r="H22" s="399"/>
      <c r="I22" s="399"/>
      <c r="J22" s="399"/>
      <c r="K22" s="399"/>
      <c r="L22" s="399"/>
      <c r="M22" s="399"/>
      <c r="N22" s="399"/>
      <c r="O22" s="399"/>
      <c r="P22" s="399"/>
      <c r="Q22" s="399"/>
      <c r="R22" s="399"/>
      <c r="S22" s="399"/>
      <c r="T22" s="399"/>
      <c r="U22" s="400"/>
    </row>
    <row r="23" spans="1:27" ht="15" customHeight="1" thickBot="1" x14ac:dyDescent="0.3">
      <c r="A23" s="174"/>
      <c r="B23" s="401" t="s">
        <v>539</v>
      </c>
      <c r="C23" s="402" t="s">
        <v>540</v>
      </c>
      <c r="D23" s="402" t="s">
        <v>541</v>
      </c>
      <c r="E23" s="402" t="s">
        <v>542</v>
      </c>
      <c r="F23" s="402" t="s">
        <v>543</v>
      </c>
      <c r="G23" s="402" t="s">
        <v>544</v>
      </c>
      <c r="H23" s="402" t="s">
        <v>388</v>
      </c>
      <c r="I23" s="402" t="s">
        <v>389</v>
      </c>
      <c r="J23" s="402" t="s">
        <v>392</v>
      </c>
      <c r="K23" s="402" t="s">
        <v>391</v>
      </c>
      <c r="L23" s="402" t="s">
        <v>390</v>
      </c>
      <c r="M23" s="402" t="s">
        <v>393</v>
      </c>
      <c r="N23" s="402" t="s">
        <v>545</v>
      </c>
      <c r="O23" s="402" t="s">
        <v>546</v>
      </c>
      <c r="P23" s="402" t="s">
        <v>396</v>
      </c>
      <c r="Q23" s="402" t="s">
        <v>397</v>
      </c>
      <c r="R23" s="402" t="s">
        <v>398</v>
      </c>
      <c r="S23" s="402" t="s">
        <v>399</v>
      </c>
      <c r="T23" s="402" t="s">
        <v>400</v>
      </c>
      <c r="U23" s="403" t="s">
        <v>547</v>
      </c>
      <c r="V23" s="172"/>
      <c r="W23" s="172"/>
      <c r="X23" s="172"/>
      <c r="Y23" s="172"/>
      <c r="Z23" s="172"/>
      <c r="AA23" s="172"/>
    </row>
  </sheetData>
  <mergeCells count="7">
    <mergeCell ref="B2:G2"/>
    <mergeCell ref="H2:O2"/>
    <mergeCell ref="P2:U2"/>
    <mergeCell ref="V2:AA2"/>
    <mergeCell ref="B11:D11"/>
    <mergeCell ref="E11:G11"/>
    <mergeCell ref="V11:AA17"/>
  </mergeCells>
  <conditionalFormatting sqref="V5:AA5 W6:AA9">
    <cfRule type="containsText" dxfId="29" priority="48" operator="containsText" text="No clear ">
      <formula>NOT(ISERROR(SEARCH("No clear ",V5)))</formula>
    </cfRule>
    <cfRule type="containsText" dxfId="28" priority="49" operator="containsText" text="Unlikely">
      <formula>NOT(ISERROR(SEARCH("Unlikely",V5)))</formula>
    </cfRule>
    <cfRule type="containsText" dxfId="27" priority="50" operator="containsText" text="Likely">
      <formula>NOT(ISERROR(SEARCH("Likely",V5)))</formula>
    </cfRule>
    <cfRule type="cellIs" dxfId="26" priority="51" operator="equal">
      <formula>Likely</formula>
    </cfRule>
    <cfRule type="expression" dxfId="25" priority="52">
      <formula>"Likely"</formula>
    </cfRule>
  </conditionalFormatting>
  <conditionalFormatting sqref="V5:AA5 W6:AA9">
    <cfRule type="colorScale" priority="53">
      <colorScale>
        <cfvo type="min"/>
        <cfvo type="percentile" val="50"/>
        <cfvo type="max"/>
        <color rgb="FF63BE7B"/>
        <color rgb="FFFFEB84"/>
        <color rgb="FFF8696B"/>
      </colorScale>
    </cfRule>
  </conditionalFormatting>
  <conditionalFormatting sqref="V6:V9">
    <cfRule type="containsText" dxfId="24" priority="42" operator="containsText" text="No clear ">
      <formula>NOT(ISERROR(SEARCH("No clear ",V6)))</formula>
    </cfRule>
    <cfRule type="containsText" dxfId="23" priority="43" operator="containsText" text="Unlikely">
      <formula>NOT(ISERROR(SEARCH("Unlikely",V6)))</formula>
    </cfRule>
    <cfRule type="containsText" dxfId="22" priority="44" operator="containsText" text="Likely">
      <formula>NOT(ISERROR(SEARCH("Likely",V6)))</formula>
    </cfRule>
    <cfRule type="cellIs" dxfId="21" priority="45" operator="equal">
      <formula>Likely</formula>
    </cfRule>
    <cfRule type="expression" dxfId="20" priority="46">
      <formula>"Likely"</formula>
    </cfRule>
  </conditionalFormatting>
  <conditionalFormatting sqref="V6:V9">
    <cfRule type="colorScale" priority="47">
      <colorScale>
        <cfvo type="min"/>
        <cfvo type="percentile" val="50"/>
        <cfvo type="max"/>
        <color rgb="FF63BE7B"/>
        <color rgb="FFFFEB84"/>
        <color rgb="FFF8696B"/>
      </colorScale>
    </cfRule>
  </conditionalFormatting>
  <conditionalFormatting sqref="B5:B9">
    <cfRule type="cellIs" dxfId="19" priority="13" operator="equal">
      <formula>"No consensus"</formula>
    </cfRule>
    <cfRule type="cellIs" dxfId="18" priority="14" operator="equal">
      <formula>"Most of the time/yes, always"</formula>
    </cfRule>
    <cfRule type="cellIs" dxfId="17" priority="15" operator="equal">
      <formula>"Most of the time"</formula>
    </cfRule>
    <cfRule type="cellIs" dxfId="16" priority="16" operator="equal">
      <formula>"Sometimes/most of the time"</formula>
    </cfRule>
    <cfRule type="cellIs" dxfId="15" priority="17" operator="equal">
      <formula>"Definitely not/sometimes"</formula>
    </cfRule>
    <cfRule type="cellIs" dxfId="14" priority="18" operator="equal">
      <formula>"Yes, always"</formula>
    </cfRule>
    <cfRule type="cellIs" dxfId="13" priority="19" operator="equal">
      <formula>"Sometimes"</formula>
    </cfRule>
    <cfRule type="cellIs" dxfId="12" priority="20" operator="equal">
      <formula>"Definitely not"</formula>
    </cfRule>
  </conditionalFormatting>
  <conditionalFormatting sqref="C5:F9">
    <cfRule type="cellIs" dxfId="11" priority="1" operator="equal">
      <formula>"Very likely"</formula>
    </cfRule>
    <cfRule type="cellIs" dxfId="10" priority="2" operator="equal">
      <formula>"Likely/very likely"</formula>
    </cfRule>
    <cfRule type="cellIs" dxfId="9" priority="3" operator="equal">
      <formula>"Likely"</formula>
    </cfRule>
    <cfRule type="cellIs" dxfId="8" priority="4" operator="equal">
      <formula>"Moderately likely/likely"</formula>
    </cfRule>
    <cfRule type="cellIs" dxfId="7" priority="5" operator="equal">
      <formula>"Moderately likely"</formula>
    </cfRule>
    <cfRule type="cellIs" dxfId="6" priority="6" operator="equal">
      <formula>"No consensus"</formula>
    </cfRule>
    <cfRule type="cellIs" dxfId="5" priority="7" operator="equal">
      <formula>"Moderately unlikely/moderately likely"</formula>
    </cfRule>
    <cfRule type="cellIs" dxfId="4" priority="8" operator="equal">
      <formula>"Moderately unlikely"</formula>
    </cfRule>
    <cfRule type="cellIs" dxfId="3" priority="9" operator="equal">
      <formula>"Unlikely/moderately unlikely"</formula>
    </cfRule>
    <cfRule type="cellIs" dxfId="2" priority="10" operator="equal">
      <formula>"Unlikely"</formula>
    </cfRule>
    <cfRule type="cellIs" dxfId="1" priority="11" operator="equal">
      <formula>"Very unlikely/unlikely"</formula>
    </cfRule>
    <cfRule type="cellIs" dxfId="0" priority="12" operator="equal">
      <formula>"Very unlikely"</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sheetPr>
  <dimension ref="A1:M54"/>
  <sheetViews>
    <sheetView zoomScale="60" zoomScaleNormal="60" workbookViewId="0"/>
  </sheetViews>
  <sheetFormatPr defaultColWidth="8.69921875" defaultRowHeight="13.8" x14ac:dyDescent="0.25"/>
  <cols>
    <col min="1" max="1" width="9.3984375" style="167" customWidth="1"/>
    <col min="2" max="2" width="8.69921875" style="167"/>
    <col min="3" max="3" width="18.3984375" style="167" customWidth="1"/>
    <col min="4" max="4" width="13.3984375" style="167" customWidth="1"/>
    <col min="5" max="5" width="107.8984375" style="228" customWidth="1"/>
    <col min="6" max="11" width="20.3984375" style="167" customWidth="1"/>
    <col min="12" max="13" width="8.69921875" style="2"/>
    <col min="14" max="16384" width="8.69921875" style="167"/>
  </cols>
  <sheetData>
    <row r="1" spans="1:12" x14ac:dyDescent="0.25">
      <c r="L1" s="305"/>
    </row>
    <row r="2" spans="1:12" s="165" customFormat="1" x14ac:dyDescent="0.25">
      <c r="A2" s="164" t="s">
        <v>0</v>
      </c>
      <c r="B2" s="164">
        <v>26</v>
      </c>
      <c r="C2" s="268" t="str">
        <f ca="1">(INDIRECT("'S"&amp;$B$2&amp;" likelihood'!$c$2"))</f>
        <v xml:space="preserve">Additional wood (in comparison to the counterfactual) from the conversion of abandoned agricultural land in USA that was previously annually ploughed, to an SRC hardwood plantation that is coppiced every 3 years. Assumed exported to UK from South USA. </v>
      </c>
      <c r="D2" s="223"/>
      <c r="E2" s="223"/>
      <c r="F2" s="164"/>
      <c r="G2" s="164"/>
      <c r="H2" s="164"/>
      <c r="I2" s="164"/>
      <c r="J2" s="164"/>
      <c r="K2" s="164"/>
      <c r="L2" s="306"/>
    </row>
    <row r="3" spans="1:12" x14ac:dyDescent="0.25">
      <c r="L3" s="305"/>
    </row>
    <row r="4" spans="1:12" s="165" customFormat="1" x14ac:dyDescent="0.25">
      <c r="A4" s="164" t="s">
        <v>30</v>
      </c>
      <c r="B4" s="164"/>
      <c r="C4" s="164"/>
      <c r="D4" s="164"/>
      <c r="E4" s="223"/>
      <c r="F4" s="164"/>
      <c r="G4" s="164"/>
      <c r="H4" s="164"/>
      <c r="I4" s="164"/>
      <c r="J4" s="164"/>
      <c r="K4" s="164"/>
      <c r="L4" s="306"/>
    </row>
    <row r="5" spans="1:12" x14ac:dyDescent="0.25">
      <c r="L5" s="305"/>
    </row>
    <row r="6" spans="1:12" ht="33.75" customHeight="1" x14ac:dyDescent="0.25">
      <c r="A6" s="492" t="str">
        <f>USA_text</f>
        <v xml:space="preserve">A full description of evidence found in the literature review and references for sources, is given in Section 4 of the report, and summarised in Section 4.7.  A full description of the evidence provided by SRTS modelling is in Section 6.5, and comments from the questionnaire are discussed in full in Section 8 and provided in Appendix 4 </v>
      </c>
      <c r="B6" s="492"/>
      <c r="C6" s="492"/>
      <c r="D6" s="492"/>
      <c r="E6" s="492"/>
      <c r="F6" s="492"/>
      <c r="G6" s="492"/>
      <c r="H6" s="492"/>
      <c r="I6" s="492"/>
      <c r="J6" s="492"/>
      <c r="K6" s="492"/>
      <c r="L6" s="305"/>
    </row>
    <row r="7" spans="1:12" x14ac:dyDescent="0.25">
      <c r="L7" s="305"/>
    </row>
    <row r="8" spans="1:12" ht="78" customHeight="1" x14ac:dyDescent="0.25">
      <c r="A8" s="460" t="s">
        <v>359</v>
      </c>
      <c r="B8" s="460"/>
      <c r="C8" s="460"/>
      <c r="D8" s="216" t="s">
        <v>365</v>
      </c>
      <c r="E8" s="216" t="s">
        <v>366</v>
      </c>
      <c r="F8" s="225" t="s">
        <v>368</v>
      </c>
      <c r="G8" s="225" t="s">
        <v>488</v>
      </c>
      <c r="H8" s="225" t="s">
        <v>489</v>
      </c>
      <c r="I8" s="225" t="s">
        <v>490</v>
      </c>
      <c r="J8" s="225" t="s">
        <v>491</v>
      </c>
      <c r="K8" s="225" t="s">
        <v>367</v>
      </c>
      <c r="L8" s="305"/>
    </row>
    <row r="9" spans="1:12" s="165" customFormat="1" x14ac:dyDescent="0.25">
      <c r="A9" s="166" t="s">
        <v>360</v>
      </c>
      <c r="B9" s="166"/>
      <c r="C9" s="166"/>
      <c r="D9" s="166"/>
      <c r="E9" s="224"/>
      <c r="F9" s="166"/>
      <c r="G9" s="166"/>
      <c r="H9" s="166"/>
      <c r="I9" s="166"/>
      <c r="J9" s="166"/>
      <c r="K9" s="166"/>
      <c r="L9" s="306"/>
    </row>
    <row r="10" spans="1:12" s="169" customFormat="1" ht="96.6" x14ac:dyDescent="0.25">
      <c r="A10" s="461" t="s">
        <v>492</v>
      </c>
      <c r="B10" s="462"/>
      <c r="C10" s="462"/>
      <c r="D10" s="171" t="s">
        <v>493</v>
      </c>
      <c r="E10" s="273" t="s">
        <v>690</v>
      </c>
      <c r="F10" s="247"/>
      <c r="G10" s="247"/>
      <c r="H10" s="247"/>
      <c r="I10" s="281"/>
      <c r="J10" s="247"/>
      <c r="K10" s="301"/>
      <c r="L10" s="307"/>
    </row>
    <row r="11" spans="1:12" ht="27.6" x14ac:dyDescent="0.25">
      <c r="A11" s="463" t="s">
        <v>301</v>
      </c>
      <c r="B11" s="464"/>
      <c r="C11" s="465"/>
      <c r="D11" s="215" t="s">
        <v>688</v>
      </c>
      <c r="E11" s="261" t="str">
        <f ca="1">(INDIRECT("'S"&amp;$B$2&amp;" likelihood'!$B$11"))</f>
        <v xml:space="preserve">All twelve respondents felt the practices are either definitely not or sometimes occurring. </v>
      </c>
      <c r="F11" s="245">
        <f ca="1">(INDIRECT("'S"&amp;$B$2&amp;" likelihood'!$D$28"))</f>
        <v>12</v>
      </c>
      <c r="G11" s="245">
        <f ca="1">(INDIRECT("'S"&amp;$B$2&amp;" likelihood'!$E$28"))</f>
        <v>0</v>
      </c>
      <c r="H11" s="246">
        <f ca="1">G11/F11</f>
        <v>0</v>
      </c>
      <c r="I11" s="281"/>
      <c r="J11" s="247"/>
      <c r="K11" s="302" t="str">
        <f ca="1">INDIRECT("'S"&amp;$B$2&amp;" likelihood'!$E$10")</f>
        <v>Definitely not/sometimes</v>
      </c>
      <c r="L11" s="305"/>
    </row>
    <row r="12" spans="1:12" ht="41.4" x14ac:dyDescent="0.25">
      <c r="A12" s="466"/>
      <c r="B12" s="467"/>
      <c r="C12" s="468"/>
      <c r="D12" s="215" t="s">
        <v>689</v>
      </c>
      <c r="E12" s="261" t="str">
        <f ca="1">(INDIRECT("'S"&amp;$B$2&amp;" survey Comments'!$B$3"))</f>
        <v>Short rotation hardwood plantations are very rare in SE USA. There are a few small scale experimental plantations of Miscanthus, cottonwood and eucalyptus, but these are for the pulp and paper market. The chemical content of the fibre is problematic for industrial wood pellets.</v>
      </c>
      <c r="F12" s="247"/>
      <c r="G12" s="247"/>
      <c r="H12" s="247"/>
      <c r="I12" s="281"/>
      <c r="J12" s="247"/>
      <c r="K12" s="301"/>
      <c r="L12" s="305"/>
    </row>
    <row r="13" spans="1:12" ht="27.6" x14ac:dyDescent="0.25">
      <c r="A13" s="466"/>
      <c r="B13" s="467"/>
      <c r="C13" s="468"/>
      <c r="D13" s="215" t="s">
        <v>362</v>
      </c>
      <c r="E13" s="262" t="str">
        <f ca="1">(INDIRECT("'S"&amp;$B$2&amp;" Lit Review'!$B$3"))</f>
        <v>There is no evidence that pellet demand will encourage planting of short rotation coppice in the SE USA</v>
      </c>
      <c r="F13" s="247"/>
      <c r="G13" s="247"/>
      <c r="H13" s="247"/>
      <c r="I13" s="281"/>
      <c r="J13" s="245" t="str">
        <f ca="1">(INDIRECT("'S"&amp;$B$2&amp;" Lit Review'!$D$3"))</f>
        <v>Good</v>
      </c>
      <c r="K13" s="302" t="str">
        <f ca="1">(INDIRECT("'S"&amp;$B$2&amp;" Lit Review'!$C$3"))</f>
        <v>Definitely not</v>
      </c>
      <c r="L13" s="305"/>
    </row>
    <row r="14" spans="1:12" ht="27.6" x14ac:dyDescent="0.25">
      <c r="A14" s="469"/>
      <c r="B14" s="470"/>
      <c r="C14" s="471"/>
      <c r="D14" s="168" t="s">
        <v>494</v>
      </c>
      <c r="E14" s="263" t="s">
        <v>554</v>
      </c>
      <c r="F14" s="247"/>
      <c r="G14" s="247"/>
      <c r="H14" s="247"/>
      <c r="I14" s="281"/>
      <c r="J14" s="247"/>
      <c r="K14" s="301"/>
      <c r="L14" s="305"/>
    </row>
    <row r="15" spans="1:12" ht="27.6" x14ac:dyDescent="0.25">
      <c r="A15" s="472" t="s">
        <v>487</v>
      </c>
      <c r="B15" s="464"/>
      <c r="C15" s="465"/>
      <c r="D15" s="215" t="s">
        <v>362</v>
      </c>
      <c r="E15" s="262" t="str">
        <f ca="1">(INDIRECT("'S"&amp;$B$2&amp;" Lit Review'!$B$4"))</f>
        <v>There is very little short rotation coppice in the USA</v>
      </c>
      <c r="F15" s="247"/>
      <c r="G15" s="247"/>
      <c r="H15" s="247"/>
      <c r="I15" s="281"/>
      <c r="J15" s="245" t="str">
        <f ca="1">(INDIRECT("'S"&amp;$B$2&amp;" Lit Review'!$D$4"))</f>
        <v>Good</v>
      </c>
      <c r="K15" s="301"/>
      <c r="L15" s="305"/>
    </row>
    <row r="16" spans="1:12" ht="27.6" x14ac:dyDescent="0.25">
      <c r="A16" s="469"/>
      <c r="B16" s="470"/>
      <c r="C16" s="471"/>
      <c r="D16" s="168" t="s">
        <v>494</v>
      </c>
      <c r="E16" s="263" t="s">
        <v>554</v>
      </c>
      <c r="F16" s="247"/>
      <c r="G16" s="247"/>
      <c r="H16" s="247"/>
      <c r="I16" s="281"/>
      <c r="J16" s="247"/>
      <c r="K16" s="301"/>
      <c r="L16" s="305"/>
    </row>
    <row r="17" spans="1:12" ht="27.6" x14ac:dyDescent="0.25">
      <c r="A17" s="473" t="s">
        <v>363</v>
      </c>
      <c r="B17" s="473"/>
      <c r="C17" s="473"/>
      <c r="D17" s="215" t="s">
        <v>689</v>
      </c>
      <c r="E17" s="274">
        <f ca="1">(INDIRECT("'S"&amp;$B$2&amp;" survey Comments'!$B$4"))</f>
        <v>0</v>
      </c>
      <c r="F17" s="247"/>
      <c r="G17" s="247"/>
      <c r="H17" s="247"/>
      <c r="I17" s="281"/>
      <c r="J17" s="247"/>
      <c r="K17" s="301"/>
      <c r="L17" s="305"/>
    </row>
    <row r="18" spans="1:12" ht="27.6" x14ac:dyDescent="0.25">
      <c r="A18" s="459" t="s">
        <v>364</v>
      </c>
      <c r="B18" s="459"/>
      <c r="C18" s="459"/>
      <c r="D18" s="215" t="s">
        <v>689</v>
      </c>
      <c r="E18" s="274">
        <f ca="1">(INDIRECT("'S"&amp;$B$2&amp;" survey Comments'!$B$5"))</f>
        <v>0</v>
      </c>
      <c r="F18" s="247"/>
      <c r="G18" s="247"/>
      <c r="H18" s="247"/>
      <c r="I18" s="281"/>
      <c r="J18" s="247"/>
      <c r="K18" s="301"/>
      <c r="L18" s="305"/>
    </row>
    <row r="19" spans="1:12" s="165" customFormat="1" x14ac:dyDescent="0.25">
      <c r="A19" s="166" t="s">
        <v>369</v>
      </c>
      <c r="B19" s="166"/>
      <c r="C19" s="166"/>
      <c r="D19" s="166"/>
      <c r="E19" s="226"/>
      <c r="F19" s="248"/>
      <c r="G19" s="248"/>
      <c r="H19" s="248"/>
      <c r="I19" s="248"/>
      <c r="J19" s="248"/>
      <c r="K19" s="248"/>
      <c r="L19" s="306"/>
    </row>
    <row r="20" spans="1:12" ht="27.6" x14ac:dyDescent="0.25">
      <c r="A20" s="477" t="s">
        <v>322</v>
      </c>
      <c r="B20" s="478"/>
      <c r="C20" s="479"/>
      <c r="D20" s="215" t="s">
        <v>688</v>
      </c>
      <c r="E20" s="261" t="str">
        <f ca="1">(INDIRECT("'S"&amp;$B$2&amp;" likelihood'!$S$11"))</f>
        <v xml:space="preserve">The majority of the 10 respondents felt the scenario is very unlikely to occur. </v>
      </c>
      <c r="F20" s="245">
        <f ca="1">(INDIRECT("'S"&amp;$B$2&amp;" likelihood'!$U$28"))</f>
        <v>10</v>
      </c>
      <c r="G20" s="245">
        <f ca="1">(INDIRECT("'S"&amp;$B$2&amp;" likelihood'!$V$28"))</f>
        <v>0</v>
      </c>
      <c r="H20" s="246">
        <f ca="1">IFERROR(G20/F20,0)</f>
        <v>0</v>
      </c>
      <c r="I20" s="281"/>
      <c r="J20" s="247"/>
      <c r="K20" s="302" t="str">
        <f ca="1">INDIRECT("'S"&amp;$B$2&amp;" likelihood'!$V$10")</f>
        <v>Very unlikely</v>
      </c>
      <c r="L20" s="305"/>
    </row>
    <row r="21" spans="1:12" ht="27.6" x14ac:dyDescent="0.25">
      <c r="A21" s="480"/>
      <c r="B21" s="481"/>
      <c r="C21" s="482"/>
      <c r="D21" s="215" t="s">
        <v>689</v>
      </c>
      <c r="E21" s="261" t="str">
        <f ca="1">(INDIRECT("'S"&amp;$B$2&amp;" survey Comments'!$B$6"))</f>
        <v>No comments</v>
      </c>
      <c r="F21" s="247"/>
      <c r="G21" s="247"/>
      <c r="H21" s="247"/>
      <c r="I21" s="281"/>
      <c r="J21" s="247"/>
      <c r="K21" s="301"/>
      <c r="L21" s="305"/>
    </row>
    <row r="22" spans="1:12" ht="27.6" x14ac:dyDescent="0.25">
      <c r="A22" s="477" t="s">
        <v>356</v>
      </c>
      <c r="B22" s="478"/>
      <c r="C22" s="479"/>
      <c r="D22" s="215" t="s">
        <v>362</v>
      </c>
      <c r="E22" s="262" t="str">
        <f ca="1">(INDIRECT("'S"&amp;$B$2&amp;" Lit Review'!$B$5"))</f>
        <v>There is no evidence in the literature that energy crops would be more economically viable than planted pine.</v>
      </c>
      <c r="F22" s="247"/>
      <c r="G22" s="247"/>
      <c r="H22" s="247"/>
      <c r="I22" s="281"/>
      <c r="J22" s="245" t="str">
        <f ca="1">(INDIRECT("'S"&amp;$B$2&amp;" Lit Review'!$D$5"))</f>
        <v>Good</v>
      </c>
      <c r="K22" s="302" t="str">
        <f ca="1">(INDIRECT("'S"&amp;$B$2&amp;" Lit Review'!$C$5"))</f>
        <v>Very unlikely</v>
      </c>
      <c r="L22" s="305"/>
    </row>
    <row r="23" spans="1:12" ht="27.6" x14ac:dyDescent="0.25">
      <c r="A23" s="480"/>
      <c r="B23" s="481"/>
      <c r="C23" s="482"/>
      <c r="D23" s="168" t="s">
        <v>494</v>
      </c>
      <c r="E23" s="263" t="s">
        <v>554</v>
      </c>
      <c r="F23" s="247"/>
      <c r="G23" s="247"/>
      <c r="H23" s="247"/>
      <c r="I23" s="281"/>
      <c r="J23" s="247"/>
      <c r="K23" s="301"/>
      <c r="L23" s="305"/>
    </row>
    <row r="24" spans="1:12" ht="27.6" x14ac:dyDescent="0.25">
      <c r="A24" s="477" t="s">
        <v>328</v>
      </c>
      <c r="B24" s="478"/>
      <c r="C24" s="479"/>
      <c r="D24" s="215" t="s">
        <v>688</v>
      </c>
      <c r="E24" s="261" t="str">
        <f ca="1">(INDIRECT("'S"&amp;$B$2&amp;" likelihood'!$AH$11"))</f>
        <v>The most common response is that this scenario is very unlikely/unlikely to occur. Four respondents felt the scenario moderately unlikely/moderately likely.</v>
      </c>
      <c r="F24" s="245">
        <f ca="1">(INDIRECT("'S"&amp;$B$2&amp;" likelihood'!$AJ$28"))</f>
        <v>16</v>
      </c>
      <c r="G24" s="245">
        <f ca="1">(INDIRECT("'S"&amp;$B$2&amp;" likelihood'!$Ak$28"))</f>
        <v>1</v>
      </c>
      <c r="H24" s="246">
        <f ca="1">IFERROR(G24/F24,0)</f>
        <v>6.25E-2</v>
      </c>
      <c r="I24" s="281"/>
      <c r="J24" s="247"/>
      <c r="K24" s="302" t="str">
        <f ca="1">INDIRECT("'S"&amp;$B$2&amp;" likelihood'!$AK$10")</f>
        <v>Very unlikely/unlikely</v>
      </c>
      <c r="L24" s="305"/>
    </row>
    <row r="25" spans="1:12" ht="27.6" x14ac:dyDescent="0.25">
      <c r="A25" s="480"/>
      <c r="B25" s="481"/>
      <c r="C25" s="482"/>
      <c r="D25" s="215" t="s">
        <v>689</v>
      </c>
      <c r="E25" s="261" t="str">
        <f ca="1">(INDIRECT("'S"&amp;$B$2&amp;" survey Comments'!$B$7"))</f>
        <v>SRC hardwood plantations are not prevalent in the Southeastern US and are unlikely to occur in the future. SRC is not a desirable feedstock for wood pellet production. These plantations are difficult to establish and expensive</v>
      </c>
      <c r="F25" s="247"/>
      <c r="G25" s="247"/>
      <c r="H25" s="247"/>
      <c r="I25" s="281"/>
      <c r="J25" s="247"/>
      <c r="K25" s="301"/>
      <c r="L25" s="305"/>
    </row>
    <row r="26" spans="1:12" ht="27.6" x14ac:dyDescent="0.25">
      <c r="A26" s="477" t="s">
        <v>347</v>
      </c>
      <c r="B26" s="478"/>
      <c r="C26" s="479"/>
      <c r="D26" s="215" t="s">
        <v>688</v>
      </c>
      <c r="E26" s="261" t="str">
        <f ca="1">(INDIRECT("'S"&amp;$B$2&amp;" likelihood'!$AW$11"))</f>
        <v>The most common response is that this scenario is very unlikely/unlikely to occur. Four respondents felt it moderately likely.</v>
      </c>
      <c r="F26" s="245">
        <f ca="1">(INDIRECT("'S"&amp;$B$2&amp;" likelihood'!$AY$28"))</f>
        <v>16</v>
      </c>
      <c r="G26" s="245">
        <f ca="1">(INDIRECT("'S"&amp;$B$2&amp;" likelihood'!$Az$28"))</f>
        <v>1</v>
      </c>
      <c r="H26" s="246">
        <f ca="1">IFERROR(G26/F26,0)</f>
        <v>6.25E-2</v>
      </c>
      <c r="I26" s="281"/>
      <c r="J26" s="247"/>
      <c r="K26" s="302" t="str">
        <f ca="1">INDIRECT("'S"&amp;$B$2&amp;" likelihood'!$AZ$10")</f>
        <v>Very unlikely/unlikely</v>
      </c>
      <c r="L26" s="305"/>
    </row>
    <row r="27" spans="1:12" ht="27.6" x14ac:dyDescent="0.25">
      <c r="A27" s="480"/>
      <c r="B27" s="481"/>
      <c r="C27" s="482"/>
      <c r="D27" s="215" t="s">
        <v>689</v>
      </c>
      <c r="E27" s="261" t="str">
        <f ca="1">(INDIRECT("'S"&amp;$B$2&amp;" survey Comments'!$B$8"))</f>
        <v>SRC hardwood plantations are not prevalent in the Southeastern US and are unlikely to occur in the future. SRC is not a desirable feedstock for wood pellet production. These plantations are difficult to establish and expensive</v>
      </c>
      <c r="F27" s="247"/>
      <c r="G27" s="247"/>
      <c r="H27" s="247"/>
      <c r="I27" s="281"/>
      <c r="J27" s="247"/>
      <c r="K27" s="301"/>
      <c r="L27" s="305"/>
    </row>
    <row r="28" spans="1:12" ht="27.6" x14ac:dyDescent="0.25">
      <c r="A28" s="477" t="s">
        <v>348</v>
      </c>
      <c r="B28" s="478"/>
      <c r="C28" s="479"/>
      <c r="D28" s="215" t="s">
        <v>688</v>
      </c>
      <c r="E28" s="261" t="str">
        <f ca="1">(INDIRECT("'S"&amp;$B$2&amp;" likelihood'!$BL$11"))</f>
        <v>The most common response is that this scenario is very unlikely/unlikely to occur. Four respondents felt it moderately likely.</v>
      </c>
      <c r="F28" s="245">
        <f ca="1">(INDIRECT("'S"&amp;$B$2&amp;" likelihood'!$BN$28"))</f>
        <v>16</v>
      </c>
      <c r="G28" s="245">
        <f ca="1">(INDIRECT("'S"&amp;$B$2&amp;" likelihood'!$Bo$28"))</f>
        <v>1</v>
      </c>
      <c r="H28" s="246">
        <f ca="1">IFERROR(G28/F28,0)</f>
        <v>6.25E-2</v>
      </c>
      <c r="I28" s="281"/>
      <c r="J28" s="247"/>
      <c r="K28" s="302" t="str">
        <f ca="1">INDIRECT("'S"&amp;$B$2&amp;" likelihood'!$BO$10")</f>
        <v>Very unlikely/unlikely</v>
      </c>
      <c r="L28" s="305"/>
    </row>
    <row r="29" spans="1:12" ht="27.6" x14ac:dyDescent="0.25">
      <c r="A29" s="480"/>
      <c r="B29" s="481"/>
      <c r="C29" s="482"/>
      <c r="D29" s="215" t="s">
        <v>689</v>
      </c>
      <c r="E29" s="261" t="str">
        <f ca="1">(INDIRECT("'S"&amp;$B$2&amp;" survey Comments'!$B$9"))</f>
        <v>SRC hardwood plantations are not prevalent in the Southeastern US and are unlikely to occur in the future. SRC is not a desirable feedstock for wood pellet production. These plantations are difficult to establish and expensive</v>
      </c>
      <c r="F29" s="247"/>
      <c r="G29" s="247"/>
      <c r="H29" s="247"/>
      <c r="I29" s="281"/>
      <c r="J29" s="247"/>
      <c r="K29" s="301"/>
      <c r="L29" s="305"/>
    </row>
    <row r="30" spans="1:12" ht="27.6" x14ac:dyDescent="0.25">
      <c r="A30" s="477" t="s">
        <v>355</v>
      </c>
      <c r="B30" s="478"/>
      <c r="C30" s="479"/>
      <c r="D30" s="215" t="s">
        <v>362</v>
      </c>
      <c r="E30" s="262" t="str">
        <f ca="1">(INDIRECT("'S"&amp;$B$2&amp;" Lit Review'!$B$6"))</f>
        <v>There is no evidence in the literature that energy crops would be more economically viable than planted pine.</v>
      </c>
      <c r="F30" s="247"/>
      <c r="G30" s="247"/>
      <c r="H30" s="247"/>
      <c r="I30" s="281"/>
      <c r="J30" s="245" t="str">
        <f ca="1">(INDIRECT("'S"&amp;$B$2&amp;" Lit Review'!$D$6"))</f>
        <v>Good</v>
      </c>
      <c r="K30" s="302" t="str">
        <f ca="1">(INDIRECT("'S"&amp;$B$2&amp;" Lit Review'!$C$6"))</f>
        <v>Very unlikely</v>
      </c>
      <c r="L30" s="305"/>
    </row>
    <row r="31" spans="1:12" ht="27.6" x14ac:dyDescent="0.25">
      <c r="A31" s="480"/>
      <c r="B31" s="481"/>
      <c r="C31" s="482"/>
      <c r="D31" s="168" t="s">
        <v>494</v>
      </c>
      <c r="E31" s="263" t="s">
        <v>554</v>
      </c>
      <c r="F31" s="247"/>
      <c r="G31" s="247"/>
      <c r="H31" s="247"/>
      <c r="I31" s="281"/>
      <c r="J31" s="247"/>
      <c r="K31" s="301"/>
      <c r="L31" s="305"/>
    </row>
    <row r="32" spans="1:12" ht="27.6" x14ac:dyDescent="0.25">
      <c r="A32" s="483" t="s">
        <v>354</v>
      </c>
      <c r="B32" s="484"/>
      <c r="C32" s="485"/>
      <c r="D32" s="215" t="s">
        <v>362</v>
      </c>
      <c r="E32" s="262" t="str">
        <f ca="1">(INDIRECT("'S"&amp;$B$2&amp;" Lit Review'!$B$7"))</f>
        <v>This is not financially attractive now</v>
      </c>
      <c r="F32" s="247"/>
      <c r="G32" s="247"/>
      <c r="H32" s="247"/>
      <c r="I32" s="281"/>
      <c r="J32" s="245" t="str">
        <f ca="1">(INDIRECT("'S"&amp;$B$2&amp;" Lit Review'!$D$7"))</f>
        <v>Good</v>
      </c>
      <c r="K32" s="301"/>
      <c r="L32" s="305"/>
    </row>
    <row r="33" spans="1:12" s="165" customFormat="1" x14ac:dyDescent="0.25">
      <c r="A33" s="166" t="s">
        <v>495</v>
      </c>
      <c r="B33" s="166"/>
      <c r="C33" s="166"/>
      <c r="D33" s="166"/>
      <c r="E33" s="166"/>
      <c r="F33" s="248"/>
      <c r="G33" s="248"/>
      <c r="H33" s="248"/>
      <c r="I33" s="248"/>
      <c r="J33" s="248"/>
      <c r="K33" s="248"/>
      <c r="L33" s="306"/>
    </row>
    <row r="34" spans="1:12" s="165" customFormat="1" ht="14.4" x14ac:dyDescent="0.25">
      <c r="A34" s="486" t="s">
        <v>496</v>
      </c>
      <c r="B34" s="487"/>
      <c r="C34" s="487"/>
      <c r="D34" s="461" t="s">
        <v>688</v>
      </c>
      <c r="E34" s="261" t="str">
        <f ca="1">(INDIRECT("'S"&amp;$B$2&amp;" likelihood'!$cd22"))</f>
        <v>Increased pellet demand allows sufficient financial return</v>
      </c>
      <c r="F34" s="474">
        <f ca="1">(INDIRECT("'S"&amp;$B$2&amp;" likelihood'!$cb$28"))</f>
        <v>7</v>
      </c>
      <c r="G34" s="249"/>
      <c r="H34" s="249"/>
      <c r="I34" s="511"/>
      <c r="J34" s="250"/>
      <c r="K34" s="303" t="str">
        <f ca="1">(INDIRECT("'S"&amp;$B$2&amp;" likelihood'!$Ci$22"))</f>
        <v>Moderately unlikely</v>
      </c>
      <c r="L34" s="306"/>
    </row>
    <row r="35" spans="1:12" s="165" customFormat="1" ht="14.4" x14ac:dyDescent="0.25">
      <c r="A35" s="488"/>
      <c r="B35" s="488"/>
      <c r="C35" s="488"/>
      <c r="D35" s="490"/>
      <c r="E35" s="261" t="str">
        <f ca="1">(INDIRECT("'S"&amp;$B$2&amp;" likelihood'!$cd23"))</f>
        <v>Changes in forest incentives</v>
      </c>
      <c r="F35" s="475"/>
      <c r="G35" s="249"/>
      <c r="H35" s="249"/>
      <c r="I35" s="512"/>
      <c r="J35" s="251"/>
      <c r="K35" s="303" t="str">
        <f ca="1">(INDIRECT("'S"&amp;$B$2&amp;" likelihood'!$Ci$23"))</f>
        <v>Very unlikely</v>
      </c>
      <c r="L35" s="306"/>
    </row>
    <row r="36" spans="1:12" ht="14.4" x14ac:dyDescent="0.25">
      <c r="A36" s="488"/>
      <c r="B36" s="488"/>
      <c r="C36" s="488"/>
      <c r="D36" s="491"/>
      <c r="E36" s="261" t="str">
        <f ca="1">(INDIRECT("'S"&amp;$B$2&amp;" likelihood'!$cd24"))</f>
        <v>Changes in legislation or policy</v>
      </c>
      <c r="F36" s="476"/>
      <c r="G36" s="252"/>
      <c r="H36" s="252"/>
      <c r="I36" s="513"/>
      <c r="J36" s="253"/>
      <c r="K36" s="303" t="str">
        <f ca="1">(INDIRECT("'S"&amp;$B$2&amp;" likelihood'!$Ci$24"))</f>
        <v>Unlikely</v>
      </c>
      <c r="L36" s="305"/>
    </row>
    <row r="37" spans="1:12" ht="27.6" x14ac:dyDescent="0.25">
      <c r="A37" s="489"/>
      <c r="B37" s="489"/>
      <c r="C37" s="489"/>
      <c r="D37" s="215" t="s">
        <v>689</v>
      </c>
      <c r="E37" s="261" t="str">
        <f ca="1">(INDIRECT("'S"&amp;$B$2&amp;" survey Comments'!$B$10"))</f>
        <v xml:space="preserve">It is doubtful that financial returns for SRC plantations could ever compete with agricultural and urban land use options. Current sustainability guidelines and technical specifications would need to change to enable use of fibre from this source for pellets. </v>
      </c>
      <c r="F37" s="254"/>
      <c r="G37" s="254"/>
      <c r="H37" s="254"/>
      <c r="I37" s="255"/>
      <c r="J37" s="255"/>
      <c r="K37" s="301"/>
      <c r="L37" s="305"/>
    </row>
    <row r="38" spans="1:12" ht="14.4" x14ac:dyDescent="0.25">
      <c r="A38" s="499" t="s">
        <v>483</v>
      </c>
      <c r="B38" s="500"/>
      <c r="C38" s="501"/>
      <c r="D38" s="461" t="s">
        <v>688</v>
      </c>
      <c r="E38" s="261" t="str">
        <f ca="1">(INDIRECT("'S"&amp;$B$2&amp;" likelihood'!$cv22"))</f>
        <v>Insufficient financial return</v>
      </c>
      <c r="F38" s="508">
        <f ca="1">(INDIRECT("'S"&amp;$B$2&amp;" likelihood'!$ct$28"))</f>
        <v>9</v>
      </c>
      <c r="G38" s="247"/>
      <c r="H38" s="247"/>
      <c r="I38" s="511"/>
      <c r="J38" s="493"/>
      <c r="K38" s="303" t="str">
        <f ca="1">(INDIRECT("'S"&amp;$B$2&amp;" likelihood'!$da$22"))</f>
        <v>Likely</v>
      </c>
      <c r="L38" s="305"/>
    </row>
    <row r="39" spans="1:12" ht="14.4" x14ac:dyDescent="0.25">
      <c r="A39" s="502"/>
      <c r="B39" s="503"/>
      <c r="C39" s="504"/>
      <c r="D39" s="490"/>
      <c r="E39" s="261" t="str">
        <f ca="1">(INDIRECT("'S"&amp;$B$2&amp;" likelihood'!$cv23"))</f>
        <v>Other</v>
      </c>
      <c r="F39" s="509"/>
      <c r="G39" s="247"/>
      <c r="H39" s="247"/>
      <c r="I39" s="512"/>
      <c r="J39" s="493"/>
      <c r="K39" s="303" t="str">
        <f ca="1">(INDIRECT("'S"&amp;$B$2&amp;" likelihood'!$da$23"))</f>
        <v>Moderately likely</v>
      </c>
      <c r="L39" s="305"/>
    </row>
    <row r="40" spans="1:12" ht="14.4" x14ac:dyDescent="0.25">
      <c r="A40" s="502"/>
      <c r="B40" s="503"/>
      <c r="C40" s="504"/>
      <c r="D40" s="491"/>
      <c r="E40" s="261" t="str">
        <f ca="1">(INDIRECT("'S"&amp;$B$2&amp;" likelihood'!$cv24"))</f>
        <v>Other uses increase land value</v>
      </c>
      <c r="F40" s="510"/>
      <c r="G40" s="247"/>
      <c r="H40" s="247"/>
      <c r="I40" s="513"/>
      <c r="J40" s="493"/>
      <c r="K40" s="303" t="str">
        <f ca="1">(INDIRECT("'S"&amp;$B$2&amp;" likelihood'!$da$24"))</f>
        <v>Moderately likely</v>
      </c>
      <c r="L40" s="305"/>
    </row>
    <row r="41" spans="1:12" ht="27.6" x14ac:dyDescent="0.25">
      <c r="A41" s="505"/>
      <c r="B41" s="506"/>
      <c r="C41" s="507"/>
      <c r="D41" s="214" t="s">
        <v>689</v>
      </c>
      <c r="E41" s="261" t="str">
        <f ca="1">(INDIRECT("'S"&amp;$B$2&amp;" survey Comments'!$B$11"))</f>
        <v>These practices are very unlikely as SRC is an undesirable feedstock for pellets. Reduction or elimination of UK subsidies would ensure the practice is not economically feasible.</v>
      </c>
      <c r="F41" s="247"/>
      <c r="G41" s="247"/>
      <c r="H41" s="247"/>
      <c r="I41" s="256"/>
      <c r="J41" s="256"/>
      <c r="K41" s="301"/>
      <c r="L41" s="305"/>
    </row>
    <row r="42" spans="1:12" ht="41.4" x14ac:dyDescent="0.25">
      <c r="A42" s="494" t="s">
        <v>352</v>
      </c>
      <c r="B42" s="487"/>
      <c r="C42" s="495"/>
      <c r="D42" s="214" t="s">
        <v>689</v>
      </c>
      <c r="E42" s="261" t="str">
        <f ca="1">(INDIRECT("'S"&amp;$B$2&amp;" survey Comments'!$B$12"))</f>
        <v xml:space="preserve">Not at present. The US DA has supported energy crop research programmes and the Biomass Crop Assistance Program incentivises the planting of energy crops by farmers by providing grants for establishment but this is related to the renewable Fuel Standard for liquid biofuels. </v>
      </c>
      <c r="F42" s="256"/>
      <c r="G42" s="256"/>
      <c r="H42" s="256"/>
      <c r="I42" s="256"/>
      <c r="J42" s="256"/>
      <c r="K42" s="301"/>
      <c r="L42" s="305"/>
    </row>
    <row r="43" spans="1:12" ht="27.6" x14ac:dyDescent="0.25">
      <c r="A43" s="496"/>
      <c r="B43" s="489"/>
      <c r="C43" s="497"/>
      <c r="D43" s="215" t="s">
        <v>362</v>
      </c>
      <c r="E43" s="262" t="str">
        <f ca="1">(INDIRECT("'S"&amp;$B$2&amp;" Lit Review'!$B$8"))</f>
        <v>There is good evidence that this is not economically viable at present</v>
      </c>
      <c r="F43" s="247"/>
      <c r="G43" s="247"/>
      <c r="H43" s="247"/>
      <c r="I43" s="281"/>
      <c r="J43" s="245" t="str">
        <f ca="1">(INDIRECT("'S"&amp;$B$2&amp;" Lit Review'!$D$8"))</f>
        <v>Good</v>
      </c>
      <c r="K43" s="304"/>
      <c r="L43" s="305"/>
    </row>
    <row r="44" spans="1:12" s="165" customFormat="1" x14ac:dyDescent="0.25">
      <c r="A44" s="166" t="s">
        <v>374</v>
      </c>
      <c r="B44" s="166"/>
      <c r="C44" s="166"/>
      <c r="D44" s="166"/>
      <c r="E44" s="239"/>
      <c r="F44" s="248"/>
      <c r="G44" s="248"/>
      <c r="H44" s="248"/>
      <c r="I44" s="248"/>
      <c r="J44" s="248"/>
      <c r="K44" s="248"/>
      <c r="L44" s="306"/>
    </row>
    <row r="45" spans="1:12" ht="27.6" x14ac:dyDescent="0.25">
      <c r="A45" s="477" t="s">
        <v>375</v>
      </c>
      <c r="B45" s="478"/>
      <c r="C45" s="479"/>
      <c r="D45" s="215" t="s">
        <v>688</v>
      </c>
      <c r="E45" s="261" t="str">
        <f ca="1">(INDIRECT("'S"&amp;$B$2&amp;" likelihood'!$Dk$11"))</f>
        <v xml:space="preserve">All 12 respondents felt the counterfactual is definitely not or only sometimes accurate. </v>
      </c>
      <c r="F45" s="245">
        <f ca="1">(INDIRECT("'S"&amp;$B$2&amp;" likelihood'!$Dm$28"))</f>
        <v>12</v>
      </c>
      <c r="G45" s="245">
        <f ca="1">(INDIRECT("'S"&amp;$B$2&amp;" likelihood'!$Dn$28"))</f>
        <v>0</v>
      </c>
      <c r="H45" s="246">
        <f ca="1">IFERROR(G45/F45,0)</f>
        <v>0</v>
      </c>
      <c r="I45" s="281"/>
      <c r="J45" s="256"/>
      <c r="K45" s="302" t="str">
        <f ca="1">INDIRECT("'S"&amp;$B$2&amp;" likelihood'!$Dn$10")</f>
        <v>Definitely not/sometimes</v>
      </c>
      <c r="L45" s="305"/>
    </row>
    <row r="46" spans="1:12" ht="55.2" x14ac:dyDescent="0.25">
      <c r="A46" s="480"/>
      <c r="B46" s="481"/>
      <c r="C46" s="482"/>
      <c r="D46" s="215" t="s">
        <v>689</v>
      </c>
      <c r="E46" s="261" t="str">
        <f ca="1">(INDIRECT("'S"&amp;$B$2&amp;" survey Comments'!$B$13"))</f>
        <v>Use of abandoned agricultural land is not influenced by pellet demand. It depends on landowner objectives, and may include conversion to urban land or recreation as alternatives to natural forest regeneration. Abandoned agricultural land will revert to the local vegetation, most likely pine or mixed forest, with only a very small area having climatic conditions suitable for moist subtropical deciduous forest.</v>
      </c>
      <c r="F46" s="247"/>
      <c r="G46" s="247"/>
      <c r="H46" s="247"/>
      <c r="I46" s="281"/>
      <c r="J46" s="247"/>
      <c r="K46" s="301"/>
      <c r="L46" s="305"/>
    </row>
    <row r="47" spans="1:12" s="169" customFormat="1" ht="14.4" x14ac:dyDescent="0.25">
      <c r="A47" s="498" t="s">
        <v>376</v>
      </c>
      <c r="B47" s="498"/>
      <c r="C47" s="498"/>
      <c r="D47" s="227"/>
      <c r="E47" s="227"/>
      <c r="F47" s="257"/>
      <c r="G47" s="257"/>
      <c r="H47" s="257"/>
      <c r="I47" s="257"/>
      <c r="J47" s="257"/>
      <c r="K47" s="257"/>
      <c r="L47" s="307"/>
    </row>
    <row r="48" spans="1:12" s="169" customFormat="1" ht="69" x14ac:dyDescent="0.25">
      <c r="A48" s="491"/>
      <c r="B48" s="491"/>
      <c r="C48" s="491"/>
      <c r="D48" s="215" t="s">
        <v>689</v>
      </c>
      <c r="E48" s="261" t="str">
        <f ca="1">(INDIRECT("'S"&amp;$B$2&amp;" survey Comments'!$B$14"))</f>
        <v>The conversion of abandoned agricultural land to SRC for pellet production is extremely rare to date in SE USA and is unlikely to happen for economic and practical reasons. In particular returns are unlikely to compete with alternative land uses, and the fibre produced is unsuitable for the technical specifications of industrial wood pellets. The counterfactual of reverting to natural moist semi tropical deciduous forest is unrealistic. Natural reversion is unlikely, and if it does occur it will be to the prevalent local pine or mixed forest.</v>
      </c>
      <c r="F48" s="247"/>
      <c r="G48" s="247"/>
      <c r="H48" s="247"/>
      <c r="I48" s="245" t="str">
        <f ca="1">IF(INDIRECT("'S"&amp;$B$2&amp;" likelihood'!$D$4")&lt;=Somewhat_confident_threshold, "Somewhat confident",IF(AND(INDIRECT("'S"&amp;$B$2&amp;" likelihood'!$D$4")&gt;Somewhat_confident_threshold,INDIRECT("'S"&amp;$B$2&amp;" likelihood'!$D$4")&lt;=Confident_threshold),"Confident","Very confident"))</f>
        <v>Confident</v>
      </c>
      <c r="J48" s="247"/>
      <c r="K48" s="301"/>
      <c r="L48" s="307"/>
    </row>
    <row r="49" spans="5:11" s="169" customFormat="1" x14ac:dyDescent="0.25">
      <c r="E49" s="264"/>
      <c r="I49" s="167"/>
    </row>
    <row r="50" spans="5:11" s="169" customFormat="1" x14ac:dyDescent="0.25">
      <c r="E50" s="213"/>
      <c r="I50" s="167"/>
    </row>
    <row r="51" spans="5:11" s="169" customFormat="1" x14ac:dyDescent="0.25">
      <c r="E51" s="213"/>
      <c r="I51" s="167"/>
    </row>
    <row r="52" spans="5:11" s="169" customFormat="1" x14ac:dyDescent="0.25">
      <c r="E52" s="213"/>
      <c r="I52" s="167"/>
      <c r="K52" s="169">
        <f ca="1">LARGE((INDIRECT("'S"&amp;$B$2&amp;" likelihood'!$ch11"),INDIRECT("'S"&amp;$B$2&amp;" likelihood'!$ch12"),INDIRECT("'S"&amp;$B$2&amp;" likelihood'!$ch13"),INDIRECT("'S"&amp;$B$2&amp;" likelihood'!$ch14"),INDIRECT("'S"&amp;$B$2&amp;" likelihood'!$ch15"),INDIRECT("'S"&amp;$B$2&amp;" likelihood'!$ch16"),INDIRECT("'S"&amp;$B$2&amp;" likelihood'!$ch17"),INDIRECT("'S"&amp;$B$2&amp;" likelihood'!$ch18")),1)</f>
        <v>2</v>
      </c>
    </row>
    <row r="53" spans="5:11" s="169" customFormat="1" x14ac:dyDescent="0.25">
      <c r="E53" s="213"/>
      <c r="I53" s="167"/>
    </row>
    <row r="54" spans="5:11" x14ac:dyDescent="0.25">
      <c r="E54" s="213"/>
    </row>
  </sheetData>
  <mergeCells count="27">
    <mergeCell ref="A6:K6"/>
    <mergeCell ref="J38:J40"/>
    <mergeCell ref="A42:C43"/>
    <mergeCell ref="A48:C48"/>
    <mergeCell ref="A45:C46"/>
    <mergeCell ref="A47:C47"/>
    <mergeCell ref="A38:C41"/>
    <mergeCell ref="D38:D40"/>
    <mergeCell ref="F38:F40"/>
    <mergeCell ref="I38:I40"/>
    <mergeCell ref="I34:I36"/>
    <mergeCell ref="A20:C21"/>
    <mergeCell ref="A22:C23"/>
    <mergeCell ref="A24:C25"/>
    <mergeCell ref="A26:C27"/>
    <mergeCell ref="A28:C29"/>
    <mergeCell ref="F34:F36"/>
    <mergeCell ref="A30:C31"/>
    <mergeCell ref="A32:C32"/>
    <mergeCell ref="A34:C37"/>
    <mergeCell ref="D34:D36"/>
    <mergeCell ref="A18:C18"/>
    <mergeCell ref="A8:C8"/>
    <mergeCell ref="A10:C10"/>
    <mergeCell ref="A11:C14"/>
    <mergeCell ref="A15:C16"/>
    <mergeCell ref="A17:C1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sheetPr>
  <dimension ref="A1:M54"/>
  <sheetViews>
    <sheetView zoomScale="60" zoomScaleNormal="60" workbookViewId="0"/>
  </sheetViews>
  <sheetFormatPr defaultColWidth="8.69921875" defaultRowHeight="13.8" x14ac:dyDescent="0.25"/>
  <cols>
    <col min="1" max="1" width="9.3984375" style="167" customWidth="1"/>
    <col min="2" max="2" width="8.69921875" style="167"/>
    <col min="3" max="3" width="18.3984375" style="167" customWidth="1"/>
    <col min="4" max="4" width="13.3984375" style="167" customWidth="1"/>
    <col min="5" max="5" width="107.8984375" style="228" customWidth="1"/>
    <col min="6" max="11" width="20.3984375" style="167" customWidth="1"/>
    <col min="12" max="13" width="8.69921875" style="2"/>
    <col min="14" max="16384" width="8.69921875" style="167"/>
  </cols>
  <sheetData>
    <row r="1" spans="1:12" x14ac:dyDescent="0.25">
      <c r="L1" s="305"/>
    </row>
    <row r="2" spans="1:12" s="165" customFormat="1" x14ac:dyDescent="0.25">
      <c r="A2" s="164" t="s">
        <v>0</v>
      </c>
      <c r="B2" s="164" t="s">
        <v>378</v>
      </c>
      <c r="C2" s="268" t="str">
        <f ca="1">(INDIRECT("'S"&amp;$B$2&amp;" likelihood'!$c$2"))</f>
        <v>Additional wood (in comparison to the counterfactual) from the conversion of unmanaged forest into production in South USA</v>
      </c>
      <c r="D2" s="223"/>
      <c r="E2" s="223"/>
      <c r="F2" s="164"/>
      <c r="G2" s="164"/>
      <c r="H2" s="164"/>
      <c r="I2" s="164"/>
      <c r="J2" s="164"/>
      <c r="K2" s="164"/>
      <c r="L2" s="306"/>
    </row>
    <row r="3" spans="1:12" x14ac:dyDescent="0.25">
      <c r="L3" s="305"/>
    </row>
    <row r="4" spans="1:12" s="165" customFormat="1" x14ac:dyDescent="0.25">
      <c r="A4" s="164" t="s">
        <v>30</v>
      </c>
      <c r="B4" s="164"/>
      <c r="C4" s="164"/>
      <c r="D4" s="164"/>
      <c r="E4" s="223"/>
      <c r="F4" s="164"/>
      <c r="G4" s="164"/>
      <c r="H4" s="164"/>
      <c r="I4" s="164"/>
      <c r="J4" s="164"/>
      <c r="K4" s="164"/>
      <c r="L4" s="306"/>
    </row>
    <row r="5" spans="1:12" x14ac:dyDescent="0.25">
      <c r="L5" s="305"/>
    </row>
    <row r="6" spans="1:12" ht="33.75" customHeight="1" x14ac:dyDescent="0.25">
      <c r="A6" s="492" t="str">
        <f>USA_text</f>
        <v xml:space="preserve">A full description of evidence found in the literature review and references for sources, is given in Section 4 of the report, and summarised in Section 4.7.  A full description of the evidence provided by SRTS modelling is in Section 6.5, and comments from the questionnaire are discussed in full in Section 8 and provided in Appendix 4 </v>
      </c>
      <c r="B6" s="492"/>
      <c r="C6" s="492"/>
      <c r="D6" s="492"/>
      <c r="E6" s="492"/>
      <c r="F6" s="492"/>
      <c r="G6" s="492"/>
      <c r="H6" s="492"/>
      <c r="I6" s="492"/>
      <c r="J6" s="492"/>
      <c r="K6" s="492"/>
      <c r="L6" s="305"/>
    </row>
    <row r="7" spans="1:12" x14ac:dyDescent="0.25">
      <c r="L7" s="305"/>
    </row>
    <row r="8" spans="1:12" ht="78" customHeight="1" x14ac:dyDescent="0.25">
      <c r="A8" s="460" t="s">
        <v>359</v>
      </c>
      <c r="B8" s="460"/>
      <c r="C8" s="460"/>
      <c r="D8" s="216" t="s">
        <v>365</v>
      </c>
      <c r="E8" s="216" t="s">
        <v>366</v>
      </c>
      <c r="F8" s="225" t="s">
        <v>368</v>
      </c>
      <c r="G8" s="225" t="s">
        <v>488</v>
      </c>
      <c r="H8" s="225" t="s">
        <v>489</v>
      </c>
      <c r="I8" s="225" t="s">
        <v>490</v>
      </c>
      <c r="J8" s="225" t="s">
        <v>491</v>
      </c>
      <c r="K8" s="225" t="s">
        <v>367</v>
      </c>
      <c r="L8" s="305"/>
    </row>
    <row r="9" spans="1:12" s="165" customFormat="1" x14ac:dyDescent="0.25">
      <c r="A9" s="166" t="s">
        <v>360</v>
      </c>
      <c r="B9" s="166"/>
      <c r="C9" s="166"/>
      <c r="D9" s="166"/>
      <c r="E9" s="224"/>
      <c r="F9" s="166"/>
      <c r="G9" s="166"/>
      <c r="H9" s="166"/>
      <c r="I9" s="166"/>
      <c r="J9" s="166"/>
      <c r="K9" s="166"/>
      <c r="L9" s="306"/>
    </row>
    <row r="10" spans="1:12" s="169" customFormat="1" ht="179.4" x14ac:dyDescent="0.25">
      <c r="A10" s="461" t="s">
        <v>492</v>
      </c>
      <c r="B10" s="462"/>
      <c r="C10" s="462"/>
      <c r="D10" s="171" t="s">
        <v>493</v>
      </c>
      <c r="E10" s="273" t="s">
        <v>691</v>
      </c>
      <c r="F10" s="247"/>
      <c r="G10" s="247"/>
      <c r="H10" s="247"/>
      <c r="I10" s="281"/>
      <c r="J10" s="247"/>
      <c r="K10" s="301"/>
      <c r="L10" s="307"/>
    </row>
    <row r="11" spans="1:12" ht="27.6" x14ac:dyDescent="0.25">
      <c r="A11" s="463" t="s">
        <v>301</v>
      </c>
      <c r="B11" s="464"/>
      <c r="C11" s="465"/>
      <c r="D11" s="215" t="s">
        <v>688</v>
      </c>
      <c r="E11" s="261" t="str">
        <f ca="1">(INDIRECT("'S"&amp;$B$2&amp;" likelihood'!$B$11"))</f>
        <v xml:space="preserve">The majority of respondents felt that the practices described in the scenario are already occurring sometimes. </v>
      </c>
      <c r="F11" s="245">
        <f ca="1">(INDIRECT("'S"&amp;$B$2&amp;" likelihood'!$D$28"))</f>
        <v>18</v>
      </c>
      <c r="G11" s="245">
        <f ca="1">(INDIRECT("'S"&amp;$B$2&amp;" likelihood'!$E$28"))</f>
        <v>2</v>
      </c>
      <c r="H11" s="246">
        <f ca="1">G11/F11</f>
        <v>0.1111111111111111</v>
      </c>
      <c r="I11" s="281"/>
      <c r="J11" s="247"/>
      <c r="K11" s="302" t="str">
        <f ca="1">INDIRECT("'S"&amp;$B$2&amp;" likelihood'!$E$10")</f>
        <v>Sometimes</v>
      </c>
      <c r="L11" s="305"/>
    </row>
    <row r="12" spans="1:12" ht="41.4" x14ac:dyDescent="0.25">
      <c r="A12" s="466"/>
      <c r="B12" s="467"/>
      <c r="C12" s="468"/>
      <c r="D12" s="215" t="s">
        <v>689</v>
      </c>
      <c r="E12" s="261" t="str">
        <f ca="1">(INDIRECT("'S"&amp;$B$2&amp;" survey Comments'!$B$3"))</f>
        <v>Unmanaged forests can be converted to managed forests, but this is not tied to pellet demand. It is likely to occur due to improvements in timber markets, change in land ownership, and objectives for stand improvement. Current trends are for less land to be actively managed.</v>
      </c>
      <c r="F12" s="247"/>
      <c r="G12" s="247"/>
      <c r="H12" s="247"/>
      <c r="I12" s="281"/>
      <c r="J12" s="247"/>
      <c r="K12" s="301"/>
      <c r="L12" s="305"/>
    </row>
    <row r="13" spans="1:12" ht="69" x14ac:dyDescent="0.25">
      <c r="A13" s="466"/>
      <c r="B13" s="467"/>
      <c r="C13" s="468"/>
      <c r="D13" s="215" t="s">
        <v>362</v>
      </c>
      <c r="E13" s="262" t="str">
        <f ca="1">(INDIRECT("'S"&amp;$B$2&amp;" Lit Review'!$B$3"))</f>
        <v xml:space="preserve">There are two types of forest that may be affected by this scenario: a) forests that are legally protected from harvest, via conservation easements or wetland or wilderness designation or similar, and b) forests that are owned by family forestland owners because they like owning forestland (for aesthetic or other purposes).  Neither category is being harvested now, but category a) are going to be legally protected and will not be harvested under any circumstances, while category b) are the forests that might come into production if the price increases enough.  </v>
      </c>
      <c r="F13" s="247"/>
      <c r="G13" s="247"/>
      <c r="H13" s="247"/>
      <c r="I13" s="281"/>
      <c r="J13" s="245" t="str">
        <f ca="1">(INDIRECT("'S"&amp;$B$2&amp;" Lit Review'!$D$3"))</f>
        <v>Good</v>
      </c>
      <c r="K13" s="302" t="str">
        <f ca="1">(INDIRECT("'S"&amp;$B$2&amp;" Lit Review'!$C$3"))</f>
        <v>Definitely not</v>
      </c>
      <c r="L13" s="305"/>
    </row>
    <row r="14" spans="1:12" ht="27.6" x14ac:dyDescent="0.25">
      <c r="A14" s="469"/>
      <c r="B14" s="470"/>
      <c r="C14" s="471"/>
      <c r="D14" s="168" t="s">
        <v>494</v>
      </c>
      <c r="E14" s="263" t="s">
        <v>554</v>
      </c>
      <c r="F14" s="247"/>
      <c r="G14" s="247"/>
      <c r="H14" s="247"/>
      <c r="I14" s="281"/>
      <c r="J14" s="247"/>
      <c r="K14" s="301"/>
      <c r="L14" s="305"/>
    </row>
    <row r="15" spans="1:12" ht="41.4" x14ac:dyDescent="0.25">
      <c r="A15" s="472" t="s">
        <v>487</v>
      </c>
      <c r="B15" s="464"/>
      <c r="C15" s="465"/>
      <c r="D15" s="215" t="s">
        <v>362</v>
      </c>
      <c r="E15" s="262" t="str">
        <f ca="1">(INDIRECT("'S"&amp;$B$2&amp;" Lit Review'!$B$4"))</f>
        <v xml:space="preserve">This is not occurring now: pellet demand does not drive the management of unmanaged forest. Small scale private forest owners will harvest for a variety of reasons and will be attracted by the return from saw timber. Pellet demand may make this marginally more attractive, but there is no evidence in the literature. </v>
      </c>
      <c r="F15" s="247"/>
      <c r="G15" s="247"/>
      <c r="H15" s="247"/>
      <c r="I15" s="281"/>
      <c r="J15" s="245" t="str">
        <f ca="1">(INDIRECT("'S"&amp;$B$2&amp;" Lit Review'!$D$4"))</f>
        <v>Good</v>
      </c>
      <c r="K15" s="301"/>
      <c r="L15" s="305"/>
    </row>
    <row r="16" spans="1:12" ht="27.6" x14ac:dyDescent="0.25">
      <c r="A16" s="469"/>
      <c r="B16" s="470"/>
      <c r="C16" s="471"/>
      <c r="D16" s="168" t="s">
        <v>494</v>
      </c>
      <c r="E16" s="263" t="s">
        <v>554</v>
      </c>
      <c r="F16" s="247"/>
      <c r="G16" s="247"/>
      <c r="H16" s="247"/>
      <c r="I16" s="281"/>
      <c r="J16" s="247"/>
      <c r="K16" s="301"/>
      <c r="L16" s="305"/>
    </row>
    <row r="17" spans="1:12" ht="27.6" x14ac:dyDescent="0.25">
      <c r="A17" s="473" t="s">
        <v>363</v>
      </c>
      <c r="B17" s="473"/>
      <c r="C17" s="473"/>
      <c r="D17" s="215" t="s">
        <v>689</v>
      </c>
      <c r="E17" s="274" t="str">
        <f ca="1">(INDIRECT("'S"&amp;$B$2&amp;" survey Comments'!$B$4"))</f>
        <v xml:space="preserve">Some foresters said that harvest levels have plummeted in the past two decades and they are managing less. </v>
      </c>
      <c r="F17" s="247"/>
      <c r="G17" s="247"/>
      <c r="H17" s="247"/>
      <c r="I17" s="281"/>
      <c r="J17" s="247"/>
      <c r="K17" s="301"/>
      <c r="L17" s="305"/>
    </row>
    <row r="18" spans="1:12" ht="27.6" x14ac:dyDescent="0.25">
      <c r="A18" s="459" t="s">
        <v>364</v>
      </c>
      <c r="B18" s="459"/>
      <c r="C18" s="459"/>
      <c r="D18" s="215" t="s">
        <v>689</v>
      </c>
      <c r="E18" s="274" t="str">
        <f ca="1">(INDIRECT("'S"&amp;$B$2&amp;" survey Comments'!$B$5"))</f>
        <v xml:space="preserve">In the US South East only 3% of family forest owners have a management plant and only 13% have received management advice. This makes it difficult to assess the amount of land affected. One respondent said &gt;70% of land was affected. </v>
      </c>
      <c r="F18" s="247"/>
      <c r="G18" s="247"/>
      <c r="H18" s="247"/>
      <c r="I18" s="281"/>
      <c r="J18" s="247"/>
      <c r="K18" s="301"/>
      <c r="L18" s="305"/>
    </row>
    <row r="19" spans="1:12" s="165" customFormat="1" x14ac:dyDescent="0.25">
      <c r="A19" s="166" t="s">
        <v>369</v>
      </c>
      <c r="B19" s="166"/>
      <c r="C19" s="166"/>
      <c r="D19" s="166"/>
      <c r="E19" s="226"/>
      <c r="F19" s="248"/>
      <c r="G19" s="248"/>
      <c r="H19" s="248"/>
      <c r="I19" s="248"/>
      <c r="J19" s="248"/>
      <c r="K19" s="248"/>
      <c r="L19" s="306"/>
    </row>
    <row r="20" spans="1:12" ht="27.6" x14ac:dyDescent="0.25">
      <c r="A20" s="477" t="s">
        <v>322</v>
      </c>
      <c r="B20" s="478"/>
      <c r="C20" s="479"/>
      <c r="D20" s="215" t="s">
        <v>688</v>
      </c>
      <c r="E20" s="261" t="str">
        <f ca="1">(INDIRECT("'S"&amp;$B$2&amp;" likelihood'!$S$11"))</f>
        <v>The most common response is that the scenario is moderately likely/likely to occur. Four respondents felt the scenario is very likely to occur. A minority felt the scenario very unlikely.</v>
      </c>
      <c r="F20" s="245">
        <f ca="1">(INDIRECT("'S"&amp;$B$2&amp;" likelihood'!$U$28"))</f>
        <v>17</v>
      </c>
      <c r="G20" s="245">
        <f ca="1">(INDIRECT("'S"&amp;$B$2&amp;" likelihood'!$V$28"))</f>
        <v>2</v>
      </c>
      <c r="H20" s="246">
        <f ca="1">IFERROR(G20/F20,0)</f>
        <v>0.11764705882352941</v>
      </c>
      <c r="I20" s="281"/>
      <c r="J20" s="247"/>
      <c r="K20" s="302" t="str">
        <f ca="1">INDIRECT("'S"&amp;$B$2&amp;" likelihood'!$V$10")</f>
        <v>Moderately likely/likely</v>
      </c>
      <c r="L20" s="305"/>
    </row>
    <row r="21" spans="1:12" ht="27.6" x14ac:dyDescent="0.25">
      <c r="A21" s="480"/>
      <c r="B21" s="481"/>
      <c r="C21" s="482"/>
      <c r="D21" s="215" t="s">
        <v>689</v>
      </c>
      <c r="E21" s="261" t="str">
        <f ca="1">(INDIRECT("'S"&amp;$B$2&amp;" survey Comments'!$B$6"))</f>
        <v>All southern forests are managed to some extent and undermanaged forests are likely to be brought back into some form of management to some degree.</v>
      </c>
      <c r="F21" s="247"/>
      <c r="G21" s="247"/>
      <c r="H21" s="247"/>
      <c r="I21" s="281"/>
      <c r="J21" s="247"/>
      <c r="K21" s="301"/>
      <c r="L21" s="305"/>
    </row>
    <row r="22" spans="1:12" ht="27.6" x14ac:dyDescent="0.25">
      <c r="A22" s="477" t="s">
        <v>356</v>
      </c>
      <c r="B22" s="478"/>
      <c r="C22" s="479"/>
      <c r="D22" s="215" t="s">
        <v>362</v>
      </c>
      <c r="E22" s="262" t="str">
        <f ca="1">(INDIRECT("'S"&amp;$B$2&amp;" Lit Review'!$B$5"))</f>
        <v>Pellet demand would not cause forest that is set aside for conservation to be brought into production. Current prices are not sufficient to encourage family forestland to be harvested for pellets alone.</v>
      </c>
      <c r="F22" s="247"/>
      <c r="G22" s="247"/>
      <c r="H22" s="247"/>
      <c r="I22" s="281"/>
      <c r="J22" s="245" t="str">
        <f ca="1">(INDIRECT("'S"&amp;$B$2&amp;" Lit Review'!$D$5"))</f>
        <v>Good</v>
      </c>
      <c r="K22" s="302" t="str">
        <f ca="1">(INDIRECT("'S"&amp;$B$2&amp;" Lit Review'!$C$5"))</f>
        <v>Very unlikely</v>
      </c>
      <c r="L22" s="305"/>
    </row>
    <row r="23" spans="1:12" ht="27.6" x14ac:dyDescent="0.25">
      <c r="A23" s="480"/>
      <c r="B23" s="481"/>
      <c r="C23" s="482"/>
      <c r="D23" s="168" t="s">
        <v>494</v>
      </c>
      <c r="E23" s="263" t="s">
        <v>554</v>
      </c>
      <c r="F23" s="247"/>
      <c r="G23" s="247"/>
      <c r="H23" s="247"/>
      <c r="I23" s="281"/>
      <c r="J23" s="247"/>
      <c r="K23" s="301"/>
      <c r="L23" s="305"/>
    </row>
    <row r="24" spans="1:12" ht="27.6" x14ac:dyDescent="0.25">
      <c r="A24" s="477" t="s">
        <v>328</v>
      </c>
      <c r="B24" s="478"/>
      <c r="C24" s="479"/>
      <c r="D24" s="215" t="s">
        <v>688</v>
      </c>
      <c r="E24" s="261" t="str">
        <f ca="1">(INDIRECT("'S"&amp;$B$2&amp;" likelihood'!$AH$11"))</f>
        <v>The most common view is that this scenario is likely to occur; however, almost an equal number felt the scenario very unlikely.</v>
      </c>
      <c r="F24" s="245">
        <f ca="1">(INDIRECT("'S"&amp;$B$2&amp;" likelihood'!$AJ$28"))</f>
        <v>15</v>
      </c>
      <c r="G24" s="245">
        <f ca="1">(INDIRECT("'S"&amp;$B$2&amp;" likelihood'!$Ak$28"))</f>
        <v>0</v>
      </c>
      <c r="H24" s="246">
        <f ca="1">IFERROR(G24/F24,0)</f>
        <v>0</v>
      </c>
      <c r="I24" s="281"/>
      <c r="J24" s="247"/>
      <c r="K24" s="302" t="str">
        <f ca="1">INDIRECT("'S"&amp;$B$2&amp;" likelihood'!$AK$10")</f>
        <v>No consensus</v>
      </c>
      <c r="L24" s="305"/>
    </row>
    <row r="25" spans="1:12" ht="69" x14ac:dyDescent="0.25">
      <c r="A25" s="480"/>
      <c r="B25" s="481"/>
      <c r="C25" s="482"/>
      <c r="D25" s="215" t="s">
        <v>689</v>
      </c>
      <c r="E25" s="261" t="str">
        <f ca="1">(INDIRECT("'S"&amp;$B$2&amp;" survey Comments'!$B$7"))</f>
        <v xml:space="preserve">Most respondents said that landowners who not currently managing their forests are unlikely to begin to manage it or to be aware of prices. Any decision is more likely to be related to saw timber prices. 
There were a minority of respondents who said that this is already happening due to new demand from pellets and will increase with higher prices. However, other respondents said this does not happen to primary forests or those in protected areas. 
</v>
      </c>
      <c r="F25" s="247"/>
      <c r="G25" s="247"/>
      <c r="H25" s="247"/>
      <c r="I25" s="281"/>
      <c r="J25" s="247"/>
      <c r="K25" s="301"/>
      <c r="L25" s="305"/>
    </row>
    <row r="26" spans="1:12" ht="27.6" x14ac:dyDescent="0.25">
      <c r="A26" s="477" t="s">
        <v>347</v>
      </c>
      <c r="B26" s="478"/>
      <c r="C26" s="479"/>
      <c r="D26" s="215" t="s">
        <v>688</v>
      </c>
      <c r="E26" s="261" t="str">
        <f ca="1">(INDIRECT("'S"&amp;$B$2&amp;" likelihood'!$AW$11"))</f>
        <v>The most common view is that the scenario very likely, but almost as many felt the scenario very unlikely/unlikely.</v>
      </c>
      <c r="F26" s="245">
        <f ca="1">(INDIRECT("'S"&amp;$B$2&amp;" likelihood'!$AY$28"))</f>
        <v>15</v>
      </c>
      <c r="G26" s="245">
        <f ca="1">(INDIRECT("'S"&amp;$B$2&amp;" likelihood'!$Az$28"))</f>
        <v>0</v>
      </c>
      <c r="H26" s="246">
        <f ca="1">IFERROR(G26/F26,0)</f>
        <v>0</v>
      </c>
      <c r="I26" s="281"/>
      <c r="J26" s="247"/>
      <c r="K26" s="302" t="str">
        <f ca="1">INDIRECT("'S"&amp;$B$2&amp;" likelihood'!$AZ$10")</f>
        <v>No consensus</v>
      </c>
      <c r="L26" s="305"/>
    </row>
    <row r="27" spans="1:12" ht="69" x14ac:dyDescent="0.25">
      <c r="A27" s="480"/>
      <c r="B27" s="481"/>
      <c r="C27" s="482"/>
      <c r="D27" s="215" t="s">
        <v>689</v>
      </c>
      <c r="E27" s="261" t="str">
        <f ca="1">(INDIRECT("'S"&amp;$B$2&amp;" survey Comments'!$B$8"))</f>
        <v xml:space="preserve">Most respondents said that landowners who not currently managing their forests are unlikely to begin to manage it or to be aware of prices. Any decision is more likely to be related to saw timber prices. 
There were a minority of respondents who said that this is already happening due to new demand from pellets and will increase with higher prices. However, other respondents said this does not happen to primary forests or those in protected areas. 
</v>
      </c>
      <c r="F27" s="247"/>
      <c r="G27" s="247"/>
      <c r="H27" s="247"/>
      <c r="I27" s="281"/>
      <c r="J27" s="247"/>
      <c r="K27" s="301"/>
      <c r="L27" s="305"/>
    </row>
    <row r="28" spans="1:12" ht="27.6" x14ac:dyDescent="0.25">
      <c r="A28" s="477" t="s">
        <v>348</v>
      </c>
      <c r="B28" s="478"/>
      <c r="C28" s="479"/>
      <c r="D28" s="215" t="s">
        <v>688</v>
      </c>
      <c r="E28" s="261" t="str">
        <f ca="1">(INDIRECT("'S"&amp;$B$2&amp;" likelihood'!$BL$11"))</f>
        <v>The most common view is that the scenario is very likely, but almost as many felt the scenario very unlikely/unlikely.</v>
      </c>
      <c r="F28" s="245">
        <f ca="1">(INDIRECT("'S"&amp;$B$2&amp;" likelihood'!$BN$28"))</f>
        <v>15</v>
      </c>
      <c r="G28" s="245">
        <f ca="1">(INDIRECT("'S"&amp;$B$2&amp;" likelihood'!$Bo$28"))</f>
        <v>0</v>
      </c>
      <c r="H28" s="246">
        <f ca="1">IFERROR(G28/F28,0)</f>
        <v>0</v>
      </c>
      <c r="I28" s="281"/>
      <c r="J28" s="247"/>
      <c r="K28" s="302" t="str">
        <f ca="1">INDIRECT("'S"&amp;$B$2&amp;" likelihood'!$BO$10")</f>
        <v>No consensus</v>
      </c>
      <c r="L28" s="305"/>
    </row>
    <row r="29" spans="1:12" ht="69" x14ac:dyDescent="0.25">
      <c r="A29" s="480"/>
      <c r="B29" s="481"/>
      <c r="C29" s="482"/>
      <c r="D29" s="215" t="s">
        <v>689</v>
      </c>
      <c r="E29" s="261" t="str">
        <f ca="1">(INDIRECT("'S"&amp;$B$2&amp;" survey Comments'!$B$9"))</f>
        <v xml:space="preserve">Most respondents said that landowners who not currently managing their forests are unlikely to begin to manage it or to be aware of prices. Any decision is more likely to be related to saw timber prices. 
There were a minority of respondents who said that this is already happening due to new demand from pellets and will increase with higher prices. However, other respondents said this does not happen to primary forests or those in protected areas. 
</v>
      </c>
      <c r="F29" s="247"/>
      <c r="G29" s="247"/>
      <c r="H29" s="247"/>
      <c r="I29" s="281"/>
      <c r="J29" s="247"/>
      <c r="K29" s="301"/>
      <c r="L29" s="305"/>
    </row>
    <row r="30" spans="1:12" ht="27.6" x14ac:dyDescent="0.25">
      <c r="A30" s="477" t="s">
        <v>355</v>
      </c>
      <c r="B30" s="478"/>
      <c r="C30" s="479"/>
      <c r="D30" s="215" t="s">
        <v>362</v>
      </c>
      <c r="E30" s="262" t="str">
        <f ca="1">(INDIRECT("'S"&amp;$B$2&amp;" Lit Review'!$B$6"))</f>
        <v>Pellet demand would not cause forest that is set aside for conservation to be brought into production. Current prices are not sufficient to encourage family forestland to be harvested for pellets.</v>
      </c>
      <c r="F30" s="247"/>
      <c r="G30" s="247"/>
      <c r="H30" s="247"/>
      <c r="I30" s="281"/>
      <c r="J30" s="245" t="str">
        <f ca="1">(INDIRECT("'S"&amp;$B$2&amp;" Lit Review'!$D$6"))</f>
        <v>Good</v>
      </c>
      <c r="K30" s="302" t="str">
        <f ca="1">(INDIRECT("'S"&amp;$B$2&amp;" Lit Review'!$C$6"))</f>
        <v>Very unlikely</v>
      </c>
      <c r="L30" s="305"/>
    </row>
    <row r="31" spans="1:12" ht="27.6" x14ac:dyDescent="0.25">
      <c r="A31" s="480"/>
      <c r="B31" s="481"/>
      <c r="C31" s="482"/>
      <c r="D31" s="168" t="s">
        <v>494</v>
      </c>
      <c r="E31" s="263" t="s">
        <v>554</v>
      </c>
      <c r="F31" s="247"/>
      <c r="G31" s="247"/>
      <c r="H31" s="247"/>
      <c r="I31" s="281"/>
      <c r="J31" s="247"/>
      <c r="K31" s="301"/>
      <c r="L31" s="305"/>
    </row>
    <row r="32" spans="1:12" ht="27.6" x14ac:dyDescent="0.25">
      <c r="A32" s="483" t="s">
        <v>354</v>
      </c>
      <c r="B32" s="484"/>
      <c r="C32" s="485"/>
      <c r="D32" s="215" t="s">
        <v>362</v>
      </c>
      <c r="E32" s="262" t="str">
        <f ca="1">(INDIRECT("'S"&amp;$B$2&amp;" Lit Review'!$B$7"))</f>
        <v>This is not financially attractive</v>
      </c>
      <c r="F32" s="247"/>
      <c r="G32" s="247"/>
      <c r="H32" s="247"/>
      <c r="I32" s="281"/>
      <c r="J32" s="245" t="str">
        <f ca="1">(INDIRECT("'S"&amp;$B$2&amp;" Lit Review'!$D$7"))</f>
        <v>Good</v>
      </c>
      <c r="K32" s="301"/>
      <c r="L32" s="305"/>
    </row>
    <row r="33" spans="1:12" s="165" customFormat="1" x14ac:dyDescent="0.25">
      <c r="A33" s="166" t="s">
        <v>495</v>
      </c>
      <c r="B33" s="166"/>
      <c r="C33" s="166"/>
      <c r="D33" s="166"/>
      <c r="E33" s="166"/>
      <c r="F33" s="248"/>
      <c r="G33" s="248"/>
      <c r="H33" s="248"/>
      <c r="I33" s="248"/>
      <c r="J33" s="248"/>
      <c r="K33" s="248"/>
      <c r="L33" s="306"/>
    </row>
    <row r="34" spans="1:12" s="165" customFormat="1" ht="14.4" x14ac:dyDescent="0.25">
      <c r="A34" s="486" t="s">
        <v>496</v>
      </c>
      <c r="B34" s="487"/>
      <c r="C34" s="487"/>
      <c r="D34" s="461" t="s">
        <v>688</v>
      </c>
      <c r="E34" s="261" t="str">
        <f ca="1">(INDIRECT("'S"&amp;$B$2&amp;" likelihood'!$cd22"))</f>
        <v>Increased demand for pellet fibre provides sufficient financial return</v>
      </c>
      <c r="F34" s="474">
        <f ca="1">(INDIRECT("'S"&amp;$B$2&amp;" likelihood'!$cb$28"))</f>
        <v>17</v>
      </c>
      <c r="G34" s="249"/>
      <c r="H34" s="249"/>
      <c r="I34" s="511"/>
      <c r="J34" s="250"/>
      <c r="K34" s="303" t="str">
        <f ca="1">(INDIRECT("'S"&amp;$B$2&amp;" likelihood'!$Ci$22"))</f>
        <v>Moderately likely</v>
      </c>
      <c r="L34" s="306"/>
    </row>
    <row r="35" spans="1:12" s="165" customFormat="1" ht="14.4" x14ac:dyDescent="0.25">
      <c r="A35" s="488"/>
      <c r="B35" s="488"/>
      <c r="C35" s="488"/>
      <c r="D35" s="490"/>
      <c r="E35" s="261" t="str">
        <f ca="1">(INDIRECT("'S"&amp;$B$2&amp;" likelihood'!$cd23"))</f>
        <v>Changes in forestry incentives</v>
      </c>
      <c r="F35" s="475"/>
      <c r="G35" s="249"/>
      <c r="H35" s="249"/>
      <c r="I35" s="512"/>
      <c r="J35" s="251"/>
      <c r="K35" s="303" t="str">
        <f ca="1">(INDIRECT("'S"&amp;$B$2&amp;" likelihood'!$Ci$23"))</f>
        <v>Moderately unlikely</v>
      </c>
      <c r="L35" s="306"/>
    </row>
    <row r="36" spans="1:12" ht="14.4" x14ac:dyDescent="0.25">
      <c r="A36" s="488"/>
      <c r="B36" s="488"/>
      <c r="C36" s="488"/>
      <c r="D36" s="491"/>
      <c r="E36" s="261" t="str">
        <f ca="1">(INDIRECT("'S"&amp;$B$2&amp;" likelihood'!$cd24"))</f>
        <v>Increased demand for saw timber enables management of unmanaged forest</v>
      </c>
      <c r="F36" s="476"/>
      <c r="G36" s="252"/>
      <c r="H36" s="252"/>
      <c r="I36" s="513"/>
      <c r="J36" s="253"/>
      <c r="K36" s="303" t="str">
        <f ca="1">(INDIRECT("'S"&amp;$B$2&amp;" likelihood'!$Ci$24"))</f>
        <v>Moderately unlikely</v>
      </c>
      <c r="L36" s="305"/>
    </row>
    <row r="37" spans="1:12" ht="27.6" x14ac:dyDescent="0.25">
      <c r="A37" s="489"/>
      <c r="B37" s="489"/>
      <c r="C37" s="489"/>
      <c r="D37" s="215" t="s">
        <v>689</v>
      </c>
      <c r="E37" s="261" t="str">
        <f ca="1">(INDIRECT("'S"&amp;$B$2&amp;" survey Comments'!$B$10"))</f>
        <v>No comments</v>
      </c>
      <c r="F37" s="254"/>
      <c r="G37" s="254"/>
      <c r="H37" s="254"/>
      <c r="I37" s="255"/>
      <c r="J37" s="255"/>
      <c r="K37" s="301"/>
      <c r="L37" s="305"/>
    </row>
    <row r="38" spans="1:12" ht="14.4" x14ac:dyDescent="0.25">
      <c r="A38" s="499" t="s">
        <v>483</v>
      </c>
      <c r="B38" s="500"/>
      <c r="C38" s="501"/>
      <c r="D38" s="461" t="s">
        <v>688</v>
      </c>
      <c r="E38" s="261" t="str">
        <f ca="1">(INDIRECT("'S"&amp;$B$2&amp;" likelihood'!$cv22"))</f>
        <v>Insufficient financial return</v>
      </c>
      <c r="F38" s="508">
        <f ca="1">(INDIRECT("'S"&amp;$B$2&amp;" likelihood'!$ct$28"))</f>
        <v>13</v>
      </c>
      <c r="G38" s="247"/>
      <c r="H38" s="247"/>
      <c r="I38" s="511"/>
      <c r="J38" s="493"/>
      <c r="K38" s="303" t="str">
        <f ca="1">(INDIRECT("'S"&amp;$B$2&amp;" likelihood'!$da$22"))</f>
        <v>Moderately unlikely</v>
      </c>
      <c r="L38" s="305"/>
    </row>
    <row r="39" spans="1:12" ht="14.4" x14ac:dyDescent="0.25">
      <c r="A39" s="502"/>
      <c r="B39" s="503"/>
      <c r="C39" s="504"/>
      <c r="D39" s="490"/>
      <c r="E39" s="261" t="str">
        <f ca="1">(INDIRECT("'S"&amp;$B$2&amp;" likelihood'!$cv23"))</f>
        <v>Other uses make land value more attractive</v>
      </c>
      <c r="F39" s="509"/>
      <c r="G39" s="247"/>
      <c r="H39" s="247"/>
      <c r="I39" s="512"/>
      <c r="J39" s="493"/>
      <c r="K39" s="303" t="str">
        <f ca="1">(INDIRECT("'S"&amp;$B$2&amp;" likelihood'!$da$23"))</f>
        <v>Moderately likely</v>
      </c>
      <c r="L39" s="305"/>
    </row>
    <row r="40" spans="1:12" ht="43.2" x14ac:dyDescent="0.25">
      <c r="A40" s="502"/>
      <c r="B40" s="503"/>
      <c r="C40" s="504"/>
      <c r="D40" s="491"/>
      <c r="E40" s="261" t="str">
        <f ca="1">(INDIRECT("'S"&amp;$B$2&amp;" likelihood'!$cv24"))</f>
        <v>Other / Low roundwood demand - longer haulage / Changes in legislation or policy</v>
      </c>
      <c r="F40" s="510"/>
      <c r="G40" s="247"/>
      <c r="H40" s="247"/>
      <c r="I40" s="513"/>
      <c r="J40" s="493"/>
      <c r="K40" s="303" t="str">
        <f ca="1">(INDIRECT("'S"&amp;$B$2&amp;" likelihood'!$da$24"))</f>
        <v>Ranked, but likelihood not estimated / Unlikely / Very unlikely</v>
      </c>
      <c r="L40" s="305"/>
    </row>
    <row r="41" spans="1:12" ht="27.6" x14ac:dyDescent="0.25">
      <c r="A41" s="505"/>
      <c r="B41" s="506"/>
      <c r="C41" s="507"/>
      <c r="D41" s="214" t="s">
        <v>689</v>
      </c>
      <c r="E41" s="261" t="str">
        <f ca="1">(INDIRECT("'S"&amp;$B$2&amp;" survey Comments'!$B$11"))</f>
        <v>Forests are likely to remain unmanaged if there is a deterioration in sawtimber and pulpwood markets. However, there ae a range of other reasons for small private owners to retain unmanaged forest that are unrelated to timber and pellet markets.</v>
      </c>
      <c r="F41" s="247"/>
      <c r="G41" s="247"/>
      <c r="H41" s="247"/>
      <c r="I41" s="256"/>
      <c r="J41" s="256"/>
      <c r="K41" s="301"/>
      <c r="L41" s="305"/>
    </row>
    <row r="42" spans="1:12" ht="27.6" x14ac:dyDescent="0.25">
      <c r="A42" s="494" t="s">
        <v>352</v>
      </c>
      <c r="B42" s="487"/>
      <c r="C42" s="495"/>
      <c r="D42" s="214" t="s">
        <v>689</v>
      </c>
      <c r="E42" s="261" t="str">
        <f ca="1">(INDIRECT("'S"&amp;$B$2&amp;" survey Comments'!$B$12"))</f>
        <v>No</v>
      </c>
      <c r="F42" s="256"/>
      <c r="G42" s="256"/>
      <c r="H42" s="256"/>
      <c r="I42" s="256"/>
      <c r="J42" s="256"/>
      <c r="K42" s="301"/>
      <c r="L42" s="305"/>
    </row>
    <row r="43" spans="1:12" ht="27.6" x14ac:dyDescent="0.25">
      <c r="A43" s="496"/>
      <c r="B43" s="489"/>
      <c r="C43" s="497"/>
      <c r="D43" s="215" t="s">
        <v>362</v>
      </c>
      <c r="E43" s="262" t="str">
        <f ca="1">(INDIRECT("'S"&amp;$B$2&amp;" Lit Review'!$B$8"))</f>
        <v>This will not be not financially attractive</v>
      </c>
      <c r="F43" s="247"/>
      <c r="G43" s="247"/>
      <c r="H43" s="247"/>
      <c r="I43" s="281"/>
      <c r="J43" s="245" t="str">
        <f ca="1">(INDIRECT("'S"&amp;$B$2&amp;" Lit Review'!$D$8"))</f>
        <v>Good</v>
      </c>
      <c r="K43" s="304"/>
      <c r="L43" s="305"/>
    </row>
    <row r="44" spans="1:12" s="165" customFormat="1" x14ac:dyDescent="0.25">
      <c r="A44" s="166" t="s">
        <v>374</v>
      </c>
      <c r="B44" s="166"/>
      <c r="C44" s="166"/>
      <c r="D44" s="166"/>
      <c r="E44" s="239"/>
      <c r="F44" s="248"/>
      <c r="G44" s="248"/>
      <c r="H44" s="248"/>
      <c r="I44" s="248"/>
      <c r="J44" s="248"/>
      <c r="K44" s="248"/>
      <c r="L44" s="306"/>
    </row>
    <row r="45" spans="1:12" ht="27.6" x14ac:dyDescent="0.25">
      <c r="A45" s="477" t="s">
        <v>375</v>
      </c>
      <c r="B45" s="478"/>
      <c r="C45" s="479"/>
      <c r="D45" s="215" t="s">
        <v>688</v>
      </c>
      <c r="E45" s="261" t="str">
        <f ca="1">(INDIRECT("'S"&amp;$B$2&amp;" likelihood'!$Dk$11"))</f>
        <v xml:space="preserve">The majority of respondents felt the counterfactual is an accurate description at least sometimes. </v>
      </c>
      <c r="F45" s="245">
        <f ca="1">(INDIRECT("'S"&amp;$B$2&amp;" likelihood'!$Dm$28"))</f>
        <v>18</v>
      </c>
      <c r="G45" s="245">
        <f ca="1">(INDIRECT("'S"&amp;$B$2&amp;" likelihood'!$Dn$28"))</f>
        <v>1</v>
      </c>
      <c r="H45" s="246">
        <f ca="1">IFERROR(G45/F45,0)</f>
        <v>5.5555555555555552E-2</v>
      </c>
      <c r="I45" s="281"/>
      <c r="J45" s="256"/>
      <c r="K45" s="302" t="str">
        <f ca="1">INDIRECT("'S"&amp;$B$2&amp;" likelihood'!$Dn$10")</f>
        <v>Sometimes/Most of the time</v>
      </c>
      <c r="L45" s="305"/>
    </row>
    <row r="46" spans="1:12" ht="27.6" x14ac:dyDescent="0.25">
      <c r="A46" s="480"/>
      <c r="B46" s="481"/>
      <c r="C46" s="482"/>
      <c r="D46" s="215" t="s">
        <v>689</v>
      </c>
      <c r="E46" s="261" t="str">
        <f ca="1">(INDIRECT("'S"&amp;$B$2&amp;" survey Comments'!$B$13"))</f>
        <v xml:space="preserve">Demand for pellets will have little or no impact on whether or not the forest continues to be unmanaged. Future harvesting and management will depend on timber financial returns and owner objectives.  </v>
      </c>
      <c r="F46" s="247"/>
      <c r="G46" s="247"/>
      <c r="H46" s="247"/>
      <c r="I46" s="281"/>
      <c r="J46" s="247"/>
      <c r="K46" s="301"/>
      <c r="L46" s="305"/>
    </row>
    <row r="47" spans="1:12" s="169" customFormat="1" ht="14.4" x14ac:dyDescent="0.25">
      <c r="A47" s="498" t="s">
        <v>376</v>
      </c>
      <c r="B47" s="498"/>
      <c r="C47" s="498"/>
      <c r="D47" s="227"/>
      <c r="E47" s="227"/>
      <c r="F47" s="257"/>
      <c r="G47" s="257"/>
      <c r="H47" s="257"/>
      <c r="I47" s="257"/>
      <c r="J47" s="257"/>
      <c r="K47" s="257"/>
      <c r="L47" s="307"/>
    </row>
    <row r="48" spans="1:12" s="169" customFormat="1" ht="55.2" x14ac:dyDescent="0.25">
      <c r="A48" s="491"/>
      <c r="B48" s="491"/>
      <c r="C48" s="491"/>
      <c r="D48" s="215" t="s">
        <v>689</v>
      </c>
      <c r="E48" s="261" t="str">
        <f ca="1">(INDIRECT("'S"&amp;$B$2&amp;" survey Comments'!$B$14"))</f>
        <v>The definition of ‘unmanaged’ was felt to be unclear. Most forest land in South USA has been managed in the past and is likely to be managed again in the future. The timing of management depends on when financial returns are attractive for timber and pulpwood, and on a range of other user objectives for small scale private owners. The counterfactual was not felt to be appropriate as respondents felt pellet demand would have little or no influence on when a forest is brought back into management.</v>
      </c>
      <c r="F48" s="247"/>
      <c r="G48" s="247"/>
      <c r="H48" s="247"/>
      <c r="I48" s="245" t="str">
        <f ca="1">IF(INDIRECT("'S"&amp;$B$2&amp;" likelihood'!$D$4")&lt;=Somewhat_confident_threshold, "Somewhat confident",IF(AND(INDIRECT("'S"&amp;$B$2&amp;" likelihood'!$D$4")&gt;Somewhat_confident_threshold,INDIRECT("'S"&amp;$B$2&amp;" likelihood'!$D$4")&lt;=Confident_threshold),"Confident","Very confident"))</f>
        <v>Confident</v>
      </c>
      <c r="J48" s="247"/>
      <c r="K48" s="301"/>
      <c r="L48" s="307"/>
    </row>
    <row r="49" spans="5:9" s="169" customFormat="1" x14ac:dyDescent="0.25">
      <c r="E49" s="264"/>
      <c r="I49" s="167"/>
    </row>
    <row r="50" spans="5:9" s="169" customFormat="1" x14ac:dyDescent="0.25">
      <c r="E50" s="213"/>
      <c r="I50" s="167"/>
    </row>
    <row r="51" spans="5:9" s="169" customFormat="1" x14ac:dyDescent="0.25">
      <c r="E51" s="213"/>
      <c r="I51" s="167"/>
    </row>
    <row r="52" spans="5:9" s="169" customFormat="1" x14ac:dyDescent="0.25">
      <c r="E52" s="213"/>
      <c r="I52" s="167"/>
    </row>
    <row r="53" spans="5:9" s="169" customFormat="1" x14ac:dyDescent="0.25">
      <c r="E53" s="213"/>
      <c r="I53" s="167"/>
    </row>
    <row r="54" spans="5:9" x14ac:dyDescent="0.25">
      <c r="E54" s="213"/>
    </row>
  </sheetData>
  <mergeCells count="27">
    <mergeCell ref="A6:K6"/>
    <mergeCell ref="J38:J40"/>
    <mergeCell ref="A42:C43"/>
    <mergeCell ref="A48:C48"/>
    <mergeCell ref="A45:C46"/>
    <mergeCell ref="A47:C47"/>
    <mergeCell ref="A38:C41"/>
    <mergeCell ref="D38:D40"/>
    <mergeCell ref="F38:F40"/>
    <mergeCell ref="I38:I40"/>
    <mergeCell ref="I34:I36"/>
    <mergeCell ref="A20:C21"/>
    <mergeCell ref="A22:C23"/>
    <mergeCell ref="A24:C25"/>
    <mergeCell ref="A26:C27"/>
    <mergeCell ref="A28:C29"/>
    <mergeCell ref="F34:F36"/>
    <mergeCell ref="A30:C31"/>
    <mergeCell ref="A32:C32"/>
    <mergeCell ref="A34:C37"/>
    <mergeCell ref="D34:D36"/>
    <mergeCell ref="A18:C18"/>
    <mergeCell ref="A8:C8"/>
    <mergeCell ref="A10:C10"/>
    <mergeCell ref="A11:C14"/>
    <mergeCell ref="A15:C16"/>
    <mergeCell ref="A17:C1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M54"/>
  <sheetViews>
    <sheetView zoomScale="60" zoomScaleNormal="60" workbookViewId="0"/>
  </sheetViews>
  <sheetFormatPr defaultColWidth="8.69921875" defaultRowHeight="13.8" x14ac:dyDescent="0.25"/>
  <cols>
    <col min="1" max="1" width="9.3984375" style="167" customWidth="1"/>
    <col min="2" max="2" width="8.69921875" style="167"/>
    <col min="3" max="3" width="18.3984375" style="167" customWidth="1"/>
    <col min="4" max="4" width="13.3984375" style="167" customWidth="1"/>
    <col min="5" max="5" width="107.8984375" style="228" customWidth="1"/>
    <col min="6" max="11" width="20.3984375" style="167" customWidth="1"/>
    <col min="12" max="13" width="8.69921875" style="2"/>
    <col min="14" max="16384" width="8.69921875" style="167"/>
  </cols>
  <sheetData>
    <row r="1" spans="1:12" x14ac:dyDescent="0.25">
      <c r="L1" s="305"/>
    </row>
    <row r="2" spans="1:12" s="165" customFormat="1" x14ac:dyDescent="0.25">
      <c r="A2" s="164" t="s">
        <v>0</v>
      </c>
      <c r="B2" s="164" t="s">
        <v>379</v>
      </c>
      <c r="C2" s="268" t="str">
        <f ca="1">(INDIRECT("'S"&amp;$B$2&amp;" likelihood'!$c$2"))</f>
        <v>Additional wood (in comparison to the counterfactual) from the conversion of unmanaged forest into production in East Canada</v>
      </c>
      <c r="D2" s="223"/>
      <c r="E2" s="223"/>
      <c r="F2" s="164"/>
      <c r="G2" s="164"/>
      <c r="H2" s="164"/>
      <c r="I2" s="164"/>
      <c r="J2" s="164"/>
      <c r="K2" s="164"/>
      <c r="L2" s="306"/>
    </row>
    <row r="3" spans="1:12" x14ac:dyDescent="0.25">
      <c r="L3" s="305"/>
    </row>
    <row r="4" spans="1:12" s="165" customFormat="1" x14ac:dyDescent="0.25">
      <c r="A4" s="164" t="s">
        <v>30</v>
      </c>
      <c r="B4" s="164"/>
      <c r="C4" s="164"/>
      <c r="D4" s="164"/>
      <c r="E4" s="223"/>
      <c r="F4" s="164"/>
      <c r="G4" s="164"/>
      <c r="H4" s="164"/>
      <c r="I4" s="164"/>
      <c r="J4" s="164"/>
      <c r="K4" s="164"/>
      <c r="L4" s="306"/>
    </row>
    <row r="5" spans="1:12" x14ac:dyDescent="0.25">
      <c r="L5" s="305"/>
    </row>
    <row r="6" spans="1:12" ht="33.75" customHeight="1" x14ac:dyDescent="0.25">
      <c r="A6" s="492" t="str">
        <f>Canada_text</f>
        <v xml:space="preserve">A full description of evidence found in the literature review and references for sources, is given in Section 5 of the report, and summarised in Section 5.7.  Comments from the questionnaire are discussed in full in Section 8 and provided in Appendix 4 </v>
      </c>
      <c r="B6" s="492"/>
      <c r="C6" s="492"/>
      <c r="D6" s="492"/>
      <c r="E6" s="492"/>
      <c r="F6" s="492"/>
      <c r="G6" s="492"/>
      <c r="H6" s="492"/>
      <c r="I6" s="492"/>
      <c r="J6" s="492"/>
      <c r="K6" s="492"/>
      <c r="L6" s="305"/>
    </row>
    <row r="7" spans="1:12" x14ac:dyDescent="0.25">
      <c r="L7" s="305"/>
    </row>
    <row r="8" spans="1:12" ht="78" customHeight="1" x14ac:dyDescent="0.25">
      <c r="A8" s="460" t="s">
        <v>359</v>
      </c>
      <c r="B8" s="460"/>
      <c r="C8" s="460"/>
      <c r="D8" s="216" t="s">
        <v>365</v>
      </c>
      <c r="E8" s="216" t="s">
        <v>366</v>
      </c>
      <c r="F8" s="225" t="s">
        <v>368</v>
      </c>
      <c r="G8" s="225" t="s">
        <v>488</v>
      </c>
      <c r="H8" s="225" t="s">
        <v>489</v>
      </c>
      <c r="I8" s="225" t="s">
        <v>490</v>
      </c>
      <c r="J8" s="225" t="s">
        <v>491</v>
      </c>
      <c r="K8" s="225" t="s">
        <v>367</v>
      </c>
      <c r="L8" s="305"/>
    </row>
    <row r="9" spans="1:12" s="165" customFormat="1" x14ac:dyDescent="0.25">
      <c r="A9" s="166" t="s">
        <v>360</v>
      </c>
      <c r="B9" s="166"/>
      <c r="C9" s="166"/>
      <c r="D9" s="166"/>
      <c r="E9" s="224"/>
      <c r="F9" s="166"/>
      <c r="G9" s="166"/>
      <c r="H9" s="166"/>
      <c r="I9" s="166"/>
      <c r="J9" s="166"/>
      <c r="K9" s="166"/>
      <c r="L9" s="306"/>
    </row>
    <row r="10" spans="1:12" s="169" customFormat="1" ht="96.6" x14ac:dyDescent="0.25">
      <c r="A10" s="461" t="s">
        <v>492</v>
      </c>
      <c r="B10" s="462"/>
      <c r="C10" s="462"/>
      <c r="D10" s="171" t="s">
        <v>493</v>
      </c>
      <c r="E10" s="273" t="s">
        <v>685</v>
      </c>
      <c r="F10" s="247"/>
      <c r="G10" s="247"/>
      <c r="H10" s="247"/>
      <c r="I10" s="281"/>
      <c r="J10" s="247"/>
      <c r="K10" s="301"/>
      <c r="L10" s="307"/>
    </row>
    <row r="11" spans="1:12" ht="41.4" x14ac:dyDescent="0.25">
      <c r="A11" s="463" t="s">
        <v>301</v>
      </c>
      <c r="B11" s="464"/>
      <c r="C11" s="465"/>
      <c r="D11" s="215" t="s">
        <v>688</v>
      </c>
      <c r="E11" s="261" t="str">
        <f ca="1">(INDIRECT("'S"&amp;$B$2&amp;" likelihood'!$B$11"))</f>
        <v xml:space="preserve">Four of the nine respondents answered "I don't know" with regard to whether this practice is already occurring. The remaining respondents did have a most common response of "Definitely not", but the high number of "I don't know" responses demonstrates the uncertainty for this question. </v>
      </c>
      <c r="F11" s="245">
        <f ca="1">(INDIRECT("'S"&amp;$B$2&amp;" likelihood'!$D$28"))</f>
        <v>9</v>
      </c>
      <c r="G11" s="245">
        <f ca="1">(INDIRECT("'S"&amp;$B$2&amp;" likelihood'!$E$28"))</f>
        <v>4</v>
      </c>
      <c r="H11" s="246">
        <f ca="1">G11/F11</f>
        <v>0.44444444444444442</v>
      </c>
      <c r="I11" s="281"/>
      <c r="J11" s="247"/>
      <c r="K11" s="302" t="str">
        <f ca="1">INDIRECT("'S"&amp;$B$2&amp;" likelihood'!$E$10")</f>
        <v>No consensus</v>
      </c>
      <c r="L11" s="305"/>
    </row>
    <row r="12" spans="1:12" ht="41.4" x14ac:dyDescent="0.25">
      <c r="A12" s="466"/>
      <c r="B12" s="467"/>
      <c r="C12" s="468"/>
      <c r="D12" s="215" t="s">
        <v>689</v>
      </c>
      <c r="E12" s="261" t="str">
        <f ca="1">(INDIRECT("'S"&amp;$B$2&amp;" survey Comments'!$B$3"))</f>
        <v xml:space="preserve">Respondents believe that it is the other way round: more land is becoming unmanaged (or unmanageable). Unmanaged forests are not managed for pellet production – other more valuable products would influence this, but the price of hardwood products are insufficient. </v>
      </c>
      <c r="F12" s="247"/>
      <c r="G12" s="247"/>
      <c r="H12" s="247"/>
      <c r="I12" s="281"/>
      <c r="J12" s="247"/>
      <c r="K12" s="301"/>
      <c r="L12" s="305"/>
    </row>
    <row r="13" spans="1:12" ht="41.4" x14ac:dyDescent="0.25">
      <c r="A13" s="466"/>
      <c r="B13" s="467"/>
      <c r="C13" s="468"/>
      <c r="D13" s="215" t="s">
        <v>362</v>
      </c>
      <c r="E13" s="262" t="str">
        <f ca="1">(INDIRECT("'S"&amp;$B$2&amp;" Lit Review'!$B$3"))</f>
        <v xml:space="preserve">The literature provides no evidence that unmanaged forest would be brought into management as a result of pellet demand. The annual allowable cut (AAC) is not achieved for many regions in Canada, so it is more likely that the permitted AAC would be exploited before unmanaged woodland is brought into production. </v>
      </c>
      <c r="F13" s="247"/>
      <c r="G13" s="247"/>
      <c r="H13" s="247"/>
      <c r="I13" s="281"/>
      <c r="J13" s="245" t="str">
        <f ca="1">(INDIRECT("'S"&amp;$B$2&amp;" Lit Review'!$D$3"))</f>
        <v>Good</v>
      </c>
      <c r="K13" s="302" t="str">
        <f ca="1">(INDIRECT("'S"&amp;$B$2&amp;" Lit Review'!$C$3"))</f>
        <v>Definitely not</v>
      </c>
      <c r="L13" s="305"/>
    </row>
    <row r="14" spans="1:12" ht="27.6" x14ac:dyDescent="0.25">
      <c r="A14" s="469"/>
      <c r="B14" s="470"/>
      <c r="C14" s="471"/>
      <c r="D14" s="168" t="s">
        <v>494</v>
      </c>
      <c r="E14" s="263" t="s">
        <v>554</v>
      </c>
      <c r="F14" s="247"/>
      <c r="G14" s="247"/>
      <c r="H14" s="247"/>
      <c r="I14" s="281"/>
      <c r="J14" s="247"/>
      <c r="K14" s="301"/>
      <c r="L14" s="305"/>
    </row>
    <row r="15" spans="1:12" ht="27.6" x14ac:dyDescent="0.25">
      <c r="A15" s="472" t="s">
        <v>487</v>
      </c>
      <c r="B15" s="464"/>
      <c r="C15" s="465"/>
      <c r="D15" s="215" t="s">
        <v>362</v>
      </c>
      <c r="E15" s="262" t="str">
        <f ca="1">(INDIRECT("'S"&amp;$B$2&amp;" Lit Review'!$B$4"))</f>
        <v>There is no evidence that this occurring at any scale</v>
      </c>
      <c r="F15" s="247"/>
      <c r="G15" s="247"/>
      <c r="H15" s="247"/>
      <c r="I15" s="281"/>
      <c r="J15" s="245" t="str">
        <f ca="1">(INDIRECT("'S"&amp;$B$2&amp;" Lit Review'!$D$4"))</f>
        <v>No literature found</v>
      </c>
      <c r="K15" s="301"/>
      <c r="L15" s="305"/>
    </row>
    <row r="16" spans="1:12" ht="27.6" x14ac:dyDescent="0.25">
      <c r="A16" s="469"/>
      <c r="B16" s="470"/>
      <c r="C16" s="471"/>
      <c r="D16" s="168" t="s">
        <v>494</v>
      </c>
      <c r="E16" s="272" t="s">
        <v>554</v>
      </c>
      <c r="F16" s="247"/>
      <c r="G16" s="247"/>
      <c r="H16" s="247"/>
      <c r="I16" s="281"/>
      <c r="J16" s="247"/>
      <c r="K16" s="301"/>
      <c r="L16" s="305"/>
    </row>
    <row r="17" spans="1:12" ht="27.6" x14ac:dyDescent="0.25">
      <c r="A17" s="473" t="s">
        <v>363</v>
      </c>
      <c r="B17" s="473"/>
      <c r="C17" s="473"/>
      <c r="D17" s="215" t="s">
        <v>689</v>
      </c>
      <c r="E17" s="274">
        <f ca="1">(INDIRECT("'S"&amp;$B$2&amp;" survey Comments'!$B$4"))</f>
        <v>0</v>
      </c>
      <c r="F17" s="247"/>
      <c r="G17" s="247"/>
      <c r="H17" s="247"/>
      <c r="I17" s="281"/>
      <c r="J17" s="247"/>
      <c r="K17" s="301"/>
      <c r="L17" s="305"/>
    </row>
    <row r="18" spans="1:12" ht="27.6" x14ac:dyDescent="0.25">
      <c r="A18" s="459" t="s">
        <v>364</v>
      </c>
      <c r="B18" s="459"/>
      <c r="C18" s="459"/>
      <c r="D18" s="215" t="s">
        <v>689</v>
      </c>
      <c r="E18" s="274">
        <f ca="1">(INDIRECT("'S"&amp;$B$2&amp;" survey Comments'!$B$5"))</f>
        <v>0</v>
      </c>
      <c r="F18" s="247"/>
      <c r="G18" s="247"/>
      <c r="H18" s="247"/>
      <c r="I18" s="281"/>
      <c r="J18" s="247"/>
      <c r="K18" s="301"/>
      <c r="L18" s="305"/>
    </row>
    <row r="19" spans="1:12" s="165" customFormat="1" x14ac:dyDescent="0.25">
      <c r="A19" s="166" t="s">
        <v>369</v>
      </c>
      <c r="B19" s="166"/>
      <c r="C19" s="166"/>
      <c r="D19" s="166"/>
      <c r="E19" s="226"/>
      <c r="F19" s="248"/>
      <c r="G19" s="248"/>
      <c r="H19" s="248"/>
      <c r="I19" s="248"/>
      <c r="J19" s="248"/>
      <c r="K19" s="248"/>
      <c r="L19" s="306"/>
    </row>
    <row r="20" spans="1:12" ht="27.6" x14ac:dyDescent="0.25">
      <c r="A20" s="477" t="s">
        <v>322</v>
      </c>
      <c r="B20" s="478"/>
      <c r="C20" s="479"/>
      <c r="D20" s="215" t="s">
        <v>688</v>
      </c>
      <c r="E20" s="261" t="str">
        <f ca="1">(INDIRECT("'S"&amp;$B$2&amp;" likelihood'!$S$11"))</f>
        <v>The most common view of respondents (5 of the 10 respondents) is that the scenario is very unlikely/unlikely. Three people responded "I don't know."</v>
      </c>
      <c r="F20" s="245">
        <f ca="1">(INDIRECT("'S"&amp;$B$2&amp;" likelihood'!$U$28"))</f>
        <v>10</v>
      </c>
      <c r="G20" s="245">
        <f ca="1">(INDIRECT("'S"&amp;$B$2&amp;" likelihood'!$V$28"))</f>
        <v>3</v>
      </c>
      <c r="H20" s="246">
        <f ca="1">IFERROR(G20/F20,0)</f>
        <v>0.3</v>
      </c>
      <c r="I20" s="281"/>
      <c r="J20" s="247"/>
      <c r="K20" s="302" t="str">
        <f ca="1">INDIRECT("'S"&amp;$B$2&amp;" likelihood'!$V$10")</f>
        <v>Very unlikely/unlikely</v>
      </c>
      <c r="L20" s="305"/>
    </row>
    <row r="21" spans="1:12" ht="27.6" x14ac:dyDescent="0.25">
      <c r="A21" s="480"/>
      <c r="B21" s="481"/>
      <c r="C21" s="482"/>
      <c r="D21" s="215" t="s">
        <v>689</v>
      </c>
      <c r="E21" s="261" t="str">
        <f ca="1">(INDIRECT("'S"&amp;$B$2&amp;" survey Comments'!$B$6"))</f>
        <v>No comments</v>
      </c>
      <c r="F21" s="247"/>
      <c r="G21" s="247"/>
      <c r="H21" s="247"/>
      <c r="I21" s="281"/>
      <c r="J21" s="247"/>
      <c r="K21" s="301"/>
      <c r="L21" s="305"/>
    </row>
    <row r="22" spans="1:12" ht="27.6" x14ac:dyDescent="0.25">
      <c r="A22" s="477" t="s">
        <v>356</v>
      </c>
      <c r="B22" s="478"/>
      <c r="C22" s="479"/>
      <c r="D22" s="215" t="s">
        <v>362</v>
      </c>
      <c r="E22" s="262" t="str">
        <f ca="1">(INDIRECT("'S"&amp;$B$2&amp;" Lit Review'!$B$5"))</f>
        <v>There is no evidence that future pellet demand would result in the management of unmanaged forest in Canada</v>
      </c>
      <c r="F22" s="247"/>
      <c r="G22" s="247"/>
      <c r="H22" s="247"/>
      <c r="I22" s="281"/>
      <c r="J22" s="245" t="str">
        <f ca="1">(INDIRECT("'S"&amp;$B$2&amp;" Lit Review'!$D$5"))</f>
        <v>No literature found</v>
      </c>
      <c r="K22" s="302" t="str">
        <f ca="1">(INDIRECT("'S"&amp;$B$2&amp;" Lit Review'!$C$5"))</f>
        <v>Very unlikely</v>
      </c>
      <c r="L22" s="305"/>
    </row>
    <row r="23" spans="1:12" ht="27.6" x14ac:dyDescent="0.25">
      <c r="A23" s="480"/>
      <c r="B23" s="481"/>
      <c r="C23" s="482"/>
      <c r="D23" s="168" t="s">
        <v>494</v>
      </c>
      <c r="E23" s="263" t="s">
        <v>554</v>
      </c>
      <c r="F23" s="247"/>
      <c r="G23" s="247"/>
      <c r="H23" s="247"/>
      <c r="I23" s="281"/>
      <c r="J23" s="247"/>
      <c r="K23" s="301"/>
      <c r="L23" s="305"/>
    </row>
    <row r="24" spans="1:12" ht="27.6" x14ac:dyDescent="0.25">
      <c r="A24" s="477" t="s">
        <v>328</v>
      </c>
      <c r="B24" s="478"/>
      <c r="C24" s="479"/>
      <c r="D24" s="215" t="s">
        <v>688</v>
      </c>
      <c r="E24" s="261" t="str">
        <f ca="1">(INDIRECT("'S"&amp;$B$2&amp;" likelihood'!$AH$11"))</f>
        <v xml:space="preserve">The majority of the 6 respondents felt this scenario is very unlikely to occur in the future at current fibre prices. </v>
      </c>
      <c r="F24" s="245">
        <f ca="1">(INDIRECT("'S"&amp;$B$2&amp;" likelihood'!$AJ$28"))</f>
        <v>6</v>
      </c>
      <c r="G24" s="245">
        <f ca="1">(INDIRECT("'S"&amp;$B$2&amp;" likelihood'!$Ak$28"))</f>
        <v>0</v>
      </c>
      <c r="H24" s="246">
        <f ca="1">IFERROR(G24/F24,0)</f>
        <v>0</v>
      </c>
      <c r="I24" s="281"/>
      <c r="J24" s="247"/>
      <c r="K24" s="302" t="str">
        <f ca="1">INDIRECT("'S"&amp;$B$2&amp;" likelihood'!$AK$10")</f>
        <v>Very unlikely</v>
      </c>
      <c r="L24" s="305"/>
    </row>
    <row r="25" spans="1:12" ht="27.6" x14ac:dyDescent="0.25">
      <c r="A25" s="480"/>
      <c r="B25" s="481"/>
      <c r="C25" s="482"/>
      <c r="D25" s="215" t="s">
        <v>689</v>
      </c>
      <c r="E25" s="261" t="str">
        <f ca="1">(INDIRECT("'S"&amp;$B$2&amp;" survey Comments'!$B$7"))</f>
        <v>The respondents said that the amount of unmanaged forests in their region was small and did not  expect that this forest land would be managed for pellet production.</v>
      </c>
      <c r="F25" s="247"/>
      <c r="G25" s="247"/>
      <c r="H25" s="247"/>
      <c r="I25" s="281"/>
      <c r="J25" s="247"/>
      <c r="K25" s="301"/>
      <c r="L25" s="305"/>
    </row>
    <row r="26" spans="1:12" ht="27.6" x14ac:dyDescent="0.25">
      <c r="A26" s="477" t="s">
        <v>347</v>
      </c>
      <c r="B26" s="478"/>
      <c r="C26" s="479"/>
      <c r="D26" s="215" t="s">
        <v>688</v>
      </c>
      <c r="E26" s="261" t="str">
        <f ca="1">(INDIRECT("'S"&amp;$B$2&amp;" likelihood'!$AW$11"))</f>
        <v>All six respondents felt this scenario is very unlikely/unlikely to occur.</v>
      </c>
      <c r="F26" s="245">
        <f ca="1">(INDIRECT("'S"&amp;$B$2&amp;" likelihood'!$AY$28"))</f>
        <v>6</v>
      </c>
      <c r="G26" s="245">
        <f ca="1">(INDIRECT("'S"&amp;$B$2&amp;" likelihood'!$Az$28"))</f>
        <v>0</v>
      </c>
      <c r="H26" s="246">
        <f ca="1">IFERROR(G26/F26,0)</f>
        <v>0</v>
      </c>
      <c r="I26" s="281"/>
      <c r="J26" s="247"/>
      <c r="K26" s="302" t="str">
        <f ca="1">INDIRECT("'S"&amp;$B$2&amp;" likelihood'!$AZ$10")</f>
        <v>Very unlikely/unlikely</v>
      </c>
      <c r="L26" s="305"/>
    </row>
    <row r="27" spans="1:12" ht="27.6" x14ac:dyDescent="0.25">
      <c r="A27" s="480"/>
      <c r="B27" s="481"/>
      <c r="C27" s="482"/>
      <c r="D27" s="215" t="s">
        <v>689</v>
      </c>
      <c r="E27" s="261" t="str">
        <f ca="1">(INDIRECT("'S"&amp;$B$2&amp;" survey Comments'!$B$8"))</f>
        <v>The respondents said that the amount of unmanaged forests in their region was small and did not  expect that this forest land would be managed for pellet production.</v>
      </c>
      <c r="F27" s="247"/>
      <c r="G27" s="247"/>
      <c r="H27" s="247"/>
      <c r="I27" s="281"/>
      <c r="J27" s="247"/>
      <c r="K27" s="301"/>
      <c r="L27" s="305"/>
    </row>
    <row r="28" spans="1:12" ht="27.6" x14ac:dyDescent="0.25">
      <c r="A28" s="477" t="s">
        <v>348</v>
      </c>
      <c r="B28" s="478"/>
      <c r="C28" s="479"/>
      <c r="D28" s="215" t="s">
        <v>688</v>
      </c>
      <c r="E28" s="261" t="str">
        <f ca="1">(INDIRECT("'S"&amp;$B$2&amp;" likelihood'!$BL$11"))</f>
        <v xml:space="preserve">Four of the six respondents felt this scenario is very unlikely/unlikely to occur. </v>
      </c>
      <c r="F28" s="245">
        <f ca="1">(INDIRECT("'S"&amp;$B$2&amp;" likelihood'!$BN$28"))</f>
        <v>6</v>
      </c>
      <c r="G28" s="245">
        <f ca="1">(INDIRECT("'S"&amp;$B$2&amp;" likelihood'!$Bo$28"))</f>
        <v>0</v>
      </c>
      <c r="H28" s="246">
        <f ca="1">IFERROR(G28/F28,0)</f>
        <v>0</v>
      </c>
      <c r="I28" s="281"/>
      <c r="J28" s="247"/>
      <c r="K28" s="302" t="str">
        <f ca="1">INDIRECT("'S"&amp;$B$2&amp;" likelihood'!$BO$10")</f>
        <v>Very unlikely/unlikely</v>
      </c>
      <c r="L28" s="305"/>
    </row>
    <row r="29" spans="1:12" ht="27.6" x14ac:dyDescent="0.25">
      <c r="A29" s="480"/>
      <c r="B29" s="481"/>
      <c r="C29" s="482"/>
      <c r="D29" s="215" t="s">
        <v>689</v>
      </c>
      <c r="E29" s="261" t="str">
        <f ca="1">(INDIRECT("'S"&amp;$B$2&amp;" survey Comments'!$B$9"))</f>
        <v>The respondents said that the amount of unmanaged forests in their region was small and did not  expect that this forest land would be managed for pellet production.</v>
      </c>
      <c r="F29" s="247"/>
      <c r="G29" s="247"/>
      <c r="H29" s="247"/>
      <c r="I29" s="281"/>
      <c r="J29" s="247"/>
      <c r="K29" s="301"/>
      <c r="L29" s="305"/>
    </row>
    <row r="30" spans="1:12" ht="27.6" x14ac:dyDescent="0.25">
      <c r="A30" s="477" t="s">
        <v>355</v>
      </c>
      <c r="B30" s="478"/>
      <c r="C30" s="479"/>
      <c r="D30" s="215" t="s">
        <v>362</v>
      </c>
      <c r="E30" s="262" t="str">
        <f ca="1">(INDIRECT("'S"&amp;$B$2&amp;" Lit Review'!$B$6"))</f>
        <v>As above</v>
      </c>
      <c r="F30" s="247"/>
      <c r="G30" s="247"/>
      <c r="H30" s="247"/>
      <c r="I30" s="281"/>
      <c r="J30" s="245" t="str">
        <f ca="1">(INDIRECT("'S"&amp;$B$2&amp;" Lit Review'!$D$6"))</f>
        <v>No literature found</v>
      </c>
      <c r="K30" s="302" t="str">
        <f ca="1">(INDIRECT("'S"&amp;$B$2&amp;" Lit Review'!$C$6"))</f>
        <v>Very unlikely</v>
      </c>
      <c r="L30" s="305"/>
    </row>
    <row r="31" spans="1:12" ht="27.6" x14ac:dyDescent="0.25">
      <c r="A31" s="480"/>
      <c r="B31" s="481"/>
      <c r="C31" s="482"/>
      <c r="D31" s="168" t="s">
        <v>494</v>
      </c>
      <c r="E31" s="263" t="s">
        <v>554</v>
      </c>
      <c r="F31" s="247"/>
      <c r="G31" s="247"/>
      <c r="H31" s="247"/>
      <c r="I31" s="281"/>
      <c r="J31" s="247"/>
      <c r="K31" s="301"/>
      <c r="L31" s="305"/>
    </row>
    <row r="32" spans="1:12" ht="27.6" x14ac:dyDescent="0.25">
      <c r="A32" s="483" t="s">
        <v>354</v>
      </c>
      <c r="B32" s="484"/>
      <c r="C32" s="485"/>
      <c r="D32" s="215" t="s">
        <v>362</v>
      </c>
      <c r="E32" s="262" t="str">
        <f ca="1">(INDIRECT("'S"&amp;$B$2&amp;" Lit Review'!$B$7"))</f>
        <v>No, there is no data on the costs of bringing unmanaged forest into production for pellet production. However costs for pellet production in Canada suggest that transport costs would probably be prohibitive.</v>
      </c>
      <c r="F32" s="247"/>
      <c r="G32" s="247"/>
      <c r="H32" s="247"/>
      <c r="I32" s="281"/>
      <c r="J32" s="245" t="str">
        <f ca="1">(INDIRECT("'S"&amp;$B$2&amp;" Lit Review'!$D$7"))</f>
        <v>Good</v>
      </c>
      <c r="K32" s="301"/>
      <c r="L32" s="305"/>
    </row>
    <row r="33" spans="1:12" s="165" customFormat="1" x14ac:dyDescent="0.25">
      <c r="A33" s="166" t="s">
        <v>495</v>
      </c>
      <c r="B33" s="166"/>
      <c r="C33" s="166"/>
      <c r="D33" s="166"/>
      <c r="E33" s="166"/>
      <c r="F33" s="248"/>
      <c r="G33" s="248"/>
      <c r="H33" s="248"/>
      <c r="I33" s="248"/>
      <c r="J33" s="248"/>
      <c r="K33" s="248"/>
      <c r="L33" s="306"/>
    </row>
    <row r="34" spans="1:12" s="165" customFormat="1" ht="14.4" x14ac:dyDescent="0.25">
      <c r="A34" s="486" t="s">
        <v>496</v>
      </c>
      <c r="B34" s="487"/>
      <c r="C34" s="487"/>
      <c r="D34" s="461" t="s">
        <v>688</v>
      </c>
      <c r="E34" s="261" t="str">
        <f ca="1">(INDIRECT("'S"&amp;$B$2&amp;" likelihood'!$cd22"))</f>
        <v>Increased demand for pellet fibre provides sufficient financial return</v>
      </c>
      <c r="F34" s="474">
        <f ca="1">(INDIRECT("'S"&amp;$B$2&amp;" likelihood'!$cb$28"))</f>
        <v>14</v>
      </c>
      <c r="G34" s="249"/>
      <c r="H34" s="249"/>
      <c r="I34" s="511"/>
      <c r="J34" s="250"/>
      <c r="K34" s="303" t="str">
        <f ca="1">(INDIRECT("'S"&amp;$B$2&amp;" likelihood'!$Ci$22"))</f>
        <v>Very unlikely</v>
      </c>
      <c r="L34" s="306"/>
    </row>
    <row r="35" spans="1:12" s="165" customFormat="1" ht="14.4" x14ac:dyDescent="0.25">
      <c r="A35" s="488"/>
      <c r="B35" s="488"/>
      <c r="C35" s="488"/>
      <c r="D35" s="490"/>
      <c r="E35" s="261" t="str">
        <f ca="1">(INDIRECT("'S"&amp;$B$2&amp;" likelihood'!$cd23"))</f>
        <v>Changes in forestry incentives</v>
      </c>
      <c r="F35" s="475"/>
      <c r="G35" s="249"/>
      <c r="H35" s="249"/>
      <c r="I35" s="512"/>
      <c r="J35" s="251"/>
      <c r="K35" s="303" t="str">
        <f ca="1">(INDIRECT("'S"&amp;$B$2&amp;" likelihood'!$Ci$23"))</f>
        <v>Very unlikely</v>
      </c>
      <c r="L35" s="306"/>
    </row>
    <row r="36" spans="1:12" ht="14.4" x14ac:dyDescent="0.25">
      <c r="A36" s="488"/>
      <c r="B36" s="488"/>
      <c r="C36" s="488"/>
      <c r="D36" s="491"/>
      <c r="E36" s="261" t="str">
        <f ca="1">(INDIRECT("'S"&amp;$B$2&amp;" likelihood'!$cd24"))</f>
        <v>Increased demand for saw timber enables management of unmanaged forest</v>
      </c>
      <c r="F36" s="476"/>
      <c r="G36" s="252"/>
      <c r="H36" s="252"/>
      <c r="I36" s="513"/>
      <c r="J36" s="253"/>
      <c r="K36" s="303" t="str">
        <f ca="1">(INDIRECT("'S"&amp;$B$2&amp;" likelihood'!$Ci$24"))</f>
        <v>Very unlikely</v>
      </c>
      <c r="L36" s="305"/>
    </row>
    <row r="37" spans="1:12" ht="27.6" x14ac:dyDescent="0.25">
      <c r="A37" s="489"/>
      <c r="B37" s="489"/>
      <c r="C37" s="489"/>
      <c r="D37" s="215" t="s">
        <v>689</v>
      </c>
      <c r="E37" s="261" t="str">
        <f ca="1">(INDIRECT("'S"&amp;$B$2&amp;" survey Comments'!$B$10"))</f>
        <v xml:space="preserve">It is unlikely that unmanaged woodland would be brought back into management. If it did it would most likely occur on private land, which makes up less than 10% of forest lands.                 </v>
      </c>
      <c r="F37" s="254"/>
      <c r="G37" s="254"/>
      <c r="H37" s="254"/>
      <c r="I37" s="255"/>
      <c r="J37" s="255"/>
      <c r="K37" s="301"/>
      <c r="L37" s="305"/>
    </row>
    <row r="38" spans="1:12" ht="14.4" x14ac:dyDescent="0.25">
      <c r="A38" s="499" t="s">
        <v>483</v>
      </c>
      <c r="B38" s="500"/>
      <c r="C38" s="501"/>
      <c r="D38" s="461" t="s">
        <v>688</v>
      </c>
      <c r="E38" s="261" t="str">
        <f ca="1">(INDIRECT("'S"&amp;$B$2&amp;" likelihood'!$cv22"))</f>
        <v>Insufficient financial return</v>
      </c>
      <c r="F38" s="508">
        <f ca="1">(INDIRECT("'S"&amp;$B$2&amp;" likelihood'!$ct$28"))</f>
        <v>6</v>
      </c>
      <c r="G38" s="247"/>
      <c r="H38" s="247"/>
      <c r="I38" s="511"/>
      <c r="J38" s="493"/>
      <c r="K38" s="303" t="str">
        <f ca="1">(INDIRECT("'S"&amp;$B$2&amp;" likelihood'!$da$22"))</f>
        <v>Moderately likely</v>
      </c>
      <c r="L38" s="305"/>
    </row>
    <row r="39" spans="1:12" ht="14.4" x14ac:dyDescent="0.25">
      <c r="A39" s="502"/>
      <c r="B39" s="503"/>
      <c r="C39" s="504"/>
      <c r="D39" s="490"/>
      <c r="E39" s="261" t="str">
        <f ca="1">(INDIRECT("'S"&amp;$B$2&amp;" likelihood'!$cv23"))</f>
        <v>Changes in legislation or policy</v>
      </c>
      <c r="F39" s="509"/>
      <c r="G39" s="247"/>
      <c r="H39" s="247"/>
      <c r="I39" s="512"/>
      <c r="J39" s="493"/>
      <c r="K39" s="303" t="str">
        <f ca="1">(INDIRECT("'S"&amp;$B$2&amp;" likelihood'!$da$23"))</f>
        <v>Very unlikely</v>
      </c>
      <c r="L39" s="305"/>
    </row>
    <row r="40" spans="1:12" ht="14.4" x14ac:dyDescent="0.25">
      <c r="A40" s="502"/>
      <c r="B40" s="503"/>
      <c r="C40" s="504"/>
      <c r="D40" s="491"/>
      <c r="E40" s="261" t="str">
        <f ca="1">(INDIRECT("'S"&amp;$B$2&amp;" likelihood'!$cv24"))</f>
        <v>Low roundwood demand - longer haulage</v>
      </c>
      <c r="F40" s="510"/>
      <c r="G40" s="247"/>
      <c r="H40" s="247"/>
      <c r="I40" s="513"/>
      <c r="J40" s="493"/>
      <c r="K40" s="303" t="str">
        <f ca="1">(INDIRECT("'S"&amp;$B$2&amp;" likelihood'!$da$24"))</f>
        <v>Moderately likely</v>
      </c>
      <c r="L40" s="305"/>
    </row>
    <row r="41" spans="1:12" ht="27.6" x14ac:dyDescent="0.25">
      <c r="A41" s="505"/>
      <c r="B41" s="506"/>
      <c r="C41" s="507"/>
      <c r="D41" s="214" t="s">
        <v>689</v>
      </c>
      <c r="E41" s="261" t="str">
        <f ca="1">(INDIRECT("'S"&amp;$B$2&amp;" survey Comments'!$B$11"))</f>
        <v>This practice is unlikely and would be prevented by low prices and market conditions for more valuable wood products. The conditions for the annual allowable cut would need to be respected if this were to happen.</v>
      </c>
      <c r="F41" s="247"/>
      <c r="G41" s="247"/>
      <c r="H41" s="247"/>
      <c r="I41" s="256"/>
      <c r="J41" s="256"/>
      <c r="K41" s="301"/>
      <c r="L41" s="305"/>
    </row>
    <row r="42" spans="1:12" ht="27.6" x14ac:dyDescent="0.25">
      <c r="A42" s="494" t="s">
        <v>352</v>
      </c>
      <c r="B42" s="487"/>
      <c r="C42" s="495"/>
      <c r="D42" s="214" t="s">
        <v>689</v>
      </c>
      <c r="E42" s="261" t="str">
        <f ca="1">(INDIRECT("'S"&amp;$B$2&amp;" survey Comments'!$B$12"))</f>
        <v>No</v>
      </c>
      <c r="F42" s="256"/>
      <c r="G42" s="256"/>
      <c r="H42" s="256"/>
      <c r="I42" s="256"/>
      <c r="J42" s="256"/>
      <c r="K42" s="301"/>
      <c r="L42" s="305"/>
    </row>
    <row r="43" spans="1:12" ht="27.6" x14ac:dyDescent="0.25">
      <c r="A43" s="496"/>
      <c r="B43" s="489"/>
      <c r="C43" s="497"/>
      <c r="D43" s="215" t="s">
        <v>362</v>
      </c>
      <c r="E43" s="262" t="str">
        <f ca="1">(INDIRECT("'S"&amp;$B$2&amp;" Lit Review'!$B$8"))</f>
        <v>Information difficult to obtain, response same as above.</v>
      </c>
      <c r="F43" s="247"/>
      <c r="G43" s="247"/>
      <c r="H43" s="247"/>
      <c r="I43" s="281"/>
      <c r="J43" s="245" t="str">
        <f ca="1">(INDIRECT("'S"&amp;$B$2&amp;" Lit Review'!$D$8"))</f>
        <v>Good</v>
      </c>
      <c r="K43" s="304"/>
      <c r="L43" s="305"/>
    </row>
    <row r="44" spans="1:12" s="165" customFormat="1" x14ac:dyDescent="0.25">
      <c r="A44" s="166" t="s">
        <v>374</v>
      </c>
      <c r="B44" s="166"/>
      <c r="C44" s="166"/>
      <c r="D44" s="166"/>
      <c r="E44" s="239"/>
      <c r="F44" s="248"/>
      <c r="G44" s="248"/>
      <c r="H44" s="248"/>
      <c r="I44" s="248"/>
      <c r="J44" s="248"/>
      <c r="K44" s="248"/>
      <c r="L44" s="306"/>
    </row>
    <row r="45" spans="1:12" ht="27.6" x14ac:dyDescent="0.25">
      <c r="A45" s="477" t="s">
        <v>375</v>
      </c>
      <c r="B45" s="478"/>
      <c r="C45" s="479"/>
      <c r="D45" s="215" t="s">
        <v>688</v>
      </c>
      <c r="E45" s="261" t="str">
        <f ca="1">(INDIRECT("'S"&amp;$B$2&amp;" likelihood'!$Dk$11"))</f>
        <v xml:space="preserve">The majority of respondents felt the counterfactual is an accurate description at least sometimes. </v>
      </c>
      <c r="F45" s="245">
        <f ca="1">(INDIRECT("'S"&amp;$B$2&amp;" likelihood'!$Dm$28"))</f>
        <v>9</v>
      </c>
      <c r="G45" s="245">
        <f ca="1">(INDIRECT("'S"&amp;$B$2&amp;" likelihood'!$Dn$28"))</f>
        <v>0</v>
      </c>
      <c r="H45" s="246">
        <f ca="1">IFERROR(G45/F45,0)</f>
        <v>0</v>
      </c>
      <c r="I45" s="281"/>
      <c r="J45" s="256"/>
      <c r="K45" s="302" t="str">
        <f ca="1">INDIRECT("'S"&amp;$B$2&amp;" likelihood'!$Dn$10")</f>
        <v>Sometimes/ Yes, always</v>
      </c>
      <c r="L45" s="305"/>
    </row>
    <row r="46" spans="1:12" ht="27.6" x14ac:dyDescent="0.25">
      <c r="A46" s="480"/>
      <c r="B46" s="481"/>
      <c r="C46" s="482"/>
      <c r="D46" s="215" t="s">
        <v>689</v>
      </c>
      <c r="E46" s="261" t="str">
        <f ca="1">(INDIRECT("'S"&amp;$B$2&amp;" survey Comments'!$B$13"))</f>
        <v xml:space="preserve">Yes, but respondents emphasised the dynamic nature of forests and that such forest is likely to be remote. Pellets would likely not offer adequate financial return to convert these forests. </v>
      </c>
      <c r="F46" s="247"/>
      <c r="G46" s="247"/>
      <c r="H46" s="247"/>
      <c r="I46" s="281"/>
      <c r="J46" s="247"/>
      <c r="K46" s="301"/>
      <c r="L46" s="305"/>
    </row>
    <row r="47" spans="1:12" s="169" customFormat="1" ht="14.4" x14ac:dyDescent="0.25">
      <c r="A47" s="498" t="s">
        <v>376</v>
      </c>
      <c r="B47" s="498"/>
      <c r="C47" s="498"/>
      <c r="D47" s="227"/>
      <c r="E47" s="227"/>
      <c r="F47" s="257"/>
      <c r="G47" s="257"/>
      <c r="H47" s="257"/>
      <c r="I47" s="257"/>
      <c r="J47" s="257"/>
      <c r="K47" s="257"/>
      <c r="L47" s="307"/>
    </row>
    <row r="48" spans="1:12" s="169" customFormat="1" ht="27.6" x14ac:dyDescent="0.25">
      <c r="A48" s="491"/>
      <c r="B48" s="491"/>
      <c r="C48" s="491"/>
      <c r="D48" s="215" t="s">
        <v>689</v>
      </c>
      <c r="E48" s="261" t="str">
        <f ca="1">(INDIRECT("'S"&amp;$B$2&amp;" survey Comments'!$B$14"))</f>
        <v>Unmanaged forest is in remote areas and is unlikely to be brought back into management as a result of pellet demand because of its remote location and its low financial return.</v>
      </c>
      <c r="F48" s="247"/>
      <c r="G48" s="247"/>
      <c r="H48" s="247"/>
      <c r="I48" s="245" t="str">
        <f ca="1">IF(INDIRECT("'S"&amp;$B$2&amp;" likelihood'!$D$4")&lt;=Somewhat_confident_threshold, "Somewhat confident",IF(AND(INDIRECT("'S"&amp;$B$2&amp;" likelihood'!$D$4")&gt;Somewhat_confident_threshold,INDIRECT("'S"&amp;$B$2&amp;" likelihood'!$D$4")&lt;=Confident_threshold),"Confident","Very confident"))</f>
        <v>Somewhat confident</v>
      </c>
      <c r="J48" s="247"/>
      <c r="K48" s="301"/>
      <c r="L48" s="307"/>
    </row>
    <row r="49" spans="5:9" s="169" customFormat="1" x14ac:dyDescent="0.25">
      <c r="E49" s="264"/>
      <c r="I49" s="167"/>
    </row>
    <row r="50" spans="5:9" s="169" customFormat="1" x14ac:dyDescent="0.25">
      <c r="E50" s="213"/>
      <c r="I50" s="167"/>
    </row>
    <row r="51" spans="5:9" s="169" customFormat="1" x14ac:dyDescent="0.25">
      <c r="E51" s="213"/>
      <c r="I51" s="167"/>
    </row>
    <row r="52" spans="5:9" s="169" customFormat="1" x14ac:dyDescent="0.25">
      <c r="E52" s="213"/>
      <c r="I52" s="167"/>
    </row>
    <row r="53" spans="5:9" s="169" customFormat="1" x14ac:dyDescent="0.25">
      <c r="E53" s="213"/>
      <c r="I53" s="167"/>
    </row>
    <row r="54" spans="5:9" x14ac:dyDescent="0.25">
      <c r="E54" s="213"/>
    </row>
  </sheetData>
  <mergeCells count="27">
    <mergeCell ref="A6:K6"/>
    <mergeCell ref="J38:J40"/>
    <mergeCell ref="A42:C43"/>
    <mergeCell ref="A48:C48"/>
    <mergeCell ref="A45:C46"/>
    <mergeCell ref="A47:C47"/>
    <mergeCell ref="A38:C41"/>
    <mergeCell ref="D38:D40"/>
    <mergeCell ref="F38:F40"/>
    <mergeCell ref="I38:I40"/>
    <mergeCell ref="I34:I36"/>
    <mergeCell ref="A20:C21"/>
    <mergeCell ref="A22:C23"/>
    <mergeCell ref="A24:C25"/>
    <mergeCell ref="A26:C27"/>
    <mergeCell ref="A28:C29"/>
    <mergeCell ref="F34:F36"/>
    <mergeCell ref="A30:C31"/>
    <mergeCell ref="A32:C32"/>
    <mergeCell ref="A34:C37"/>
    <mergeCell ref="D34:D36"/>
    <mergeCell ref="A18:C18"/>
    <mergeCell ref="A8:C8"/>
    <mergeCell ref="A10:C10"/>
    <mergeCell ref="A11:C14"/>
    <mergeCell ref="A15:C16"/>
    <mergeCell ref="A17:C1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1"/>
  </sheetPr>
  <dimension ref="A1:M54"/>
  <sheetViews>
    <sheetView zoomScale="60" zoomScaleNormal="60" workbookViewId="0"/>
  </sheetViews>
  <sheetFormatPr defaultColWidth="8.69921875" defaultRowHeight="13.8" x14ac:dyDescent="0.25"/>
  <cols>
    <col min="1" max="1" width="9.3984375" style="167" customWidth="1"/>
    <col min="2" max="2" width="8.69921875" style="167"/>
    <col min="3" max="3" width="18.3984375" style="167" customWidth="1"/>
    <col min="4" max="4" width="13.3984375" style="167" customWidth="1"/>
    <col min="5" max="5" width="107.8984375" style="228" customWidth="1"/>
    <col min="6" max="11" width="20.3984375" style="167" customWidth="1"/>
    <col min="12" max="13" width="8.69921875" style="2"/>
    <col min="14" max="16384" width="8.69921875" style="167"/>
  </cols>
  <sheetData>
    <row r="1" spans="1:12" x14ac:dyDescent="0.25">
      <c r="L1" s="305"/>
    </row>
    <row r="2" spans="1:12" s="165" customFormat="1" x14ac:dyDescent="0.25">
      <c r="A2" s="164" t="s">
        <v>0</v>
      </c>
      <c r="B2" s="164" t="s">
        <v>380</v>
      </c>
      <c r="C2" s="268" t="str">
        <f ca="1">(INDIRECT("'S"&amp;$B$2&amp;" likelihood'!$c$2"))</f>
        <v>Additional wood (in comparison to the counterfactual) from the conversion of unmanaged forest into production in Pacific Canada</v>
      </c>
      <c r="D2" s="223"/>
      <c r="E2" s="223"/>
      <c r="F2" s="164"/>
      <c r="G2" s="164"/>
      <c r="H2" s="164"/>
      <c r="I2" s="164"/>
      <c r="J2" s="164"/>
      <c r="K2" s="164"/>
      <c r="L2" s="306"/>
    </row>
    <row r="3" spans="1:12" x14ac:dyDescent="0.25">
      <c r="L3" s="305"/>
    </row>
    <row r="4" spans="1:12" s="165" customFormat="1" x14ac:dyDescent="0.25">
      <c r="A4" s="164" t="s">
        <v>30</v>
      </c>
      <c r="B4" s="164"/>
      <c r="C4" s="164"/>
      <c r="D4" s="164"/>
      <c r="E4" s="223"/>
      <c r="F4" s="164"/>
      <c r="G4" s="164"/>
      <c r="H4" s="164"/>
      <c r="I4" s="164"/>
      <c r="J4" s="164"/>
      <c r="K4" s="164"/>
      <c r="L4" s="306"/>
    </row>
    <row r="5" spans="1:12" x14ac:dyDescent="0.25">
      <c r="L5" s="305"/>
    </row>
    <row r="6" spans="1:12" ht="33.75" customHeight="1" x14ac:dyDescent="0.25">
      <c r="A6" s="492" t="str">
        <f>Canada_text</f>
        <v xml:space="preserve">A full description of evidence found in the literature review and references for sources, is given in Section 5 of the report, and summarised in Section 5.7.  Comments from the questionnaire are discussed in full in Section 8 and provided in Appendix 4 </v>
      </c>
      <c r="B6" s="492"/>
      <c r="C6" s="492"/>
      <c r="D6" s="492"/>
      <c r="E6" s="492"/>
      <c r="F6" s="492"/>
      <c r="G6" s="492"/>
      <c r="H6" s="492"/>
      <c r="I6" s="492"/>
      <c r="J6" s="492"/>
      <c r="K6" s="492"/>
      <c r="L6" s="305"/>
    </row>
    <row r="7" spans="1:12" x14ac:dyDescent="0.25">
      <c r="L7" s="305"/>
    </row>
    <row r="8" spans="1:12" ht="78" customHeight="1" x14ac:dyDescent="0.25">
      <c r="A8" s="460" t="s">
        <v>359</v>
      </c>
      <c r="B8" s="460"/>
      <c r="C8" s="460"/>
      <c r="D8" s="216" t="s">
        <v>365</v>
      </c>
      <c r="E8" s="216" t="s">
        <v>366</v>
      </c>
      <c r="F8" s="225" t="s">
        <v>368</v>
      </c>
      <c r="G8" s="225" t="s">
        <v>488</v>
      </c>
      <c r="H8" s="225" t="s">
        <v>489</v>
      </c>
      <c r="I8" s="225" t="s">
        <v>490</v>
      </c>
      <c r="J8" s="225" t="s">
        <v>491</v>
      </c>
      <c r="K8" s="225" t="s">
        <v>367</v>
      </c>
      <c r="L8" s="305"/>
    </row>
    <row r="9" spans="1:12" s="165" customFormat="1" x14ac:dyDescent="0.25">
      <c r="A9" s="166" t="s">
        <v>360</v>
      </c>
      <c r="B9" s="166"/>
      <c r="C9" s="166"/>
      <c r="D9" s="166"/>
      <c r="E9" s="224"/>
      <c r="F9" s="166"/>
      <c r="G9" s="166"/>
      <c r="H9" s="166"/>
      <c r="I9" s="166"/>
      <c r="J9" s="166"/>
      <c r="K9" s="166"/>
      <c r="L9" s="306"/>
    </row>
    <row r="10" spans="1:12" s="169" customFormat="1" ht="96.6" x14ac:dyDescent="0.25">
      <c r="A10" s="461" t="s">
        <v>492</v>
      </c>
      <c r="B10" s="462"/>
      <c r="C10" s="462"/>
      <c r="D10" s="171" t="s">
        <v>493</v>
      </c>
      <c r="E10" s="273" t="s">
        <v>685</v>
      </c>
      <c r="F10" s="247"/>
      <c r="G10" s="247"/>
      <c r="H10" s="247"/>
      <c r="I10" s="281"/>
      <c r="J10" s="247"/>
      <c r="K10" s="301"/>
      <c r="L10" s="307"/>
    </row>
    <row r="11" spans="1:12" ht="27.6" x14ac:dyDescent="0.25">
      <c r="A11" s="463" t="s">
        <v>301</v>
      </c>
      <c r="B11" s="464"/>
      <c r="C11" s="465"/>
      <c r="D11" s="215" t="s">
        <v>688</v>
      </c>
      <c r="E11" s="261" t="str">
        <f ca="1">(INDIRECT("'S"&amp;$B$2&amp;" likelihood'!$B$11"))</f>
        <v xml:space="preserve">Only four respondents answered this question - the responses were equally split between definitely not and I don't know. </v>
      </c>
      <c r="F11" s="245">
        <f ca="1">(INDIRECT("'S"&amp;$B$2&amp;" likelihood'!$D$28"))</f>
        <v>4</v>
      </c>
      <c r="G11" s="245">
        <f ca="1">(INDIRECT("'S"&amp;$B$2&amp;" likelihood'!$E$28"))</f>
        <v>2</v>
      </c>
      <c r="H11" s="246">
        <f ca="1">G11/F11</f>
        <v>0.5</v>
      </c>
      <c r="I11" s="281"/>
      <c r="J11" s="247"/>
      <c r="K11" s="302" t="str">
        <f ca="1">INDIRECT("'S"&amp;$B$2&amp;" likelihood'!$E$10")</f>
        <v>No consensus</v>
      </c>
      <c r="L11" s="305"/>
    </row>
    <row r="12" spans="1:12" ht="41.4" x14ac:dyDescent="0.25">
      <c r="A12" s="466"/>
      <c r="B12" s="467"/>
      <c r="C12" s="468"/>
      <c r="D12" s="215" t="s">
        <v>689</v>
      </c>
      <c r="E12" s="261" t="str">
        <f ca="1">(INDIRECT("'S"&amp;$B$2&amp;" survey Comments'!$B$3"))</f>
        <v xml:space="preserve">Respondents believe that it is the other way round: more land is becoming unmanaged (or unmanageable). Unmanaged forests are not managed for pellet production – other more valuable products would influence this, but the price of hardwood products are insufficient. </v>
      </c>
      <c r="F12" s="247"/>
      <c r="G12" s="247"/>
      <c r="H12" s="247"/>
      <c r="I12" s="281"/>
      <c r="J12" s="247"/>
      <c r="K12" s="301"/>
      <c r="L12" s="305"/>
    </row>
    <row r="13" spans="1:12" ht="41.4" x14ac:dyDescent="0.25">
      <c r="A13" s="466"/>
      <c r="B13" s="467"/>
      <c r="C13" s="468"/>
      <c r="D13" s="215" t="s">
        <v>362</v>
      </c>
      <c r="E13" s="262" t="str">
        <f ca="1">(INDIRECT("'S"&amp;$B$2&amp;" Lit Review'!$B$3"))</f>
        <v xml:space="preserve">The literature provides no evidence that unmanaged forest would be brought into management as a result of pellet demand. The annual allowable cut (AAC) is not achieved for many regions in Canada, so it is more likely that the permitted AAC would be exploited before unmanaged woodland is brought into production. </v>
      </c>
      <c r="F13" s="247"/>
      <c r="G13" s="247"/>
      <c r="H13" s="247"/>
      <c r="I13" s="281"/>
      <c r="J13" s="245" t="str">
        <f ca="1">(INDIRECT("'S"&amp;$B$2&amp;" Lit Review'!$D$3"))</f>
        <v>Good</v>
      </c>
      <c r="K13" s="302" t="str">
        <f ca="1">(INDIRECT("'S"&amp;$B$2&amp;" Lit Review'!$C$3"))</f>
        <v>Definitely not</v>
      </c>
      <c r="L13" s="305"/>
    </row>
    <row r="14" spans="1:12" ht="27.6" x14ac:dyDescent="0.25">
      <c r="A14" s="469"/>
      <c r="B14" s="470"/>
      <c r="C14" s="471"/>
      <c r="D14" s="168" t="s">
        <v>494</v>
      </c>
      <c r="E14" s="263" t="s">
        <v>554</v>
      </c>
      <c r="F14" s="247"/>
      <c r="G14" s="247"/>
      <c r="H14" s="247"/>
      <c r="I14" s="281"/>
      <c r="J14" s="247"/>
      <c r="K14" s="301"/>
      <c r="L14" s="305"/>
    </row>
    <row r="15" spans="1:12" ht="27.6" x14ac:dyDescent="0.25">
      <c r="A15" s="472" t="s">
        <v>487</v>
      </c>
      <c r="B15" s="464"/>
      <c r="C15" s="465"/>
      <c r="D15" s="215" t="s">
        <v>362</v>
      </c>
      <c r="E15" s="262" t="str">
        <f ca="1">(INDIRECT("'S"&amp;$B$2&amp;" Lit Review'!$B$4"))</f>
        <v>There is no evidence that this occurring at any scale</v>
      </c>
      <c r="F15" s="247"/>
      <c r="G15" s="247"/>
      <c r="H15" s="247"/>
      <c r="I15" s="281"/>
      <c r="J15" s="245" t="str">
        <f ca="1">(INDIRECT("'S"&amp;$B$2&amp;" Lit Review'!$D$4"))</f>
        <v>No literature found</v>
      </c>
      <c r="K15" s="301"/>
      <c r="L15" s="305"/>
    </row>
    <row r="16" spans="1:12" ht="27.6" x14ac:dyDescent="0.25">
      <c r="A16" s="469"/>
      <c r="B16" s="470"/>
      <c r="C16" s="471"/>
      <c r="D16" s="168" t="s">
        <v>494</v>
      </c>
      <c r="E16" s="263" t="s">
        <v>554</v>
      </c>
      <c r="F16" s="247"/>
      <c r="G16" s="247"/>
      <c r="H16" s="247"/>
      <c r="I16" s="281"/>
      <c r="J16" s="247"/>
      <c r="K16" s="301"/>
      <c r="L16" s="305"/>
    </row>
    <row r="17" spans="1:12" ht="27.6" x14ac:dyDescent="0.25">
      <c r="A17" s="473" t="s">
        <v>363</v>
      </c>
      <c r="B17" s="473"/>
      <c r="C17" s="473"/>
      <c r="D17" s="215" t="s">
        <v>689</v>
      </c>
      <c r="E17" s="274">
        <f ca="1">(INDIRECT("'S"&amp;$B$2&amp;" survey Comments'!$B$4"))</f>
        <v>0</v>
      </c>
      <c r="F17" s="247"/>
      <c r="G17" s="247"/>
      <c r="H17" s="247"/>
      <c r="I17" s="281"/>
      <c r="J17" s="247"/>
      <c r="K17" s="301"/>
      <c r="L17" s="305"/>
    </row>
    <row r="18" spans="1:12" ht="27.6" x14ac:dyDescent="0.25">
      <c r="A18" s="459" t="s">
        <v>364</v>
      </c>
      <c r="B18" s="459"/>
      <c r="C18" s="459"/>
      <c r="D18" s="215" t="s">
        <v>689</v>
      </c>
      <c r="E18" s="274">
        <f ca="1">(INDIRECT("'S"&amp;$B$2&amp;" survey Comments'!$B$5"))</f>
        <v>0</v>
      </c>
      <c r="F18" s="247"/>
      <c r="G18" s="247"/>
      <c r="H18" s="247"/>
      <c r="I18" s="281"/>
      <c r="J18" s="247"/>
      <c r="K18" s="301"/>
      <c r="L18" s="305"/>
    </row>
    <row r="19" spans="1:12" s="165" customFormat="1" x14ac:dyDescent="0.25">
      <c r="A19" s="166" t="s">
        <v>369</v>
      </c>
      <c r="B19" s="166"/>
      <c r="C19" s="166"/>
      <c r="D19" s="166"/>
      <c r="E19" s="226"/>
      <c r="F19" s="248"/>
      <c r="G19" s="248"/>
      <c r="H19" s="248"/>
      <c r="I19" s="248"/>
      <c r="J19" s="248"/>
      <c r="K19" s="248"/>
      <c r="L19" s="306"/>
    </row>
    <row r="20" spans="1:12" ht="27.6" x14ac:dyDescent="0.25">
      <c r="A20" s="477" t="s">
        <v>322</v>
      </c>
      <c r="B20" s="478"/>
      <c r="C20" s="479"/>
      <c r="D20" s="215" t="s">
        <v>688</v>
      </c>
      <c r="E20" s="261" t="str">
        <f ca="1">(INDIRECT("'S"&amp;$B$2&amp;" likelihood'!$S$11"))</f>
        <v>Three of the five respondents answered "I don't know".  The other two said the scenario is very unlikely/unlikely</v>
      </c>
      <c r="F20" s="245">
        <f ca="1">(INDIRECT("'S"&amp;$B$2&amp;" likelihood'!$U$28"))</f>
        <v>5</v>
      </c>
      <c r="G20" s="245">
        <f ca="1">(INDIRECT("'S"&amp;$B$2&amp;" likelihood'!$V$28"))</f>
        <v>3</v>
      </c>
      <c r="H20" s="246">
        <f ca="1">IFERROR(G20/F20,0)</f>
        <v>0.6</v>
      </c>
      <c r="I20" s="281"/>
      <c r="J20" s="247"/>
      <c r="K20" s="302" t="str">
        <f ca="1">INDIRECT("'S"&amp;$B$2&amp;" likelihood'!$V$10")</f>
        <v>No consensus</v>
      </c>
      <c r="L20" s="305"/>
    </row>
    <row r="21" spans="1:12" ht="27.6" x14ac:dyDescent="0.25">
      <c r="A21" s="480"/>
      <c r="B21" s="481"/>
      <c r="C21" s="482"/>
      <c r="D21" s="215" t="s">
        <v>689</v>
      </c>
      <c r="E21" s="261" t="str">
        <f ca="1">(INDIRECT("'S"&amp;$B$2&amp;" survey Comments'!$B$6"))</f>
        <v>No comments</v>
      </c>
      <c r="F21" s="247"/>
      <c r="G21" s="247"/>
      <c r="H21" s="247"/>
      <c r="I21" s="281"/>
      <c r="J21" s="247"/>
      <c r="K21" s="301"/>
      <c r="L21" s="305"/>
    </row>
    <row r="22" spans="1:12" ht="27.6" x14ac:dyDescent="0.25">
      <c r="A22" s="477" t="s">
        <v>356</v>
      </c>
      <c r="B22" s="478"/>
      <c r="C22" s="479"/>
      <c r="D22" s="215" t="s">
        <v>362</v>
      </c>
      <c r="E22" s="262" t="str">
        <f ca="1">(INDIRECT("'S"&amp;$B$2&amp;" Lit Review'!$B$5"))</f>
        <v>There is no evidence that future pellet demand would result in the management of unmanaged forest in Canada</v>
      </c>
      <c r="F22" s="247"/>
      <c r="G22" s="247"/>
      <c r="H22" s="247"/>
      <c r="I22" s="281"/>
      <c r="J22" s="245" t="str">
        <f ca="1">(INDIRECT("'S"&amp;$B$2&amp;" Lit Review'!$D$5"))</f>
        <v>No literature found</v>
      </c>
      <c r="K22" s="302" t="str">
        <f ca="1">(INDIRECT("'S"&amp;$B$2&amp;" Lit Review'!$C$5"))</f>
        <v>Very unlikely</v>
      </c>
      <c r="L22" s="305"/>
    </row>
    <row r="23" spans="1:12" ht="27.6" x14ac:dyDescent="0.25">
      <c r="A23" s="480"/>
      <c r="B23" s="481"/>
      <c r="C23" s="482"/>
      <c r="D23" s="168" t="s">
        <v>494</v>
      </c>
      <c r="E23" s="263" t="s">
        <v>554</v>
      </c>
      <c r="F23" s="247"/>
      <c r="G23" s="247"/>
      <c r="H23" s="247"/>
      <c r="I23" s="281"/>
      <c r="J23" s="247"/>
      <c r="K23" s="301"/>
      <c r="L23" s="305"/>
    </row>
    <row r="24" spans="1:12" ht="27.6" x14ac:dyDescent="0.25">
      <c r="A24" s="477" t="s">
        <v>328</v>
      </c>
      <c r="B24" s="478"/>
      <c r="C24" s="479"/>
      <c r="D24" s="215" t="s">
        <v>688</v>
      </c>
      <c r="E24" s="261" t="str">
        <f ca="1">(INDIRECT("'S"&amp;$B$2&amp;" likelihood'!$AH$11"))</f>
        <v xml:space="preserve">All six respondents felt this scenario is either very unlikely or unlikely </v>
      </c>
      <c r="F24" s="245">
        <f ca="1">(INDIRECT("'S"&amp;$B$2&amp;" likelihood'!$AJ$28"))</f>
        <v>6</v>
      </c>
      <c r="G24" s="245">
        <f ca="1">(INDIRECT("'S"&amp;$B$2&amp;" likelihood'!$Ak$28"))</f>
        <v>0</v>
      </c>
      <c r="H24" s="246">
        <f ca="1">IFERROR(G24/F24,0)</f>
        <v>0</v>
      </c>
      <c r="I24" s="281"/>
      <c r="J24" s="247"/>
      <c r="K24" s="302" t="str">
        <f ca="1">INDIRECT("'S"&amp;$B$2&amp;" likelihood'!$AK$10")</f>
        <v>very unlikely/unlikely</v>
      </c>
      <c r="L24" s="305"/>
    </row>
    <row r="25" spans="1:12" ht="27.6" x14ac:dyDescent="0.25">
      <c r="A25" s="480"/>
      <c r="B25" s="481"/>
      <c r="C25" s="482"/>
      <c r="D25" s="215" t="s">
        <v>689</v>
      </c>
      <c r="E25" s="261" t="str">
        <f ca="1">(INDIRECT("'S"&amp;$B$2&amp;" survey Comments'!$B$7"))</f>
        <v>The respondents said that the amount of unmanaged forests in their region was small and did not  expect that this forest land would be managed for pellet production.</v>
      </c>
      <c r="F25" s="247"/>
      <c r="G25" s="247"/>
      <c r="H25" s="247"/>
      <c r="I25" s="281"/>
      <c r="J25" s="247"/>
      <c r="K25" s="301"/>
      <c r="L25" s="305"/>
    </row>
    <row r="26" spans="1:12" ht="27.6" x14ac:dyDescent="0.25">
      <c r="A26" s="477" t="s">
        <v>347</v>
      </c>
      <c r="B26" s="478"/>
      <c r="C26" s="479"/>
      <c r="D26" s="215" t="s">
        <v>688</v>
      </c>
      <c r="E26" s="261" t="str">
        <f ca="1">(INDIRECT("'S"&amp;$B$2&amp;" likelihood'!$AW$11"))</f>
        <v xml:space="preserve">All six respondents felt this scenario is either very unlikely or unlikely </v>
      </c>
      <c r="F26" s="245">
        <f ca="1">(INDIRECT("'S"&amp;$B$2&amp;" likelihood'!$AY$28"))</f>
        <v>6</v>
      </c>
      <c r="G26" s="245">
        <f ca="1">(INDIRECT("'S"&amp;$B$2&amp;" likelihood'!$Az$28"))</f>
        <v>0</v>
      </c>
      <c r="H26" s="246">
        <f ca="1">IFERROR(G26/F26,0)</f>
        <v>0</v>
      </c>
      <c r="I26" s="281"/>
      <c r="J26" s="247"/>
      <c r="K26" s="302" t="str">
        <f ca="1">INDIRECT("'S"&amp;$B$2&amp;" likelihood'!$AZ$10")</f>
        <v>Very unlikely/unlikely</v>
      </c>
      <c r="L26" s="305"/>
    </row>
    <row r="27" spans="1:12" ht="27.6" x14ac:dyDescent="0.25">
      <c r="A27" s="480"/>
      <c r="B27" s="481"/>
      <c r="C27" s="482"/>
      <c r="D27" s="215" t="s">
        <v>689</v>
      </c>
      <c r="E27" s="261" t="str">
        <f ca="1">(INDIRECT("'S"&amp;$B$2&amp;" survey Comments'!$B$8"))</f>
        <v>The respondents said that the amount of unmanaged forests in their region was small and did not  expect that this forest land would be managed for pellet production.</v>
      </c>
      <c r="F27" s="247"/>
      <c r="G27" s="247"/>
      <c r="H27" s="247"/>
      <c r="I27" s="281"/>
      <c r="J27" s="247"/>
      <c r="K27" s="301"/>
      <c r="L27" s="305"/>
    </row>
    <row r="28" spans="1:12" ht="27.6" x14ac:dyDescent="0.25">
      <c r="A28" s="477" t="s">
        <v>348</v>
      </c>
      <c r="B28" s="478"/>
      <c r="C28" s="479"/>
      <c r="D28" s="215" t="s">
        <v>688</v>
      </c>
      <c r="E28" s="261" t="str">
        <f ca="1">(INDIRECT("'S"&amp;$B$2&amp;" likelihood'!$BL$11"))</f>
        <v xml:space="preserve">All six respondents felt this scenario is either very unlikely or unlikely </v>
      </c>
      <c r="F28" s="245">
        <f ca="1">(INDIRECT("'S"&amp;$B$2&amp;" likelihood'!$BN$28"))</f>
        <v>6</v>
      </c>
      <c r="G28" s="245">
        <f ca="1">(INDIRECT("'S"&amp;$B$2&amp;" likelihood'!$Bo$28"))</f>
        <v>0</v>
      </c>
      <c r="H28" s="246">
        <f ca="1">IFERROR(G28/F28,0)</f>
        <v>0</v>
      </c>
      <c r="I28" s="281"/>
      <c r="J28" s="247"/>
      <c r="K28" s="302" t="str">
        <f ca="1">INDIRECT("'S"&amp;$B$2&amp;" likelihood'!$BO$10")</f>
        <v>very unlikely/unlikely</v>
      </c>
      <c r="L28" s="305"/>
    </row>
    <row r="29" spans="1:12" ht="27.6" x14ac:dyDescent="0.25">
      <c r="A29" s="480"/>
      <c r="B29" s="481"/>
      <c r="C29" s="482"/>
      <c r="D29" s="215" t="s">
        <v>689</v>
      </c>
      <c r="E29" s="261" t="str">
        <f ca="1">(INDIRECT("'S"&amp;$B$2&amp;" survey Comments'!$B$9"))</f>
        <v>The respondents said that the amount of unmanaged forests in their region was small and did not  expect that this forest land would be managed for pellet production.</v>
      </c>
      <c r="F29" s="247"/>
      <c r="G29" s="247"/>
      <c r="H29" s="247"/>
      <c r="I29" s="281"/>
      <c r="J29" s="247"/>
      <c r="K29" s="301"/>
      <c r="L29" s="305"/>
    </row>
    <row r="30" spans="1:12" ht="27.6" x14ac:dyDescent="0.25">
      <c r="A30" s="477" t="s">
        <v>355</v>
      </c>
      <c r="B30" s="478"/>
      <c r="C30" s="479"/>
      <c r="D30" s="215" t="s">
        <v>362</v>
      </c>
      <c r="E30" s="262" t="str">
        <f ca="1">(INDIRECT("'S"&amp;$B$2&amp;" Lit Review'!$B$6"))</f>
        <v>As above</v>
      </c>
      <c r="F30" s="247"/>
      <c r="G30" s="247"/>
      <c r="H30" s="247"/>
      <c r="I30" s="281"/>
      <c r="J30" s="245" t="str">
        <f ca="1">(INDIRECT("'S"&amp;$B$2&amp;" Lit Review'!$D$6"))</f>
        <v>No literature found</v>
      </c>
      <c r="K30" s="302" t="str">
        <f ca="1">(INDIRECT("'S"&amp;$B$2&amp;" Lit Review'!$C$6"))</f>
        <v>Very unlikely</v>
      </c>
      <c r="L30" s="305"/>
    </row>
    <row r="31" spans="1:12" ht="27.6" x14ac:dyDescent="0.25">
      <c r="A31" s="480"/>
      <c r="B31" s="481"/>
      <c r="C31" s="482"/>
      <c r="D31" s="168" t="s">
        <v>494</v>
      </c>
      <c r="E31" s="263" t="s">
        <v>554</v>
      </c>
      <c r="F31" s="247"/>
      <c r="G31" s="247"/>
      <c r="H31" s="247"/>
      <c r="I31" s="281"/>
      <c r="J31" s="247"/>
      <c r="K31" s="301"/>
      <c r="L31" s="305"/>
    </row>
    <row r="32" spans="1:12" ht="27.6" x14ac:dyDescent="0.25">
      <c r="A32" s="483" t="s">
        <v>354</v>
      </c>
      <c r="B32" s="484"/>
      <c r="C32" s="485"/>
      <c r="D32" s="215" t="s">
        <v>362</v>
      </c>
      <c r="E32" s="262" t="str">
        <f ca="1">(INDIRECT("'S"&amp;$B$2&amp;" Lit Review'!$B$7"))</f>
        <v>No, there is no data on the costs of bringing unmanaged forest into production for pellet production. However costs for pellet production in Canada suggest that transport costs would probably be prohibitive.</v>
      </c>
      <c r="F32" s="247"/>
      <c r="G32" s="247"/>
      <c r="H32" s="247"/>
      <c r="I32" s="281"/>
      <c r="J32" s="245" t="str">
        <f ca="1">(INDIRECT("'S"&amp;$B$2&amp;" Lit Review'!$D$7"))</f>
        <v>Good</v>
      </c>
      <c r="K32" s="301"/>
      <c r="L32" s="305"/>
    </row>
    <row r="33" spans="1:12" s="165" customFormat="1" x14ac:dyDescent="0.25">
      <c r="A33" s="166" t="s">
        <v>495</v>
      </c>
      <c r="B33" s="166"/>
      <c r="C33" s="166"/>
      <c r="D33" s="166"/>
      <c r="E33" s="166"/>
      <c r="F33" s="248"/>
      <c r="G33" s="248"/>
      <c r="H33" s="248"/>
      <c r="I33" s="248"/>
      <c r="J33" s="248"/>
      <c r="K33" s="248"/>
      <c r="L33" s="306"/>
    </row>
    <row r="34" spans="1:12" s="165" customFormat="1" ht="14.4" x14ac:dyDescent="0.25">
      <c r="A34" s="486" t="s">
        <v>496</v>
      </c>
      <c r="B34" s="487"/>
      <c r="C34" s="487"/>
      <c r="D34" s="461" t="s">
        <v>688</v>
      </c>
      <c r="E34" s="261" t="str">
        <f ca="1">(INDIRECT("'S"&amp;$B$2&amp;" likelihood'!$cd22"))</f>
        <v>Increased demand for pellet fibre provides sufficient financial return</v>
      </c>
      <c r="F34" s="474">
        <f ca="1">(INDIRECT("'S"&amp;$B$2&amp;" likelihood'!$cb$28"))</f>
        <v>12</v>
      </c>
      <c r="G34" s="249"/>
      <c r="H34" s="249"/>
      <c r="I34" s="511"/>
      <c r="J34" s="250"/>
      <c r="K34" s="303" t="str">
        <f ca="1">(INDIRECT("'S"&amp;$B$2&amp;" likelihood'!$Ci$22"))</f>
        <v>Very unlikely</v>
      </c>
      <c r="L34" s="306"/>
    </row>
    <row r="35" spans="1:12" s="165" customFormat="1" ht="14.4" x14ac:dyDescent="0.25">
      <c r="A35" s="488"/>
      <c r="B35" s="488"/>
      <c r="C35" s="488"/>
      <c r="D35" s="490"/>
      <c r="E35" s="261" t="str">
        <f ca="1">(INDIRECT("'S"&amp;$B$2&amp;" likelihood'!$cd23"))</f>
        <v>Increased demand for saw timber enables management of unmanaged forest</v>
      </c>
      <c r="F35" s="475"/>
      <c r="G35" s="249"/>
      <c r="H35" s="249"/>
      <c r="I35" s="512"/>
      <c r="J35" s="251"/>
      <c r="K35" s="303" t="str">
        <f ca="1">(INDIRECT("'S"&amp;$B$2&amp;" likelihood'!$Ci$23"))</f>
        <v>Very unlikely</v>
      </c>
      <c r="L35" s="306"/>
    </row>
    <row r="36" spans="1:12" ht="28.8" x14ac:dyDescent="0.25">
      <c r="A36" s="488"/>
      <c r="B36" s="488"/>
      <c r="C36" s="488"/>
      <c r="D36" s="491"/>
      <c r="E36" s="261" t="str">
        <f ca="1">(INDIRECT("'S"&amp;$B$2&amp;" likelihood'!$cd24"))</f>
        <v>Reduction in vulnerability to disease/pests / Changes in legislation or forest policy</v>
      </c>
      <c r="F36" s="476"/>
      <c r="G36" s="252"/>
      <c r="H36" s="252"/>
      <c r="I36" s="513"/>
      <c r="J36" s="253"/>
      <c r="K36" s="303" t="str">
        <f ca="1">(INDIRECT("'S"&amp;$B$2&amp;" likelihood'!$Ci$24"))</f>
        <v>Very unlikely / Ranked, but likelihood not estimated</v>
      </c>
      <c r="L36" s="305"/>
    </row>
    <row r="37" spans="1:12" ht="27.6" x14ac:dyDescent="0.25">
      <c r="A37" s="489"/>
      <c r="B37" s="489"/>
      <c r="C37" s="489"/>
      <c r="D37" s="215" t="s">
        <v>689</v>
      </c>
      <c r="E37" s="261" t="str">
        <f ca="1">(INDIRECT("'S"&amp;$B$2&amp;" survey Comments'!$B$10"))</f>
        <v xml:space="preserve">It is unlikely that unmanaged woodland would be brought back into management. If it did it would most likely occur on private land, which makes up less than 10% of forest lands.                 </v>
      </c>
      <c r="F37" s="254"/>
      <c r="G37" s="254"/>
      <c r="H37" s="254"/>
      <c r="I37" s="255"/>
      <c r="J37" s="255"/>
      <c r="K37" s="301"/>
      <c r="L37" s="305"/>
    </row>
    <row r="38" spans="1:12" ht="14.4" x14ac:dyDescent="0.25">
      <c r="A38" s="499" t="s">
        <v>483</v>
      </c>
      <c r="B38" s="500"/>
      <c r="C38" s="501"/>
      <c r="D38" s="461" t="s">
        <v>688</v>
      </c>
      <c r="E38" s="261" t="str">
        <f ca="1">(INDIRECT("'S"&amp;$B$2&amp;" likelihood'!$cv22"))</f>
        <v>Insufficient financial return</v>
      </c>
      <c r="F38" s="508">
        <f ca="1">(INDIRECT("'S"&amp;$B$2&amp;" likelihood'!$ct$28"))</f>
        <v>2</v>
      </c>
      <c r="G38" s="247"/>
      <c r="H38" s="247"/>
      <c r="I38" s="511"/>
      <c r="J38" s="493"/>
      <c r="K38" s="303" t="str">
        <f ca="1">(INDIRECT("'S"&amp;$B$2&amp;" likelihood'!$da$22"))</f>
        <v>Likely</v>
      </c>
      <c r="L38" s="305"/>
    </row>
    <row r="39" spans="1:12" ht="14.4" x14ac:dyDescent="0.25">
      <c r="A39" s="502"/>
      <c r="B39" s="503"/>
      <c r="C39" s="504"/>
      <c r="D39" s="490"/>
      <c r="E39" s="261" t="str">
        <f ca="1">(INDIRECT("'S"&amp;$B$2&amp;" likelihood'!$cv23"))</f>
        <v>Low roundwood demand - longer haulage</v>
      </c>
      <c r="F39" s="509"/>
      <c r="G39" s="247"/>
      <c r="H39" s="247"/>
      <c r="I39" s="512"/>
      <c r="J39" s="493"/>
      <c r="K39" s="303" t="str">
        <f ca="1">(INDIRECT("'S"&amp;$B$2&amp;" likelihood'!$da$23"))</f>
        <v>Likely</v>
      </c>
      <c r="L39" s="305"/>
    </row>
    <row r="40" spans="1:12" ht="28.8" x14ac:dyDescent="0.25">
      <c r="A40" s="502"/>
      <c r="B40" s="503"/>
      <c r="C40" s="504"/>
      <c r="D40" s="491"/>
      <c r="E40" s="261" t="str">
        <f ca="1">(INDIRECT("'S"&amp;$B$2&amp;" likelihood'!$cv24"))</f>
        <v>Changes in legislation or policy</v>
      </c>
      <c r="F40" s="510"/>
      <c r="G40" s="247"/>
      <c r="H40" s="247"/>
      <c r="I40" s="513"/>
      <c r="J40" s="493"/>
      <c r="K40" s="303" t="str">
        <f ca="1">(INDIRECT("'S"&amp;$B$2&amp;" likelihood'!$da$24"))</f>
        <v>Ranked, but likelihood not estimated</v>
      </c>
      <c r="L40" s="305"/>
    </row>
    <row r="41" spans="1:12" ht="27.6" x14ac:dyDescent="0.25">
      <c r="A41" s="505"/>
      <c r="B41" s="506"/>
      <c r="C41" s="507"/>
      <c r="D41" s="214" t="s">
        <v>689</v>
      </c>
      <c r="E41" s="261" t="str">
        <f ca="1">(INDIRECT("'S"&amp;$B$2&amp;" survey Comments'!$B$11"))</f>
        <v>This practice is unlikely and would be prevented by low prices and market conditions for more valuable wood products. The conditions for the annual allowable cut would need to be respected if this were to happen.</v>
      </c>
      <c r="F41" s="247"/>
      <c r="G41" s="247"/>
      <c r="H41" s="247"/>
      <c r="I41" s="256"/>
      <c r="J41" s="256"/>
      <c r="K41" s="301"/>
      <c r="L41" s="305"/>
    </row>
    <row r="42" spans="1:12" ht="27.6" x14ac:dyDescent="0.25">
      <c r="A42" s="494" t="s">
        <v>352</v>
      </c>
      <c r="B42" s="487"/>
      <c r="C42" s="495"/>
      <c r="D42" s="214" t="s">
        <v>689</v>
      </c>
      <c r="E42" s="261" t="str">
        <f ca="1">(INDIRECT("'S"&amp;$B$2&amp;" survey Comments'!$B$12"))</f>
        <v>No</v>
      </c>
      <c r="F42" s="256"/>
      <c r="G42" s="256"/>
      <c r="H42" s="256"/>
      <c r="I42" s="256"/>
      <c r="J42" s="256"/>
      <c r="K42" s="301"/>
      <c r="L42" s="305"/>
    </row>
    <row r="43" spans="1:12" ht="27.6" x14ac:dyDescent="0.25">
      <c r="A43" s="496"/>
      <c r="B43" s="489"/>
      <c r="C43" s="497"/>
      <c r="D43" s="215" t="s">
        <v>362</v>
      </c>
      <c r="E43" s="262" t="str">
        <f ca="1">(INDIRECT("'S"&amp;$B$2&amp;" Lit Review'!$B$8"))</f>
        <v>Information difficult to obtain, response same as above.</v>
      </c>
      <c r="F43" s="247"/>
      <c r="G43" s="247"/>
      <c r="H43" s="247"/>
      <c r="I43" s="281"/>
      <c r="J43" s="245" t="str">
        <f ca="1">(INDIRECT("'S"&amp;$B$2&amp;" Lit Review'!$D$8"))</f>
        <v>Good</v>
      </c>
      <c r="K43" s="304"/>
      <c r="L43" s="305"/>
    </row>
    <row r="44" spans="1:12" s="165" customFormat="1" x14ac:dyDescent="0.25">
      <c r="A44" s="166" t="s">
        <v>374</v>
      </c>
      <c r="B44" s="166"/>
      <c r="C44" s="166"/>
      <c r="D44" s="166"/>
      <c r="E44" s="239"/>
      <c r="F44" s="248"/>
      <c r="G44" s="248"/>
      <c r="H44" s="248"/>
      <c r="I44" s="248"/>
      <c r="J44" s="248"/>
      <c r="K44" s="248"/>
      <c r="L44" s="306"/>
    </row>
    <row r="45" spans="1:12" ht="27.6" x14ac:dyDescent="0.25">
      <c r="A45" s="477" t="s">
        <v>375</v>
      </c>
      <c r="B45" s="478"/>
      <c r="C45" s="479"/>
      <c r="D45" s="215" t="s">
        <v>688</v>
      </c>
      <c r="E45" s="261" t="str">
        <f ca="1">(INDIRECT("'S"&amp;$B$2&amp;" likelihood'!$Dk$11"))</f>
        <v>Two of the four respondents answered that the counterfactual is accurate sometimes, but one respondent said "definitely not" and the other said "most of the time"</v>
      </c>
      <c r="F45" s="245">
        <f ca="1">(INDIRECT("'S"&amp;$B$2&amp;" likelihood'!$Dm$28"))</f>
        <v>4</v>
      </c>
      <c r="G45" s="245">
        <f ca="1">(INDIRECT("'S"&amp;$B$2&amp;" likelihood'!$Dn$28"))</f>
        <v>0</v>
      </c>
      <c r="H45" s="246">
        <f ca="1">IFERROR(G45/F45,0)</f>
        <v>0</v>
      </c>
      <c r="I45" s="281"/>
      <c r="J45" s="256"/>
      <c r="K45" s="302" t="str">
        <f ca="1">INDIRECT("'S"&amp;$B$2&amp;" likelihood'!$Dn$10")</f>
        <v>No consensus</v>
      </c>
      <c r="L45" s="305"/>
    </row>
    <row r="46" spans="1:12" ht="27.6" x14ac:dyDescent="0.25">
      <c r="A46" s="480"/>
      <c r="B46" s="481"/>
      <c r="C46" s="482"/>
      <c r="D46" s="215" t="s">
        <v>689</v>
      </c>
      <c r="E46" s="261" t="str">
        <f ca="1">(INDIRECT("'S"&amp;$B$2&amp;" survey Comments'!$B$13"))</f>
        <v xml:space="preserve">Yes, but respondents emphasised the dynamic nature of forests and that such forest is likely to be remote. Pellets would likely not offer adequate financial return to convert these forests. </v>
      </c>
      <c r="F46" s="247"/>
      <c r="G46" s="247"/>
      <c r="H46" s="247"/>
      <c r="I46" s="281"/>
      <c r="J46" s="247"/>
      <c r="K46" s="301"/>
      <c r="L46" s="305"/>
    </row>
    <row r="47" spans="1:12" s="169" customFormat="1" ht="14.4" x14ac:dyDescent="0.25">
      <c r="A47" s="498" t="s">
        <v>376</v>
      </c>
      <c r="B47" s="498"/>
      <c r="C47" s="498"/>
      <c r="D47" s="227"/>
      <c r="E47" s="227"/>
      <c r="F47" s="257"/>
      <c r="G47" s="257"/>
      <c r="H47" s="257"/>
      <c r="I47" s="257"/>
      <c r="J47" s="257"/>
      <c r="K47" s="257"/>
      <c r="L47" s="307"/>
    </row>
    <row r="48" spans="1:12" s="169" customFormat="1" ht="27.6" x14ac:dyDescent="0.25">
      <c r="A48" s="491"/>
      <c r="B48" s="491"/>
      <c r="C48" s="491"/>
      <c r="D48" s="215" t="s">
        <v>689</v>
      </c>
      <c r="E48" s="261" t="str">
        <f ca="1">(INDIRECT("'S"&amp;$B$2&amp;" survey Comments'!$B$14"))</f>
        <v>Unmanaged forest is in remote areas and is unlikely to be brought back into management as a result of pellet demand because of its remote location and its low financial return.</v>
      </c>
      <c r="F48" s="247"/>
      <c r="G48" s="247"/>
      <c r="H48" s="247"/>
      <c r="I48" s="245" t="str">
        <f ca="1">IF(INDIRECT("'S"&amp;$B$2&amp;" likelihood'!$D$4")&lt;=Somewhat_confident_threshold, "Somewhat confident",IF(AND(INDIRECT("'S"&amp;$B$2&amp;" likelihood'!$D$4")&gt;Somewhat_confident_threshold,INDIRECT("'S"&amp;$B$2&amp;" likelihood'!$D$4")&lt;=Confident_threshold),"Confident","Very confident"))</f>
        <v>Somewhat confident</v>
      </c>
      <c r="J48" s="247"/>
      <c r="K48" s="301"/>
      <c r="L48" s="307"/>
    </row>
    <row r="49" spans="5:9" s="169" customFormat="1" x14ac:dyDescent="0.25">
      <c r="E49" s="264"/>
      <c r="I49" s="167"/>
    </row>
    <row r="50" spans="5:9" s="169" customFormat="1" x14ac:dyDescent="0.25">
      <c r="E50" s="213"/>
      <c r="I50" s="167"/>
    </row>
    <row r="51" spans="5:9" s="169" customFormat="1" x14ac:dyDescent="0.25">
      <c r="E51" s="213"/>
      <c r="I51" s="167"/>
    </row>
    <row r="52" spans="5:9" s="169" customFormat="1" x14ac:dyDescent="0.25">
      <c r="E52" s="213"/>
      <c r="I52" s="167"/>
    </row>
    <row r="53" spans="5:9" s="169" customFormat="1" x14ac:dyDescent="0.25">
      <c r="E53" s="213"/>
      <c r="I53" s="167"/>
    </row>
    <row r="54" spans="5:9" x14ac:dyDescent="0.25">
      <c r="E54" s="213"/>
    </row>
  </sheetData>
  <mergeCells count="27">
    <mergeCell ref="A6:K6"/>
    <mergeCell ref="J38:J40"/>
    <mergeCell ref="A42:C43"/>
    <mergeCell ref="A48:C48"/>
    <mergeCell ref="A45:C46"/>
    <mergeCell ref="A47:C47"/>
    <mergeCell ref="A38:C41"/>
    <mergeCell ref="D38:D40"/>
    <mergeCell ref="F38:F40"/>
    <mergeCell ref="I38:I40"/>
    <mergeCell ref="I34:I36"/>
    <mergeCell ref="A20:C21"/>
    <mergeCell ref="A22:C23"/>
    <mergeCell ref="A24:C25"/>
    <mergeCell ref="A26:C27"/>
    <mergeCell ref="A28:C29"/>
    <mergeCell ref="F34:F36"/>
    <mergeCell ref="A30:C31"/>
    <mergeCell ref="A32:C32"/>
    <mergeCell ref="A34:C37"/>
    <mergeCell ref="D34:D36"/>
    <mergeCell ref="A18:C18"/>
    <mergeCell ref="A8:C8"/>
    <mergeCell ref="A10:C10"/>
    <mergeCell ref="A11:C14"/>
    <mergeCell ref="A15:C16"/>
    <mergeCell ref="A17:C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1"/>
  </sheetPr>
  <dimension ref="A1:M54"/>
  <sheetViews>
    <sheetView zoomScale="60" zoomScaleNormal="60" workbookViewId="0"/>
  </sheetViews>
  <sheetFormatPr defaultColWidth="8.69921875" defaultRowHeight="13.8" x14ac:dyDescent="0.25"/>
  <cols>
    <col min="1" max="1" width="9.3984375" style="167" customWidth="1"/>
    <col min="2" max="2" width="8.69921875" style="167"/>
    <col min="3" max="3" width="18.3984375" style="167" customWidth="1"/>
    <col min="4" max="4" width="13.3984375" style="167" customWidth="1"/>
    <col min="5" max="5" width="107.8984375" style="228" customWidth="1"/>
    <col min="6" max="11" width="20.3984375" style="167" customWidth="1"/>
    <col min="12" max="13" width="8.69921875" style="2"/>
    <col min="14" max="16384" width="8.69921875" style="167"/>
  </cols>
  <sheetData>
    <row r="1" spans="1:12" x14ac:dyDescent="0.25">
      <c r="L1" s="305"/>
    </row>
    <row r="2" spans="1:12" s="165" customFormat="1" x14ac:dyDescent="0.25">
      <c r="A2" s="164" t="s">
        <v>0</v>
      </c>
      <c r="B2" s="164" t="s">
        <v>381</v>
      </c>
      <c r="C2" s="268" t="str">
        <f ca="1">(INDIRECT("'S"&amp;$B$2&amp;" likelihood'!$c$2"))</f>
        <v>Additional wood (in comparison to the counterfactual) from the conversion of unmanaged forest into production in Boreal Canada</v>
      </c>
      <c r="D2" s="223"/>
      <c r="E2" s="223"/>
      <c r="F2" s="164"/>
      <c r="G2" s="164"/>
      <c r="H2" s="164"/>
      <c r="I2" s="164"/>
      <c r="J2" s="164"/>
      <c r="K2" s="164"/>
      <c r="L2" s="306"/>
    </row>
    <row r="3" spans="1:12" x14ac:dyDescent="0.25">
      <c r="L3" s="305"/>
    </row>
    <row r="4" spans="1:12" s="165" customFormat="1" x14ac:dyDescent="0.25">
      <c r="A4" s="164" t="s">
        <v>30</v>
      </c>
      <c r="B4" s="164"/>
      <c r="C4" s="164"/>
      <c r="D4" s="164"/>
      <c r="E4" s="223"/>
      <c r="F4" s="164"/>
      <c r="G4" s="164"/>
      <c r="H4" s="164"/>
      <c r="I4" s="164"/>
      <c r="J4" s="164"/>
      <c r="K4" s="164"/>
      <c r="L4" s="306"/>
    </row>
    <row r="5" spans="1:12" x14ac:dyDescent="0.25">
      <c r="L5" s="305"/>
    </row>
    <row r="6" spans="1:12" ht="33.75" customHeight="1" x14ac:dyDescent="0.25">
      <c r="A6" s="514" t="str">
        <f>Canada_text</f>
        <v xml:space="preserve">A full description of evidence found in the literature review and references for sources, is given in Section 5 of the report, and summarised in Section 5.7.  Comments from the questionnaire are discussed in full in Section 8 and provided in Appendix 4 </v>
      </c>
      <c r="B6" s="514"/>
      <c r="C6" s="514"/>
      <c r="D6" s="514"/>
      <c r="E6" s="514"/>
      <c r="F6" s="514"/>
      <c r="G6" s="514"/>
      <c r="H6" s="514"/>
      <c r="I6" s="514"/>
      <c r="J6" s="514"/>
      <c r="K6" s="514"/>
      <c r="L6" s="305"/>
    </row>
    <row r="7" spans="1:12" x14ac:dyDescent="0.25">
      <c r="L7" s="305"/>
    </row>
    <row r="8" spans="1:12" ht="78" customHeight="1" x14ac:dyDescent="0.25">
      <c r="A8" s="460" t="s">
        <v>359</v>
      </c>
      <c r="B8" s="460"/>
      <c r="C8" s="460"/>
      <c r="D8" s="216" t="s">
        <v>365</v>
      </c>
      <c r="E8" s="216" t="s">
        <v>366</v>
      </c>
      <c r="F8" s="225" t="s">
        <v>368</v>
      </c>
      <c r="G8" s="225" t="s">
        <v>488</v>
      </c>
      <c r="H8" s="225" t="s">
        <v>489</v>
      </c>
      <c r="I8" s="225" t="s">
        <v>490</v>
      </c>
      <c r="J8" s="225" t="s">
        <v>491</v>
      </c>
      <c r="K8" s="225" t="s">
        <v>367</v>
      </c>
      <c r="L8" s="305"/>
    </row>
    <row r="9" spans="1:12" s="165" customFormat="1" x14ac:dyDescent="0.25">
      <c r="A9" s="166" t="s">
        <v>360</v>
      </c>
      <c r="B9" s="166"/>
      <c r="C9" s="166"/>
      <c r="D9" s="166"/>
      <c r="E9" s="224"/>
      <c r="F9" s="166"/>
      <c r="G9" s="166"/>
      <c r="H9" s="166"/>
      <c r="I9" s="166"/>
      <c r="J9" s="166"/>
      <c r="K9" s="166"/>
      <c r="L9" s="306"/>
    </row>
    <row r="10" spans="1:12" s="169" customFormat="1" ht="82.8" x14ac:dyDescent="0.25">
      <c r="A10" s="461" t="s">
        <v>492</v>
      </c>
      <c r="B10" s="462"/>
      <c r="C10" s="462"/>
      <c r="D10" s="171" t="s">
        <v>493</v>
      </c>
      <c r="E10" s="273" t="s">
        <v>682</v>
      </c>
      <c r="F10" s="247"/>
      <c r="G10" s="247"/>
      <c r="H10" s="247"/>
      <c r="I10" s="281"/>
      <c r="J10" s="247"/>
      <c r="K10" s="301"/>
      <c r="L10" s="307"/>
    </row>
    <row r="11" spans="1:12" ht="27.6" x14ac:dyDescent="0.25">
      <c r="A11" s="463" t="s">
        <v>301</v>
      </c>
      <c r="B11" s="464"/>
      <c r="C11" s="465"/>
      <c r="D11" s="215" t="s">
        <v>688</v>
      </c>
      <c r="E11" s="261" t="str">
        <f ca="1">(INDIRECT("'S"&amp;$B$2&amp;" likelihood'!$B$11"))</f>
        <v xml:space="preserve">The most common response is that the practices are not occurring.  There were three of the nine respondents who answered "I don't know". </v>
      </c>
      <c r="F11" s="245">
        <f ca="1">(INDIRECT("'S"&amp;$B$2&amp;" likelihood'!$D$28"))</f>
        <v>9</v>
      </c>
      <c r="G11" s="245">
        <f ca="1">(INDIRECT("'S"&amp;$B$2&amp;" likelihood'!$E$28"))</f>
        <v>3</v>
      </c>
      <c r="H11" s="246">
        <f ca="1">G11/F11</f>
        <v>0.33333333333333331</v>
      </c>
      <c r="I11" s="281"/>
      <c r="J11" s="247"/>
      <c r="K11" s="302" t="str">
        <f ca="1">INDIRECT("'S"&amp;$B$2&amp;" likelihood'!$E$10")</f>
        <v>Definitely not</v>
      </c>
      <c r="L11" s="305"/>
    </row>
    <row r="12" spans="1:12" ht="41.4" x14ac:dyDescent="0.25">
      <c r="A12" s="466"/>
      <c r="B12" s="467"/>
      <c r="C12" s="468"/>
      <c r="D12" s="215" t="s">
        <v>689</v>
      </c>
      <c r="E12" s="261" t="str">
        <f ca="1">(INDIRECT("'S"&amp;$B$2&amp;" survey Comments'!$B$3"))</f>
        <v xml:space="preserve">Respondents believe that it is the other way round: more land is becoming unmanaged (or unmanageable). Unmanaged forests are not managed for pellet production – other more valuable products would influence this, but the price of hardwood products are insufficient. </v>
      </c>
      <c r="F12" s="247"/>
      <c r="G12" s="247"/>
      <c r="H12" s="247"/>
      <c r="I12" s="281"/>
      <c r="J12" s="247"/>
      <c r="K12" s="301"/>
      <c r="L12" s="305"/>
    </row>
    <row r="13" spans="1:12" ht="41.4" x14ac:dyDescent="0.25">
      <c r="A13" s="466"/>
      <c r="B13" s="467"/>
      <c r="C13" s="468"/>
      <c r="D13" s="215" t="s">
        <v>362</v>
      </c>
      <c r="E13" s="262" t="str">
        <f ca="1">(INDIRECT("'S"&amp;$B$2&amp;" Lit Review'!$B$3"))</f>
        <v xml:space="preserve">The literature provides no evidence that unmanaged forest would be brought into management as a result of pellet demand. The annual allowable cut (AAC) is not achieved for many regions in Canada, so it is more likely that the permitted AAC would be exploited before unmanaged woodland is brought into production. </v>
      </c>
      <c r="F13" s="247"/>
      <c r="G13" s="247"/>
      <c r="H13" s="247"/>
      <c r="I13" s="281"/>
      <c r="J13" s="245" t="str">
        <f ca="1">(INDIRECT("'S"&amp;$B$2&amp;" Lit Review'!$D$3"))</f>
        <v>Good</v>
      </c>
      <c r="K13" s="302" t="str">
        <f ca="1">(INDIRECT("'S"&amp;$B$2&amp;" Lit Review'!$C$3"))</f>
        <v>Definitely not</v>
      </c>
      <c r="L13" s="305"/>
    </row>
    <row r="14" spans="1:12" ht="27.6" x14ac:dyDescent="0.25">
      <c r="A14" s="469"/>
      <c r="B14" s="470"/>
      <c r="C14" s="471"/>
      <c r="D14" s="168" t="s">
        <v>494</v>
      </c>
      <c r="E14" s="263" t="s">
        <v>554</v>
      </c>
      <c r="F14" s="247"/>
      <c r="G14" s="247"/>
      <c r="H14" s="247"/>
      <c r="I14" s="281"/>
      <c r="J14" s="247"/>
      <c r="K14" s="301"/>
      <c r="L14" s="305"/>
    </row>
    <row r="15" spans="1:12" ht="27.6" x14ac:dyDescent="0.25">
      <c r="A15" s="472" t="s">
        <v>487</v>
      </c>
      <c r="B15" s="464"/>
      <c r="C15" s="465"/>
      <c r="D15" s="215" t="s">
        <v>362</v>
      </c>
      <c r="E15" s="262" t="str">
        <f ca="1">(INDIRECT("'S"&amp;$B$2&amp;" Lit Review'!$B$4"))</f>
        <v>There is no evidence that this occurring at any scale</v>
      </c>
      <c r="F15" s="247"/>
      <c r="G15" s="247"/>
      <c r="H15" s="247"/>
      <c r="I15" s="281"/>
      <c r="J15" s="245" t="str">
        <f ca="1">(INDIRECT("'S"&amp;$B$2&amp;" Lit Review'!$D$4"))</f>
        <v>No literature found</v>
      </c>
      <c r="K15" s="301"/>
      <c r="L15" s="305"/>
    </row>
    <row r="16" spans="1:12" ht="27.6" x14ac:dyDescent="0.25">
      <c r="A16" s="469"/>
      <c r="B16" s="470"/>
      <c r="C16" s="471"/>
      <c r="D16" s="168" t="s">
        <v>494</v>
      </c>
      <c r="E16" s="263" t="s">
        <v>554</v>
      </c>
      <c r="F16" s="247"/>
      <c r="G16" s="247"/>
      <c r="H16" s="247"/>
      <c r="I16" s="281"/>
      <c r="J16" s="247"/>
      <c r="K16" s="301"/>
      <c r="L16" s="305"/>
    </row>
    <row r="17" spans="1:12" ht="27.6" x14ac:dyDescent="0.25">
      <c r="A17" s="473" t="s">
        <v>363</v>
      </c>
      <c r="B17" s="473"/>
      <c r="C17" s="473"/>
      <c r="D17" s="215" t="s">
        <v>689</v>
      </c>
      <c r="E17" s="274">
        <f ca="1">(INDIRECT("'S"&amp;$B$2&amp;" survey Comments'!$B$4"))</f>
        <v>0</v>
      </c>
      <c r="F17" s="247"/>
      <c r="G17" s="247"/>
      <c r="H17" s="247"/>
      <c r="I17" s="281"/>
      <c r="J17" s="247"/>
      <c r="K17" s="301"/>
      <c r="L17" s="305"/>
    </row>
    <row r="18" spans="1:12" ht="27.6" x14ac:dyDescent="0.25">
      <c r="A18" s="459" t="s">
        <v>364</v>
      </c>
      <c r="B18" s="459"/>
      <c r="C18" s="459"/>
      <c r="D18" s="215" t="s">
        <v>689</v>
      </c>
      <c r="E18" s="274">
        <f ca="1">(INDIRECT("'S"&amp;$B$2&amp;" survey Comments'!$B$5"))</f>
        <v>0</v>
      </c>
      <c r="F18" s="247"/>
      <c r="G18" s="247"/>
      <c r="H18" s="247"/>
      <c r="I18" s="281"/>
      <c r="J18" s="247"/>
      <c r="K18" s="301"/>
      <c r="L18" s="305"/>
    </row>
    <row r="19" spans="1:12" s="165" customFormat="1" x14ac:dyDescent="0.25">
      <c r="A19" s="166" t="s">
        <v>369</v>
      </c>
      <c r="B19" s="166"/>
      <c r="C19" s="166"/>
      <c r="D19" s="166"/>
      <c r="E19" s="226"/>
      <c r="F19" s="248"/>
      <c r="G19" s="248"/>
      <c r="H19" s="248"/>
      <c r="I19" s="248"/>
      <c r="J19" s="248"/>
      <c r="K19" s="248"/>
      <c r="L19" s="306"/>
    </row>
    <row r="20" spans="1:12" ht="27.6" x14ac:dyDescent="0.25">
      <c r="A20" s="477" t="s">
        <v>322</v>
      </c>
      <c r="B20" s="478"/>
      <c r="C20" s="479"/>
      <c r="D20" s="215" t="s">
        <v>688</v>
      </c>
      <c r="E20" s="261" t="str">
        <f ca="1">(INDIRECT("'S"&amp;$B$2&amp;" likelihood'!$S$11"))</f>
        <v>The most common view of the 10 respondents is that this scenario is very unlikely/unlikely. There was a minority of respondents who felt this scenario is moderately likely/likely</v>
      </c>
      <c r="F20" s="245">
        <f ca="1">(INDIRECT("'S"&amp;$B$2&amp;" likelihood'!$U$28"))</f>
        <v>10</v>
      </c>
      <c r="G20" s="245">
        <f ca="1">(INDIRECT("'S"&amp;$B$2&amp;" likelihood'!$V$28"))</f>
        <v>3</v>
      </c>
      <c r="H20" s="246">
        <f ca="1">IFERROR(G20/F20,0)</f>
        <v>0.3</v>
      </c>
      <c r="I20" s="281"/>
      <c r="J20" s="247"/>
      <c r="K20" s="302" t="str">
        <f ca="1">INDIRECT("'S"&amp;$B$2&amp;" likelihood'!$V$10")</f>
        <v>Very unlikely/Unlikely</v>
      </c>
      <c r="L20" s="305"/>
    </row>
    <row r="21" spans="1:12" ht="27.6" x14ac:dyDescent="0.25">
      <c r="A21" s="480"/>
      <c r="B21" s="481"/>
      <c r="C21" s="482"/>
      <c r="D21" s="215" t="s">
        <v>689</v>
      </c>
      <c r="E21" s="261" t="str">
        <f ca="1">(INDIRECT("'S"&amp;$B$2&amp;" survey Comments'!$B$6"))</f>
        <v>No comments</v>
      </c>
      <c r="F21" s="247"/>
      <c r="G21" s="247"/>
      <c r="H21" s="247"/>
      <c r="I21" s="281"/>
      <c r="J21" s="247"/>
      <c r="K21" s="301"/>
      <c r="L21" s="305"/>
    </row>
    <row r="22" spans="1:12" ht="27.6" x14ac:dyDescent="0.25">
      <c r="A22" s="477" t="s">
        <v>356</v>
      </c>
      <c r="B22" s="478"/>
      <c r="C22" s="479"/>
      <c r="D22" s="215" t="s">
        <v>362</v>
      </c>
      <c r="E22" s="262" t="str">
        <f ca="1">(INDIRECT("'S"&amp;$B$2&amp;" Lit Review'!$B$5"))</f>
        <v>There is no evidence that future pellet demand would result in the management of unmanaged forest in Canada</v>
      </c>
      <c r="F22" s="247"/>
      <c r="G22" s="247"/>
      <c r="H22" s="247"/>
      <c r="I22" s="281"/>
      <c r="J22" s="245" t="str">
        <f ca="1">(INDIRECT("'S"&amp;$B$2&amp;" Lit Review'!$D$5"))</f>
        <v>No literature found</v>
      </c>
      <c r="K22" s="302" t="str">
        <f ca="1">(INDIRECT("'S"&amp;$B$2&amp;" Lit Review'!$C$5"))</f>
        <v>Very unlikely</v>
      </c>
      <c r="L22" s="305"/>
    </row>
    <row r="23" spans="1:12" ht="27.6" x14ac:dyDescent="0.25">
      <c r="A23" s="480"/>
      <c r="B23" s="481"/>
      <c r="C23" s="482"/>
      <c r="D23" s="168" t="s">
        <v>494</v>
      </c>
      <c r="E23" s="263" t="s">
        <v>554</v>
      </c>
      <c r="F23" s="247"/>
      <c r="G23" s="247"/>
      <c r="H23" s="247"/>
      <c r="I23" s="281"/>
      <c r="J23" s="247"/>
      <c r="K23" s="301"/>
      <c r="L23" s="305"/>
    </row>
    <row r="24" spans="1:12" ht="27.6" x14ac:dyDescent="0.25">
      <c r="A24" s="477" t="s">
        <v>328</v>
      </c>
      <c r="B24" s="478"/>
      <c r="C24" s="479"/>
      <c r="D24" s="215" t="s">
        <v>688</v>
      </c>
      <c r="E24" s="261" t="str">
        <f ca="1">(INDIRECT("'S"&amp;$B$2&amp;" likelihood'!$AH$11"))</f>
        <v>The majority of the six respondents felt this scenario is very unlikely</v>
      </c>
      <c r="F24" s="245">
        <f ca="1">(INDIRECT("'S"&amp;$B$2&amp;" likelihood'!$AJ$28"))</f>
        <v>6</v>
      </c>
      <c r="G24" s="245">
        <f ca="1">(INDIRECT("'S"&amp;$B$2&amp;" likelihood'!$Ak$28"))</f>
        <v>0</v>
      </c>
      <c r="H24" s="246">
        <f ca="1">IFERROR(G24/F24,0)</f>
        <v>0</v>
      </c>
      <c r="I24" s="281"/>
      <c r="J24" s="247"/>
      <c r="K24" s="302" t="str">
        <f ca="1">INDIRECT("'S"&amp;$B$2&amp;" likelihood'!$AK$10")</f>
        <v>Very unlikely</v>
      </c>
      <c r="L24" s="305"/>
    </row>
    <row r="25" spans="1:12" ht="27.6" x14ac:dyDescent="0.25">
      <c r="A25" s="480"/>
      <c r="B25" s="481"/>
      <c r="C25" s="482"/>
      <c r="D25" s="215" t="s">
        <v>689</v>
      </c>
      <c r="E25" s="261" t="str">
        <f ca="1">(INDIRECT("'S"&amp;$B$2&amp;" survey Comments'!$B$7"))</f>
        <v>The respondents said that the amount of unmanaged forests in their region was small and did not  expect that this forest land would be managed for pellet production.</v>
      </c>
      <c r="F25" s="247"/>
      <c r="G25" s="247"/>
      <c r="H25" s="247"/>
      <c r="I25" s="281"/>
      <c r="J25" s="247"/>
      <c r="K25" s="301"/>
      <c r="L25" s="305"/>
    </row>
    <row r="26" spans="1:12" ht="27.6" x14ac:dyDescent="0.25">
      <c r="A26" s="477" t="s">
        <v>347</v>
      </c>
      <c r="B26" s="478"/>
      <c r="C26" s="479"/>
      <c r="D26" s="215" t="s">
        <v>688</v>
      </c>
      <c r="E26" s="261" t="str">
        <f ca="1">(INDIRECT("'S"&amp;$B$2&amp;" likelihood'!$AW$11"))</f>
        <v>The majority of the six respondents felt this scenario is very unlikely</v>
      </c>
      <c r="F26" s="245">
        <f ca="1">(INDIRECT("'S"&amp;$B$2&amp;" likelihood'!$AY$28"))</f>
        <v>6</v>
      </c>
      <c r="G26" s="245">
        <f ca="1">(INDIRECT("'S"&amp;$B$2&amp;" likelihood'!$Az$28"))</f>
        <v>0</v>
      </c>
      <c r="H26" s="246">
        <f ca="1">IFERROR(G26/F26,0)</f>
        <v>0</v>
      </c>
      <c r="I26" s="281"/>
      <c r="J26" s="247"/>
      <c r="K26" s="302" t="str">
        <f ca="1">INDIRECT("'S"&amp;$B$2&amp;" likelihood'!$AZ$10")</f>
        <v>Very unlikely</v>
      </c>
      <c r="L26" s="305"/>
    </row>
    <row r="27" spans="1:12" ht="27.6" x14ac:dyDescent="0.25">
      <c r="A27" s="480"/>
      <c r="B27" s="481"/>
      <c r="C27" s="482"/>
      <c r="D27" s="215" t="s">
        <v>689</v>
      </c>
      <c r="E27" s="261" t="str">
        <f ca="1">(INDIRECT("'S"&amp;$B$2&amp;" survey Comments'!$B$8"))</f>
        <v>The respondents said that the amount of unmanaged forests in their region was small and did not  expect that this forest land would be managed for pellet production.</v>
      </c>
      <c r="F27" s="247"/>
      <c r="G27" s="247"/>
      <c r="H27" s="247"/>
      <c r="I27" s="281"/>
      <c r="J27" s="247"/>
      <c r="K27" s="301"/>
      <c r="L27" s="305"/>
    </row>
    <row r="28" spans="1:12" ht="27.6" x14ac:dyDescent="0.25">
      <c r="A28" s="477" t="s">
        <v>348</v>
      </c>
      <c r="B28" s="478"/>
      <c r="C28" s="479"/>
      <c r="D28" s="215" t="s">
        <v>688</v>
      </c>
      <c r="E28" s="261" t="str">
        <f ca="1">(INDIRECT("'S"&amp;$B$2&amp;" likelihood'!$BL$11"))</f>
        <v>The majority (5 of 7 respondents) felt this scenario is very unlikely/unlikely. The remaining two respondents felt this scenario is moderately likely/likely</v>
      </c>
      <c r="F28" s="245">
        <f ca="1">(INDIRECT("'S"&amp;$B$2&amp;" likelihood'!$BN$28"))</f>
        <v>7</v>
      </c>
      <c r="G28" s="245">
        <f ca="1">(INDIRECT("'S"&amp;$B$2&amp;" likelihood'!$Bo$28"))</f>
        <v>0</v>
      </c>
      <c r="H28" s="246">
        <f ca="1">IFERROR(G28/F28,0)</f>
        <v>0</v>
      </c>
      <c r="I28" s="281"/>
      <c r="J28" s="247"/>
      <c r="K28" s="302" t="str">
        <f ca="1">INDIRECT("'S"&amp;$B$2&amp;" likelihood'!$BO$10")</f>
        <v>Very unlikely/unlikely</v>
      </c>
      <c r="L28" s="305"/>
    </row>
    <row r="29" spans="1:12" ht="27.6" x14ac:dyDescent="0.25">
      <c r="A29" s="480"/>
      <c r="B29" s="481"/>
      <c r="C29" s="482"/>
      <c r="D29" s="215" t="s">
        <v>689</v>
      </c>
      <c r="E29" s="261" t="str">
        <f ca="1">(INDIRECT("'S"&amp;$B$2&amp;" survey Comments'!$B$9"))</f>
        <v>The respondents said that the amount of unmanaged forests in their region was small and did not  expect that this forest land would be managed for pellet production.</v>
      </c>
      <c r="F29" s="247"/>
      <c r="G29" s="247"/>
      <c r="H29" s="247"/>
      <c r="I29" s="281"/>
      <c r="J29" s="247"/>
      <c r="K29" s="301"/>
      <c r="L29" s="305"/>
    </row>
    <row r="30" spans="1:12" ht="27.6" x14ac:dyDescent="0.25">
      <c r="A30" s="477" t="s">
        <v>355</v>
      </c>
      <c r="B30" s="478"/>
      <c r="C30" s="479"/>
      <c r="D30" s="215" t="s">
        <v>362</v>
      </c>
      <c r="E30" s="262" t="str">
        <f ca="1">(INDIRECT("'S"&amp;$B$2&amp;" Lit Review'!$B$6"))</f>
        <v>As above</v>
      </c>
      <c r="F30" s="247"/>
      <c r="G30" s="247"/>
      <c r="H30" s="247"/>
      <c r="I30" s="281"/>
      <c r="J30" s="245" t="str">
        <f ca="1">(INDIRECT("'S"&amp;$B$2&amp;" Lit Review'!$D$6"))</f>
        <v>No literature found</v>
      </c>
      <c r="K30" s="302" t="str">
        <f ca="1">(INDIRECT("'S"&amp;$B$2&amp;" Lit Review'!$C$6"))</f>
        <v>Very unlikely</v>
      </c>
      <c r="L30" s="305"/>
    </row>
    <row r="31" spans="1:12" ht="27.6" x14ac:dyDescent="0.25">
      <c r="A31" s="480"/>
      <c r="B31" s="481"/>
      <c r="C31" s="482"/>
      <c r="D31" s="168" t="s">
        <v>494</v>
      </c>
      <c r="E31" s="263" t="s">
        <v>554</v>
      </c>
      <c r="F31" s="247"/>
      <c r="G31" s="247"/>
      <c r="H31" s="247"/>
      <c r="I31" s="281"/>
      <c r="J31" s="247"/>
      <c r="K31" s="301"/>
      <c r="L31" s="305"/>
    </row>
    <row r="32" spans="1:12" ht="27.6" x14ac:dyDescent="0.25">
      <c r="A32" s="483" t="s">
        <v>354</v>
      </c>
      <c r="B32" s="484"/>
      <c r="C32" s="485"/>
      <c r="D32" s="215" t="s">
        <v>362</v>
      </c>
      <c r="E32" s="262" t="str">
        <f ca="1">(INDIRECT("'S"&amp;$B$2&amp;" Lit Review'!$B$7"))</f>
        <v>No, there is no data on the costs of bringing unmanaged forest into production for pellet production. However costs for pellet production in Canada suggest that transport costs would probably be prohibitive.</v>
      </c>
      <c r="F32" s="247"/>
      <c r="G32" s="247"/>
      <c r="H32" s="247"/>
      <c r="I32" s="281"/>
      <c r="J32" s="245" t="str">
        <f ca="1">(INDIRECT("'S"&amp;$B$2&amp;" Lit Review'!$D$7"))</f>
        <v>Good</v>
      </c>
      <c r="K32" s="301"/>
      <c r="L32" s="305"/>
    </row>
    <row r="33" spans="1:12" s="165" customFormat="1" x14ac:dyDescent="0.25">
      <c r="A33" s="166" t="s">
        <v>495</v>
      </c>
      <c r="B33" s="166"/>
      <c r="C33" s="166"/>
      <c r="D33" s="166"/>
      <c r="E33" s="166"/>
      <c r="F33" s="248"/>
      <c r="G33" s="248"/>
      <c r="H33" s="248"/>
      <c r="I33" s="248"/>
      <c r="J33" s="248"/>
      <c r="K33" s="248"/>
      <c r="L33" s="306"/>
    </row>
    <row r="34" spans="1:12" s="165" customFormat="1" ht="14.4" x14ac:dyDescent="0.25">
      <c r="A34" s="486" t="s">
        <v>496</v>
      </c>
      <c r="B34" s="487"/>
      <c r="C34" s="487"/>
      <c r="D34" s="461" t="s">
        <v>688</v>
      </c>
      <c r="E34" s="261" t="str">
        <f ca="1">(INDIRECT("'S"&amp;$B$2&amp;" likelihood'!$cd22"))</f>
        <v>Increased demand for pellet fibre provides sufficient financial return</v>
      </c>
      <c r="F34" s="474">
        <f ca="1">(INDIRECT("'S"&amp;$B$2&amp;" likelihood'!$cb$28"))</f>
        <v>14</v>
      </c>
      <c r="G34" s="249"/>
      <c r="H34" s="249"/>
      <c r="I34" s="511"/>
      <c r="J34" s="250"/>
      <c r="K34" s="303" t="str">
        <f ca="1">(INDIRECT("'S"&amp;$B$2&amp;" likelihood'!$Ci$22"))</f>
        <v>Unlikely</v>
      </c>
      <c r="L34" s="306"/>
    </row>
    <row r="35" spans="1:12" s="165" customFormat="1" ht="14.4" x14ac:dyDescent="0.25">
      <c r="A35" s="488"/>
      <c r="B35" s="488"/>
      <c r="C35" s="488"/>
      <c r="D35" s="490"/>
      <c r="E35" s="261" t="str">
        <f ca="1">(INDIRECT("'S"&amp;$B$2&amp;" likelihood'!$cd23"))</f>
        <v>Increased demand for saw timber enables management of unmanaged forest</v>
      </c>
      <c r="F35" s="475"/>
      <c r="G35" s="249"/>
      <c r="H35" s="249"/>
      <c r="I35" s="512"/>
      <c r="J35" s="251"/>
      <c r="K35" s="303" t="str">
        <f ca="1">(INDIRECT("'S"&amp;$B$2&amp;" likelihood'!$Ci$23"))</f>
        <v>Unlikely</v>
      </c>
      <c r="L35" s="306"/>
    </row>
    <row r="36" spans="1:12" ht="14.4" x14ac:dyDescent="0.25">
      <c r="A36" s="488"/>
      <c r="B36" s="488"/>
      <c r="C36" s="488"/>
      <c r="D36" s="491"/>
      <c r="E36" s="261" t="str">
        <f ca="1">(INDIRECT("'S"&amp;$B$2&amp;" likelihood'!$cd24"))</f>
        <v>Changes in forestry incentives</v>
      </c>
      <c r="F36" s="476"/>
      <c r="G36" s="252"/>
      <c r="H36" s="252"/>
      <c r="I36" s="513"/>
      <c r="J36" s="253"/>
      <c r="K36" s="303" t="str">
        <f ca="1">(INDIRECT("'S"&amp;$B$2&amp;" likelihood'!$Ci$24"))</f>
        <v>Very unlikely</v>
      </c>
      <c r="L36" s="305"/>
    </row>
    <row r="37" spans="1:12" ht="27.6" x14ac:dyDescent="0.25">
      <c r="A37" s="489"/>
      <c r="B37" s="489"/>
      <c r="C37" s="489"/>
      <c r="D37" s="215" t="s">
        <v>689</v>
      </c>
      <c r="E37" s="261" t="str">
        <f ca="1">(INDIRECT("'S"&amp;$B$2&amp;" survey Comments'!$B$10"))</f>
        <v xml:space="preserve">It is unlikely that unmanaged woodland would be brought back into management. If it did it would most likely occur on private land, which makes up less than 10% of forest lands.                 </v>
      </c>
      <c r="F37" s="254"/>
      <c r="G37" s="254"/>
      <c r="H37" s="254"/>
      <c r="I37" s="255"/>
      <c r="J37" s="255"/>
      <c r="K37" s="301"/>
      <c r="L37" s="305"/>
    </row>
    <row r="38" spans="1:12" ht="14.4" x14ac:dyDescent="0.25">
      <c r="A38" s="499" t="s">
        <v>483</v>
      </c>
      <c r="B38" s="500"/>
      <c r="C38" s="501"/>
      <c r="D38" s="461" t="s">
        <v>688</v>
      </c>
      <c r="E38" s="261" t="str">
        <f ca="1">(INDIRECT("'S"&amp;$B$2&amp;" likelihood'!$cv22"))</f>
        <v>Insufficient financial return</v>
      </c>
      <c r="F38" s="508">
        <f ca="1">(INDIRECT("'S"&amp;$B$2&amp;" likelihood'!$ct$28"))</f>
        <v>6</v>
      </c>
      <c r="G38" s="247"/>
      <c r="H38" s="247"/>
      <c r="I38" s="511"/>
      <c r="J38" s="493"/>
      <c r="K38" s="303" t="str">
        <f ca="1">(INDIRECT("'S"&amp;$B$2&amp;" likelihood'!$da$22"))</f>
        <v>Moderately unlikely</v>
      </c>
      <c r="L38" s="305"/>
    </row>
    <row r="39" spans="1:12" ht="14.4" x14ac:dyDescent="0.25">
      <c r="A39" s="502"/>
      <c r="B39" s="503"/>
      <c r="C39" s="504"/>
      <c r="D39" s="490"/>
      <c r="E39" s="261" t="str">
        <f ca="1">(INDIRECT("'S"&amp;$B$2&amp;" likelihood'!$cv23"))</f>
        <v>Changes in legislation or policy</v>
      </c>
      <c r="F39" s="509"/>
      <c r="G39" s="247"/>
      <c r="H39" s="247"/>
      <c r="I39" s="512"/>
      <c r="J39" s="493"/>
      <c r="K39" s="303" t="str">
        <f ca="1">(INDIRECT("'S"&amp;$B$2&amp;" likelihood'!$da$23"))</f>
        <v>Very unlikely</v>
      </c>
      <c r="L39" s="305"/>
    </row>
    <row r="40" spans="1:12" ht="14.4" x14ac:dyDescent="0.25">
      <c r="A40" s="502"/>
      <c r="B40" s="503"/>
      <c r="C40" s="504"/>
      <c r="D40" s="491"/>
      <c r="E40" s="261" t="str">
        <f ca="1">(INDIRECT("'S"&amp;$B$2&amp;" likelihood'!$cv24"))</f>
        <v>Low roundwood demand - longer haulage</v>
      </c>
      <c r="F40" s="510"/>
      <c r="G40" s="247"/>
      <c r="H40" s="247"/>
      <c r="I40" s="513"/>
      <c r="J40" s="493"/>
      <c r="K40" s="303" t="str">
        <f ca="1">(INDIRECT("'S"&amp;$B$2&amp;" likelihood'!$da$24"))</f>
        <v>Moderately unlikely</v>
      </c>
      <c r="L40" s="305"/>
    </row>
    <row r="41" spans="1:12" ht="27.6" x14ac:dyDescent="0.25">
      <c r="A41" s="505"/>
      <c r="B41" s="506"/>
      <c r="C41" s="507"/>
      <c r="D41" s="214" t="s">
        <v>689</v>
      </c>
      <c r="E41" s="261" t="str">
        <f ca="1">(INDIRECT("'S"&amp;$B$2&amp;" survey Comments'!$B$11"))</f>
        <v>This practice is unlikely and would be prevented by low prices and market conditions for more valuable wood products. The conditions for the annual allowable cut would need to be respected if this were to happen.</v>
      </c>
      <c r="F41" s="247"/>
      <c r="G41" s="247"/>
      <c r="H41" s="247"/>
      <c r="I41" s="256"/>
      <c r="J41" s="256"/>
      <c r="K41" s="301"/>
      <c r="L41" s="305"/>
    </row>
    <row r="42" spans="1:12" ht="27.6" x14ac:dyDescent="0.25">
      <c r="A42" s="494" t="s">
        <v>352</v>
      </c>
      <c r="B42" s="487"/>
      <c r="C42" s="495"/>
      <c r="D42" s="214" t="s">
        <v>689</v>
      </c>
      <c r="E42" s="261" t="str">
        <f ca="1">(INDIRECT("'S"&amp;$B$2&amp;" survey Comments'!$B$12"))</f>
        <v>No</v>
      </c>
      <c r="F42" s="256"/>
      <c r="G42" s="256"/>
      <c r="H42" s="256"/>
      <c r="I42" s="256"/>
      <c r="J42" s="256"/>
      <c r="K42" s="301"/>
      <c r="L42" s="305"/>
    </row>
    <row r="43" spans="1:12" ht="27.6" x14ac:dyDescent="0.25">
      <c r="A43" s="496"/>
      <c r="B43" s="489"/>
      <c r="C43" s="497"/>
      <c r="D43" s="215" t="s">
        <v>362</v>
      </c>
      <c r="E43" s="262" t="str">
        <f ca="1">(INDIRECT("'S"&amp;$B$2&amp;" Lit Review'!$B$8"))</f>
        <v>Information difficult to obtain, response same as above.</v>
      </c>
      <c r="F43" s="247"/>
      <c r="G43" s="247"/>
      <c r="H43" s="247"/>
      <c r="I43" s="281"/>
      <c r="J43" s="245" t="str">
        <f ca="1">(INDIRECT("'S"&amp;$B$2&amp;" Lit Review'!$D$8"))</f>
        <v>Good</v>
      </c>
      <c r="K43" s="304"/>
      <c r="L43" s="305"/>
    </row>
    <row r="44" spans="1:12" s="165" customFormat="1" x14ac:dyDescent="0.25">
      <c r="A44" s="166" t="s">
        <v>374</v>
      </c>
      <c r="B44" s="166"/>
      <c r="C44" s="166"/>
      <c r="D44" s="166"/>
      <c r="E44" s="239"/>
      <c r="F44" s="248"/>
      <c r="G44" s="248"/>
      <c r="H44" s="248"/>
      <c r="I44" s="248"/>
      <c r="J44" s="248"/>
      <c r="K44" s="248"/>
      <c r="L44" s="306"/>
    </row>
    <row r="45" spans="1:12" ht="27.6" x14ac:dyDescent="0.25">
      <c r="A45" s="477" t="s">
        <v>375</v>
      </c>
      <c r="B45" s="478"/>
      <c r="C45" s="479"/>
      <c r="D45" s="215" t="s">
        <v>688</v>
      </c>
      <c r="E45" s="261" t="str">
        <f ca="1">(INDIRECT("'S"&amp;$B$2&amp;" likelihood'!$Dk$11"))</f>
        <v xml:space="preserve">The majority of respondents felt the counterfactual is an accurate description at least some of the time. </v>
      </c>
      <c r="F45" s="245">
        <f ca="1">(INDIRECT("'S"&amp;$B$2&amp;" likelihood'!$Dm$28"))</f>
        <v>9</v>
      </c>
      <c r="G45" s="245">
        <f ca="1">(INDIRECT("'S"&amp;$B$2&amp;" likelihood'!$Dn$28"))</f>
        <v>0</v>
      </c>
      <c r="H45" s="246">
        <f ca="1">IFERROR(G45/F45,0)</f>
        <v>0</v>
      </c>
      <c r="I45" s="281"/>
      <c r="J45" s="256"/>
      <c r="K45" s="302" t="str">
        <f ca="1">INDIRECT("'S"&amp;$B$2&amp;" likelihood'!$Dn$10")</f>
        <v>Sometimes/Yes, always</v>
      </c>
      <c r="L45" s="305"/>
    </row>
    <row r="46" spans="1:12" ht="27.6" x14ac:dyDescent="0.25">
      <c r="A46" s="480"/>
      <c r="B46" s="481"/>
      <c r="C46" s="482"/>
      <c r="D46" s="215" t="s">
        <v>689</v>
      </c>
      <c r="E46" s="261" t="str">
        <f ca="1">(INDIRECT("'S"&amp;$B$2&amp;" survey Comments'!$B$13"))</f>
        <v xml:space="preserve">Yes, but respondents emphasised the dynamic nature of forests and that such forest is likely to be remote. Pellets would likely not offer adequate financial return to convert these forests. </v>
      </c>
      <c r="F46" s="247"/>
      <c r="G46" s="247"/>
      <c r="H46" s="247"/>
      <c r="I46" s="281"/>
      <c r="J46" s="247"/>
      <c r="K46" s="301"/>
      <c r="L46" s="305"/>
    </row>
    <row r="47" spans="1:12" s="169" customFormat="1" ht="14.4" x14ac:dyDescent="0.25">
      <c r="A47" s="498" t="s">
        <v>376</v>
      </c>
      <c r="B47" s="498"/>
      <c r="C47" s="498"/>
      <c r="D47" s="227"/>
      <c r="E47" s="227"/>
      <c r="F47" s="257"/>
      <c r="G47" s="257"/>
      <c r="H47" s="257"/>
      <c r="I47" s="257"/>
      <c r="J47" s="257"/>
      <c r="K47" s="257"/>
      <c r="L47" s="307"/>
    </row>
    <row r="48" spans="1:12" s="169" customFormat="1" ht="27.6" x14ac:dyDescent="0.25">
      <c r="A48" s="491"/>
      <c r="B48" s="491"/>
      <c r="C48" s="491"/>
      <c r="D48" s="215" t="s">
        <v>689</v>
      </c>
      <c r="E48" s="261" t="str">
        <f ca="1">(INDIRECT("'S"&amp;$B$2&amp;" survey Comments'!$B$14"))</f>
        <v>Unmanaged forest is in remote areas and is unlikely to be brought back into management as a result of pellet demand because of its remote location and its low financial return.</v>
      </c>
      <c r="F48" s="247"/>
      <c r="G48" s="247"/>
      <c r="H48" s="247"/>
      <c r="I48" s="245" t="str">
        <f ca="1">IF(INDIRECT("'S"&amp;$B$2&amp;" likelihood'!$D$4")&lt;=Somewhat_confident_threshold, "Somewhat confident",IF(AND(INDIRECT("'S"&amp;$B$2&amp;" likelihood'!$D$4")&gt;Somewhat_confident_threshold,INDIRECT("'S"&amp;$B$2&amp;" likelihood'!$D$4")&lt;=Confident_threshold),"Confident","Very confident"))</f>
        <v>Somewhat confident</v>
      </c>
      <c r="J48" s="247"/>
      <c r="K48" s="301"/>
      <c r="L48" s="307"/>
    </row>
    <row r="49" spans="5:9" s="169" customFormat="1" x14ac:dyDescent="0.25">
      <c r="E49" s="264"/>
      <c r="I49" s="167"/>
    </row>
    <row r="50" spans="5:9" s="169" customFormat="1" x14ac:dyDescent="0.25">
      <c r="E50" s="213"/>
      <c r="I50" s="167"/>
    </row>
    <row r="51" spans="5:9" s="169" customFormat="1" x14ac:dyDescent="0.25">
      <c r="E51" s="213"/>
      <c r="I51" s="167"/>
    </row>
    <row r="52" spans="5:9" s="169" customFormat="1" x14ac:dyDescent="0.25">
      <c r="E52" s="213"/>
      <c r="I52" s="167"/>
    </row>
    <row r="53" spans="5:9" s="169" customFormat="1" x14ac:dyDescent="0.25">
      <c r="E53" s="213"/>
      <c r="I53" s="167"/>
    </row>
    <row r="54" spans="5:9" x14ac:dyDescent="0.25">
      <c r="E54" s="213"/>
    </row>
  </sheetData>
  <mergeCells count="27">
    <mergeCell ref="A6:K6"/>
    <mergeCell ref="J38:J40"/>
    <mergeCell ref="A42:C43"/>
    <mergeCell ref="A48:C48"/>
    <mergeCell ref="A45:C46"/>
    <mergeCell ref="A47:C47"/>
    <mergeCell ref="A38:C41"/>
    <mergeCell ref="D38:D40"/>
    <mergeCell ref="F38:F40"/>
    <mergeCell ref="I38:I40"/>
    <mergeCell ref="I34:I36"/>
    <mergeCell ref="A20:C21"/>
    <mergeCell ref="A22:C23"/>
    <mergeCell ref="A24:C25"/>
    <mergeCell ref="A26:C27"/>
    <mergeCell ref="A28:C29"/>
    <mergeCell ref="F34:F36"/>
    <mergeCell ref="A30:C31"/>
    <mergeCell ref="A32:C32"/>
    <mergeCell ref="A34:C37"/>
    <mergeCell ref="D34:D36"/>
    <mergeCell ref="A18:C18"/>
    <mergeCell ref="A8:C8"/>
    <mergeCell ref="A10:C10"/>
    <mergeCell ref="A11:C14"/>
    <mergeCell ref="A15:C16"/>
    <mergeCell ref="A17:C1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101</vt:i4>
      </vt:variant>
    </vt:vector>
  </HeadingPairs>
  <TitlesOfParts>
    <vt:vector size="131" baseType="lpstr">
      <vt:lpstr>Intro</vt:lpstr>
      <vt:lpstr>Flow diagram</vt:lpstr>
      <vt:lpstr>Summary 1</vt:lpstr>
      <vt:lpstr>Summary 2</vt:lpstr>
      <vt:lpstr>S26 overview</vt:lpstr>
      <vt:lpstr>S30a overview</vt:lpstr>
      <vt:lpstr>S30b overview</vt:lpstr>
      <vt:lpstr>S30c overview</vt:lpstr>
      <vt:lpstr>S30d overview</vt:lpstr>
      <vt:lpstr>S26 likelihood</vt:lpstr>
      <vt:lpstr>S30a likelihood</vt:lpstr>
      <vt:lpstr>S30b likelihood</vt:lpstr>
      <vt:lpstr>S30c likelihood</vt:lpstr>
      <vt:lpstr>S30d likelihood</vt:lpstr>
      <vt:lpstr>S26 Survey Comments</vt:lpstr>
      <vt:lpstr>S30a Survey Comments</vt:lpstr>
      <vt:lpstr>S30b Survey Comments</vt:lpstr>
      <vt:lpstr>S30c Survey Comments</vt:lpstr>
      <vt:lpstr>S30d Survey Comments</vt:lpstr>
      <vt:lpstr>S26 Lit Review</vt:lpstr>
      <vt:lpstr>S30a Lit Review</vt:lpstr>
      <vt:lpstr>S30b Lit Review</vt:lpstr>
      <vt:lpstr>S30c Lit Review</vt:lpstr>
      <vt:lpstr>S30d Lit Review</vt:lpstr>
      <vt:lpstr>BACKGROUND DATA</vt:lpstr>
      <vt:lpstr>S26</vt:lpstr>
      <vt:lpstr>S30</vt:lpstr>
      <vt:lpstr>lookups</vt:lpstr>
      <vt:lpstr>Scenario titles</vt:lpstr>
      <vt:lpstr>Q Summary</vt:lpstr>
      <vt:lpstr>Canada_text</vt:lpstr>
      <vt:lpstr>Confidence_score</vt:lpstr>
      <vt:lpstr>Confident_threshold</vt:lpstr>
      <vt:lpstr>Likekihood_score</vt:lpstr>
      <vt:lpstr>not_estimated</vt:lpstr>
      <vt:lpstr>not_ranked</vt:lpstr>
      <vt:lpstr>Rank_score</vt:lpstr>
      <vt:lpstr>Response_26_CaseA</vt:lpstr>
      <vt:lpstr>Response_26_CaseB</vt:lpstr>
      <vt:lpstr>Response_26_CaseC</vt:lpstr>
      <vt:lpstr>Response_30a_CaseA</vt:lpstr>
      <vt:lpstr>Response_30a_CaseB</vt:lpstr>
      <vt:lpstr>Response_30a_CaseC</vt:lpstr>
      <vt:lpstr>Response_30b_CaseA</vt:lpstr>
      <vt:lpstr>Response_30b_CaseB</vt:lpstr>
      <vt:lpstr>Response_30b_CaseC</vt:lpstr>
      <vt:lpstr>Response_30c_CaseA</vt:lpstr>
      <vt:lpstr>Response_30c_CaseB</vt:lpstr>
      <vt:lpstr>Response_30c_CaseC</vt:lpstr>
      <vt:lpstr>Response_30d_CaseA</vt:lpstr>
      <vt:lpstr>Response_30d_CaseB</vt:lpstr>
      <vt:lpstr>Response_30d_CaseC</vt:lpstr>
      <vt:lpstr>Response_Q156_1</vt:lpstr>
      <vt:lpstr>Response_Q157_1</vt:lpstr>
      <vt:lpstr>Response_Q160_1</vt:lpstr>
      <vt:lpstr>Response_Q161_1</vt:lpstr>
      <vt:lpstr>Response_Q161_10</vt:lpstr>
      <vt:lpstr>Response_Q161_11</vt:lpstr>
      <vt:lpstr>Response_Q161_12</vt:lpstr>
      <vt:lpstr>Response_Q161_2</vt:lpstr>
      <vt:lpstr>Response_Q161_3</vt:lpstr>
      <vt:lpstr>Response_Q161_4</vt:lpstr>
      <vt:lpstr>Response_Q161_5</vt:lpstr>
      <vt:lpstr>Response_Q161_6</vt:lpstr>
      <vt:lpstr>Response_Q161_7</vt:lpstr>
      <vt:lpstr>Response_Q161_8</vt:lpstr>
      <vt:lpstr>Response_Q161_9</vt:lpstr>
      <vt:lpstr>Response_Q162_1</vt:lpstr>
      <vt:lpstr>Response_Q162_10</vt:lpstr>
      <vt:lpstr>Response_Q162_11</vt:lpstr>
      <vt:lpstr>Response_Q162_12</vt:lpstr>
      <vt:lpstr>Response_Q162_2</vt:lpstr>
      <vt:lpstr>Response_Q162_3</vt:lpstr>
      <vt:lpstr>Response_Q162_4</vt:lpstr>
      <vt:lpstr>Response_Q162_5</vt:lpstr>
      <vt:lpstr>Response_Q162_6</vt:lpstr>
      <vt:lpstr>Response_Q162_7</vt:lpstr>
      <vt:lpstr>Response_Q162_8</vt:lpstr>
      <vt:lpstr>Response_Q162_9</vt:lpstr>
      <vt:lpstr>Response_Q165_1</vt:lpstr>
      <vt:lpstr>Response_Q172_1</vt:lpstr>
      <vt:lpstr>Response_Q173_1</vt:lpstr>
      <vt:lpstr>Response_Q173_3</vt:lpstr>
      <vt:lpstr>Response_Q173_5</vt:lpstr>
      <vt:lpstr>Response_Q173_7</vt:lpstr>
      <vt:lpstr>Response_Q176_1</vt:lpstr>
      <vt:lpstr>Response_Q176_2</vt:lpstr>
      <vt:lpstr>Response_Q176_3</vt:lpstr>
      <vt:lpstr>Response_Q176_4</vt:lpstr>
      <vt:lpstr>Response_Q177_1</vt:lpstr>
      <vt:lpstr>Response_Q177_10</vt:lpstr>
      <vt:lpstr>Response_Q177_11</vt:lpstr>
      <vt:lpstr>Response_Q177_12</vt:lpstr>
      <vt:lpstr>Response_Q177_13</vt:lpstr>
      <vt:lpstr>Response_Q177_14</vt:lpstr>
      <vt:lpstr>Response_Q177_2</vt:lpstr>
      <vt:lpstr>Response_Q177_3</vt:lpstr>
      <vt:lpstr>Response_Q177_4</vt:lpstr>
      <vt:lpstr>Response_Q177_5</vt:lpstr>
      <vt:lpstr>Response_Q177_6</vt:lpstr>
      <vt:lpstr>Response_Q177_7</vt:lpstr>
      <vt:lpstr>Response_Q177_8</vt:lpstr>
      <vt:lpstr>Response_Q177_9</vt:lpstr>
      <vt:lpstr>Response_Q178_1</vt:lpstr>
      <vt:lpstr>Response_Q178_10</vt:lpstr>
      <vt:lpstr>Response_Q178_11</vt:lpstr>
      <vt:lpstr>Response_Q178_12</vt:lpstr>
      <vt:lpstr>Response_Q178_2</vt:lpstr>
      <vt:lpstr>Response_Q178_3</vt:lpstr>
      <vt:lpstr>Response_Q178_4</vt:lpstr>
      <vt:lpstr>Response_Q178_5</vt:lpstr>
      <vt:lpstr>Response_Q178_6</vt:lpstr>
      <vt:lpstr>Response_Q178_7</vt:lpstr>
      <vt:lpstr>Response_Q178_8</vt:lpstr>
      <vt:lpstr>Response_Q178_9</vt:lpstr>
      <vt:lpstr>Response_Q181_1</vt:lpstr>
      <vt:lpstr>Responses_list1_frequency</vt:lpstr>
      <vt:lpstr>S26_country</vt:lpstr>
      <vt:lpstr>S26_stakeholder_category</vt:lpstr>
      <vt:lpstr>S30_country</vt:lpstr>
      <vt:lpstr>S30_stakeholder_category</vt:lpstr>
      <vt:lpstr>ScoresDPs</vt:lpstr>
      <vt:lpstr>ScoresToLikelihoods</vt:lpstr>
      <vt:lpstr>Somewhat_confident_threshold</vt:lpstr>
      <vt:lpstr>Title_26</vt:lpstr>
      <vt:lpstr>Title_30a</vt:lpstr>
      <vt:lpstr>Title_30b</vt:lpstr>
      <vt:lpstr>Title_30c</vt:lpstr>
      <vt:lpstr>Title_30d</vt:lpstr>
      <vt:lpstr>USA_text</vt:lpstr>
      <vt:lpstr>Very_confident_threshold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Part 4 of Analysis Tool for: 'Use of North American woody biomass in UK power generation'</dc:title>
  <dc:creator>JB (Ricardo)</dc:creator>
  <cp:lastModifiedBy>Hollingshead Paul (Communications)</cp:lastModifiedBy>
  <cp:lastPrinted>2015-08-19T14:13:22Z</cp:lastPrinted>
  <dcterms:created xsi:type="dcterms:W3CDTF">2015-04-22T11:05:26Z</dcterms:created>
  <dcterms:modified xsi:type="dcterms:W3CDTF">2017-02-23T13:37:55Z</dcterms:modified>
  <cp:category>Version 4.0.1</cp:category>
</cp:coreProperties>
</file>